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z\Desktop\"/>
    </mc:Choice>
  </mc:AlternateContent>
  <xr:revisionPtr revIDLastSave="0" documentId="13_ncr:1_{BA4773D9-39B6-409E-8797-473A686DD0EE}" xr6:coauthVersionLast="45" xr6:coauthVersionMax="45" xr10:uidLastSave="{00000000-0000-0000-0000-000000000000}"/>
  <bookViews>
    <workbookView xWindow="-120" yWindow="-120" windowWidth="38640" windowHeight="21240" xr2:uid="{FD9AEA69-15EB-48DE-BA3C-1851A6DC464C}"/>
  </bookViews>
  <sheets>
    <sheet name="테이블" sheetId="1" r:id="rId1"/>
    <sheet name="스탯효율" sheetId="2" r:id="rId2"/>
    <sheet name="풀버프 스탯효율" sheetId="4" r:id="rId3"/>
  </sheets>
  <definedNames>
    <definedName name="_xlnm._FilterDatabase" localSheetId="0" hidden="1">테이블!$J$18:$M$30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9" i="1" l="1"/>
  <c r="J41" i="1"/>
  <c r="J43" i="1"/>
  <c r="J38" i="1"/>
  <c r="J42" i="1"/>
  <c r="J40" i="1"/>
  <c r="J44" i="1"/>
  <c r="J37" i="1"/>
  <c r="M41" i="1"/>
  <c r="L41" i="1"/>
  <c r="K41" i="1"/>
  <c r="J20" i="1"/>
  <c r="J21" i="1"/>
  <c r="J25" i="1"/>
  <c r="J22" i="1"/>
  <c r="J24" i="1"/>
  <c r="J23" i="1"/>
  <c r="J26" i="1"/>
  <c r="J19" i="1"/>
  <c r="D52" i="1"/>
  <c r="F50" i="1" s="1"/>
  <c r="H53" i="1" s="1"/>
  <c r="D50" i="1"/>
  <c r="D53" i="1"/>
  <c r="D45" i="1"/>
  <c r="D48" i="1"/>
  <c r="F48" i="1" s="1"/>
  <c r="D37" i="1"/>
  <c r="D57" i="1" s="1"/>
  <c r="F55" i="1" s="1"/>
  <c r="D35" i="1"/>
  <c r="D55" i="1" s="1"/>
  <c r="D38" i="1"/>
  <c r="D58" i="1" s="1"/>
  <c r="F58" i="1" s="1"/>
  <c r="F57" i="1"/>
  <c r="F53" i="1"/>
  <c r="F52" i="1"/>
  <c r="D51" i="1"/>
  <c r="F47" i="1"/>
  <c r="D47" i="1"/>
  <c r="F45" i="1"/>
  <c r="F37" i="1"/>
  <c r="D36" i="1" s="1"/>
  <c r="F38" i="1"/>
  <c r="F35" i="1"/>
  <c r="K23" i="1"/>
  <c r="D46" i="1" l="1"/>
  <c r="D56" i="1"/>
  <c r="H51" i="1"/>
  <c r="D40" i="1"/>
  <c r="D43" i="1"/>
  <c r="C12" i="1"/>
  <c r="L23" i="1" l="1"/>
  <c r="M23" i="1"/>
  <c r="K38" i="1"/>
  <c r="K20" i="1"/>
  <c r="H58" i="1" l="1"/>
  <c r="H56" i="1"/>
  <c r="C5" i="4"/>
  <c r="L38" i="1" l="1"/>
  <c r="L20" i="1"/>
  <c r="D42" i="1" l="1"/>
  <c r="D20" i="1" l="1"/>
  <c r="F22" i="1"/>
  <c r="D25" i="1"/>
  <c r="D28" i="1"/>
  <c r="K40" i="1" l="1"/>
  <c r="K44" i="1"/>
  <c r="K43" i="1"/>
  <c r="K39" i="1"/>
  <c r="K42" i="1"/>
  <c r="K37" i="1"/>
  <c r="D16" i="1"/>
  <c r="C2" i="4"/>
  <c r="E5" i="4"/>
  <c r="D32" i="4"/>
  <c r="K34" i="1" s="1"/>
  <c r="D31" i="4"/>
  <c r="K33" i="1" s="1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E4" i="4"/>
  <c r="C4" i="4"/>
  <c r="E3" i="4"/>
  <c r="C3" i="4" l="1"/>
  <c r="G12" i="4"/>
  <c r="Q12" i="4"/>
  <c r="L12" i="4"/>
  <c r="I12" i="4"/>
  <c r="J12" i="4"/>
  <c r="N12" i="4"/>
  <c r="O12" i="4"/>
  <c r="F12" i="4"/>
  <c r="K12" i="4"/>
  <c r="P12" i="4"/>
  <c r="R12" i="4"/>
  <c r="M12" i="4"/>
  <c r="H12" i="4"/>
  <c r="C12" i="4"/>
  <c r="S12" i="4"/>
  <c r="D12" i="4"/>
  <c r="E12" i="4"/>
  <c r="P4" i="4"/>
  <c r="Q4" i="4" s="1"/>
  <c r="R4" i="4" s="1"/>
  <c r="S4" i="4" s="1"/>
  <c r="K22" i="1" l="1"/>
  <c r="K26" i="1"/>
  <c r="K25" i="1"/>
  <c r="K21" i="1"/>
  <c r="K24" i="1"/>
  <c r="K19" i="1"/>
  <c r="F42" i="1" l="1"/>
  <c r="F27" i="1"/>
  <c r="D27" i="1"/>
  <c r="F32" i="1"/>
  <c r="D33" i="1"/>
  <c r="D32" i="1"/>
  <c r="D30" i="1"/>
  <c r="D23" i="1"/>
  <c r="D21" i="1" s="1"/>
  <c r="D22" i="1"/>
  <c r="D26" i="1" l="1"/>
  <c r="H48" i="1"/>
  <c r="H46" i="1"/>
  <c r="D41" i="1"/>
  <c r="D31" i="1"/>
  <c r="F28" i="1"/>
  <c r="F25" i="1"/>
  <c r="L22" i="1" l="1"/>
  <c r="L40" i="1"/>
  <c r="H28" i="1"/>
  <c r="H26" i="1"/>
  <c r="L24" i="1" l="1"/>
  <c r="L42" i="1"/>
  <c r="F43" i="1"/>
  <c r="F40" i="1"/>
  <c r="F33" i="1"/>
  <c r="F30" i="1"/>
  <c r="F23" i="1"/>
  <c r="F20" i="1"/>
  <c r="H33" i="1" l="1"/>
  <c r="H31" i="1"/>
  <c r="H38" i="1"/>
  <c r="H36" i="1"/>
  <c r="H43" i="1"/>
  <c r="H41" i="1"/>
  <c r="H23" i="1"/>
  <c r="H21" i="1"/>
  <c r="D32" i="2"/>
  <c r="K16" i="1" s="1"/>
  <c r="D31" i="2"/>
  <c r="K15" i="1" s="1"/>
  <c r="E4" i="2"/>
  <c r="E3" i="2"/>
  <c r="C5" i="2"/>
  <c r="C4" i="2"/>
  <c r="C2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C11" i="2"/>
  <c r="L43" i="1" l="1"/>
  <c r="L21" i="1"/>
  <c r="L25" i="1"/>
  <c r="L39" i="1"/>
  <c r="L26" i="1"/>
  <c r="L44" i="1"/>
  <c r="L19" i="1"/>
  <c r="L37" i="1"/>
  <c r="P4" i="2"/>
  <c r="Q4" i="2" s="1"/>
  <c r="R4" i="2" s="1"/>
  <c r="S4" i="2" s="1"/>
  <c r="F15" i="1"/>
  <c r="F18" i="1"/>
  <c r="J11" i="1"/>
  <c r="K11" i="1" s="1"/>
  <c r="L11" i="1" s="1"/>
  <c r="M11" i="1" s="1"/>
  <c r="J9" i="1"/>
  <c r="K9" i="1" s="1"/>
  <c r="L9" i="1" s="1"/>
  <c r="M9" i="1" s="1"/>
  <c r="J8" i="1"/>
  <c r="K8" i="1" s="1"/>
  <c r="L8" i="1" s="1"/>
  <c r="M8" i="1" s="1"/>
  <c r="J4" i="1"/>
  <c r="K4" i="1" s="1"/>
  <c r="L4" i="1" s="1"/>
  <c r="M4" i="1" s="1"/>
  <c r="J5" i="1"/>
  <c r="K5" i="1" s="1"/>
  <c r="L5" i="1" s="1"/>
  <c r="M5" i="1" s="1"/>
  <c r="J6" i="1"/>
  <c r="F10" i="1"/>
  <c r="E2" i="4" l="1"/>
  <c r="H18" i="1"/>
  <c r="M38" i="1" s="1"/>
  <c r="H16" i="1"/>
  <c r="M20" i="1" s="1"/>
  <c r="E2" i="2"/>
  <c r="C3" i="2"/>
  <c r="E5" i="2"/>
  <c r="J10" i="1"/>
  <c r="K6" i="1"/>
  <c r="L6" i="1" s="1"/>
  <c r="M6" i="1" s="1"/>
  <c r="F7" i="1"/>
  <c r="J7" i="1"/>
  <c r="M22" i="1" l="1"/>
  <c r="M24" i="1"/>
  <c r="M19" i="1"/>
  <c r="M21" i="1"/>
  <c r="M25" i="1"/>
  <c r="M26" i="1"/>
  <c r="M40" i="1"/>
  <c r="M42" i="1"/>
  <c r="M43" i="1"/>
  <c r="M37" i="1"/>
  <c r="M39" i="1"/>
  <c r="M44" i="1"/>
  <c r="CT8" i="4"/>
  <c r="CU8" i="4"/>
  <c r="BO8" i="4"/>
  <c r="D8" i="4"/>
  <c r="K15" i="4"/>
  <c r="AC15" i="4"/>
  <c r="BR8" i="4"/>
  <c r="AW15" i="4"/>
  <c r="AH15" i="4"/>
  <c r="BA15" i="4"/>
  <c r="CO8" i="4"/>
  <c r="AD8" i="4"/>
  <c r="BW8" i="4"/>
  <c r="P15" i="4"/>
  <c r="BH8" i="4"/>
  <c r="Z8" i="4"/>
  <c r="J15" i="4"/>
  <c r="CJ8" i="4"/>
  <c r="U15" i="4"/>
  <c r="AJ8" i="4"/>
  <c r="J8" i="4"/>
  <c r="AO15" i="4"/>
  <c r="AS15" i="4"/>
  <c r="CH8" i="4"/>
  <c r="G8" i="4"/>
  <c r="AX15" i="4"/>
  <c r="BY8" i="4"/>
  <c r="F15" i="4"/>
  <c r="K8" i="4"/>
  <c r="AY15" i="4"/>
  <c r="BG8" i="4"/>
  <c r="CY8" i="4"/>
  <c r="L8" i="4"/>
  <c r="AF15" i="4"/>
  <c r="C8" i="4"/>
  <c r="BX8" i="4"/>
  <c r="O8" i="4"/>
  <c r="BE8" i="4"/>
  <c r="E15" i="4"/>
  <c r="L15" i="4"/>
  <c r="AG15" i="4"/>
  <c r="CB8" i="4"/>
  <c r="AW8" i="4"/>
  <c r="I15" i="4"/>
  <c r="E8" i="4"/>
  <c r="CX8" i="4"/>
  <c r="W8" i="4"/>
  <c r="C15" i="4"/>
  <c r="AI15" i="4"/>
  <c r="V15" i="4"/>
  <c r="AL15" i="4"/>
  <c r="CI8" i="4"/>
  <c r="AM8" i="4"/>
  <c r="CM8" i="4"/>
  <c r="H8" i="4"/>
  <c r="I8" i="4"/>
  <c r="CK8" i="4"/>
  <c r="CQ8" i="4"/>
  <c r="AE8" i="4"/>
  <c r="AU8" i="4"/>
  <c r="S8" i="4"/>
  <c r="U8" i="4"/>
  <c r="O15" i="4"/>
  <c r="BC8" i="4"/>
  <c r="S15" i="4"/>
  <c r="AA8" i="4"/>
  <c r="AQ8" i="4"/>
  <c r="T15" i="4"/>
  <c r="CG8" i="4"/>
  <c r="AB8" i="4"/>
  <c r="X8" i="4"/>
  <c r="AD15" i="4"/>
  <c r="M8" i="4"/>
  <c r="G2" i="4"/>
  <c r="Q15" i="4"/>
  <c r="R15" i="4"/>
  <c r="BM8" i="4"/>
  <c r="CD8" i="4"/>
  <c r="BF8" i="4"/>
  <c r="AN15" i="4"/>
  <c r="AK8" i="4"/>
  <c r="AE15" i="4"/>
  <c r="BS8" i="4"/>
  <c r="N8" i="4"/>
  <c r="BQ8" i="4"/>
  <c r="BJ8" i="4"/>
  <c r="N15" i="4"/>
  <c r="AZ15" i="4"/>
  <c r="AV8" i="4"/>
  <c r="F8" i="4"/>
  <c r="AX8" i="4"/>
  <c r="BB8" i="4"/>
  <c r="BP8" i="4"/>
  <c r="Q8" i="4"/>
  <c r="CR8" i="4"/>
  <c r="Y15" i="4"/>
  <c r="AM15" i="4"/>
  <c r="BA8" i="4"/>
  <c r="AU15" i="4"/>
  <c r="AT8" i="4"/>
  <c r="AV15" i="4"/>
  <c r="CW8" i="4"/>
  <c r="AJ15" i="4"/>
  <c r="AN8" i="4"/>
  <c r="P8" i="4"/>
  <c r="CF8" i="4"/>
  <c r="BV8" i="4"/>
  <c r="AY8" i="4"/>
  <c r="T8" i="4"/>
  <c r="H15" i="4"/>
  <c r="D15" i="4"/>
  <c r="CP8" i="4"/>
  <c r="X15" i="4"/>
  <c r="AO8" i="4"/>
  <c r="AB15" i="4"/>
  <c r="V8" i="4"/>
  <c r="AP15" i="4"/>
  <c r="AS8" i="4"/>
  <c r="M15" i="4"/>
  <c r="CV8" i="4"/>
  <c r="CL8" i="4"/>
  <c r="BK8" i="4"/>
  <c r="AR15" i="4"/>
  <c r="AP8" i="4"/>
  <c r="AT15" i="4"/>
  <c r="CC8" i="4"/>
  <c r="BU8" i="4"/>
  <c r="AK15" i="4"/>
  <c r="AI8" i="4"/>
  <c r="AG8" i="4"/>
  <c r="CS8" i="4"/>
  <c r="BZ8" i="4"/>
  <c r="Y8" i="4"/>
  <c r="BD8" i="4"/>
  <c r="W15" i="4"/>
  <c r="BL8" i="4"/>
  <c r="CN8" i="4"/>
  <c r="AC8" i="4"/>
  <c r="AZ8" i="4"/>
  <c r="CE8" i="4"/>
  <c r="AH8" i="4"/>
  <c r="AF8" i="4"/>
  <c r="AA15" i="4"/>
  <c r="AR8" i="4"/>
  <c r="G15" i="4"/>
  <c r="CA8" i="4"/>
  <c r="BT8" i="4"/>
  <c r="Z15" i="4"/>
  <c r="AL8" i="4"/>
  <c r="AQ15" i="4"/>
  <c r="BI8" i="4"/>
  <c r="BN8" i="4"/>
  <c r="R8" i="4"/>
  <c r="G12" i="2"/>
  <c r="M12" i="2"/>
  <c r="R12" i="2"/>
  <c r="Q12" i="2"/>
  <c r="J12" i="2"/>
  <c r="K12" i="2"/>
  <c r="L12" i="2"/>
  <c r="P12" i="2"/>
  <c r="O12" i="2"/>
  <c r="N12" i="2"/>
  <c r="D12" i="2"/>
  <c r="I12" i="2"/>
  <c r="C12" i="2"/>
  <c r="E12" i="2"/>
  <c r="S12" i="2"/>
  <c r="H12" i="2"/>
  <c r="F12" i="2"/>
  <c r="J15" i="2"/>
  <c r="Z15" i="2"/>
  <c r="AP15" i="2"/>
  <c r="L15" i="2"/>
  <c r="AR15" i="2"/>
  <c r="M15" i="2"/>
  <c r="AS15" i="2"/>
  <c r="N15" i="2"/>
  <c r="AT15" i="2"/>
  <c r="O15" i="2"/>
  <c r="AU15" i="2"/>
  <c r="AF15" i="2"/>
  <c r="AG15" i="2"/>
  <c r="R15" i="2"/>
  <c r="AX15" i="2"/>
  <c r="S15" i="2"/>
  <c r="AI15" i="2"/>
  <c r="AY15" i="2"/>
  <c r="D15" i="2"/>
  <c r="T15" i="2"/>
  <c r="AJ15" i="2"/>
  <c r="E15" i="2"/>
  <c r="AK15" i="2"/>
  <c r="BA15" i="2"/>
  <c r="F15" i="2"/>
  <c r="C15" i="2"/>
  <c r="AM15" i="2"/>
  <c r="K15" i="2"/>
  <c r="AA15" i="2"/>
  <c r="AQ15" i="2"/>
  <c r="AB15" i="2"/>
  <c r="AC15" i="2"/>
  <c r="AD15" i="2"/>
  <c r="AE15" i="2"/>
  <c r="P15" i="2"/>
  <c r="AV15" i="2"/>
  <c r="Q15" i="2"/>
  <c r="AW15" i="2"/>
  <c r="AH15" i="2"/>
  <c r="AL15" i="2"/>
  <c r="G15" i="2"/>
  <c r="W15" i="2"/>
  <c r="H15" i="2"/>
  <c r="AN15" i="2"/>
  <c r="I15" i="2"/>
  <c r="AO15" i="2"/>
  <c r="AZ15" i="2"/>
  <c r="U15" i="2"/>
  <c r="X15" i="2"/>
  <c r="Y15" i="2"/>
  <c r="V15" i="2"/>
  <c r="CQ8" i="2"/>
  <c r="CY8" i="2"/>
  <c r="AN8" i="2"/>
  <c r="E8" i="2"/>
  <c r="BA8" i="2"/>
  <c r="T8" i="2"/>
  <c r="CC8" i="2"/>
  <c r="BF8" i="2"/>
  <c r="CA8" i="2"/>
  <c r="K8" i="2"/>
  <c r="CP8" i="2"/>
  <c r="Y8" i="2"/>
  <c r="BN8" i="2"/>
  <c r="AU8" i="2"/>
  <c r="BG8" i="2"/>
  <c r="AV8" i="2"/>
  <c r="BE8" i="2"/>
  <c r="AD8" i="2"/>
  <c r="BJ8" i="2"/>
  <c r="O8" i="2"/>
  <c r="W8" i="2"/>
  <c r="CG8" i="2"/>
  <c r="H8" i="2"/>
  <c r="S8" i="2"/>
  <c r="F8" i="2"/>
  <c r="CR8" i="2"/>
  <c r="BT8" i="2"/>
  <c r="BD8" i="2"/>
  <c r="CF8" i="2"/>
  <c r="BX8" i="2"/>
  <c r="AE8" i="2"/>
  <c r="AH8" i="2"/>
  <c r="I8" i="2"/>
  <c r="L8" i="2"/>
  <c r="BL8" i="2"/>
  <c r="CE8" i="2"/>
  <c r="AO8" i="2"/>
  <c r="AZ8" i="2"/>
  <c r="AC8" i="2"/>
  <c r="CO8" i="2"/>
  <c r="BK8" i="2"/>
  <c r="CU8" i="2"/>
  <c r="D8" i="2"/>
  <c r="CV8" i="2"/>
  <c r="BC8" i="2"/>
  <c r="V8" i="2"/>
  <c r="AG8" i="2"/>
  <c r="CJ8" i="2"/>
  <c r="C8" i="2"/>
  <c r="CW8" i="2"/>
  <c r="J8" i="2"/>
  <c r="BZ8" i="2"/>
  <c r="AK8" i="2"/>
  <c r="Z8" i="2"/>
  <c r="AS8" i="2"/>
  <c r="AP8" i="2"/>
  <c r="CL8" i="2"/>
  <c r="CN8" i="2"/>
  <c r="Q8" i="2"/>
  <c r="BH8" i="2"/>
  <c r="BU8" i="2"/>
  <c r="BV8" i="2"/>
  <c r="AQ8" i="2"/>
  <c r="AW8" i="2"/>
  <c r="AM8" i="2"/>
  <c r="BY8" i="2"/>
  <c r="N8" i="2"/>
  <c r="AL8" i="2"/>
  <c r="G8" i="2"/>
  <c r="M8" i="2"/>
  <c r="R8" i="2"/>
  <c r="BB8" i="2"/>
  <c r="P8" i="2"/>
  <c r="CM8" i="2"/>
  <c r="AB8" i="2"/>
  <c r="BM8" i="2"/>
  <c r="BR8" i="2"/>
  <c r="CK8" i="2"/>
  <c r="CD8" i="2"/>
  <c r="AY8" i="2"/>
  <c r="AF8" i="2"/>
  <c r="AR8" i="2"/>
  <c r="CB8" i="2"/>
  <c r="BS8" i="2"/>
  <c r="X8" i="2"/>
  <c r="CH8" i="2"/>
  <c r="CS8" i="2"/>
  <c r="U8" i="2"/>
  <c r="AA8" i="2"/>
  <c r="BO8" i="2"/>
  <c r="BP8" i="2"/>
  <c r="CX8" i="2"/>
  <c r="AI8" i="2"/>
  <c r="AJ8" i="2"/>
  <c r="BW8" i="2"/>
  <c r="BQ8" i="2"/>
  <c r="CT8" i="2"/>
  <c r="AX8" i="2"/>
  <c r="CI8" i="2"/>
  <c r="BI8" i="2"/>
  <c r="AT8" i="2"/>
  <c r="K7" i="1"/>
  <c r="L7" i="1" s="1"/>
  <c r="M7" i="1" s="1"/>
  <c r="K10" i="1"/>
  <c r="L10" i="1" s="1"/>
  <c r="M10" i="1" s="1"/>
  <c r="G2" i="2" l="1"/>
</calcChain>
</file>

<file path=xl/sharedStrings.xml><?xml version="1.0" encoding="utf-8"?>
<sst xmlns="http://schemas.openxmlformats.org/spreadsheetml/2006/main" count="274" uniqueCount="105">
  <si>
    <t>달섬</t>
    <phoneticPr fontId="1" type="noConversion"/>
  </si>
  <si>
    <t>주문력 계수</t>
    <phoneticPr fontId="1" type="noConversion"/>
  </si>
  <si>
    <t>데미지</t>
    <phoneticPr fontId="1" type="noConversion"/>
  </si>
  <si>
    <t>지속시간</t>
    <phoneticPr fontId="1" type="noConversion"/>
  </si>
  <si>
    <t>DPS</t>
    <phoneticPr fontId="1" type="noConversion"/>
  </si>
  <si>
    <t>주문력</t>
    <phoneticPr fontId="1" type="noConversion"/>
  </si>
  <si>
    <t>달섬 즉발</t>
    <phoneticPr fontId="1" type="noConversion"/>
  </si>
  <si>
    <t>달섬 도트</t>
    <phoneticPr fontId="1" type="noConversion"/>
  </si>
  <si>
    <t>곤떼 도트</t>
    <phoneticPr fontId="1" type="noConversion"/>
  </si>
  <si>
    <t>평균 데미지</t>
    <phoneticPr fontId="1" type="noConversion"/>
  </si>
  <si>
    <t>달성 합</t>
    <phoneticPr fontId="1" type="noConversion"/>
  </si>
  <si>
    <t>상승한 데미지</t>
    <phoneticPr fontId="1" type="noConversion"/>
  </si>
  <si>
    <t>레벨</t>
    <phoneticPr fontId="1" type="noConversion"/>
  </si>
  <si>
    <t>별화</t>
    <phoneticPr fontId="1" type="noConversion"/>
  </si>
  <si>
    <t>주문</t>
    <phoneticPr fontId="1" type="noConversion"/>
  </si>
  <si>
    <t>천벌</t>
    <phoneticPr fontId="1" type="noConversion"/>
  </si>
  <si>
    <t>시전시간(특성)</t>
    <phoneticPr fontId="1" type="noConversion"/>
  </si>
  <si>
    <t>구분</t>
    <phoneticPr fontId="1" type="noConversion"/>
  </si>
  <si>
    <t>즉발</t>
    <phoneticPr fontId="1" type="noConversion"/>
  </si>
  <si>
    <t>도트</t>
    <phoneticPr fontId="1" type="noConversion"/>
  </si>
  <si>
    <t>달섬 합</t>
    <phoneticPr fontId="1" type="noConversion"/>
  </si>
  <si>
    <t>데미지 +10% (달의 분노)</t>
    <phoneticPr fontId="1" type="noConversion"/>
  </si>
  <si>
    <t>데미지 +10% (달빛 섬광 연마)</t>
    <phoneticPr fontId="1" type="noConversion"/>
  </si>
  <si>
    <t>적중</t>
    <phoneticPr fontId="1" type="noConversion"/>
  </si>
  <si>
    <t>별화 DPS</t>
    <phoneticPr fontId="1" type="noConversion"/>
  </si>
  <si>
    <t>지능</t>
    <phoneticPr fontId="1" type="noConversion"/>
  </si>
  <si>
    <t>장비2</t>
    <phoneticPr fontId="1" type="noConversion"/>
  </si>
  <si>
    <t>496-585</t>
    <phoneticPr fontId="1" type="noConversion"/>
  </si>
  <si>
    <t>적중률</t>
    <phoneticPr fontId="1" type="noConversion"/>
  </si>
  <si>
    <t>273-305</t>
    <phoneticPr fontId="1" type="noConversion"/>
  </si>
  <si>
    <t>236-276</t>
    <phoneticPr fontId="1" type="noConversion"/>
  </si>
  <si>
    <t>저주X</t>
    <phoneticPr fontId="1" type="noConversion"/>
  </si>
  <si>
    <t>어둠</t>
    <phoneticPr fontId="1" type="noConversion"/>
  </si>
  <si>
    <t>시전시간 -0.5초 (별빛 화살 연마)</t>
    <phoneticPr fontId="1" type="noConversion"/>
  </si>
  <si>
    <t>시전시간 -0.5초 (천벌 연마)</t>
    <phoneticPr fontId="1" type="noConversion"/>
  </si>
  <si>
    <t>스킬 DPS 비교 테이블</t>
    <phoneticPr fontId="1" type="noConversion"/>
  </si>
  <si>
    <t>장비 DPS 비교 테이블</t>
    <phoneticPr fontId="1" type="noConversion"/>
  </si>
  <si>
    <t>장비3</t>
    <phoneticPr fontId="1" type="noConversion"/>
  </si>
  <si>
    <t>기본</t>
    <phoneticPr fontId="1" type="noConversion"/>
  </si>
  <si>
    <t>스탯 효율</t>
    <phoneticPr fontId="1" type="noConversion"/>
  </si>
  <si>
    <t>극대</t>
    <phoneticPr fontId="1" type="noConversion"/>
  </si>
  <si>
    <t>기본 극대</t>
    <phoneticPr fontId="1" type="noConversion"/>
  </si>
  <si>
    <t>장비 극대</t>
    <phoneticPr fontId="1" type="noConversion"/>
  </si>
  <si>
    <t>지능 극대</t>
    <phoneticPr fontId="1" type="noConversion"/>
  </si>
  <si>
    <t>스킬 DPS 계산에
적용된 특성</t>
    <phoneticPr fontId="1" type="noConversion"/>
  </si>
  <si>
    <t>극대 1%</t>
    <phoneticPr fontId="1" type="noConversion"/>
  </si>
  <si>
    <t>적중 1%</t>
    <phoneticPr fontId="1" type="noConversion"/>
  </si>
  <si>
    <t>극대 1% 당</t>
    <phoneticPr fontId="1" type="noConversion"/>
  </si>
  <si>
    <t>적중 1% 당</t>
    <phoneticPr fontId="1" type="noConversion"/>
  </si>
  <si>
    <t>극대화율</t>
    <phoneticPr fontId="1" type="noConversion"/>
  </si>
  <si>
    <t>평균</t>
    <phoneticPr fontId="1" type="noConversion"/>
  </si>
  <si>
    <t>지속</t>
    <phoneticPr fontId="1" type="noConversion"/>
  </si>
  <si>
    <t>시전시간</t>
    <phoneticPr fontId="1" type="noConversion"/>
  </si>
  <si>
    <t>주문력계수</t>
    <phoneticPr fontId="1" type="noConversion"/>
  </si>
  <si>
    <t>상승 데미지</t>
    <phoneticPr fontId="1" type="noConversion"/>
  </si>
  <si>
    <t>주문력 1</t>
    <phoneticPr fontId="1" type="noConversion"/>
  </si>
  <si>
    <t>기준 장비</t>
    <phoneticPr fontId="1" type="noConversion"/>
  </si>
  <si>
    <t>스탯효율</t>
    <phoneticPr fontId="1" type="noConversion"/>
  </si>
  <si>
    <t>장비4</t>
    <phoneticPr fontId="1" type="noConversion"/>
  </si>
  <si>
    <t>장비1</t>
    <phoneticPr fontId="1" type="noConversion"/>
  </si>
  <si>
    <t>넬타눈물</t>
    <phoneticPr fontId="1" type="noConversion"/>
  </si>
  <si>
    <t>장비5</t>
    <phoneticPr fontId="1" type="noConversion"/>
  </si>
  <si>
    <t>장비6</t>
    <phoneticPr fontId="1" type="noConversion"/>
  </si>
  <si>
    <t>적중손목</t>
    <phoneticPr fontId="1" type="noConversion"/>
  </si>
  <si>
    <t>장비7</t>
    <phoneticPr fontId="1" type="noConversion"/>
  </si>
  <si>
    <t>장비8</t>
    <phoneticPr fontId="1" type="noConversion"/>
  </si>
  <si>
    <t>순위</t>
    <phoneticPr fontId="1" type="noConversion"/>
  </si>
  <si>
    <t>이름</t>
    <phoneticPr fontId="1" type="noConversion"/>
  </si>
  <si>
    <t>상승값</t>
    <phoneticPr fontId="1" type="noConversion"/>
  </si>
  <si>
    <t>소멸망토</t>
    <phoneticPr fontId="1" type="noConversion"/>
  </si>
  <si>
    <t>잔달라</t>
    <phoneticPr fontId="1" type="noConversion"/>
  </si>
  <si>
    <t>룬툼 줄기 별미</t>
    <phoneticPr fontId="1" type="noConversion"/>
  </si>
  <si>
    <t>강력한 마력의 영약</t>
    <phoneticPr fontId="1" type="noConversion"/>
  </si>
  <si>
    <t>왕의 축복</t>
    <phoneticPr fontId="1" type="noConversion"/>
  </si>
  <si>
    <t>야생의 징표</t>
    <phoneticPr fontId="1" type="noConversion"/>
  </si>
  <si>
    <t>주문력+150</t>
    <phoneticPr fontId="1" type="noConversion"/>
  </si>
  <si>
    <t>모든 능력치+10%</t>
    <phoneticPr fontId="1" type="noConversion"/>
  </si>
  <si>
    <t>모든 능력치+16</t>
    <phoneticPr fontId="1" type="noConversion"/>
  </si>
  <si>
    <t>지능+10</t>
    <phoneticPr fontId="1" type="noConversion"/>
  </si>
  <si>
    <t>상급 신비의 비약</t>
    <phoneticPr fontId="1" type="noConversion"/>
  </si>
  <si>
    <t>주문력+35</t>
    <phoneticPr fontId="1" type="noConversion"/>
  </si>
  <si>
    <t>혈장</t>
    <phoneticPr fontId="1" type="noConversion"/>
  </si>
  <si>
    <t>극대+3%</t>
    <phoneticPr fontId="1" type="noConversion"/>
  </si>
  <si>
    <t>오닉</t>
    <phoneticPr fontId="1" type="noConversion"/>
  </si>
  <si>
    <t>극대+10%</t>
    <phoneticPr fontId="1" type="noConversion"/>
  </si>
  <si>
    <t>노래꽃</t>
    <phoneticPr fontId="1" type="noConversion"/>
  </si>
  <si>
    <t>극대+5%, 모든 능력치+15</t>
    <phoneticPr fontId="1" type="noConversion"/>
  </si>
  <si>
    <t>어둠의 저주</t>
    <phoneticPr fontId="1" type="noConversion"/>
  </si>
  <si>
    <t>비전데미지+10%</t>
    <phoneticPr fontId="1" type="noConversion"/>
  </si>
  <si>
    <t>외부 버프</t>
    <phoneticPr fontId="1" type="noConversion"/>
  </si>
  <si>
    <t>흑마</t>
    <phoneticPr fontId="1" type="noConversion"/>
  </si>
  <si>
    <t>연금술</t>
    <phoneticPr fontId="1" type="noConversion"/>
  </si>
  <si>
    <t>요리</t>
    <phoneticPr fontId="1" type="noConversion"/>
  </si>
  <si>
    <t>드루이드</t>
    <phoneticPr fontId="1" type="noConversion"/>
  </si>
  <si>
    <t>성기사</t>
    <phoneticPr fontId="1" type="noConversion"/>
  </si>
  <si>
    <t>풀버프 스탯 효율</t>
    <phoneticPr fontId="1" type="noConversion"/>
  </si>
  <si>
    <t>노버프</t>
    <phoneticPr fontId="1" type="noConversion"/>
  </si>
  <si>
    <t>풀버프</t>
    <phoneticPr fontId="1" type="noConversion"/>
  </si>
  <si>
    <t>풀버프 순위</t>
    <phoneticPr fontId="1" type="noConversion"/>
  </si>
  <si>
    <t>모든 능력치+15%</t>
    <phoneticPr fontId="1" type="noConversion"/>
  </si>
  <si>
    <t>화군목</t>
    <phoneticPr fontId="1" type="noConversion"/>
  </si>
  <si>
    <t>주술자루</t>
    <phoneticPr fontId="1" type="noConversion"/>
  </si>
  <si>
    <t>예속-무집고</t>
    <phoneticPr fontId="1" type="noConversion"/>
  </si>
  <si>
    <t>예속-주강반</t>
    <phoneticPr fontId="1" type="noConversion"/>
  </si>
  <si>
    <t>예속-잔질고리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</si>
</sst>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"/>
    <numFmt numFmtId="177" formatCode="0.00_);[Red]\(0.00\)"/>
    <numFmt numFmtId="178" formatCode="0_ "/>
    <numFmt numFmtId="179" formatCode="0.0%"/>
    <numFmt numFmtId="180" formatCode="0.0000000_ "/>
    <numFmt numFmtId="181" formatCode="0.00000_ "/>
    <numFmt numFmtId="182" formatCode="0.0000_ 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177" fontId="4" fillId="2" borderId="14" xfId="0" applyNumberFormat="1" applyFont="1" applyFill="1" applyBorder="1" applyAlignment="1">
      <alignment horizontal="center" vertical="center"/>
    </xf>
    <xf numFmtId="177" fontId="4" fillId="2" borderId="19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0" fontId="3" fillId="2" borderId="9" xfId="0" applyNumberFormat="1" applyFont="1" applyFill="1" applyBorder="1" applyAlignment="1">
      <alignment horizontal="center" vertical="center"/>
    </xf>
    <xf numFmtId="177" fontId="3" fillId="2" borderId="9" xfId="0" applyNumberFormat="1" applyFont="1" applyFill="1" applyBorder="1" applyAlignment="1">
      <alignment horizontal="center" vertical="center"/>
    </xf>
    <xf numFmtId="177" fontId="3" fillId="2" borderId="17" xfId="0" applyNumberFormat="1" applyFont="1" applyFill="1" applyBorder="1" applyAlignment="1">
      <alignment horizontal="center" vertical="center"/>
    </xf>
    <xf numFmtId="177" fontId="4" fillId="2" borderId="15" xfId="0" applyNumberFormat="1" applyFont="1" applyFill="1" applyBorder="1" applyAlignment="1">
      <alignment horizontal="center" vertical="center"/>
    </xf>
    <xf numFmtId="177" fontId="4" fillId="2" borderId="20" xfId="0" applyNumberFormat="1" applyFont="1" applyFill="1" applyBorder="1" applyAlignment="1">
      <alignment horizontal="center" vertical="center"/>
    </xf>
    <xf numFmtId="178" fontId="5" fillId="3" borderId="8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178" fontId="5" fillId="3" borderId="9" xfId="0" applyNumberFormat="1" applyFont="1" applyFill="1" applyBorder="1" applyAlignment="1">
      <alignment horizontal="center" vertical="center"/>
    </xf>
    <xf numFmtId="178" fontId="5" fillId="3" borderId="7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0" fontId="3" fillId="0" borderId="23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0" fontId="3" fillId="0" borderId="8" xfId="0" applyNumberFormat="1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9" fontId="0" fillId="0" borderId="1" xfId="0" applyNumberFormat="1" applyBorder="1">
      <alignment vertical="center"/>
    </xf>
    <xf numFmtId="9" fontId="0" fillId="0" borderId="8" xfId="0" applyNumberFormat="1" applyBorder="1">
      <alignment vertical="center"/>
    </xf>
    <xf numFmtId="9" fontId="0" fillId="0" borderId="36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38" xfId="0" applyNumberFormat="1" applyBorder="1">
      <alignment vertical="center"/>
    </xf>
    <xf numFmtId="9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9" fontId="0" fillId="0" borderId="37" xfId="0" applyNumberFormat="1" applyBorder="1">
      <alignment vertical="center"/>
    </xf>
    <xf numFmtId="9" fontId="0" fillId="0" borderId="5" xfId="0" applyNumberFormat="1" applyBorder="1">
      <alignment vertical="center"/>
    </xf>
    <xf numFmtId="0" fontId="0" fillId="0" borderId="8" xfId="0" applyBorder="1">
      <alignment vertical="center"/>
    </xf>
    <xf numFmtId="0" fontId="0" fillId="0" borderId="36" xfId="0" applyBorder="1">
      <alignment vertical="center"/>
    </xf>
    <xf numFmtId="0" fontId="0" fillId="0" borderId="10" xfId="0" applyBorder="1">
      <alignment vertical="center"/>
    </xf>
    <xf numFmtId="180" fontId="0" fillId="0" borderId="37" xfId="0" applyNumberFormat="1" applyBorder="1" applyAlignment="1">
      <alignment horizontal="center" vertical="center"/>
    </xf>
    <xf numFmtId="180" fontId="0" fillId="0" borderId="38" xfId="0" applyNumberFormat="1" applyBorder="1" applyAlignment="1">
      <alignment horizontal="center" vertical="center"/>
    </xf>
    <xf numFmtId="180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0" fontId="6" fillId="0" borderId="8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81" fontId="5" fillId="3" borderId="1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5" fillId="3" borderId="1" xfId="0" applyNumberFormat="1" applyFont="1" applyFill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82" fontId="5" fillId="3" borderId="3" xfId="0" applyNumberFormat="1" applyFont="1" applyFill="1" applyBorder="1" applyAlignment="1">
      <alignment horizontal="center" vertical="center"/>
    </xf>
    <xf numFmtId="182" fontId="5" fillId="3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극대</a:t>
            </a:r>
            <a:endParaRPr lang="en-US" alt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스탯효율!$B$8</c:f>
              <c:strCache>
                <c:ptCount val="1"/>
                <c:pt idx="0">
                  <c:v>DPS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5059862362565505"/>
                  <c:y val="0.3070202020202020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</c:trendlineLbl>
          </c:trendline>
          <c:cat>
            <c:numRef>
              <c:f>스탯효율!$C$7:$CY$7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스탯효율!$C$8:$CY$8</c:f>
              <c:numCache>
                <c:formatCode>0.00_ </c:formatCode>
                <c:ptCount val="101"/>
                <c:pt idx="0">
                  <c:v>305.41833333333329</c:v>
                </c:pt>
                <c:pt idx="1">
                  <c:v>308.93076396655039</c:v>
                </c:pt>
                <c:pt idx="2">
                  <c:v>312.45364581592054</c:v>
                </c:pt>
                <c:pt idx="3">
                  <c:v>315.98702559724103</c:v>
                </c:pt>
                <c:pt idx="4">
                  <c:v>319.53095030514379</c:v>
                </c:pt>
                <c:pt idx="5">
                  <c:v>323.08546721517922</c:v>
                </c:pt>
                <c:pt idx="6">
                  <c:v>326.65062388591792</c:v>
                </c:pt>
                <c:pt idx="7">
                  <c:v>330.22646816107243</c:v>
                </c:pt>
                <c:pt idx="8">
                  <c:v>333.81304817163675</c:v>
                </c:pt>
                <c:pt idx="9">
                  <c:v>337.41041233804623</c:v>
                </c:pt>
                <c:pt idx="10">
                  <c:v>341.01860937235659</c:v>
                </c:pt>
                <c:pt idx="11">
                  <c:v>344.63768828044255</c:v>
                </c:pt>
                <c:pt idx="12">
                  <c:v>348.26769836421636</c:v>
                </c:pt>
                <c:pt idx="13">
                  <c:v>351.90868922386687</c:v>
                </c:pt>
                <c:pt idx="14">
                  <c:v>355.56071076011847</c:v>
                </c:pt>
                <c:pt idx="15">
                  <c:v>359.22381317651059</c:v>
                </c:pt>
                <c:pt idx="16">
                  <c:v>362.89804698169894</c:v>
                </c:pt>
                <c:pt idx="17">
                  <c:v>366.58346299177583</c:v>
                </c:pt>
                <c:pt idx="18">
                  <c:v>370.28011233261401</c:v>
                </c:pt>
                <c:pt idx="19">
                  <c:v>373.98804644223014</c:v>
                </c:pt>
                <c:pt idx="20">
                  <c:v>377.7073170731706</c:v>
                </c:pt>
                <c:pt idx="21">
                  <c:v>381.43797629492002</c:v>
                </c:pt>
                <c:pt idx="22">
                  <c:v>385.18007649633023</c:v>
                </c:pt>
                <c:pt idx="23">
                  <c:v>388.93367038807304</c:v>
                </c:pt>
                <c:pt idx="24">
                  <c:v>392.69881100511532</c:v>
                </c:pt>
                <c:pt idx="25">
                  <c:v>396.47555170921675</c:v>
                </c:pt>
                <c:pt idx="26">
                  <c:v>400.2639461914502</c:v>
                </c:pt>
                <c:pt idx="27">
                  <c:v>404.06404847474693</c:v>
                </c:pt>
                <c:pt idx="28">
                  <c:v>407.87591291646379</c:v>
                </c:pt>
                <c:pt idx="29">
                  <c:v>411.69959421097542</c:v>
                </c:pt>
                <c:pt idx="30">
                  <c:v>415.5351473922903</c:v>
                </c:pt>
                <c:pt idx="31">
                  <c:v>419.3826278366904</c:v>
                </c:pt>
                <c:pt idx="32">
                  <c:v>423.24209126539751</c:v>
                </c:pt>
                <c:pt idx="33">
                  <c:v>427.1135937472618</c:v>
                </c:pt>
                <c:pt idx="34">
                  <c:v>430.99719170147785</c:v>
                </c:pt>
                <c:pt idx="35">
                  <c:v>434.89294190032513</c:v>
                </c:pt>
                <c:pt idx="36">
                  <c:v>438.80090147193459</c:v>
                </c:pt>
                <c:pt idx="37">
                  <c:v>442.72112790308074</c:v>
                </c:pt>
                <c:pt idx="38">
                  <c:v>446.65367904200065</c:v>
                </c:pt>
                <c:pt idx="39">
                  <c:v>450.59861310124012</c:v>
                </c:pt>
                <c:pt idx="40">
                  <c:v>454.55598866052435</c:v>
                </c:pt>
                <c:pt idx="41">
                  <c:v>458.52586466965977</c:v>
                </c:pt>
                <c:pt idx="42">
                  <c:v>462.50830045145915</c:v>
                </c:pt>
                <c:pt idx="43">
                  <c:v>466.50335570469787</c:v>
                </c:pt>
                <c:pt idx="44">
                  <c:v>470.51109050709653</c:v>
                </c:pt>
                <c:pt idx="45">
                  <c:v>474.5315653183319</c:v>
                </c:pt>
                <c:pt idx="46">
                  <c:v>478.56484098307868</c:v>
                </c:pt>
                <c:pt idx="47">
                  <c:v>482.61097873407743</c:v>
                </c:pt>
                <c:pt idx="48">
                  <c:v>486.67004019523398</c:v>
                </c:pt>
                <c:pt idx="49">
                  <c:v>490.74208738474806</c:v>
                </c:pt>
                <c:pt idx="50">
                  <c:v>494.82718271827184</c:v>
                </c:pt>
                <c:pt idx="51">
                  <c:v>498.92538901209855</c:v>
                </c:pt>
                <c:pt idx="52">
                  <c:v>503.03676948638287</c:v>
                </c:pt>
                <c:pt idx="53">
                  <c:v>507.16138776839171</c:v>
                </c:pt>
                <c:pt idx="54">
                  <c:v>511.29930789578572</c:v>
                </c:pt>
                <c:pt idx="55">
                  <c:v>515.45059431993457</c:v>
                </c:pt>
                <c:pt idx="56">
                  <c:v>519.61531190926269</c:v>
                </c:pt>
                <c:pt idx="57">
                  <c:v>523.79352595262787</c:v>
                </c:pt>
                <c:pt idx="58">
                  <c:v>527.98530216273377</c:v>
                </c:pt>
                <c:pt idx="59">
                  <c:v>532.19070667957396</c:v>
                </c:pt>
                <c:pt idx="60">
                  <c:v>536.40980607391134</c:v>
                </c:pt>
                <c:pt idx="61">
                  <c:v>540.64266735079059</c:v>
                </c:pt>
                <c:pt idx="62">
                  <c:v>544.88935795308544</c:v>
                </c:pt>
                <c:pt idx="63">
                  <c:v>549.14994576507991</c:v>
                </c:pt>
                <c:pt idx="64">
                  <c:v>553.42449911608719</c:v>
                </c:pt>
                <c:pt idx="65">
                  <c:v>557.71308678410026</c:v>
                </c:pt>
                <c:pt idx="66">
                  <c:v>562.01577799948268</c:v>
                </c:pt>
                <c:pt idx="67">
                  <c:v>566.33264244869247</c:v>
                </c:pt>
                <c:pt idx="68">
                  <c:v>570.66375027804554</c:v>
                </c:pt>
                <c:pt idx="69">
                  <c:v>575.00917209751378</c:v>
                </c:pt>
                <c:pt idx="70">
                  <c:v>579.3689789845638</c:v>
                </c:pt>
                <c:pt idx="71">
                  <c:v>583.743242488031</c:v>
                </c:pt>
                <c:pt idx="72">
                  <c:v>588.13203463203456</c:v>
                </c:pt>
                <c:pt idx="73">
                  <c:v>592.5354279199297</c:v>
                </c:pt>
                <c:pt idx="74">
                  <c:v>596.95349533830074</c:v>
                </c:pt>
                <c:pt idx="75">
                  <c:v>601.38631036099389</c:v>
                </c:pt>
                <c:pt idx="76">
                  <c:v>605.83394695318952</c:v>
                </c:pt>
                <c:pt idx="77">
                  <c:v>610.29647957551686</c:v>
                </c:pt>
                <c:pt idx="78">
                  <c:v>614.77398318820906</c:v>
                </c:pt>
                <c:pt idx="79">
                  <c:v>619.26653325530026</c:v>
                </c:pt>
                <c:pt idx="80">
                  <c:v>623.77420574886526</c:v>
                </c:pt>
                <c:pt idx="81">
                  <c:v>628.29707715330267</c:v>
                </c:pt>
                <c:pt idx="82">
                  <c:v>632.83522446965947</c:v>
                </c:pt>
                <c:pt idx="83">
                  <c:v>637.38872522000258</c:v>
                </c:pt>
                <c:pt idx="84">
                  <c:v>641.95765745183144</c:v>
                </c:pt>
                <c:pt idx="85">
                  <c:v>646.54209974253831</c:v>
                </c:pt>
                <c:pt idx="86">
                  <c:v>651.1421312039123</c:v>
                </c:pt>
                <c:pt idx="87">
                  <c:v>655.75783148669086</c:v>
                </c:pt>
                <c:pt idx="88">
                  <c:v>660.38928078515551</c:v>
                </c:pt>
                <c:pt idx="89">
                  <c:v>665.03655984177874</c:v>
                </c:pt>
                <c:pt idx="90">
                  <c:v>669.69974995191376</c:v>
                </c:pt>
                <c:pt idx="91">
                  <c:v>674.37893296853622</c:v>
                </c:pt>
                <c:pt idx="92">
                  <c:v>679.07419130703295</c:v>
                </c:pt>
                <c:pt idx="93">
                  <c:v>683.78560795004159</c:v>
                </c:pt>
                <c:pt idx="94">
                  <c:v>688.51326645233746</c:v>
                </c:pt>
                <c:pt idx="95">
                  <c:v>693.25725094577535</c:v>
                </c:pt>
                <c:pt idx="96">
                  <c:v>698.0176461442785</c:v>
                </c:pt>
                <c:pt idx="97">
                  <c:v>702.79453734888148</c:v>
                </c:pt>
                <c:pt idx="98">
                  <c:v>707.58801045282564</c:v>
                </c:pt>
                <c:pt idx="99">
                  <c:v>712.39815194670723</c:v>
                </c:pt>
                <c:pt idx="100">
                  <c:v>717.22504892367897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94-4E51-A9EC-F592B1871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9896575"/>
        <c:axId val="1132267183"/>
      </c:lineChart>
      <c:catAx>
        <c:axId val="112989657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32267183"/>
        <c:crosses val="autoZero"/>
        <c:auto val="1"/>
        <c:lblAlgn val="ctr"/>
        <c:lblOffset val="100"/>
        <c:noMultiLvlLbl val="0"/>
      </c:catAx>
      <c:valAx>
        <c:axId val="1132267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29896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적중</a:t>
            </a:r>
            <a:endParaRPr lang="en-US" alt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스탯효율!$B$12</c:f>
              <c:strCache>
                <c:ptCount val="1"/>
                <c:pt idx="0">
                  <c:v>DPS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0496910739643884"/>
                  <c:y val="0.35247474747474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</c:trendlineLbl>
          </c:trendline>
          <c:cat>
            <c:numRef>
              <c:f>스탯효율!$C$11:$S$11</c:f>
              <c:numCache>
                <c:formatCode>0%</c:formatCode>
                <c:ptCount val="17"/>
                <c:pt idx="0">
                  <c:v>0.83</c:v>
                </c:pt>
                <c:pt idx="1">
                  <c:v>0.84</c:v>
                </c:pt>
                <c:pt idx="2">
                  <c:v>0.85</c:v>
                </c:pt>
                <c:pt idx="3">
                  <c:v>0.86</c:v>
                </c:pt>
                <c:pt idx="4">
                  <c:v>0.87</c:v>
                </c:pt>
                <c:pt idx="5">
                  <c:v>0.88</c:v>
                </c:pt>
                <c:pt idx="6">
                  <c:v>0.8899999999999999</c:v>
                </c:pt>
                <c:pt idx="7">
                  <c:v>0.89999999999999991</c:v>
                </c:pt>
                <c:pt idx="8">
                  <c:v>0.90999999999999992</c:v>
                </c:pt>
                <c:pt idx="9">
                  <c:v>0.91999999999999993</c:v>
                </c:pt>
                <c:pt idx="10">
                  <c:v>0.92999999999999994</c:v>
                </c:pt>
                <c:pt idx="11">
                  <c:v>0.94</c:v>
                </c:pt>
                <c:pt idx="12">
                  <c:v>0.95</c:v>
                </c:pt>
                <c:pt idx="13">
                  <c:v>0.96</c:v>
                </c:pt>
                <c:pt idx="14">
                  <c:v>0.97</c:v>
                </c:pt>
                <c:pt idx="15">
                  <c:v>0.98</c:v>
                </c:pt>
                <c:pt idx="16">
                  <c:v>0.99</c:v>
                </c:pt>
              </c:numCache>
            </c:numRef>
          </c:cat>
          <c:val>
            <c:numRef>
              <c:f>스탯효율!$C$12:$S$12</c:f>
              <c:numCache>
                <c:formatCode>0.00_ </c:formatCode>
                <c:ptCount val="17"/>
                <c:pt idx="0">
                  <c:v>328.25448173482454</c:v>
                </c:pt>
                <c:pt idx="1">
                  <c:v>332.28352978331071</c:v>
                </c:pt>
                <c:pt idx="2">
                  <c:v>336.31437742273772</c:v>
                </c:pt>
                <c:pt idx="3">
                  <c:v>340.34702585906695</c:v>
                </c:pt>
                <c:pt idx="4">
                  <c:v>344.38147629933758</c:v>
                </c:pt>
                <c:pt idx="5">
                  <c:v>348.41772995166781</c:v>
                </c:pt>
                <c:pt idx="6">
                  <c:v>352.45578802525591</c:v>
                </c:pt>
                <c:pt idx="7">
                  <c:v>356.49565173038178</c:v>
                </c:pt>
                <c:pt idx="8">
                  <c:v>360.5373222784076</c:v>
                </c:pt>
                <c:pt idx="9">
                  <c:v>364.58080088177957</c:v>
                </c:pt>
                <c:pt idx="10">
                  <c:v>368.62608875402901</c:v>
                </c:pt>
                <c:pt idx="11">
                  <c:v>372.67318710977315</c:v>
                </c:pt>
                <c:pt idx="12">
                  <c:v>376.72209716471701</c:v>
                </c:pt>
                <c:pt idx="13">
                  <c:v>380.77282013565417</c:v>
                </c:pt>
                <c:pt idx="14">
                  <c:v>384.82535724046795</c:v>
                </c:pt>
                <c:pt idx="15">
                  <c:v>388.87970969813307</c:v>
                </c:pt>
                <c:pt idx="16">
                  <c:v>392.93587872871632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39-4C0E-9CE4-37F192323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6703263"/>
        <c:axId val="1357467167"/>
      </c:lineChart>
      <c:catAx>
        <c:axId val="13667032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57467167"/>
        <c:crosses val="autoZero"/>
        <c:auto val="1"/>
        <c:lblAlgn val="ctr"/>
        <c:lblOffset val="100"/>
        <c:noMultiLvlLbl val="0"/>
      </c:catAx>
      <c:valAx>
        <c:axId val="1357467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66703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주문력</a:t>
            </a:r>
            <a:endParaRPr lang="en-US" alt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스탯효율!$B$15</c:f>
              <c:strCache>
                <c:ptCount val="1"/>
                <c:pt idx="0">
                  <c:v>DPS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9119601226317299"/>
                  <c:y val="0.382777777777777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</c:trendlineLbl>
          </c:trendline>
          <c:cat>
            <c:numRef>
              <c:f>스탯효율!$C$14:$BA$14</c:f>
              <c:numCache>
                <c:formatCode>General</c:formatCod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cat>
          <c:val>
            <c:numRef>
              <c:f>스탯효율!$C$15:$BA$15</c:f>
              <c:numCache>
                <c:formatCode>0.00_ </c:formatCode>
                <c:ptCount val="51"/>
                <c:pt idx="0">
                  <c:v>185.04356816673223</c:v>
                </c:pt>
                <c:pt idx="1">
                  <c:v>188.46713094502516</c:v>
                </c:pt>
                <c:pt idx="2">
                  <c:v>191.89069372331804</c:v>
                </c:pt>
                <c:pt idx="3">
                  <c:v>195.314256501611</c:v>
                </c:pt>
                <c:pt idx="4">
                  <c:v>198.73781927990387</c:v>
                </c:pt>
                <c:pt idx="5">
                  <c:v>202.16138205819681</c:v>
                </c:pt>
                <c:pt idx="6">
                  <c:v>205.58494483648971</c:v>
                </c:pt>
                <c:pt idx="7">
                  <c:v>209.00850761478264</c:v>
                </c:pt>
                <c:pt idx="8">
                  <c:v>212.43207039307555</c:v>
                </c:pt>
                <c:pt idx="9">
                  <c:v>215.85563317136848</c:v>
                </c:pt>
                <c:pt idx="10">
                  <c:v>219.27919594966139</c:v>
                </c:pt>
                <c:pt idx="11">
                  <c:v>222.70275872795432</c:v>
                </c:pt>
                <c:pt idx="12">
                  <c:v>226.12632150624722</c:v>
                </c:pt>
                <c:pt idx="13">
                  <c:v>229.54988428454018</c:v>
                </c:pt>
                <c:pt idx="14">
                  <c:v>232.97344706283306</c:v>
                </c:pt>
                <c:pt idx="15">
                  <c:v>236.39700984112599</c:v>
                </c:pt>
                <c:pt idx="16">
                  <c:v>239.82057261941887</c:v>
                </c:pt>
                <c:pt idx="17">
                  <c:v>243.2441353977118</c:v>
                </c:pt>
                <c:pt idx="18">
                  <c:v>246.66769817600473</c:v>
                </c:pt>
                <c:pt idx="19">
                  <c:v>250.09126095429767</c:v>
                </c:pt>
                <c:pt idx="20">
                  <c:v>253.51482373259054</c:v>
                </c:pt>
                <c:pt idx="21">
                  <c:v>256.93838651088345</c:v>
                </c:pt>
                <c:pt idx="22">
                  <c:v>260.36194928917638</c:v>
                </c:pt>
                <c:pt idx="23">
                  <c:v>263.78551206746931</c:v>
                </c:pt>
                <c:pt idx="24">
                  <c:v>267.20907484576219</c:v>
                </c:pt>
                <c:pt idx="25">
                  <c:v>270.63263762405512</c:v>
                </c:pt>
                <c:pt idx="26">
                  <c:v>274.05620040234805</c:v>
                </c:pt>
                <c:pt idx="27">
                  <c:v>277.47976318064099</c:v>
                </c:pt>
                <c:pt idx="28">
                  <c:v>280.90332595893386</c:v>
                </c:pt>
                <c:pt idx="29">
                  <c:v>284.3268887372268</c:v>
                </c:pt>
                <c:pt idx="30">
                  <c:v>287.75045151551973</c:v>
                </c:pt>
                <c:pt idx="31">
                  <c:v>291.17401429381266</c:v>
                </c:pt>
                <c:pt idx="32">
                  <c:v>294.59757707210559</c:v>
                </c:pt>
                <c:pt idx="33">
                  <c:v>298.02113985039847</c:v>
                </c:pt>
                <c:pt idx="34">
                  <c:v>301.4447026286914</c:v>
                </c:pt>
                <c:pt idx="35">
                  <c:v>304.86826540698434</c:v>
                </c:pt>
                <c:pt idx="36">
                  <c:v>308.29182818527727</c:v>
                </c:pt>
                <c:pt idx="37">
                  <c:v>311.71539096357014</c:v>
                </c:pt>
                <c:pt idx="38">
                  <c:v>315.13895374186308</c:v>
                </c:pt>
                <c:pt idx="39">
                  <c:v>318.56251652015601</c:v>
                </c:pt>
                <c:pt idx="40">
                  <c:v>321.98607929844894</c:v>
                </c:pt>
                <c:pt idx="41">
                  <c:v>325.40964207674182</c:v>
                </c:pt>
                <c:pt idx="42">
                  <c:v>328.83320485503475</c:v>
                </c:pt>
                <c:pt idx="43">
                  <c:v>332.25676763332768</c:v>
                </c:pt>
                <c:pt idx="44">
                  <c:v>335.68033041162062</c:v>
                </c:pt>
                <c:pt idx="45">
                  <c:v>339.10389318991349</c:v>
                </c:pt>
                <c:pt idx="46">
                  <c:v>342.52745596820643</c:v>
                </c:pt>
                <c:pt idx="47">
                  <c:v>345.95101874649936</c:v>
                </c:pt>
                <c:pt idx="48">
                  <c:v>349.37458152479229</c:v>
                </c:pt>
                <c:pt idx="49">
                  <c:v>352.79814430308517</c:v>
                </c:pt>
                <c:pt idx="50">
                  <c:v>356.2217070813781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A7-41A8-84BD-BBE9C6064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3637343"/>
        <c:axId val="1119418831"/>
      </c:lineChart>
      <c:catAx>
        <c:axId val="151363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9418831"/>
        <c:crosses val="autoZero"/>
        <c:auto val="1"/>
        <c:lblAlgn val="ctr"/>
        <c:lblOffset val="100"/>
        <c:noMultiLvlLbl val="0"/>
      </c:catAx>
      <c:valAx>
        <c:axId val="111941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13637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극대</a:t>
            </a:r>
            <a:endParaRPr lang="en-US" alt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'풀버프 스탯효율'!$B$8</c:f>
              <c:strCache>
                <c:ptCount val="1"/>
                <c:pt idx="0">
                  <c:v>DPS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5059862362565505"/>
                  <c:y val="0.3070202020202020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</c:trendlineLbl>
          </c:trendline>
          <c:cat>
            <c:numRef>
              <c:f>'풀버프 스탯효율'!$C$7:$CY$7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'풀버프 스탯효율'!$C$8:$CY$8</c:f>
              <c:numCache>
                <c:formatCode>0.00_ </c:formatCode>
                <c:ptCount val="101"/>
                <c:pt idx="0">
                  <c:v>360.30166666666662</c:v>
                </c:pt>
                <c:pt idx="1">
                  <c:v>364.44527716112225</c:v>
                </c:pt>
                <c:pt idx="2">
                  <c:v>368.6012169435993</c:v>
                </c:pt>
                <c:pt idx="3">
                  <c:v>372.76954112467138</c:v>
                </c:pt>
                <c:pt idx="4">
                  <c:v>376.95030514385354</c:v>
                </c:pt>
                <c:pt idx="5">
                  <c:v>381.14356477205951</c:v>
                </c:pt>
                <c:pt idx="6">
                  <c:v>385.34937611408196</c:v>
                </c:pt>
                <c:pt idx="7">
                  <c:v>389.56779561109516</c:v>
                </c:pt>
                <c:pt idx="8">
                  <c:v>393.79888004317905</c:v>
                </c:pt>
                <c:pt idx="9">
                  <c:v>398.04268653186705</c:v>
                </c:pt>
                <c:pt idx="10">
                  <c:v>402.29927254271695</c:v>
                </c:pt>
                <c:pt idx="11">
                  <c:v>406.56869588790425</c:v>
                </c:pt>
                <c:pt idx="12">
                  <c:v>410.85101472884003</c:v>
                </c:pt>
                <c:pt idx="13">
                  <c:v>415.14628757881133</c:v>
                </c:pt>
                <c:pt idx="14">
                  <c:v>419.45457330564727</c:v>
                </c:pt>
                <c:pt idx="15">
                  <c:v>423.77593113440713</c:v>
                </c:pt>
                <c:pt idx="16">
                  <c:v>428.11042065009553</c:v>
                </c:pt>
                <c:pt idx="17">
                  <c:v>432.45810180040002</c:v>
                </c:pt>
                <c:pt idx="18">
                  <c:v>436.8190348984553</c:v>
                </c:pt>
                <c:pt idx="19">
                  <c:v>441.19328062563233</c:v>
                </c:pt>
                <c:pt idx="20">
                  <c:v>445.5809000343524</c:v>
                </c:pt>
                <c:pt idx="21">
                  <c:v>449.98195455092798</c:v>
                </c:pt>
                <c:pt idx="22">
                  <c:v>454.39650597842939</c:v>
                </c:pt>
                <c:pt idx="23">
                  <c:v>458.82461649957719</c:v>
                </c:pt>
                <c:pt idx="24">
                  <c:v>463.2663486796626</c:v>
                </c:pt>
                <c:pt idx="25">
                  <c:v>467.72176546949373</c:v>
                </c:pt>
                <c:pt idx="26">
                  <c:v>472.19093020836942</c:v>
                </c:pt>
                <c:pt idx="27">
                  <c:v>476.67390662708129</c:v>
                </c:pt>
                <c:pt idx="28">
                  <c:v>481.17075885094238</c:v>
                </c:pt>
                <c:pt idx="29">
                  <c:v>485.68155140284574</c:v>
                </c:pt>
                <c:pt idx="30">
                  <c:v>490.20634920634922</c:v>
                </c:pt>
                <c:pt idx="31">
                  <c:v>494.74521758879126</c:v>
                </c:pt>
                <c:pt idx="32">
                  <c:v>499.29822228443447</c:v>
                </c:pt>
                <c:pt idx="33">
                  <c:v>503.86542943763908</c:v>
                </c:pt>
                <c:pt idx="34">
                  <c:v>508.44690560606591</c:v>
                </c:pt>
                <c:pt idx="35">
                  <c:v>513.04271776390965</c:v>
                </c:pt>
                <c:pt idx="36">
                  <c:v>517.65293330516226</c:v>
                </c:pt>
                <c:pt idx="37">
                  <c:v>522.27762004690783</c:v>
                </c:pt>
                <c:pt idx="38">
                  <c:v>526.91684623264678</c:v>
                </c:pt>
                <c:pt idx="39">
                  <c:v>531.57068053565422</c:v>
                </c:pt>
                <c:pt idx="40">
                  <c:v>536.23919206236701</c:v>
                </c:pt>
                <c:pt idx="41">
                  <c:v>540.92245035580538</c:v>
                </c:pt>
                <c:pt idx="42">
                  <c:v>545.62052539902584</c:v>
                </c:pt>
                <c:pt idx="43">
                  <c:v>550.33348761860668</c:v>
                </c:pt>
                <c:pt idx="44">
                  <c:v>555.06140788816765</c:v>
                </c:pt>
                <c:pt idx="45">
                  <c:v>559.80435753192239</c:v>
                </c:pt>
                <c:pt idx="46">
                  <c:v>564.56240832826518</c:v>
                </c:pt>
                <c:pt idx="47">
                  <c:v>569.33563251339194</c:v>
                </c:pt>
                <c:pt idx="48">
                  <c:v>574.12410278495543</c:v>
                </c:pt>
                <c:pt idx="49">
                  <c:v>578.92789230575659</c:v>
                </c:pt>
                <c:pt idx="50">
                  <c:v>583.7470747074708</c:v>
                </c:pt>
                <c:pt idx="51">
                  <c:v>588.58172409440863</c:v>
                </c:pt>
                <c:pt idx="52">
                  <c:v>593.43191504731624</c:v>
                </c:pt>
                <c:pt idx="53">
                  <c:v>598.29772262720905</c:v>
                </c:pt>
                <c:pt idx="54">
                  <c:v>603.17922237924404</c:v>
                </c:pt>
                <c:pt idx="55">
                  <c:v>608.07649033662994</c:v>
                </c:pt>
                <c:pt idx="56">
                  <c:v>612.98960302457465</c:v>
                </c:pt>
                <c:pt idx="57">
                  <c:v>617.91863746427066</c:v>
                </c:pt>
                <c:pt idx="58">
                  <c:v>622.863671176921</c:v>
                </c:pt>
                <c:pt idx="59">
                  <c:v>627.82478218780238</c:v>
                </c:pt>
                <c:pt idx="60">
                  <c:v>632.80204903036952</c:v>
                </c:pt>
                <c:pt idx="61">
                  <c:v>637.79555075039832</c:v>
                </c:pt>
                <c:pt idx="62">
                  <c:v>642.80536691017221</c:v>
                </c:pt>
                <c:pt idx="63">
                  <c:v>647.83157759270478</c:v>
                </c:pt>
                <c:pt idx="64">
                  <c:v>652.87426340601064</c:v>
                </c:pt>
                <c:pt idx="65">
                  <c:v>657.93350548741114</c:v>
                </c:pt>
                <c:pt idx="66">
                  <c:v>663.00938550788896</c:v>
                </c:pt>
                <c:pt idx="67">
                  <c:v>668.10198567648092</c:v>
                </c:pt>
                <c:pt idx="68">
                  <c:v>673.21138874471717</c:v>
                </c:pt>
                <c:pt idx="69">
                  <c:v>678.33767801110298</c:v>
                </c:pt>
                <c:pt idx="70">
                  <c:v>683.48093732564621</c:v>
                </c:pt>
                <c:pt idx="71">
                  <c:v>688.64125109442818</c:v>
                </c:pt>
                <c:pt idx="72">
                  <c:v>693.81870428422144</c:v>
                </c:pt>
                <c:pt idx="73">
                  <c:v>699.0133824271536</c:v>
                </c:pt>
                <c:pt idx="74">
                  <c:v>704.22537162541641</c:v>
                </c:pt>
                <c:pt idx="75">
                  <c:v>709.45475855602444</c:v>
                </c:pt>
                <c:pt idx="76">
                  <c:v>714.70163047561789</c:v>
                </c:pt>
                <c:pt idx="77">
                  <c:v>719.96607522531826</c:v>
                </c:pt>
                <c:pt idx="78">
                  <c:v>725.24818123562886</c:v>
                </c:pt>
                <c:pt idx="79">
                  <c:v>730.54803753138617</c:v>
                </c:pt>
                <c:pt idx="80">
                  <c:v>735.86573373676231</c:v>
                </c:pt>
                <c:pt idx="81">
                  <c:v>741.2013600803167</c:v>
                </c:pt>
                <c:pt idx="82">
                  <c:v>746.55500740009859</c:v>
                </c:pt>
                <c:pt idx="83">
                  <c:v>751.92676714880349</c:v>
                </c:pt>
                <c:pt idx="84">
                  <c:v>757.31673139897941</c:v>
                </c:pt>
                <c:pt idx="85">
                  <c:v>762.72499284828837</c:v>
                </c:pt>
                <c:pt idx="86">
                  <c:v>768.1516448248193</c:v>
                </c:pt>
                <c:pt idx="87">
                  <c:v>773.59678129245845</c:v>
                </c:pt>
                <c:pt idx="88">
                  <c:v>779.06049685631024</c:v>
                </c:pt>
                <c:pt idx="89">
                  <c:v>784.54288676817907</c:v>
                </c:pt>
                <c:pt idx="90">
                  <c:v>790.04404693210222</c:v>
                </c:pt>
                <c:pt idx="91">
                  <c:v>795.56407390994389</c:v>
                </c:pt>
                <c:pt idx="92">
                  <c:v>801.10306492704376</c:v>
                </c:pt>
                <c:pt idx="93">
                  <c:v>806.66111787792659</c:v>
                </c:pt>
                <c:pt idx="94">
                  <c:v>812.2383313320679</c:v>
                </c:pt>
                <c:pt idx="95">
                  <c:v>817.83480453972243</c:v>
                </c:pt>
                <c:pt idx="96">
                  <c:v>823.45063743781088</c:v>
                </c:pt>
                <c:pt idx="97">
                  <c:v>829.08593065586842</c:v>
                </c:pt>
                <c:pt idx="98">
                  <c:v>834.74078552205606</c:v>
                </c:pt>
                <c:pt idx="99">
                  <c:v>840.41530406923357</c:v>
                </c:pt>
                <c:pt idx="100">
                  <c:v>846.10958904109577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D-4345-A661-208BB101D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9896575"/>
        <c:axId val="1132267183"/>
      </c:lineChart>
      <c:catAx>
        <c:axId val="112989657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32267183"/>
        <c:crosses val="autoZero"/>
        <c:auto val="1"/>
        <c:lblAlgn val="ctr"/>
        <c:lblOffset val="100"/>
        <c:noMultiLvlLbl val="0"/>
      </c:catAx>
      <c:valAx>
        <c:axId val="1132267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29896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적중</a:t>
            </a:r>
            <a:endParaRPr lang="en-US" alt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'풀버프 스탯효율'!$B$12</c:f>
              <c:strCache>
                <c:ptCount val="1"/>
                <c:pt idx="0">
                  <c:v>DPS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0496910739643884"/>
                  <c:y val="0.35247474747474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</c:trendlineLbl>
          </c:trendline>
          <c:cat>
            <c:numRef>
              <c:f>'풀버프 스탯효율'!$C$11:$S$11</c:f>
              <c:numCache>
                <c:formatCode>0%</c:formatCode>
                <c:ptCount val="17"/>
                <c:pt idx="0">
                  <c:v>0.83</c:v>
                </c:pt>
                <c:pt idx="1">
                  <c:v>0.84</c:v>
                </c:pt>
                <c:pt idx="2">
                  <c:v>0.85</c:v>
                </c:pt>
                <c:pt idx="3">
                  <c:v>0.86</c:v>
                </c:pt>
                <c:pt idx="4">
                  <c:v>0.87</c:v>
                </c:pt>
                <c:pt idx="5">
                  <c:v>0.88</c:v>
                </c:pt>
                <c:pt idx="6">
                  <c:v>0.8899999999999999</c:v>
                </c:pt>
                <c:pt idx="7">
                  <c:v>0.89999999999999991</c:v>
                </c:pt>
                <c:pt idx="8">
                  <c:v>0.90999999999999992</c:v>
                </c:pt>
                <c:pt idx="9">
                  <c:v>0.91999999999999993</c:v>
                </c:pt>
                <c:pt idx="10">
                  <c:v>0.92999999999999994</c:v>
                </c:pt>
                <c:pt idx="11">
                  <c:v>0.94</c:v>
                </c:pt>
                <c:pt idx="12">
                  <c:v>0.95</c:v>
                </c:pt>
                <c:pt idx="13">
                  <c:v>0.96</c:v>
                </c:pt>
                <c:pt idx="14">
                  <c:v>0.97</c:v>
                </c:pt>
                <c:pt idx="15">
                  <c:v>0.98</c:v>
                </c:pt>
                <c:pt idx="16">
                  <c:v>0.99</c:v>
                </c:pt>
              </c:numCache>
            </c:numRef>
          </c:cat>
          <c:val>
            <c:numRef>
              <c:f>'풀버프 스탯효율'!$C$12:$S$12</c:f>
              <c:numCache>
                <c:formatCode>0.00_ </c:formatCode>
                <c:ptCount val="17"/>
                <c:pt idx="0">
                  <c:v>468.97434398678138</c:v>
                </c:pt>
                <c:pt idx="1">
                  <c:v>474.89977914130674</c:v>
                </c:pt>
                <c:pt idx="2">
                  <c:v>480.83208827894686</c:v>
                </c:pt>
                <c:pt idx="3">
                  <c:v>486.77128336820715</c:v>
                </c:pt>
                <c:pt idx="4">
                  <c:v>492.71737640539391</c:v>
                </c:pt>
                <c:pt idx="5">
                  <c:v>498.67037941469522</c:v>
                </c:pt>
                <c:pt idx="6">
                  <c:v>504.63030444826234</c:v>
                </c:pt>
                <c:pt idx="7">
                  <c:v>510.59716358629049</c:v>
                </c:pt>
                <c:pt idx="8">
                  <c:v>516.57096893710116</c:v>
                </c:pt>
                <c:pt idx="9">
                  <c:v>522.55173263722349</c:v>
                </c:pt>
                <c:pt idx="10">
                  <c:v>528.53946685147639</c:v>
                </c:pt>
                <c:pt idx="11">
                  <c:v>534.53418377305138</c:v>
                </c:pt>
                <c:pt idx="12">
                  <c:v>540.53589562359525</c:v>
                </c:pt>
                <c:pt idx="13">
                  <c:v>546.54461465329302</c:v>
                </c:pt>
                <c:pt idx="14">
                  <c:v>552.56035314095152</c:v>
                </c:pt>
                <c:pt idx="15">
                  <c:v>558.58312339408235</c:v>
                </c:pt>
                <c:pt idx="16">
                  <c:v>564.61293774898684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FC-4349-87C1-F85A2660A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6703263"/>
        <c:axId val="1357467167"/>
      </c:lineChart>
      <c:catAx>
        <c:axId val="13667032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57467167"/>
        <c:crosses val="autoZero"/>
        <c:auto val="1"/>
        <c:lblAlgn val="ctr"/>
        <c:lblOffset val="100"/>
        <c:noMultiLvlLbl val="0"/>
      </c:catAx>
      <c:valAx>
        <c:axId val="1357467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66703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주문력</a:t>
            </a:r>
            <a:endParaRPr lang="en-US" alt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'풀버프 스탯효율'!$B$15</c:f>
              <c:strCache>
                <c:ptCount val="1"/>
                <c:pt idx="0">
                  <c:v>DPS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9119601226317299"/>
                  <c:y val="0.382777777777777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</c:trendlineLbl>
          </c:trendline>
          <c:cat>
            <c:numRef>
              <c:f>'풀버프 스탯효율'!$C$14:$BA$14</c:f>
              <c:numCache>
                <c:formatCode>General</c:formatCod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cat>
          <c:val>
            <c:numRef>
              <c:f>'풀버프 스탯효율'!$C$15:$BA$15</c:f>
              <c:numCache>
                <c:formatCode>0.00_ </c:formatCode>
                <c:ptCount val="51"/>
                <c:pt idx="0">
                  <c:v>224.58022194671537</c:v>
                </c:pt>
                <c:pt idx="1">
                  <c:v>228.73526768115963</c:v>
                </c:pt>
                <c:pt idx="2">
                  <c:v>232.89031341560397</c:v>
                </c:pt>
                <c:pt idx="3">
                  <c:v>237.04535915004831</c:v>
                </c:pt>
                <c:pt idx="4">
                  <c:v>241.20040488449263</c:v>
                </c:pt>
                <c:pt idx="5">
                  <c:v>245.35545061893697</c:v>
                </c:pt>
                <c:pt idx="6">
                  <c:v>249.51049635338126</c:v>
                </c:pt>
                <c:pt idx="7">
                  <c:v>253.66554208782554</c:v>
                </c:pt>
                <c:pt idx="8">
                  <c:v>257.82058782226989</c:v>
                </c:pt>
                <c:pt idx="9">
                  <c:v>261.97563355671417</c:v>
                </c:pt>
                <c:pt idx="10">
                  <c:v>266.13067929115851</c:v>
                </c:pt>
                <c:pt idx="11">
                  <c:v>270.28572502560286</c:v>
                </c:pt>
                <c:pt idx="12">
                  <c:v>274.44077076004714</c:v>
                </c:pt>
                <c:pt idx="13">
                  <c:v>278.59581649449149</c:v>
                </c:pt>
                <c:pt idx="14">
                  <c:v>282.75086222893583</c:v>
                </c:pt>
                <c:pt idx="15">
                  <c:v>286.90590796338012</c:v>
                </c:pt>
                <c:pt idx="16">
                  <c:v>291.0609536978244</c:v>
                </c:pt>
                <c:pt idx="17">
                  <c:v>295.21599943226875</c:v>
                </c:pt>
                <c:pt idx="18">
                  <c:v>299.37104516671303</c:v>
                </c:pt>
                <c:pt idx="19">
                  <c:v>303.52609090115737</c:v>
                </c:pt>
                <c:pt idx="20">
                  <c:v>307.68113663560166</c:v>
                </c:pt>
                <c:pt idx="21">
                  <c:v>311.83618237004606</c:v>
                </c:pt>
                <c:pt idx="22">
                  <c:v>315.99122810449035</c:v>
                </c:pt>
                <c:pt idx="23">
                  <c:v>320.14627383893469</c:v>
                </c:pt>
                <c:pt idx="24">
                  <c:v>324.30131957337903</c:v>
                </c:pt>
                <c:pt idx="25">
                  <c:v>328.45636530782326</c:v>
                </c:pt>
                <c:pt idx="26">
                  <c:v>332.6114110422676</c:v>
                </c:pt>
                <c:pt idx="27">
                  <c:v>336.76645677671189</c:v>
                </c:pt>
                <c:pt idx="28">
                  <c:v>340.92150251115623</c:v>
                </c:pt>
                <c:pt idx="29">
                  <c:v>345.07654824560058</c:v>
                </c:pt>
                <c:pt idx="30">
                  <c:v>349.23159398004486</c:v>
                </c:pt>
                <c:pt idx="31">
                  <c:v>353.38663971448921</c:v>
                </c:pt>
                <c:pt idx="32">
                  <c:v>357.54168544893349</c:v>
                </c:pt>
                <c:pt idx="33">
                  <c:v>361.69673118337784</c:v>
                </c:pt>
                <c:pt idx="34">
                  <c:v>365.85177691782218</c:v>
                </c:pt>
                <c:pt idx="35">
                  <c:v>370.00682265226646</c:v>
                </c:pt>
                <c:pt idx="36">
                  <c:v>374.16186838671075</c:v>
                </c:pt>
                <c:pt idx="37">
                  <c:v>378.31691412115504</c:v>
                </c:pt>
                <c:pt idx="38">
                  <c:v>382.47195985559938</c:v>
                </c:pt>
                <c:pt idx="39">
                  <c:v>386.62700559004372</c:v>
                </c:pt>
                <c:pt idx="40">
                  <c:v>390.78205132448807</c:v>
                </c:pt>
                <c:pt idx="41">
                  <c:v>394.93709705893235</c:v>
                </c:pt>
                <c:pt idx="42">
                  <c:v>399.09214279337669</c:v>
                </c:pt>
                <c:pt idx="43">
                  <c:v>403.24718852782098</c:v>
                </c:pt>
                <c:pt idx="44">
                  <c:v>407.40223426226532</c:v>
                </c:pt>
                <c:pt idx="45">
                  <c:v>411.55727999670967</c:v>
                </c:pt>
                <c:pt idx="46">
                  <c:v>415.71232573115395</c:v>
                </c:pt>
                <c:pt idx="47">
                  <c:v>419.86737146559824</c:v>
                </c:pt>
                <c:pt idx="48">
                  <c:v>424.02241720004253</c:v>
                </c:pt>
                <c:pt idx="49">
                  <c:v>428.17746293448687</c:v>
                </c:pt>
                <c:pt idx="50">
                  <c:v>432.33250866893127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DD-4E5E-BA63-D4DBDECE2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3637343"/>
        <c:axId val="1119418831"/>
      </c:lineChart>
      <c:catAx>
        <c:axId val="151363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9418831"/>
        <c:crosses val="autoZero"/>
        <c:auto val="1"/>
        <c:lblAlgn val="ctr"/>
        <c:lblOffset val="100"/>
        <c:noMultiLvlLbl val="0"/>
      </c:catAx>
      <c:valAx>
        <c:axId val="111941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13637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8</xdr:col>
      <xdr:colOff>0</xdr:colOff>
      <xdr:row>28</xdr:row>
      <xdr:rowOff>0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9F68DF50-E52F-4B39-9704-D8F735E940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809624</xdr:colOff>
      <xdr:row>16</xdr:row>
      <xdr:rowOff>0</xdr:rowOff>
    </xdr:from>
    <xdr:to>
      <xdr:col>15</xdr:col>
      <xdr:colOff>0</xdr:colOff>
      <xdr:row>28</xdr:row>
      <xdr:rowOff>0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BFF43055-0E9C-4539-9C65-4B689E2F34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22</xdr:col>
      <xdr:colOff>0</xdr:colOff>
      <xdr:row>28</xdr:row>
      <xdr:rowOff>0</xdr:rowOff>
    </xdr:to>
    <xdr:graphicFrame macro="">
      <xdr:nvGraphicFramePr>
        <xdr:cNvPr id="10" name="차트 9">
          <a:extLst>
            <a:ext uri="{FF2B5EF4-FFF2-40B4-BE49-F238E27FC236}">
              <a16:creationId xmlns:a16="http://schemas.microsoft.com/office/drawing/2014/main" id="{56519ABE-C70E-4866-A864-E60F91100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8</xdr:col>
      <xdr:colOff>0</xdr:colOff>
      <xdr:row>28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6955A276-898A-481A-AB3B-D9C1A8AAFC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809624</xdr:colOff>
      <xdr:row>16</xdr:row>
      <xdr:rowOff>0</xdr:rowOff>
    </xdr:from>
    <xdr:to>
      <xdr:col>15</xdr:col>
      <xdr:colOff>0</xdr:colOff>
      <xdr:row>28</xdr:row>
      <xdr:rowOff>0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68CD0BA4-9F47-413C-914F-42A1E68FE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22</xdr:col>
      <xdr:colOff>0</xdr:colOff>
      <xdr:row>28</xdr:row>
      <xdr:rowOff>0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F1D51E11-B584-461F-9E22-4E0B169EA8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8740D-8BE2-4234-A678-868097F440A8}">
  <dimension ref="B1:Q58"/>
  <sheetViews>
    <sheetView tabSelected="1" workbookViewId="0">
      <selection activeCell="O29" sqref="O29"/>
    </sheetView>
  </sheetViews>
  <sheetFormatPr defaultRowHeight="16.5"/>
  <cols>
    <col min="1" max="1" width="9" style="1"/>
    <col min="2" max="3" width="13.625" style="1" customWidth="1"/>
    <col min="4" max="4" width="9.625" style="1" bestFit="1" customWidth="1"/>
    <col min="5" max="6" width="11.625" style="1" bestFit="1" customWidth="1"/>
    <col min="7" max="7" width="9.375" style="1" bestFit="1" customWidth="1"/>
    <col min="8" max="8" width="14.375" style="1" bestFit="1" customWidth="1"/>
    <col min="9" max="9" width="11.625" style="1" bestFit="1" customWidth="1"/>
    <col min="10" max="10" width="16.75" style="1" bestFit="1" customWidth="1"/>
    <col min="11" max="11" width="16.625" style="1" bestFit="1" customWidth="1"/>
    <col min="12" max="12" width="8.5" style="1" bestFit="1" customWidth="1"/>
    <col min="13" max="13" width="8.875" style="1" bestFit="1" customWidth="1"/>
    <col min="14" max="14" width="4.375" style="1" customWidth="1"/>
    <col min="15" max="15" width="16.5" style="1" bestFit="1" customWidth="1"/>
    <col min="16" max="16" width="5.25" style="1" bestFit="1" customWidth="1"/>
    <col min="17" max="17" width="31.125" style="1" bestFit="1" customWidth="1"/>
    <col min="18" max="18" width="7.125" style="1" bestFit="1" customWidth="1"/>
    <col min="19" max="16384" width="9" style="1"/>
  </cols>
  <sheetData>
    <row r="1" spans="2:17" ht="17.25" thickBot="1"/>
    <row r="2" spans="2:17" ht="17.25" thickBot="1">
      <c r="B2" s="170" t="s">
        <v>35</v>
      </c>
      <c r="C2" s="171"/>
      <c r="D2" s="171"/>
      <c r="E2" s="171"/>
      <c r="F2" s="171"/>
      <c r="G2" s="171"/>
      <c r="H2" s="171"/>
      <c r="I2" s="171"/>
      <c r="J2" s="171"/>
      <c r="K2" s="172"/>
      <c r="L2" s="12" t="s">
        <v>31</v>
      </c>
      <c r="M2" s="34" t="s">
        <v>32</v>
      </c>
      <c r="O2" s="167" t="s">
        <v>44</v>
      </c>
      <c r="P2" s="165" t="s">
        <v>13</v>
      </c>
      <c r="Q2" s="46" t="s">
        <v>21</v>
      </c>
    </row>
    <row r="3" spans="2:17" ht="17.25" thickBot="1">
      <c r="B3" s="14" t="s">
        <v>17</v>
      </c>
      <c r="C3" s="15" t="s">
        <v>12</v>
      </c>
      <c r="D3" s="16" t="s">
        <v>14</v>
      </c>
      <c r="E3" s="16" t="s">
        <v>2</v>
      </c>
      <c r="F3" s="16" t="s">
        <v>9</v>
      </c>
      <c r="G3" s="16" t="s">
        <v>3</v>
      </c>
      <c r="H3" s="16" t="s">
        <v>16</v>
      </c>
      <c r="I3" s="16" t="s">
        <v>1</v>
      </c>
      <c r="J3" s="16" t="s">
        <v>11</v>
      </c>
      <c r="K3" s="29" t="s">
        <v>9</v>
      </c>
      <c r="L3" s="14" t="s">
        <v>4</v>
      </c>
      <c r="M3" s="35" t="s">
        <v>4</v>
      </c>
      <c r="O3" s="168"/>
      <c r="P3" s="166"/>
      <c r="Q3" s="47" t="s">
        <v>33</v>
      </c>
    </row>
    <row r="4" spans="2:17">
      <c r="B4" s="165" t="s">
        <v>18</v>
      </c>
      <c r="C4" s="10">
        <v>6</v>
      </c>
      <c r="D4" s="7" t="s">
        <v>13</v>
      </c>
      <c r="E4" s="17" t="s">
        <v>27</v>
      </c>
      <c r="F4" s="17">
        <v>540.5</v>
      </c>
      <c r="G4" s="17"/>
      <c r="H4" s="17">
        <v>3</v>
      </c>
      <c r="I4" s="18">
        <v>1</v>
      </c>
      <c r="J4" s="19">
        <f>$C$12*$I4</f>
        <v>489</v>
      </c>
      <c r="K4" s="30">
        <f>$F4+$J4</f>
        <v>1029.5</v>
      </c>
      <c r="L4" s="41">
        <f>$K4/$H4</f>
        <v>343.16666666666669</v>
      </c>
      <c r="M4" s="36">
        <f>$L4*1.1</f>
        <v>377.48333333333341</v>
      </c>
      <c r="O4" s="168"/>
      <c r="P4" s="166" t="s">
        <v>15</v>
      </c>
      <c r="Q4" s="47" t="s">
        <v>21</v>
      </c>
    </row>
    <row r="5" spans="2:17">
      <c r="B5" s="166"/>
      <c r="C5" s="6">
        <v>8</v>
      </c>
      <c r="D5" s="2" t="s">
        <v>15</v>
      </c>
      <c r="E5" s="20" t="s">
        <v>29</v>
      </c>
      <c r="F5" s="20">
        <v>289</v>
      </c>
      <c r="G5" s="20"/>
      <c r="H5" s="20">
        <v>1.5</v>
      </c>
      <c r="I5" s="21">
        <v>0.57140000000000002</v>
      </c>
      <c r="J5" s="22">
        <f>$C$12*$I5</f>
        <v>279.41460000000001</v>
      </c>
      <c r="K5" s="31">
        <f>$F5+$J5</f>
        <v>568.41460000000006</v>
      </c>
      <c r="L5" s="42">
        <f>$K5/$H5</f>
        <v>378.94306666666671</v>
      </c>
      <c r="M5" s="37">
        <f>$L5</f>
        <v>378.94306666666671</v>
      </c>
      <c r="O5" s="168"/>
      <c r="P5" s="166"/>
      <c r="Q5" s="47" t="s">
        <v>34</v>
      </c>
    </row>
    <row r="6" spans="2:17">
      <c r="B6" s="166"/>
      <c r="C6" s="6">
        <v>10</v>
      </c>
      <c r="D6" s="2" t="s">
        <v>6</v>
      </c>
      <c r="E6" s="20" t="s">
        <v>30</v>
      </c>
      <c r="F6" s="20">
        <v>256</v>
      </c>
      <c r="G6" s="20"/>
      <c r="H6" s="20">
        <v>1.5</v>
      </c>
      <c r="I6" s="21">
        <v>0.14949999999999999</v>
      </c>
      <c r="J6" s="22">
        <f>$C$12*I6</f>
        <v>73.105499999999992</v>
      </c>
      <c r="K6" s="31">
        <f>$F6+$J6</f>
        <v>329.10550000000001</v>
      </c>
      <c r="L6" s="42">
        <f>$K6/$H6</f>
        <v>219.40366666666668</v>
      </c>
      <c r="M6" s="38">
        <f>$L6*1.1</f>
        <v>241.34403333333336</v>
      </c>
      <c r="O6" s="168"/>
      <c r="P6" s="166" t="s">
        <v>0</v>
      </c>
      <c r="Q6" s="47" t="s">
        <v>22</v>
      </c>
    </row>
    <row r="7" spans="2:17" ht="17.25" thickBot="1">
      <c r="B7" s="166"/>
      <c r="C7" s="49">
        <v>10</v>
      </c>
      <c r="D7" s="50" t="s">
        <v>20</v>
      </c>
      <c r="E7" s="51"/>
      <c r="F7" s="51">
        <f>F6+F9</f>
        <v>720</v>
      </c>
      <c r="G7" s="51"/>
      <c r="H7" s="51">
        <v>1.5</v>
      </c>
      <c r="I7" s="52"/>
      <c r="J7" s="53">
        <f>J6+J9</f>
        <v>327.82560000000001</v>
      </c>
      <c r="K7" s="54">
        <f>K6+K9</f>
        <v>1047.8256000000001</v>
      </c>
      <c r="L7" s="55">
        <f>$K7/$H7</f>
        <v>698.55040000000008</v>
      </c>
      <c r="M7" s="56">
        <f>$L7*1.1</f>
        <v>768.40544000000011</v>
      </c>
      <c r="O7" s="169"/>
      <c r="P7" s="178"/>
      <c r="Q7" s="48" t="s">
        <v>21</v>
      </c>
    </row>
    <row r="8" spans="2:17" ht="17.25" thickBot="1">
      <c r="B8" s="178"/>
      <c r="C8" s="57">
        <v>5</v>
      </c>
      <c r="D8" s="58" t="s">
        <v>8</v>
      </c>
      <c r="E8" s="59">
        <v>324</v>
      </c>
      <c r="F8" s="59">
        <v>324</v>
      </c>
      <c r="G8" s="59"/>
      <c r="H8" s="59">
        <v>1.5</v>
      </c>
      <c r="I8" s="60">
        <v>0.76</v>
      </c>
      <c r="J8" s="61">
        <f>$C$12*$I8</f>
        <v>371.64</v>
      </c>
      <c r="K8" s="62">
        <f>F8+J8</f>
        <v>695.64</v>
      </c>
      <c r="L8" s="63">
        <f>$K8/$H8</f>
        <v>463.76</v>
      </c>
      <c r="M8" s="64">
        <f>$L8</f>
        <v>463.76</v>
      </c>
    </row>
    <row r="9" spans="2:17">
      <c r="B9" s="179" t="s">
        <v>19</v>
      </c>
      <c r="C9" s="5">
        <v>10</v>
      </c>
      <c r="D9" s="9" t="s">
        <v>7</v>
      </c>
      <c r="E9" s="23">
        <v>464</v>
      </c>
      <c r="F9" s="23">
        <v>464</v>
      </c>
      <c r="G9" s="23">
        <v>12</v>
      </c>
      <c r="H9" s="23">
        <v>1.5</v>
      </c>
      <c r="I9" s="24">
        <v>0.52090000000000003</v>
      </c>
      <c r="J9" s="25">
        <f>$C$12*$I9</f>
        <v>254.7201</v>
      </c>
      <c r="K9" s="32">
        <f>F9+J9</f>
        <v>718.7201</v>
      </c>
      <c r="L9" s="43">
        <f>$K9/$G9</f>
        <v>59.893341666666664</v>
      </c>
      <c r="M9" s="39">
        <f>$L9*1.1</f>
        <v>65.882675833333337</v>
      </c>
    </row>
    <row r="10" spans="2:17">
      <c r="B10" s="166"/>
      <c r="C10" s="6">
        <v>10</v>
      </c>
      <c r="D10" s="2" t="s">
        <v>10</v>
      </c>
      <c r="E10" s="20"/>
      <c r="F10" s="20">
        <f>F6+F9</f>
        <v>720</v>
      </c>
      <c r="G10" s="20">
        <v>12</v>
      </c>
      <c r="H10" s="20">
        <v>1.5</v>
      </c>
      <c r="I10" s="21"/>
      <c r="J10" s="22">
        <f>J6+J9</f>
        <v>327.82560000000001</v>
      </c>
      <c r="K10" s="31">
        <f>K6+K9</f>
        <v>1047.8256000000001</v>
      </c>
      <c r="L10" s="44">
        <f>$K10/$G10</f>
        <v>87.31880000000001</v>
      </c>
      <c r="M10" s="38">
        <f>$L10*1.1</f>
        <v>96.050680000000014</v>
      </c>
    </row>
    <row r="11" spans="2:17" ht="17.25" thickBot="1">
      <c r="B11" s="178"/>
      <c r="C11" s="11">
        <v>5</v>
      </c>
      <c r="D11" s="8" t="s">
        <v>8</v>
      </c>
      <c r="E11" s="26">
        <v>324</v>
      </c>
      <c r="F11" s="26">
        <v>324</v>
      </c>
      <c r="G11" s="26">
        <v>12</v>
      </c>
      <c r="H11" s="26">
        <v>1.5</v>
      </c>
      <c r="I11" s="27">
        <v>0.76</v>
      </c>
      <c r="J11" s="28">
        <f>$C$12*$I11</f>
        <v>371.64</v>
      </c>
      <c r="K11" s="33">
        <f>$F11+$J11</f>
        <v>695.64</v>
      </c>
      <c r="L11" s="45">
        <f>$K11/$G11</f>
        <v>57.97</v>
      </c>
      <c r="M11" s="40">
        <f>$L11</f>
        <v>57.97</v>
      </c>
    </row>
    <row r="12" spans="2:17" ht="17.25" thickBot="1">
      <c r="B12" s="14" t="s">
        <v>5</v>
      </c>
      <c r="C12" s="68">
        <f>$D$15</f>
        <v>489</v>
      </c>
    </row>
    <row r="13" spans="2:17" ht="17.25" thickBot="1"/>
    <row r="14" spans="2:17" ht="17.25" thickBot="1">
      <c r="B14" s="180" t="s">
        <v>36</v>
      </c>
      <c r="C14" s="181"/>
      <c r="D14" s="181"/>
      <c r="E14" s="181"/>
      <c r="F14" s="181"/>
      <c r="G14" s="181"/>
      <c r="H14" s="182"/>
      <c r="J14" s="112" t="s">
        <v>39</v>
      </c>
      <c r="K14" s="69" t="s">
        <v>5</v>
      </c>
    </row>
    <row r="15" spans="2:17">
      <c r="B15" s="121" t="s">
        <v>56</v>
      </c>
      <c r="C15" s="122" t="s">
        <v>5</v>
      </c>
      <c r="D15" s="65">
        <v>489</v>
      </c>
      <c r="E15" s="113" t="s">
        <v>28</v>
      </c>
      <c r="F15" s="18">
        <f>0.83+$D17</f>
        <v>0.8899999999999999</v>
      </c>
      <c r="G15" s="173" t="s">
        <v>24</v>
      </c>
      <c r="H15" s="141" t="s">
        <v>96</v>
      </c>
      <c r="J15" s="73" t="s">
        <v>47</v>
      </c>
      <c r="K15" s="95">
        <f>스탯효율!D31</f>
        <v>11.998481130973245</v>
      </c>
    </row>
    <row r="16" spans="2:17" ht="17.25" thickBot="1">
      <c r="B16" s="176" t="s">
        <v>38</v>
      </c>
      <c r="C16" s="117" t="s">
        <v>40</v>
      </c>
      <c r="D16" s="21">
        <f>F16+F17+D18/60/100+0.03</f>
        <v>0.13150000000000001</v>
      </c>
      <c r="E16" s="114" t="s">
        <v>41</v>
      </c>
      <c r="F16" s="118">
        <v>1.7999999999999999E-2</v>
      </c>
      <c r="G16" s="174"/>
      <c r="H16" s="134">
        <f>$F15*(($F$4+D15*$I$4)*(1+1*D16)/($H$4-0.5*D16*$F15))</f>
        <v>352.45578802525591</v>
      </c>
      <c r="J16" s="72" t="s">
        <v>48</v>
      </c>
      <c r="K16" s="94">
        <f>스탯효율!D32</f>
        <v>11.808038322233907</v>
      </c>
    </row>
    <row r="17" spans="2:13" ht="17.25" thickBot="1">
      <c r="B17" s="176"/>
      <c r="C17" s="117" t="s">
        <v>23</v>
      </c>
      <c r="D17" s="66">
        <v>0.06</v>
      </c>
      <c r="E17" s="114" t="s">
        <v>42</v>
      </c>
      <c r="F17" s="119">
        <v>0.04</v>
      </c>
      <c r="G17" s="174"/>
      <c r="H17" s="142" t="s">
        <v>97</v>
      </c>
      <c r="J17" s="4"/>
    </row>
    <row r="18" spans="2:13" ht="16.5" customHeight="1" thickBot="1">
      <c r="B18" s="177"/>
      <c r="C18" s="115" t="s">
        <v>25</v>
      </c>
      <c r="D18" s="67">
        <v>261</v>
      </c>
      <c r="E18" s="115" t="s">
        <v>43</v>
      </c>
      <c r="F18" s="120">
        <f>D18/60/100</f>
        <v>4.3499999999999997E-2</v>
      </c>
      <c r="G18" s="175"/>
      <c r="H18" s="135">
        <f>$F15*(($F$4+(D15+185)*$I$4)*1.1*(1+1*((F16+F17+(D18+41)*1.1/60/100+0.03)+0.18))/($H$4-0.5*((F16+F17+(D18+41)*1.1/60/100+0.03)+0.18)*$F15))</f>
        <v>550.9176854805188</v>
      </c>
      <c r="J18" s="126" t="s">
        <v>66</v>
      </c>
      <c r="K18" s="127" t="s">
        <v>67</v>
      </c>
      <c r="L18" s="127" t="s">
        <v>4</v>
      </c>
      <c r="M18" s="128" t="s">
        <v>68</v>
      </c>
    </row>
    <row r="19" spans="2:13" ht="17.25" thickBot="1">
      <c r="B19" s="162"/>
      <c r="C19" s="163"/>
      <c r="D19" s="163"/>
      <c r="E19" s="163"/>
      <c r="F19" s="163"/>
      <c r="G19" s="163"/>
      <c r="H19" s="164"/>
      <c r="J19" s="74">
        <f t="shared" ref="J19:J26" si="0">RANK(L19,$L$19:$L$26)</f>
        <v>1</v>
      </c>
      <c r="K19" s="154" t="str">
        <f>$B$21</f>
        <v>넬타눈물</v>
      </c>
      <c r="L19" s="148">
        <f>$H$21</f>
        <v>365.79041585215805</v>
      </c>
      <c r="M19" s="129">
        <f>$H$21-$H$16</f>
        <v>13.334627826902135</v>
      </c>
    </row>
    <row r="20" spans="2:13">
      <c r="B20" s="123" t="s">
        <v>59</v>
      </c>
      <c r="C20" s="7" t="s">
        <v>5</v>
      </c>
      <c r="D20" s="65">
        <f>D15+15</f>
        <v>504</v>
      </c>
      <c r="E20" s="13" t="s">
        <v>28</v>
      </c>
      <c r="F20" s="18">
        <f>0.83+$D22</f>
        <v>0.90999999999999992</v>
      </c>
      <c r="G20" s="156" t="s">
        <v>24</v>
      </c>
      <c r="H20" s="141" t="s">
        <v>96</v>
      </c>
      <c r="J20" s="144">
        <f t="shared" si="0"/>
        <v>2</v>
      </c>
      <c r="K20" s="145" t="str">
        <f>$B$56</f>
        <v>화군목</v>
      </c>
      <c r="L20" s="143">
        <f>$H$56</f>
        <v>360.58062294329221</v>
      </c>
      <c r="M20" s="125">
        <f>$H$56-$H$16</f>
        <v>8.1248349180362993</v>
      </c>
    </row>
    <row r="21" spans="2:13" ht="16.5" customHeight="1">
      <c r="B21" s="159" t="s">
        <v>60</v>
      </c>
      <c r="C21" s="2" t="s">
        <v>40</v>
      </c>
      <c r="D21" s="21">
        <f>F21+F22+D23/60/100+0.03</f>
        <v>0.13150000000000001</v>
      </c>
      <c r="E21" s="3" t="s">
        <v>41</v>
      </c>
      <c r="F21" s="118">
        <v>1.7999999999999999E-2</v>
      </c>
      <c r="G21" s="157"/>
      <c r="H21" s="134">
        <f>$F20*(($F$4+D20*$I$4)*(1+1*D21)/($H$4-0.5*D21*$F20))</f>
        <v>365.79041585215805</v>
      </c>
      <c r="J21" s="144">
        <f t="shared" si="0"/>
        <v>3</v>
      </c>
      <c r="K21" s="145" t="str">
        <f>$B$31</f>
        <v>적중손목</v>
      </c>
      <c r="L21" s="143">
        <f>$H$31</f>
        <v>359.73646356703807</v>
      </c>
      <c r="M21" s="125">
        <f>$H$31-$H$16</f>
        <v>7.2806755417821591</v>
      </c>
    </row>
    <row r="22" spans="2:13">
      <c r="B22" s="160"/>
      <c r="C22" s="2" t="s">
        <v>23</v>
      </c>
      <c r="D22" s="66">
        <f>D17+0.02</f>
        <v>0.08</v>
      </c>
      <c r="E22" s="3" t="s">
        <v>42</v>
      </c>
      <c r="F22" s="119">
        <f>F17</f>
        <v>0.04</v>
      </c>
      <c r="G22" s="157"/>
      <c r="H22" s="142" t="s">
        <v>97</v>
      </c>
      <c r="J22" s="144">
        <f t="shared" si="0"/>
        <v>4</v>
      </c>
      <c r="K22" s="145" t="str">
        <f>$B$46</f>
        <v>예속-주강반</v>
      </c>
      <c r="L22" s="143">
        <f>$H$46</f>
        <v>359.64749082007341</v>
      </c>
      <c r="M22" s="125">
        <f>$H$46-$H$16</f>
        <v>7.1917027948175019</v>
      </c>
    </row>
    <row r="23" spans="2:13" ht="17.25" thickBot="1">
      <c r="B23" s="161"/>
      <c r="C23" s="8" t="s">
        <v>25</v>
      </c>
      <c r="D23" s="67">
        <f>D18</f>
        <v>261</v>
      </c>
      <c r="E23" s="8" t="s">
        <v>43</v>
      </c>
      <c r="F23" s="120">
        <f>D23/60/100</f>
        <v>4.3499999999999997E-2</v>
      </c>
      <c r="G23" s="158"/>
      <c r="H23" s="135">
        <f>$F20*(($F$4+(D20+185)*$I$4)*1.1*(1+1*((F21+F22+(D23+41)*1.1/60/100+0.03)+0.18))/($H$4-0.5*((F21+F22+(D23+41)*1.1/60/100+0.03)+0.18)*$F20))</f>
        <v>570.90138794823395</v>
      </c>
      <c r="J23" s="144">
        <f t="shared" si="0"/>
        <v>5</v>
      </c>
      <c r="K23" s="145" t="str">
        <f>$B$51</f>
        <v>예속-잔질고리</v>
      </c>
      <c r="L23" s="143">
        <f>$H$51</f>
        <v>358.10725113425207</v>
      </c>
      <c r="M23" s="125">
        <f>$H$51-$H$16</f>
        <v>5.651463108996154</v>
      </c>
    </row>
    <row r="24" spans="2:13" ht="17.25" thickBot="1">
      <c r="B24" s="162"/>
      <c r="C24" s="163"/>
      <c r="D24" s="163"/>
      <c r="E24" s="163"/>
      <c r="F24" s="163"/>
      <c r="G24" s="163"/>
      <c r="H24" s="164"/>
      <c r="J24" s="144">
        <f t="shared" si="0"/>
        <v>6</v>
      </c>
      <c r="K24" s="145" t="str">
        <f>$B$26</f>
        <v>소멸망토</v>
      </c>
      <c r="L24" s="143">
        <f>$H$26</f>
        <v>356.74208687224211</v>
      </c>
      <c r="M24" s="125">
        <f>$H$26-$H$16</f>
        <v>4.2862988469861989</v>
      </c>
    </row>
    <row r="25" spans="2:13">
      <c r="B25" s="123" t="s">
        <v>26</v>
      </c>
      <c r="C25" s="7" t="s">
        <v>5</v>
      </c>
      <c r="D25" s="65">
        <f>D15</f>
        <v>489</v>
      </c>
      <c r="E25" s="13" t="s">
        <v>28</v>
      </c>
      <c r="F25" s="18">
        <f>0.83+$D27</f>
        <v>0.89999999999999991</v>
      </c>
      <c r="G25" s="156" t="s">
        <v>24</v>
      </c>
      <c r="H25" s="141" t="s">
        <v>96</v>
      </c>
      <c r="J25" s="144">
        <f t="shared" si="0"/>
        <v>7</v>
      </c>
      <c r="K25" s="145" t="str">
        <f>$B$36</f>
        <v>예속-무집고</v>
      </c>
      <c r="L25" s="143">
        <f>$H$36</f>
        <v>355.98755356049787</v>
      </c>
      <c r="M25" s="125">
        <f>$H$36-$H$16</f>
        <v>3.5317655352419592</v>
      </c>
    </row>
    <row r="26" spans="2:13" ht="17.25" thickBot="1">
      <c r="B26" s="159" t="s">
        <v>69</v>
      </c>
      <c r="C26" s="2" t="s">
        <v>40</v>
      </c>
      <c r="D26" s="21">
        <f>F26+F27+D28/60/100+0.03</f>
        <v>0.13216666666666665</v>
      </c>
      <c r="E26" s="124" t="s">
        <v>41</v>
      </c>
      <c r="F26" s="118">
        <v>1.7999999999999999E-2</v>
      </c>
      <c r="G26" s="157"/>
      <c r="H26" s="134">
        <f>$F25*(($F$4+D25*$I$4)*(1+1*D26)/($H$4-0.5*D26*$F25))</f>
        <v>356.74208687224211</v>
      </c>
      <c r="J26" s="152">
        <f t="shared" si="0"/>
        <v>8</v>
      </c>
      <c r="K26" s="146" t="str">
        <f>$B$41</f>
        <v>주술자루</v>
      </c>
      <c r="L26" s="150">
        <f>$H$41</f>
        <v>351.96938775510199</v>
      </c>
      <c r="M26" s="147">
        <f>$H$41-$H$16</f>
        <v>-0.48640027015392207</v>
      </c>
    </row>
    <row r="27" spans="2:13">
      <c r="B27" s="160"/>
      <c r="C27" s="2" t="s">
        <v>23</v>
      </c>
      <c r="D27" s="66">
        <f>D17+0.01</f>
        <v>6.9999999999999993E-2</v>
      </c>
      <c r="E27" s="124" t="s">
        <v>42</v>
      </c>
      <c r="F27" s="119">
        <f>F17</f>
        <v>0.04</v>
      </c>
      <c r="G27" s="157"/>
      <c r="H27" s="142" t="s">
        <v>97</v>
      </c>
    </row>
    <row r="28" spans="2:13" ht="17.25" thickBot="1">
      <c r="B28" s="161"/>
      <c r="C28" s="8" t="s">
        <v>25</v>
      </c>
      <c r="D28" s="67">
        <f>D18+4</f>
        <v>265</v>
      </c>
      <c r="E28" s="8" t="s">
        <v>43</v>
      </c>
      <c r="F28" s="120">
        <f>D28/60/100</f>
        <v>4.4166666666666667E-2</v>
      </c>
      <c r="G28" s="158"/>
      <c r="H28" s="135">
        <f>$F25*(($F$4+(D25+185)*$I$4)*1.1*(1+1*((F26+F27+(D28+41)*1.1/60/100+0.03)+0.18))/($H$4-0.5*((F26+F27+(D28+41)*1.1/60/100+0.03)+0.18)*$F25))</f>
        <v>557.79670532959835</v>
      </c>
    </row>
    <row r="29" spans="2:13" ht="17.25" thickBot="1">
      <c r="B29" s="162"/>
      <c r="C29" s="163"/>
      <c r="D29" s="163"/>
      <c r="E29" s="163"/>
      <c r="F29" s="163"/>
      <c r="G29" s="163"/>
      <c r="H29" s="164"/>
    </row>
    <row r="30" spans="2:13">
      <c r="B30" s="123" t="s">
        <v>37</v>
      </c>
      <c r="C30" s="7" t="s">
        <v>5</v>
      </c>
      <c r="D30" s="65">
        <f>D15+9</f>
        <v>498</v>
      </c>
      <c r="E30" s="13" t="s">
        <v>28</v>
      </c>
      <c r="F30" s="18">
        <f>0.83+$D32</f>
        <v>0.89999999999999991</v>
      </c>
      <c r="G30" s="156" t="s">
        <v>24</v>
      </c>
      <c r="H30" s="141" t="s">
        <v>96</v>
      </c>
    </row>
    <row r="31" spans="2:13" ht="17.25" thickBot="1">
      <c r="B31" s="159" t="s">
        <v>63</v>
      </c>
      <c r="C31" s="2" t="s">
        <v>40</v>
      </c>
      <c r="D31" s="21">
        <f>F31+F32+D33/60/100+0.03</f>
        <v>0.13183333333333333</v>
      </c>
      <c r="E31" s="3" t="s">
        <v>41</v>
      </c>
      <c r="F31" s="118">
        <v>1.7999999999999999E-2</v>
      </c>
      <c r="G31" s="157"/>
      <c r="H31" s="134">
        <f>$F30*(($F$4+D30*$I$4)*(1+1*D31)/($H$4-0.5*D31*$F30))</f>
        <v>359.73646356703807</v>
      </c>
    </row>
    <row r="32" spans="2:13" ht="17.25" thickBot="1">
      <c r="B32" s="160"/>
      <c r="C32" s="2" t="s">
        <v>23</v>
      </c>
      <c r="D32" s="66">
        <f>D17+0.01</f>
        <v>6.9999999999999993E-2</v>
      </c>
      <c r="E32" s="3" t="s">
        <v>42</v>
      </c>
      <c r="F32" s="119">
        <f>F17</f>
        <v>0.04</v>
      </c>
      <c r="G32" s="157"/>
      <c r="H32" s="142" t="s">
        <v>97</v>
      </c>
      <c r="J32" s="112" t="s">
        <v>95</v>
      </c>
      <c r="K32" s="69" t="s">
        <v>5</v>
      </c>
    </row>
    <row r="33" spans="2:13" ht="17.25" thickBot="1">
      <c r="B33" s="161"/>
      <c r="C33" s="8" t="s">
        <v>25</v>
      </c>
      <c r="D33" s="67">
        <f>D18+2</f>
        <v>263</v>
      </c>
      <c r="E33" s="8" t="s">
        <v>43</v>
      </c>
      <c r="F33" s="120">
        <f>D33/60/100</f>
        <v>4.3833333333333335E-2</v>
      </c>
      <c r="G33" s="158"/>
      <c r="H33" s="135">
        <f>$F30*(($F$4+(D30+185)*$I$4)*1.1*(1+1*((F31+F32+(D33+41)*1.1/60/100+0.03)+0.18))/($H$4-0.5*((F31+F32+(D33+41)*1.1/60/100+0.03)+0.18)*$F30))</f>
        <v>561.74215084503476</v>
      </c>
      <c r="J33" s="137" t="s">
        <v>47</v>
      </c>
      <c r="K33" s="95">
        <f>'풀버프 스탯효율'!D31</f>
        <v>11.662815884476535</v>
      </c>
    </row>
    <row r="34" spans="2:13" ht="17.25" thickBot="1">
      <c r="B34" s="162"/>
      <c r="C34" s="163"/>
      <c r="D34" s="163"/>
      <c r="E34" s="163"/>
      <c r="F34" s="163"/>
      <c r="G34" s="163"/>
      <c r="H34" s="164"/>
      <c r="J34" s="136" t="s">
        <v>48</v>
      </c>
      <c r="K34" s="94">
        <f>'풀버프 스탯효율'!D32</f>
        <v>14.386040914560771</v>
      </c>
    </row>
    <row r="35" spans="2:13" ht="17.25" thickBot="1">
      <c r="B35" s="123" t="s">
        <v>58</v>
      </c>
      <c r="C35" s="122" t="s">
        <v>5</v>
      </c>
      <c r="D35" s="65">
        <f>D15-2</f>
        <v>487</v>
      </c>
      <c r="E35" s="113" t="s">
        <v>28</v>
      </c>
      <c r="F35" s="18">
        <f>0.83+$D37</f>
        <v>0.89999999999999991</v>
      </c>
      <c r="G35" s="156" t="s">
        <v>24</v>
      </c>
      <c r="H35" s="141" t="s">
        <v>96</v>
      </c>
    </row>
    <row r="36" spans="2:13" ht="17.25" customHeight="1" thickBot="1">
      <c r="B36" s="159" t="s">
        <v>102</v>
      </c>
      <c r="C36" s="117" t="s">
        <v>40</v>
      </c>
      <c r="D36" s="21">
        <f>F36+F37+D38/60/100+0.03</f>
        <v>0.13200000000000001</v>
      </c>
      <c r="E36" s="153" t="s">
        <v>41</v>
      </c>
      <c r="F36" s="118">
        <v>1.7999999999999999E-2</v>
      </c>
      <c r="G36" s="157"/>
      <c r="H36" s="134">
        <f>$F35*(($F$4+D35*$I$4)*(1+1*D36)/($H$4-0.5*D36*$F35))</f>
        <v>355.98755356049787</v>
      </c>
      <c r="J36" s="126" t="s">
        <v>98</v>
      </c>
      <c r="K36" s="127" t="s">
        <v>67</v>
      </c>
      <c r="L36" s="127" t="s">
        <v>4</v>
      </c>
      <c r="M36" s="128" t="s">
        <v>68</v>
      </c>
    </row>
    <row r="37" spans="2:13">
      <c r="B37" s="160"/>
      <c r="C37" s="117" t="s">
        <v>23</v>
      </c>
      <c r="D37" s="66">
        <f>D17+0.01</f>
        <v>6.9999999999999993E-2</v>
      </c>
      <c r="E37" s="153" t="s">
        <v>42</v>
      </c>
      <c r="F37" s="119">
        <f>F17</f>
        <v>0.04</v>
      </c>
      <c r="G37" s="157"/>
      <c r="H37" s="142" t="s">
        <v>97</v>
      </c>
      <c r="J37" s="74">
        <f t="shared" ref="J37:J44" si="1">RANK(L37,$L$37:$L$44)</f>
        <v>1</v>
      </c>
      <c r="K37" s="154" t="str">
        <f>$B$21</f>
        <v>넬타눈물</v>
      </c>
      <c r="L37" s="148">
        <f>$H$23</f>
        <v>570.90138794823395</v>
      </c>
      <c r="M37" s="129">
        <f>$H$23-$H$18</f>
        <v>19.983702467715148</v>
      </c>
    </row>
    <row r="38" spans="2:13" ht="17.25" thickBot="1">
      <c r="B38" s="161"/>
      <c r="C38" s="115" t="s">
        <v>25</v>
      </c>
      <c r="D38" s="67">
        <f>D18+3</f>
        <v>264</v>
      </c>
      <c r="E38" s="115" t="s">
        <v>43</v>
      </c>
      <c r="F38" s="120">
        <f>D38/60/100</f>
        <v>4.4000000000000004E-2</v>
      </c>
      <c r="G38" s="158"/>
      <c r="H38" s="135">
        <f>$F35*(($F$4+(D35+185)*$I$4)*1.1*(1+1*((F36+F37+(D38+41)*1.1/60/100+0.03)+0.18))/($H$4-0.5*((F36+F37+(D38+41)*1.1/60/100+0.03)+0.18)*$F35))</f>
        <v>556.78494475319587</v>
      </c>
      <c r="J38" s="151">
        <f t="shared" si="1"/>
        <v>2</v>
      </c>
      <c r="K38" s="155" t="str">
        <f>$B$56</f>
        <v>화군목</v>
      </c>
      <c r="L38" s="149">
        <f>$H$58</f>
        <v>562.95435545930479</v>
      </c>
      <c r="M38" s="125">
        <f>$H$58-$H$18</f>
        <v>12.036669978785994</v>
      </c>
    </row>
    <row r="39" spans="2:13" ht="17.25" thickBot="1">
      <c r="B39" s="162"/>
      <c r="C39" s="163"/>
      <c r="D39" s="163"/>
      <c r="E39" s="163"/>
      <c r="F39" s="163"/>
      <c r="G39" s="163"/>
      <c r="H39" s="164"/>
      <c r="J39" s="151">
        <f t="shared" si="1"/>
        <v>3</v>
      </c>
      <c r="K39" s="155" t="str">
        <f>$B$31</f>
        <v>적중손목</v>
      </c>
      <c r="L39" s="149">
        <f>$H$33</f>
        <v>561.74215084503476</v>
      </c>
      <c r="M39" s="125">
        <f>$H$33-$H$18</f>
        <v>10.824465364515959</v>
      </c>
    </row>
    <row r="40" spans="2:13">
      <c r="B40" s="123" t="s">
        <v>61</v>
      </c>
      <c r="C40" s="7" t="s">
        <v>5</v>
      </c>
      <c r="D40" s="65">
        <f>D15-15</f>
        <v>474</v>
      </c>
      <c r="E40" s="13" t="s">
        <v>28</v>
      </c>
      <c r="F40" s="18">
        <f>0.83+$D42</f>
        <v>0.89999999999999991</v>
      </c>
      <c r="G40" s="156" t="s">
        <v>24</v>
      </c>
      <c r="H40" s="141" t="s">
        <v>96</v>
      </c>
      <c r="J40" s="151">
        <f t="shared" si="1"/>
        <v>4</v>
      </c>
      <c r="K40" s="155" t="str">
        <f>$B$46</f>
        <v>예속-주강반</v>
      </c>
      <c r="L40" s="149">
        <f>$H$48</f>
        <v>561.54262096975458</v>
      </c>
      <c r="M40" s="125">
        <f>$H$48-$H$18</f>
        <v>10.624935489235781</v>
      </c>
    </row>
    <row r="41" spans="2:13">
      <c r="B41" s="159" t="s">
        <v>101</v>
      </c>
      <c r="C41" s="2" t="s">
        <v>40</v>
      </c>
      <c r="D41" s="21">
        <f>F41+F42+D43/60/100+0.03</f>
        <v>0.13333333333333333</v>
      </c>
      <c r="E41" s="3" t="s">
        <v>41</v>
      </c>
      <c r="F41" s="118">
        <v>1.7999999999999999E-2</v>
      </c>
      <c r="G41" s="157"/>
      <c r="H41" s="134">
        <f>$F40*(($F$4+D40*$I$4)*(1+1*D41)/($H$4-0.5*D41*$F40))</f>
        <v>351.96938775510199</v>
      </c>
      <c r="J41" s="151">
        <f t="shared" si="1"/>
        <v>5</v>
      </c>
      <c r="K41" s="155" t="str">
        <f>$B$51</f>
        <v>예속-잔질고리</v>
      </c>
      <c r="L41" s="149">
        <f>$H$53</f>
        <v>560.78570131737342</v>
      </c>
      <c r="M41" s="125">
        <f>$H$53-$H$18</f>
        <v>9.8680158368546245</v>
      </c>
    </row>
    <row r="42" spans="2:13">
      <c r="B42" s="160"/>
      <c r="C42" s="2" t="s">
        <v>23</v>
      </c>
      <c r="D42" s="66">
        <f>D17+0.01</f>
        <v>6.9999999999999993E-2</v>
      </c>
      <c r="E42" s="3" t="s">
        <v>42</v>
      </c>
      <c r="F42" s="119">
        <f>F17</f>
        <v>0.04</v>
      </c>
      <c r="G42" s="157"/>
      <c r="H42" s="142" t="s">
        <v>97</v>
      </c>
      <c r="J42" s="151">
        <f t="shared" si="1"/>
        <v>6</v>
      </c>
      <c r="K42" s="155" t="str">
        <f>$B$26</f>
        <v>소멸망토</v>
      </c>
      <c r="L42" s="149">
        <f>$H$28</f>
        <v>557.79670532959835</v>
      </c>
      <c r="M42" s="125">
        <f>$H$28-$H$18</f>
        <v>6.8790198490795547</v>
      </c>
    </row>
    <row r="43" spans="2:13" ht="17.25" thickBot="1">
      <c r="B43" s="161"/>
      <c r="C43" s="8" t="s">
        <v>25</v>
      </c>
      <c r="D43" s="67">
        <f>D18+11</f>
        <v>272</v>
      </c>
      <c r="E43" s="8" t="s">
        <v>43</v>
      </c>
      <c r="F43" s="120">
        <f>D43/60/100</f>
        <v>4.533333333333333E-2</v>
      </c>
      <c r="G43" s="158"/>
      <c r="H43" s="135">
        <f>$F40*(($F$4+(D40+185)*$I$4)*1.1*(1+1*((F41+F42+(D43+41)*1.1/60/100+0.03)+0.18))/($H$4-0.5*((F41+F42+(D43+41)*1.1/60/100+0.03)+0.18)*$F40))</f>
        <v>551.55303658302603</v>
      </c>
      <c r="J43" s="151">
        <f t="shared" si="1"/>
        <v>7</v>
      </c>
      <c r="K43" s="155" t="str">
        <f>$B$36</f>
        <v>예속-무집고</v>
      </c>
      <c r="L43" s="149">
        <f>$H$38</f>
        <v>556.78494475319587</v>
      </c>
      <c r="M43" s="125">
        <f>$H$38-$H$18</f>
        <v>5.8672592726770745</v>
      </c>
    </row>
    <row r="44" spans="2:13" ht="17.25" thickBot="1">
      <c r="B44" s="162"/>
      <c r="C44" s="163"/>
      <c r="D44" s="163"/>
      <c r="E44" s="163"/>
      <c r="F44" s="163"/>
      <c r="G44" s="163"/>
      <c r="H44" s="164"/>
      <c r="J44" s="152">
        <f t="shared" si="1"/>
        <v>8</v>
      </c>
      <c r="K44" s="146" t="str">
        <f>$B$41</f>
        <v>주술자루</v>
      </c>
      <c r="L44" s="150">
        <f>$H$43</f>
        <v>551.55303658302603</v>
      </c>
      <c r="M44" s="147">
        <f>$H$43-$H$18</f>
        <v>0.63535110250722937</v>
      </c>
    </row>
    <row r="45" spans="2:13">
      <c r="B45" s="123" t="s">
        <v>62</v>
      </c>
      <c r="C45" s="122" t="s">
        <v>5</v>
      </c>
      <c r="D45" s="65">
        <f>D25+10</f>
        <v>499</v>
      </c>
      <c r="E45" s="113" t="s">
        <v>28</v>
      </c>
      <c r="F45" s="18">
        <f>0.83+$D47</f>
        <v>0.89999999999999991</v>
      </c>
      <c r="G45" s="156" t="s">
        <v>24</v>
      </c>
      <c r="H45" s="141" t="s">
        <v>96</v>
      </c>
    </row>
    <row r="46" spans="2:13">
      <c r="B46" s="159" t="s">
        <v>103</v>
      </c>
      <c r="C46" s="117" t="s">
        <v>40</v>
      </c>
      <c r="D46" s="21">
        <f>F46+F47+D48/60/100+0.03</f>
        <v>0.13066666666666665</v>
      </c>
      <c r="E46" s="153" t="s">
        <v>41</v>
      </c>
      <c r="F46" s="118">
        <v>1.7999999999999999E-2</v>
      </c>
      <c r="G46" s="157"/>
      <c r="H46" s="134">
        <f>$F45*(($F$4+D45*$I$4)*(1+1*D46)/($H$4-0.5*D46*$F45))</f>
        <v>359.64749082007341</v>
      </c>
    </row>
    <row r="47" spans="2:13">
      <c r="B47" s="160"/>
      <c r="C47" s="117" t="s">
        <v>23</v>
      </c>
      <c r="D47" s="66">
        <f>D27</f>
        <v>6.9999999999999993E-2</v>
      </c>
      <c r="E47" s="153" t="s">
        <v>42</v>
      </c>
      <c r="F47" s="119">
        <f>F27</f>
        <v>0.04</v>
      </c>
      <c r="G47" s="157"/>
      <c r="H47" s="142" t="s">
        <v>97</v>
      </c>
    </row>
    <row r="48" spans="2:13" ht="17.25" thickBot="1">
      <c r="B48" s="161"/>
      <c r="C48" s="115" t="s">
        <v>25</v>
      </c>
      <c r="D48" s="67">
        <f>D28-9</f>
        <v>256</v>
      </c>
      <c r="E48" s="115" t="s">
        <v>43</v>
      </c>
      <c r="F48" s="120">
        <f>D48/60/100</f>
        <v>4.2666666666666665E-2</v>
      </c>
      <c r="G48" s="158"/>
      <c r="H48" s="135">
        <f>$F45*(($F$4+(D45+185)*$I$4)*1.1*(1+1*((F46+F47+(D48+41)*1.1/60/100+0.03)+0.18))/($H$4-0.5*((F46+F47+(D48+41)*1.1/60/100+0.03)+0.18)*$F45))</f>
        <v>561.54262096975458</v>
      </c>
    </row>
    <row r="49" spans="2:8" ht="17.25" thickBot="1">
      <c r="B49" s="162"/>
      <c r="C49" s="163"/>
      <c r="D49" s="163"/>
      <c r="E49" s="163"/>
      <c r="F49" s="163"/>
      <c r="G49" s="163"/>
      <c r="H49" s="164"/>
    </row>
    <row r="50" spans="2:8">
      <c r="B50" s="123" t="s">
        <v>64</v>
      </c>
      <c r="C50" s="122" t="s">
        <v>5</v>
      </c>
      <c r="D50" s="65">
        <f>D30-17</f>
        <v>481</v>
      </c>
      <c r="E50" s="113" t="s">
        <v>28</v>
      </c>
      <c r="F50" s="18">
        <f>0.83+$D52</f>
        <v>0.90999999999999992</v>
      </c>
      <c r="G50" s="156" t="s">
        <v>24</v>
      </c>
      <c r="H50" s="141" t="s">
        <v>96</v>
      </c>
    </row>
    <row r="51" spans="2:8">
      <c r="B51" s="159" t="s">
        <v>104</v>
      </c>
      <c r="C51" s="117" t="s">
        <v>40</v>
      </c>
      <c r="D51" s="21">
        <f>F51+F52+D53/60/100+0.03</f>
        <v>0.13250000000000001</v>
      </c>
      <c r="E51" s="153" t="s">
        <v>41</v>
      </c>
      <c r="F51" s="118">
        <v>1.7999999999999999E-2</v>
      </c>
      <c r="G51" s="157"/>
      <c r="H51" s="134">
        <f>$F50*(($F$4+D50*$I$4)*(1+1*D51)/($H$4-0.5*D51*$F50))</f>
        <v>358.10725113425207</v>
      </c>
    </row>
    <row r="52" spans="2:8">
      <c r="B52" s="160"/>
      <c r="C52" s="117" t="s">
        <v>23</v>
      </c>
      <c r="D52" s="66">
        <f>D32+0.01</f>
        <v>7.9999999999999988E-2</v>
      </c>
      <c r="E52" s="153" t="s">
        <v>42</v>
      </c>
      <c r="F52" s="119">
        <f>F32</f>
        <v>0.04</v>
      </c>
      <c r="G52" s="157"/>
      <c r="H52" s="142" t="s">
        <v>97</v>
      </c>
    </row>
    <row r="53" spans="2:8" ht="17.25" thickBot="1">
      <c r="B53" s="161"/>
      <c r="C53" s="115" t="s">
        <v>25</v>
      </c>
      <c r="D53" s="67">
        <f>D33+4</f>
        <v>267</v>
      </c>
      <c r="E53" s="115" t="s">
        <v>43</v>
      </c>
      <c r="F53" s="120">
        <f>D53/60/100</f>
        <v>4.4500000000000005E-2</v>
      </c>
      <c r="G53" s="158"/>
      <c r="H53" s="135">
        <f>$F50*(($F$4+(D50+185)*$I$4)*1.1*(1+1*((F51+F52+(D53+41)*1.1/60/100+0.03)+0.18))/($H$4-0.5*((F51+F52+(D53+41)*1.1/60/100+0.03)+0.18)*$F50))</f>
        <v>560.78570131737342</v>
      </c>
    </row>
    <row r="54" spans="2:8" ht="17.25" thickBot="1">
      <c r="B54" s="162"/>
      <c r="C54" s="163"/>
      <c r="D54" s="163"/>
      <c r="E54" s="163"/>
      <c r="F54" s="163"/>
      <c r="G54" s="163"/>
      <c r="H54" s="164"/>
    </row>
    <row r="55" spans="2:8">
      <c r="B55" s="123" t="s">
        <v>65</v>
      </c>
      <c r="C55" s="122" t="s">
        <v>5</v>
      </c>
      <c r="D55" s="65">
        <f>D35+12</f>
        <v>499</v>
      </c>
      <c r="E55" s="113" t="s">
        <v>28</v>
      </c>
      <c r="F55" s="18">
        <f>0.83+$D57</f>
        <v>0.89999999999999991</v>
      </c>
      <c r="G55" s="156" t="s">
        <v>24</v>
      </c>
      <c r="H55" s="141" t="s">
        <v>96</v>
      </c>
    </row>
    <row r="56" spans="2:8">
      <c r="B56" s="159" t="s">
        <v>100</v>
      </c>
      <c r="C56" s="117" t="s">
        <v>40</v>
      </c>
      <c r="D56" s="21">
        <f>F56+F57+D58/60/100+0.03</f>
        <v>0.13316666666666666</v>
      </c>
      <c r="E56" s="153" t="s">
        <v>41</v>
      </c>
      <c r="F56" s="118">
        <v>1.7999999999999999E-2</v>
      </c>
      <c r="G56" s="157"/>
      <c r="H56" s="134">
        <f>$F55*(($F$4+D55*$I$4)*(1+1*D56)/($H$4-0.5*D56*$F55))</f>
        <v>360.58062294329221</v>
      </c>
    </row>
    <row r="57" spans="2:8">
      <c r="B57" s="160"/>
      <c r="C57" s="117" t="s">
        <v>23</v>
      </c>
      <c r="D57" s="66">
        <f>D37</f>
        <v>6.9999999999999993E-2</v>
      </c>
      <c r="E57" s="153" t="s">
        <v>42</v>
      </c>
      <c r="F57" s="119">
        <f>F37</f>
        <v>0.04</v>
      </c>
      <c r="G57" s="157"/>
      <c r="H57" s="142" t="s">
        <v>97</v>
      </c>
    </row>
    <row r="58" spans="2:8" ht="17.25" thickBot="1">
      <c r="B58" s="161"/>
      <c r="C58" s="115" t="s">
        <v>25</v>
      </c>
      <c r="D58" s="67">
        <f>D38+7</f>
        <v>271</v>
      </c>
      <c r="E58" s="115" t="s">
        <v>43</v>
      </c>
      <c r="F58" s="120">
        <f>D58/60/100</f>
        <v>4.5166666666666667E-2</v>
      </c>
      <c r="G58" s="158"/>
      <c r="H58" s="135">
        <f>$F55*(($F$4+(D55+185)*$I$4)*1.1*(1+1*((F56+F57+(D58+41)*1.1/60/100+0.03)+0.18))/($H$4-0.5*((F56+F57+(D58+41)*1.1/60/100+0.03)+0.18)*$F55))</f>
        <v>562.95435545930479</v>
      </c>
    </row>
  </sheetData>
  <autoFilter ref="J18:M30" xr:uid="{1C907FD9-6E53-4524-B44F-6650AD73476B}">
    <sortState ref="J19:M30">
      <sortCondition ref="J18:J30"/>
    </sortState>
  </autoFilter>
  <sortState ref="J38:M44">
    <sortCondition ref="J37"/>
  </sortState>
  <mergeCells count="34">
    <mergeCell ref="P2:P3"/>
    <mergeCell ref="P4:P5"/>
    <mergeCell ref="O2:O7"/>
    <mergeCell ref="B2:K2"/>
    <mergeCell ref="G15:G18"/>
    <mergeCell ref="B16:B18"/>
    <mergeCell ref="P6:P7"/>
    <mergeCell ref="B9:B11"/>
    <mergeCell ref="B4:B8"/>
    <mergeCell ref="B14:H14"/>
    <mergeCell ref="G50:G53"/>
    <mergeCell ref="B51:B53"/>
    <mergeCell ref="B19:H19"/>
    <mergeCell ref="B29:H29"/>
    <mergeCell ref="G30:G33"/>
    <mergeCell ref="G25:G28"/>
    <mergeCell ref="B26:B28"/>
    <mergeCell ref="G20:G23"/>
    <mergeCell ref="G55:G58"/>
    <mergeCell ref="B56:B58"/>
    <mergeCell ref="B21:B23"/>
    <mergeCell ref="G40:G43"/>
    <mergeCell ref="B41:B43"/>
    <mergeCell ref="B39:H39"/>
    <mergeCell ref="G35:G38"/>
    <mergeCell ref="B36:B38"/>
    <mergeCell ref="B44:H44"/>
    <mergeCell ref="B49:H49"/>
    <mergeCell ref="G45:G48"/>
    <mergeCell ref="B46:B48"/>
    <mergeCell ref="B31:B33"/>
    <mergeCell ref="B24:H24"/>
    <mergeCell ref="B34:H34"/>
    <mergeCell ref="B54:H54"/>
  </mergeCells>
  <phoneticPr fontId="1" type="noConversion"/>
  <pageMargins left="0.7" right="0.7" top="0.75" bottom="0.75" header="0.3" footer="0.3"/>
  <pageSetup paperSize="9" orientation="portrait" r:id="rId1"/>
  <ignoredErrors>
    <ignoredError sqref="M5 M8 J10 D56 D51 D46 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4797D-79ED-45A2-9F8E-D93C8562CE52}">
  <dimension ref="B1:SI33"/>
  <sheetViews>
    <sheetView workbookViewId="0">
      <selection activeCell="C34" sqref="C34"/>
    </sheetView>
  </sheetViews>
  <sheetFormatPr defaultRowHeight="16.5"/>
  <cols>
    <col min="3" max="3" width="13.25" bestFit="1" customWidth="1"/>
    <col min="4" max="103" width="10.625" customWidth="1"/>
  </cols>
  <sheetData>
    <row r="1" spans="2:503" ht="17.25" thickBot="1"/>
    <row r="2" spans="2:503" ht="17.25" thickBot="1">
      <c r="B2" s="74" t="s">
        <v>5</v>
      </c>
      <c r="C2" s="92">
        <f>테이블!D15</f>
        <v>489</v>
      </c>
      <c r="D2" s="85" t="s">
        <v>28</v>
      </c>
      <c r="E2" s="86">
        <f>테이블!F15</f>
        <v>0.8899999999999999</v>
      </c>
      <c r="F2" s="183" t="s">
        <v>24</v>
      </c>
      <c r="G2" s="186" t="str">
        <f>테이블!H15</f>
        <v>노버프</v>
      </c>
      <c r="R2" s="12" t="s">
        <v>31</v>
      </c>
      <c r="S2" s="34" t="s">
        <v>32</v>
      </c>
    </row>
    <row r="3" spans="2:503" ht="17.25" thickBot="1">
      <c r="B3" s="75" t="s">
        <v>40</v>
      </c>
      <c r="C3" s="87">
        <f>테이블!D16</f>
        <v>0.13150000000000001</v>
      </c>
      <c r="D3" s="88" t="s">
        <v>41</v>
      </c>
      <c r="E3" s="89">
        <f>테이블!F16</f>
        <v>1.7999999999999999E-2</v>
      </c>
      <c r="F3" s="184"/>
      <c r="G3" s="187"/>
      <c r="I3" s="77" t="s">
        <v>12</v>
      </c>
      <c r="J3" s="16" t="s">
        <v>14</v>
      </c>
      <c r="K3" s="16" t="s">
        <v>2</v>
      </c>
      <c r="L3" s="16" t="s">
        <v>50</v>
      </c>
      <c r="M3" s="16" t="s">
        <v>51</v>
      </c>
      <c r="N3" s="16" t="s">
        <v>52</v>
      </c>
      <c r="O3" s="16" t="s">
        <v>53</v>
      </c>
      <c r="P3" s="16" t="s">
        <v>54</v>
      </c>
      <c r="Q3" s="29" t="s">
        <v>9</v>
      </c>
      <c r="R3" s="14" t="s">
        <v>4</v>
      </c>
      <c r="S3" s="69" t="s">
        <v>4</v>
      </c>
    </row>
    <row r="4" spans="2:503" ht="17.25" thickBot="1">
      <c r="B4" s="75" t="s">
        <v>23</v>
      </c>
      <c r="C4" s="87">
        <f>테이블!D17</f>
        <v>0.06</v>
      </c>
      <c r="D4" s="88" t="s">
        <v>42</v>
      </c>
      <c r="E4" s="89">
        <f>테이블!F17</f>
        <v>0.04</v>
      </c>
      <c r="F4" s="184"/>
      <c r="G4" s="187"/>
      <c r="I4" s="77">
        <v>6</v>
      </c>
      <c r="J4" s="16" t="s">
        <v>13</v>
      </c>
      <c r="K4" s="78" t="s">
        <v>27</v>
      </c>
      <c r="L4" s="78">
        <v>540.5</v>
      </c>
      <c r="M4" s="78"/>
      <c r="N4" s="78">
        <v>3</v>
      </c>
      <c r="O4" s="79">
        <v>1</v>
      </c>
      <c r="P4" s="80">
        <f>$C$2*$O4</f>
        <v>489</v>
      </c>
      <c r="Q4" s="81">
        <f>$L4+$P4</f>
        <v>1029.5</v>
      </c>
      <c r="R4" s="82">
        <f>$Q4/$N4</f>
        <v>343.16666666666669</v>
      </c>
      <c r="S4" s="83">
        <f>$R4*1.1</f>
        <v>377.48333333333341</v>
      </c>
    </row>
    <row r="5" spans="2:503" ht="17.25" thickBot="1">
      <c r="B5" s="76" t="s">
        <v>25</v>
      </c>
      <c r="C5" s="93">
        <f>테이블!D18</f>
        <v>261</v>
      </c>
      <c r="D5" s="90" t="s">
        <v>43</v>
      </c>
      <c r="E5" s="91">
        <f>테이블!F18</f>
        <v>4.3499999999999997E-2</v>
      </c>
      <c r="F5" s="185"/>
      <c r="G5" s="188"/>
    </row>
    <row r="6" spans="2:503" ht="17.25" thickBot="1"/>
    <row r="7" spans="2:503">
      <c r="B7" s="70" t="s">
        <v>49</v>
      </c>
      <c r="C7" s="101">
        <v>0</v>
      </c>
      <c r="D7" s="97">
        <v>0.01</v>
      </c>
      <c r="E7" s="97">
        <v>0.02</v>
      </c>
      <c r="F7" s="97">
        <v>0.03</v>
      </c>
      <c r="G7" s="97">
        <v>0.04</v>
      </c>
      <c r="H7" s="97">
        <v>0.05</v>
      </c>
      <c r="I7" s="97">
        <v>0.06</v>
      </c>
      <c r="J7" s="97">
        <v>7.0000000000000007E-2</v>
      </c>
      <c r="K7" s="97">
        <v>0.08</v>
      </c>
      <c r="L7" s="97">
        <v>0.09</v>
      </c>
      <c r="M7" s="97">
        <v>0.1</v>
      </c>
      <c r="N7" s="97">
        <v>0.11</v>
      </c>
      <c r="O7" s="97">
        <v>0.12</v>
      </c>
      <c r="P7" s="97">
        <v>0.13</v>
      </c>
      <c r="Q7" s="97">
        <v>0.14000000000000001</v>
      </c>
      <c r="R7" s="97">
        <v>0.15</v>
      </c>
      <c r="S7" s="97">
        <v>0.16</v>
      </c>
      <c r="T7" s="97">
        <v>0.17</v>
      </c>
      <c r="U7" s="97">
        <v>0.18</v>
      </c>
      <c r="V7" s="97">
        <v>0.19</v>
      </c>
      <c r="W7" s="97">
        <v>0.2</v>
      </c>
      <c r="X7" s="97">
        <v>0.21</v>
      </c>
      <c r="Y7" s="97">
        <v>0.22</v>
      </c>
      <c r="Z7" s="97">
        <v>0.23</v>
      </c>
      <c r="AA7" s="97">
        <v>0.24</v>
      </c>
      <c r="AB7" s="97">
        <v>0.25</v>
      </c>
      <c r="AC7" s="97">
        <v>0.26</v>
      </c>
      <c r="AD7" s="97">
        <v>0.27</v>
      </c>
      <c r="AE7" s="97">
        <v>0.28000000000000003</v>
      </c>
      <c r="AF7" s="97">
        <v>0.28999999999999998</v>
      </c>
      <c r="AG7" s="97">
        <v>0.3</v>
      </c>
      <c r="AH7" s="97">
        <v>0.31</v>
      </c>
      <c r="AI7" s="97">
        <v>0.32</v>
      </c>
      <c r="AJ7" s="97">
        <v>0.33</v>
      </c>
      <c r="AK7" s="97">
        <v>0.34</v>
      </c>
      <c r="AL7" s="97">
        <v>0.35</v>
      </c>
      <c r="AM7" s="97">
        <v>0.36</v>
      </c>
      <c r="AN7" s="97">
        <v>0.37</v>
      </c>
      <c r="AO7" s="97">
        <v>0.38</v>
      </c>
      <c r="AP7" s="97">
        <v>0.39</v>
      </c>
      <c r="AQ7" s="97">
        <v>0.4</v>
      </c>
      <c r="AR7" s="97">
        <v>0.41</v>
      </c>
      <c r="AS7" s="97">
        <v>0.42</v>
      </c>
      <c r="AT7" s="97">
        <v>0.43</v>
      </c>
      <c r="AU7" s="97">
        <v>0.44</v>
      </c>
      <c r="AV7" s="97">
        <v>0.45</v>
      </c>
      <c r="AW7" s="97">
        <v>0.46</v>
      </c>
      <c r="AX7" s="97">
        <v>0.47</v>
      </c>
      <c r="AY7" s="97">
        <v>0.48</v>
      </c>
      <c r="AZ7" s="97">
        <v>0.49</v>
      </c>
      <c r="BA7" s="97">
        <v>0.5</v>
      </c>
      <c r="BB7" s="97">
        <v>0.51</v>
      </c>
      <c r="BC7" s="97">
        <v>0.52</v>
      </c>
      <c r="BD7" s="97">
        <v>0.53</v>
      </c>
      <c r="BE7" s="97">
        <v>0.54</v>
      </c>
      <c r="BF7" s="97">
        <v>0.55000000000000004</v>
      </c>
      <c r="BG7" s="97">
        <v>0.56000000000000005</v>
      </c>
      <c r="BH7" s="97">
        <v>0.56999999999999995</v>
      </c>
      <c r="BI7" s="97">
        <v>0.57999999999999996</v>
      </c>
      <c r="BJ7" s="97">
        <v>0.59</v>
      </c>
      <c r="BK7" s="97">
        <v>0.6</v>
      </c>
      <c r="BL7" s="97">
        <v>0.61</v>
      </c>
      <c r="BM7" s="97">
        <v>0.62</v>
      </c>
      <c r="BN7" s="97">
        <v>0.63</v>
      </c>
      <c r="BO7" s="97">
        <v>0.64</v>
      </c>
      <c r="BP7" s="97">
        <v>0.65</v>
      </c>
      <c r="BQ7" s="97">
        <v>0.66</v>
      </c>
      <c r="BR7" s="97">
        <v>0.67</v>
      </c>
      <c r="BS7" s="97">
        <v>0.68</v>
      </c>
      <c r="BT7" s="97">
        <v>0.69</v>
      </c>
      <c r="BU7" s="97">
        <v>0.7</v>
      </c>
      <c r="BV7" s="97">
        <v>0.71</v>
      </c>
      <c r="BW7" s="97">
        <v>0.72</v>
      </c>
      <c r="BX7" s="97">
        <v>0.73</v>
      </c>
      <c r="BY7" s="97">
        <v>0.74</v>
      </c>
      <c r="BZ7" s="97">
        <v>0.75</v>
      </c>
      <c r="CA7" s="97">
        <v>0.76</v>
      </c>
      <c r="CB7" s="97">
        <v>0.77</v>
      </c>
      <c r="CC7" s="97">
        <v>0.78</v>
      </c>
      <c r="CD7" s="97">
        <v>0.79</v>
      </c>
      <c r="CE7" s="97">
        <v>0.8</v>
      </c>
      <c r="CF7" s="97">
        <v>0.81</v>
      </c>
      <c r="CG7" s="97">
        <v>0.82</v>
      </c>
      <c r="CH7" s="97">
        <v>0.83</v>
      </c>
      <c r="CI7" s="97">
        <v>0.84</v>
      </c>
      <c r="CJ7" s="97">
        <v>0.85</v>
      </c>
      <c r="CK7" s="97">
        <v>0.86</v>
      </c>
      <c r="CL7" s="97">
        <v>0.87</v>
      </c>
      <c r="CM7" s="97">
        <v>0.88</v>
      </c>
      <c r="CN7" s="97">
        <v>0.89</v>
      </c>
      <c r="CO7" s="97">
        <v>0.9</v>
      </c>
      <c r="CP7" s="97">
        <v>0.91</v>
      </c>
      <c r="CQ7" s="97">
        <v>0.92</v>
      </c>
      <c r="CR7" s="97">
        <v>0.93</v>
      </c>
      <c r="CS7" s="97">
        <v>0.94</v>
      </c>
      <c r="CT7" s="97">
        <v>0.95</v>
      </c>
      <c r="CU7" s="97">
        <v>0.96</v>
      </c>
      <c r="CV7" s="97">
        <v>0.97</v>
      </c>
      <c r="CW7" s="97">
        <v>0.98</v>
      </c>
      <c r="CX7" s="97">
        <v>0.99</v>
      </c>
      <c r="CY7" s="98">
        <v>1</v>
      </c>
    </row>
    <row r="8" spans="2:503" ht="17.25" thickBot="1">
      <c r="B8" s="72" t="s">
        <v>4</v>
      </c>
      <c r="C8" s="102">
        <f>$E$2*(($L$4+$C$2*$O$4)*(1+1*C7)/($N$4-0.5*$E$2*C7))</f>
        <v>305.41833333333329</v>
      </c>
      <c r="D8" s="99">
        <f t="shared" ref="D8:BO8" si="0">$E$2*(($L$4+$C$2*$O$4)*(1+1*D7)/($N$4-0.5*$E$2*D7))</f>
        <v>308.93076396655039</v>
      </c>
      <c r="E8" s="99">
        <f t="shared" si="0"/>
        <v>312.45364581592054</v>
      </c>
      <c r="F8" s="99">
        <f t="shared" si="0"/>
        <v>315.98702559724103</v>
      </c>
      <c r="G8" s="99">
        <f t="shared" si="0"/>
        <v>319.53095030514379</v>
      </c>
      <c r="H8" s="99">
        <f t="shared" si="0"/>
        <v>323.08546721517922</v>
      </c>
      <c r="I8" s="99">
        <f t="shared" si="0"/>
        <v>326.65062388591792</v>
      </c>
      <c r="J8" s="99">
        <f t="shared" si="0"/>
        <v>330.22646816107243</v>
      </c>
      <c r="K8" s="99">
        <f t="shared" si="0"/>
        <v>333.81304817163675</v>
      </c>
      <c r="L8" s="99">
        <f t="shared" si="0"/>
        <v>337.41041233804623</v>
      </c>
      <c r="M8" s="99">
        <f t="shared" si="0"/>
        <v>341.01860937235659</v>
      </c>
      <c r="N8" s="99">
        <f t="shared" si="0"/>
        <v>344.63768828044255</v>
      </c>
      <c r="O8" s="99">
        <f t="shared" si="0"/>
        <v>348.26769836421636</v>
      </c>
      <c r="P8" s="99">
        <f t="shared" si="0"/>
        <v>351.90868922386687</v>
      </c>
      <c r="Q8" s="99">
        <f t="shared" si="0"/>
        <v>355.56071076011847</v>
      </c>
      <c r="R8" s="99">
        <f t="shared" si="0"/>
        <v>359.22381317651059</v>
      </c>
      <c r="S8" s="99">
        <f t="shared" si="0"/>
        <v>362.89804698169894</v>
      </c>
      <c r="T8" s="99">
        <f t="shared" si="0"/>
        <v>366.58346299177583</v>
      </c>
      <c r="U8" s="99">
        <f t="shared" si="0"/>
        <v>370.28011233261401</v>
      </c>
      <c r="V8" s="99">
        <f t="shared" si="0"/>
        <v>373.98804644223014</v>
      </c>
      <c r="W8" s="99">
        <f t="shared" si="0"/>
        <v>377.7073170731706</v>
      </c>
      <c r="X8" s="99">
        <f t="shared" si="0"/>
        <v>381.43797629492002</v>
      </c>
      <c r="Y8" s="99">
        <f t="shared" si="0"/>
        <v>385.18007649633023</v>
      </c>
      <c r="Z8" s="99">
        <f t="shared" si="0"/>
        <v>388.93367038807304</v>
      </c>
      <c r="AA8" s="99">
        <f t="shared" si="0"/>
        <v>392.69881100511532</v>
      </c>
      <c r="AB8" s="99">
        <f t="shared" si="0"/>
        <v>396.47555170921675</v>
      </c>
      <c r="AC8" s="99">
        <f t="shared" si="0"/>
        <v>400.2639461914502</v>
      </c>
      <c r="AD8" s="99">
        <f t="shared" si="0"/>
        <v>404.06404847474693</v>
      </c>
      <c r="AE8" s="99">
        <f t="shared" si="0"/>
        <v>407.87591291646379</v>
      </c>
      <c r="AF8" s="99">
        <f t="shared" si="0"/>
        <v>411.69959421097542</v>
      </c>
      <c r="AG8" s="99">
        <f t="shared" si="0"/>
        <v>415.5351473922903</v>
      </c>
      <c r="AH8" s="99">
        <f t="shared" si="0"/>
        <v>419.3826278366904</v>
      </c>
      <c r="AI8" s="99">
        <f t="shared" si="0"/>
        <v>423.24209126539751</v>
      </c>
      <c r="AJ8" s="99">
        <f t="shared" si="0"/>
        <v>427.1135937472618</v>
      </c>
      <c r="AK8" s="99">
        <f t="shared" si="0"/>
        <v>430.99719170147785</v>
      </c>
      <c r="AL8" s="99">
        <f t="shared" si="0"/>
        <v>434.89294190032513</v>
      </c>
      <c r="AM8" s="99">
        <f t="shared" si="0"/>
        <v>438.80090147193459</v>
      </c>
      <c r="AN8" s="99">
        <f t="shared" si="0"/>
        <v>442.72112790308074</v>
      </c>
      <c r="AO8" s="99">
        <f t="shared" si="0"/>
        <v>446.65367904200065</v>
      </c>
      <c r="AP8" s="99">
        <f t="shared" si="0"/>
        <v>450.59861310124012</v>
      </c>
      <c r="AQ8" s="99">
        <f t="shared" si="0"/>
        <v>454.55598866052435</v>
      </c>
      <c r="AR8" s="99">
        <f t="shared" si="0"/>
        <v>458.52586466965977</v>
      </c>
      <c r="AS8" s="99">
        <f t="shared" si="0"/>
        <v>462.50830045145915</v>
      </c>
      <c r="AT8" s="99">
        <f t="shared" si="0"/>
        <v>466.50335570469787</v>
      </c>
      <c r="AU8" s="99">
        <f t="shared" si="0"/>
        <v>470.51109050709653</v>
      </c>
      <c r="AV8" s="99">
        <f t="shared" si="0"/>
        <v>474.5315653183319</v>
      </c>
      <c r="AW8" s="99">
        <f t="shared" si="0"/>
        <v>478.56484098307868</v>
      </c>
      <c r="AX8" s="99">
        <f t="shared" si="0"/>
        <v>482.61097873407743</v>
      </c>
      <c r="AY8" s="99">
        <f t="shared" si="0"/>
        <v>486.67004019523398</v>
      </c>
      <c r="AZ8" s="99">
        <f t="shared" si="0"/>
        <v>490.74208738474806</v>
      </c>
      <c r="BA8" s="99">
        <f t="shared" si="0"/>
        <v>494.82718271827184</v>
      </c>
      <c r="BB8" s="99">
        <f t="shared" si="0"/>
        <v>498.92538901209855</v>
      </c>
      <c r="BC8" s="99">
        <f t="shared" si="0"/>
        <v>503.03676948638287</v>
      </c>
      <c r="BD8" s="99">
        <f t="shared" si="0"/>
        <v>507.16138776839171</v>
      </c>
      <c r="BE8" s="99">
        <f t="shared" si="0"/>
        <v>511.29930789578572</v>
      </c>
      <c r="BF8" s="99">
        <f t="shared" si="0"/>
        <v>515.45059431993457</v>
      </c>
      <c r="BG8" s="99">
        <f t="shared" si="0"/>
        <v>519.61531190926269</v>
      </c>
      <c r="BH8" s="99">
        <f t="shared" si="0"/>
        <v>523.79352595262787</v>
      </c>
      <c r="BI8" s="99">
        <f t="shared" si="0"/>
        <v>527.98530216273377</v>
      </c>
      <c r="BJ8" s="99">
        <f t="shared" si="0"/>
        <v>532.19070667957396</v>
      </c>
      <c r="BK8" s="99">
        <f t="shared" si="0"/>
        <v>536.40980607391134</v>
      </c>
      <c r="BL8" s="99">
        <f t="shared" si="0"/>
        <v>540.64266735079059</v>
      </c>
      <c r="BM8" s="99">
        <f t="shared" si="0"/>
        <v>544.88935795308544</v>
      </c>
      <c r="BN8" s="99">
        <f t="shared" si="0"/>
        <v>549.14994576507991</v>
      </c>
      <c r="BO8" s="99">
        <f t="shared" si="0"/>
        <v>553.42449911608719</v>
      </c>
      <c r="BP8" s="99">
        <f t="shared" ref="BP8:CY8" si="1">$E$2*(($L$4+$C$2*$O$4)*(1+1*BP7)/($N$4-0.5*$E$2*BP7))</f>
        <v>557.71308678410026</v>
      </c>
      <c r="BQ8" s="99">
        <f t="shared" si="1"/>
        <v>562.01577799948268</v>
      </c>
      <c r="BR8" s="99">
        <f t="shared" si="1"/>
        <v>566.33264244869247</v>
      </c>
      <c r="BS8" s="99">
        <f t="shared" si="1"/>
        <v>570.66375027804554</v>
      </c>
      <c r="BT8" s="99">
        <f t="shared" si="1"/>
        <v>575.00917209751378</v>
      </c>
      <c r="BU8" s="99">
        <f t="shared" si="1"/>
        <v>579.3689789845638</v>
      </c>
      <c r="BV8" s="99">
        <f t="shared" si="1"/>
        <v>583.743242488031</v>
      </c>
      <c r="BW8" s="99">
        <f t="shared" si="1"/>
        <v>588.13203463203456</v>
      </c>
      <c r="BX8" s="99">
        <f t="shared" si="1"/>
        <v>592.5354279199297</v>
      </c>
      <c r="BY8" s="99">
        <f t="shared" si="1"/>
        <v>596.95349533830074</v>
      </c>
      <c r="BZ8" s="99">
        <f t="shared" si="1"/>
        <v>601.38631036099389</v>
      </c>
      <c r="CA8" s="99">
        <f t="shared" si="1"/>
        <v>605.83394695318952</v>
      </c>
      <c r="CB8" s="99">
        <f t="shared" si="1"/>
        <v>610.29647957551686</v>
      </c>
      <c r="CC8" s="99">
        <f t="shared" si="1"/>
        <v>614.77398318820906</v>
      </c>
      <c r="CD8" s="99">
        <f t="shared" si="1"/>
        <v>619.26653325530026</v>
      </c>
      <c r="CE8" s="99">
        <f t="shared" si="1"/>
        <v>623.77420574886526</v>
      </c>
      <c r="CF8" s="99">
        <f t="shared" si="1"/>
        <v>628.29707715330267</v>
      </c>
      <c r="CG8" s="99">
        <f t="shared" si="1"/>
        <v>632.83522446965947</v>
      </c>
      <c r="CH8" s="99">
        <f t="shared" si="1"/>
        <v>637.38872522000258</v>
      </c>
      <c r="CI8" s="99">
        <f t="shared" si="1"/>
        <v>641.95765745183144</v>
      </c>
      <c r="CJ8" s="99">
        <f t="shared" si="1"/>
        <v>646.54209974253831</v>
      </c>
      <c r="CK8" s="99">
        <f t="shared" si="1"/>
        <v>651.1421312039123</v>
      </c>
      <c r="CL8" s="99">
        <f t="shared" si="1"/>
        <v>655.75783148669086</v>
      </c>
      <c r="CM8" s="99">
        <f t="shared" si="1"/>
        <v>660.38928078515551</v>
      </c>
      <c r="CN8" s="99">
        <f t="shared" si="1"/>
        <v>665.03655984177874</v>
      </c>
      <c r="CO8" s="99">
        <f t="shared" si="1"/>
        <v>669.69974995191376</v>
      </c>
      <c r="CP8" s="99">
        <f t="shared" si="1"/>
        <v>674.37893296853622</v>
      </c>
      <c r="CQ8" s="99">
        <f t="shared" si="1"/>
        <v>679.07419130703295</v>
      </c>
      <c r="CR8" s="99">
        <f t="shared" si="1"/>
        <v>683.78560795004159</v>
      </c>
      <c r="CS8" s="99">
        <f t="shared" si="1"/>
        <v>688.51326645233746</v>
      </c>
      <c r="CT8" s="99">
        <f t="shared" si="1"/>
        <v>693.25725094577535</v>
      </c>
      <c r="CU8" s="99">
        <f t="shared" si="1"/>
        <v>698.0176461442785</v>
      </c>
      <c r="CV8" s="99">
        <f t="shared" si="1"/>
        <v>702.79453734888148</v>
      </c>
      <c r="CW8" s="99">
        <f t="shared" si="1"/>
        <v>707.58801045282564</v>
      </c>
      <c r="CX8" s="99">
        <f t="shared" si="1"/>
        <v>712.39815194670723</v>
      </c>
      <c r="CY8" s="100">
        <f t="shared" si="1"/>
        <v>717.22504892367897</v>
      </c>
    </row>
    <row r="9" spans="2:503" ht="17.25" thickBot="1">
      <c r="B9" s="1"/>
    </row>
    <row r="10" spans="2:503">
      <c r="B10" s="70" t="s">
        <v>23</v>
      </c>
      <c r="C10" s="101">
        <v>0</v>
      </c>
      <c r="D10" s="97">
        <v>0.01</v>
      </c>
      <c r="E10" s="97">
        <v>0.02</v>
      </c>
      <c r="F10" s="97">
        <v>0.03</v>
      </c>
      <c r="G10" s="97">
        <v>0.04</v>
      </c>
      <c r="H10" s="97">
        <v>0.05</v>
      </c>
      <c r="I10" s="97">
        <v>0.06</v>
      </c>
      <c r="J10" s="97">
        <v>7.0000000000000007E-2</v>
      </c>
      <c r="K10" s="97">
        <v>0.08</v>
      </c>
      <c r="L10" s="97">
        <v>0.09</v>
      </c>
      <c r="M10" s="97">
        <v>0.1</v>
      </c>
      <c r="N10" s="97">
        <v>0.11</v>
      </c>
      <c r="O10" s="97">
        <v>0.12</v>
      </c>
      <c r="P10" s="97">
        <v>0.13</v>
      </c>
      <c r="Q10" s="97">
        <v>0.14000000000000001</v>
      </c>
      <c r="R10" s="97">
        <v>0.15</v>
      </c>
      <c r="S10" s="98">
        <v>0.16</v>
      </c>
    </row>
    <row r="11" spans="2:503">
      <c r="B11" s="71" t="s">
        <v>28</v>
      </c>
      <c r="C11" s="104">
        <f>0.83+C10</f>
        <v>0.83</v>
      </c>
      <c r="D11" s="96">
        <f t="shared" ref="D11:S11" si="2">0.83+D10</f>
        <v>0.84</v>
      </c>
      <c r="E11" s="96">
        <f t="shared" si="2"/>
        <v>0.85</v>
      </c>
      <c r="F11" s="96">
        <f t="shared" si="2"/>
        <v>0.86</v>
      </c>
      <c r="G11" s="96">
        <f t="shared" si="2"/>
        <v>0.87</v>
      </c>
      <c r="H11" s="96">
        <f t="shared" si="2"/>
        <v>0.88</v>
      </c>
      <c r="I11" s="96">
        <f t="shared" si="2"/>
        <v>0.8899999999999999</v>
      </c>
      <c r="J11" s="96">
        <f t="shared" si="2"/>
        <v>0.89999999999999991</v>
      </c>
      <c r="K11" s="96">
        <f t="shared" si="2"/>
        <v>0.90999999999999992</v>
      </c>
      <c r="L11" s="96">
        <f t="shared" si="2"/>
        <v>0.91999999999999993</v>
      </c>
      <c r="M11" s="96">
        <f t="shared" si="2"/>
        <v>0.92999999999999994</v>
      </c>
      <c r="N11" s="96">
        <f t="shared" si="2"/>
        <v>0.94</v>
      </c>
      <c r="O11" s="96">
        <f t="shared" si="2"/>
        <v>0.95</v>
      </c>
      <c r="P11" s="96">
        <f t="shared" si="2"/>
        <v>0.96</v>
      </c>
      <c r="Q11" s="96">
        <f t="shared" si="2"/>
        <v>0.97</v>
      </c>
      <c r="R11" s="96">
        <f t="shared" si="2"/>
        <v>0.98</v>
      </c>
      <c r="S11" s="103">
        <f t="shared" si="2"/>
        <v>0.99</v>
      </c>
    </row>
    <row r="12" spans="2:503" ht="17.25" thickBot="1">
      <c r="B12" s="72" t="s">
        <v>4</v>
      </c>
      <c r="C12" s="102">
        <f>C11*(($L$4+$C$2*$O$4)*(1+1*$C$3)/($N$4-0.5*C11*$C$3))</f>
        <v>328.25448173482454</v>
      </c>
      <c r="D12" s="99">
        <f t="shared" ref="D12:S12" si="3">D11*(($L$4+$C$2*$O$4)*(1+1*$C$3)/($N$4-0.5*D11*$C$3))</f>
        <v>332.28352978331071</v>
      </c>
      <c r="E12" s="99">
        <f t="shared" si="3"/>
        <v>336.31437742273772</v>
      </c>
      <c r="F12" s="99">
        <f t="shared" si="3"/>
        <v>340.34702585906695</v>
      </c>
      <c r="G12" s="99">
        <f t="shared" si="3"/>
        <v>344.38147629933758</v>
      </c>
      <c r="H12" s="99">
        <f t="shared" si="3"/>
        <v>348.41772995166781</v>
      </c>
      <c r="I12" s="99">
        <f t="shared" si="3"/>
        <v>352.45578802525591</v>
      </c>
      <c r="J12" s="99">
        <f t="shared" si="3"/>
        <v>356.49565173038178</v>
      </c>
      <c r="K12" s="99">
        <f t="shared" si="3"/>
        <v>360.5373222784076</v>
      </c>
      <c r="L12" s="99">
        <f t="shared" si="3"/>
        <v>364.58080088177957</v>
      </c>
      <c r="M12" s="99">
        <f t="shared" si="3"/>
        <v>368.62608875402901</v>
      </c>
      <c r="N12" s="99">
        <f t="shared" si="3"/>
        <v>372.67318710977315</v>
      </c>
      <c r="O12" s="99">
        <f t="shared" si="3"/>
        <v>376.72209716471701</v>
      </c>
      <c r="P12" s="99">
        <f t="shared" si="3"/>
        <v>380.77282013565417</v>
      </c>
      <c r="Q12" s="99">
        <f t="shared" si="3"/>
        <v>384.82535724046795</v>
      </c>
      <c r="R12" s="99">
        <f t="shared" si="3"/>
        <v>388.87970969813307</v>
      </c>
      <c r="S12" s="100">
        <f t="shared" si="3"/>
        <v>392.93587872871632</v>
      </c>
    </row>
    <row r="13" spans="2:503" ht="17.25" thickBot="1">
      <c r="B13" s="1"/>
    </row>
    <row r="14" spans="2:503">
      <c r="B14" s="70" t="s">
        <v>5</v>
      </c>
      <c r="C14" s="107">
        <v>0</v>
      </c>
      <c r="D14" s="105">
        <v>10</v>
      </c>
      <c r="E14" s="105">
        <v>20</v>
      </c>
      <c r="F14" s="105">
        <v>30</v>
      </c>
      <c r="G14" s="105">
        <v>40</v>
      </c>
      <c r="H14" s="105">
        <v>50</v>
      </c>
      <c r="I14" s="105">
        <v>60</v>
      </c>
      <c r="J14" s="105">
        <v>70</v>
      </c>
      <c r="K14" s="105">
        <v>80</v>
      </c>
      <c r="L14" s="105">
        <v>90</v>
      </c>
      <c r="M14" s="105">
        <v>100</v>
      </c>
      <c r="N14" s="105">
        <v>110</v>
      </c>
      <c r="O14" s="105">
        <v>120</v>
      </c>
      <c r="P14" s="105">
        <v>130</v>
      </c>
      <c r="Q14" s="105">
        <v>140</v>
      </c>
      <c r="R14" s="105">
        <v>150</v>
      </c>
      <c r="S14" s="105">
        <v>160</v>
      </c>
      <c r="T14" s="105">
        <v>170</v>
      </c>
      <c r="U14" s="105">
        <v>180</v>
      </c>
      <c r="V14" s="105">
        <v>190</v>
      </c>
      <c r="W14" s="105">
        <v>200</v>
      </c>
      <c r="X14" s="105">
        <v>210</v>
      </c>
      <c r="Y14" s="105">
        <v>220</v>
      </c>
      <c r="Z14" s="105">
        <v>230</v>
      </c>
      <c r="AA14" s="105">
        <v>240</v>
      </c>
      <c r="AB14" s="105">
        <v>250</v>
      </c>
      <c r="AC14" s="105">
        <v>260</v>
      </c>
      <c r="AD14" s="105">
        <v>270</v>
      </c>
      <c r="AE14" s="105">
        <v>280</v>
      </c>
      <c r="AF14" s="105">
        <v>290</v>
      </c>
      <c r="AG14" s="105">
        <v>300</v>
      </c>
      <c r="AH14" s="105">
        <v>310</v>
      </c>
      <c r="AI14" s="105">
        <v>320</v>
      </c>
      <c r="AJ14" s="105">
        <v>330</v>
      </c>
      <c r="AK14" s="105">
        <v>340</v>
      </c>
      <c r="AL14" s="105">
        <v>350</v>
      </c>
      <c r="AM14" s="105">
        <v>360</v>
      </c>
      <c r="AN14" s="105">
        <v>370</v>
      </c>
      <c r="AO14" s="105">
        <v>380</v>
      </c>
      <c r="AP14" s="105">
        <v>390</v>
      </c>
      <c r="AQ14" s="105">
        <v>400</v>
      </c>
      <c r="AR14" s="105">
        <v>410</v>
      </c>
      <c r="AS14" s="105">
        <v>420</v>
      </c>
      <c r="AT14" s="105">
        <v>430</v>
      </c>
      <c r="AU14" s="105">
        <v>440</v>
      </c>
      <c r="AV14" s="105">
        <v>450</v>
      </c>
      <c r="AW14" s="105">
        <v>460</v>
      </c>
      <c r="AX14" s="105">
        <v>470</v>
      </c>
      <c r="AY14" s="105">
        <v>480</v>
      </c>
      <c r="AZ14" s="105">
        <v>490</v>
      </c>
      <c r="BA14" s="106">
        <v>500</v>
      </c>
    </row>
    <row r="15" spans="2:503" ht="17.25" thickBot="1">
      <c r="B15" s="72" t="s">
        <v>4</v>
      </c>
      <c r="C15" s="102">
        <f>$E$2*(($L$4+C14*$O$4)*(1+1*$C$3)/($N$4-0.5*$E$2*$C$3))</f>
        <v>185.04356816673223</v>
      </c>
      <c r="D15" s="99">
        <f t="shared" ref="D15:BA15" si="4">$E$2*(($L$4+D14*$O$4)*(1+1*$C$3)/($N$4-0.5*$E$2*$C$3))</f>
        <v>188.46713094502516</v>
      </c>
      <c r="E15" s="99">
        <f t="shared" si="4"/>
        <v>191.89069372331804</v>
      </c>
      <c r="F15" s="99">
        <f t="shared" si="4"/>
        <v>195.314256501611</v>
      </c>
      <c r="G15" s="99">
        <f t="shared" si="4"/>
        <v>198.73781927990387</v>
      </c>
      <c r="H15" s="99">
        <f t="shared" si="4"/>
        <v>202.16138205819681</v>
      </c>
      <c r="I15" s="99">
        <f t="shared" si="4"/>
        <v>205.58494483648971</v>
      </c>
      <c r="J15" s="99">
        <f t="shared" si="4"/>
        <v>209.00850761478264</v>
      </c>
      <c r="K15" s="99">
        <f t="shared" si="4"/>
        <v>212.43207039307555</v>
      </c>
      <c r="L15" s="99">
        <f t="shared" si="4"/>
        <v>215.85563317136848</v>
      </c>
      <c r="M15" s="99">
        <f t="shared" si="4"/>
        <v>219.27919594966139</v>
      </c>
      <c r="N15" s="99">
        <f t="shared" si="4"/>
        <v>222.70275872795432</v>
      </c>
      <c r="O15" s="99">
        <f t="shared" si="4"/>
        <v>226.12632150624722</v>
      </c>
      <c r="P15" s="99">
        <f t="shared" si="4"/>
        <v>229.54988428454018</v>
      </c>
      <c r="Q15" s="99">
        <f t="shared" si="4"/>
        <v>232.97344706283306</v>
      </c>
      <c r="R15" s="99">
        <f t="shared" si="4"/>
        <v>236.39700984112599</v>
      </c>
      <c r="S15" s="99">
        <f t="shared" si="4"/>
        <v>239.82057261941887</v>
      </c>
      <c r="T15" s="99">
        <f t="shared" si="4"/>
        <v>243.2441353977118</v>
      </c>
      <c r="U15" s="99">
        <f t="shared" si="4"/>
        <v>246.66769817600473</v>
      </c>
      <c r="V15" s="99">
        <f t="shared" si="4"/>
        <v>250.09126095429767</v>
      </c>
      <c r="W15" s="99">
        <f t="shared" si="4"/>
        <v>253.51482373259054</v>
      </c>
      <c r="X15" s="99">
        <f t="shared" si="4"/>
        <v>256.93838651088345</v>
      </c>
      <c r="Y15" s="99">
        <f t="shared" si="4"/>
        <v>260.36194928917638</v>
      </c>
      <c r="Z15" s="99">
        <f t="shared" si="4"/>
        <v>263.78551206746931</v>
      </c>
      <c r="AA15" s="99">
        <f t="shared" si="4"/>
        <v>267.20907484576219</v>
      </c>
      <c r="AB15" s="99">
        <f t="shared" si="4"/>
        <v>270.63263762405512</v>
      </c>
      <c r="AC15" s="99">
        <f t="shared" si="4"/>
        <v>274.05620040234805</v>
      </c>
      <c r="AD15" s="99">
        <f t="shared" si="4"/>
        <v>277.47976318064099</v>
      </c>
      <c r="AE15" s="99">
        <f t="shared" si="4"/>
        <v>280.90332595893386</v>
      </c>
      <c r="AF15" s="99">
        <f t="shared" si="4"/>
        <v>284.3268887372268</v>
      </c>
      <c r="AG15" s="99">
        <f t="shared" si="4"/>
        <v>287.75045151551973</v>
      </c>
      <c r="AH15" s="99">
        <f t="shared" si="4"/>
        <v>291.17401429381266</v>
      </c>
      <c r="AI15" s="99">
        <f t="shared" si="4"/>
        <v>294.59757707210559</v>
      </c>
      <c r="AJ15" s="99">
        <f t="shared" si="4"/>
        <v>298.02113985039847</v>
      </c>
      <c r="AK15" s="99">
        <f t="shared" si="4"/>
        <v>301.4447026286914</v>
      </c>
      <c r="AL15" s="99">
        <f t="shared" si="4"/>
        <v>304.86826540698434</v>
      </c>
      <c r="AM15" s="99">
        <f t="shared" si="4"/>
        <v>308.29182818527727</v>
      </c>
      <c r="AN15" s="99">
        <f t="shared" si="4"/>
        <v>311.71539096357014</v>
      </c>
      <c r="AO15" s="99">
        <f t="shared" si="4"/>
        <v>315.13895374186308</v>
      </c>
      <c r="AP15" s="99">
        <f t="shared" si="4"/>
        <v>318.56251652015601</v>
      </c>
      <c r="AQ15" s="99">
        <f t="shared" si="4"/>
        <v>321.98607929844894</v>
      </c>
      <c r="AR15" s="99">
        <f t="shared" si="4"/>
        <v>325.40964207674182</v>
      </c>
      <c r="AS15" s="99">
        <f t="shared" si="4"/>
        <v>328.83320485503475</v>
      </c>
      <c r="AT15" s="99">
        <f t="shared" si="4"/>
        <v>332.25676763332768</v>
      </c>
      <c r="AU15" s="99">
        <f t="shared" si="4"/>
        <v>335.68033041162062</v>
      </c>
      <c r="AV15" s="99">
        <f t="shared" si="4"/>
        <v>339.10389318991349</v>
      </c>
      <c r="AW15" s="99">
        <f t="shared" si="4"/>
        <v>342.52745596820643</v>
      </c>
      <c r="AX15" s="99">
        <f t="shared" si="4"/>
        <v>345.95101874649936</v>
      </c>
      <c r="AY15" s="99">
        <f t="shared" si="4"/>
        <v>349.37458152479229</v>
      </c>
      <c r="AZ15" s="99">
        <f t="shared" si="4"/>
        <v>352.79814430308517</v>
      </c>
      <c r="BA15" s="100">
        <f t="shared" si="4"/>
        <v>356.2217070813781</v>
      </c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  <c r="IW15" s="84"/>
      <c r="IX15" s="84"/>
      <c r="IY15" s="84"/>
      <c r="IZ15" s="84"/>
      <c r="JA15" s="84"/>
      <c r="JB15" s="84"/>
      <c r="JC15" s="84"/>
      <c r="JD15" s="84"/>
      <c r="JE15" s="84"/>
      <c r="JF15" s="84"/>
      <c r="JG15" s="84"/>
      <c r="JH15" s="84"/>
      <c r="JI15" s="84"/>
      <c r="JJ15" s="84"/>
      <c r="JK15" s="84"/>
      <c r="JL15" s="84"/>
      <c r="JM15" s="84"/>
      <c r="JN15" s="84"/>
      <c r="JO15" s="84"/>
      <c r="JP15" s="84"/>
      <c r="JQ15" s="84"/>
      <c r="JR15" s="84"/>
      <c r="JS15" s="84"/>
      <c r="JT15" s="84"/>
      <c r="JU15" s="84"/>
      <c r="JV15" s="84"/>
      <c r="JW15" s="84"/>
      <c r="JX15" s="84"/>
      <c r="JY15" s="84"/>
      <c r="JZ15" s="84"/>
      <c r="KA15" s="84"/>
      <c r="KB15" s="84"/>
      <c r="KC15" s="84"/>
      <c r="KD15" s="84"/>
      <c r="KE15" s="84"/>
      <c r="KF15" s="84"/>
      <c r="KG15" s="84"/>
      <c r="KH15" s="84"/>
      <c r="KI15" s="84"/>
      <c r="KJ15" s="84"/>
      <c r="KK15" s="84"/>
      <c r="KL15" s="84"/>
      <c r="KM15" s="84"/>
      <c r="KN15" s="84"/>
      <c r="KO15" s="84"/>
      <c r="KP15" s="84"/>
      <c r="KQ15" s="84"/>
      <c r="KR15" s="84"/>
      <c r="KS15" s="84"/>
      <c r="KT15" s="84"/>
      <c r="KU15" s="84"/>
      <c r="KV15" s="84"/>
      <c r="KW15" s="84"/>
      <c r="KX15" s="84"/>
      <c r="KY15" s="84"/>
      <c r="KZ15" s="84"/>
      <c r="LA15" s="84"/>
      <c r="LB15" s="84"/>
      <c r="LC15" s="84"/>
      <c r="LD15" s="84"/>
      <c r="LE15" s="84"/>
      <c r="LF15" s="84"/>
      <c r="LG15" s="84"/>
      <c r="LH15" s="84"/>
      <c r="LI15" s="84"/>
      <c r="LJ15" s="84"/>
      <c r="LK15" s="84"/>
      <c r="LL15" s="84"/>
      <c r="LM15" s="84"/>
      <c r="LN15" s="84"/>
      <c r="LO15" s="84"/>
      <c r="LP15" s="84"/>
      <c r="LQ15" s="84"/>
      <c r="LR15" s="84"/>
      <c r="LS15" s="84"/>
      <c r="LT15" s="84"/>
      <c r="LU15" s="84"/>
      <c r="LV15" s="84"/>
      <c r="LW15" s="84"/>
      <c r="LX15" s="84"/>
      <c r="LY15" s="84"/>
      <c r="LZ15" s="84"/>
      <c r="MA15" s="84"/>
      <c r="MB15" s="84"/>
      <c r="MC15" s="84"/>
      <c r="MD15" s="84"/>
      <c r="ME15" s="84"/>
      <c r="MF15" s="84"/>
      <c r="MG15" s="84"/>
      <c r="MH15" s="84"/>
      <c r="MI15" s="84"/>
      <c r="MJ15" s="84"/>
      <c r="MK15" s="84"/>
      <c r="ML15" s="84"/>
      <c r="MM15" s="84"/>
      <c r="MN15" s="84"/>
      <c r="MO15" s="84"/>
      <c r="MP15" s="84"/>
      <c r="MQ15" s="84"/>
      <c r="MR15" s="84"/>
      <c r="MS15" s="84"/>
      <c r="MT15" s="84"/>
      <c r="MU15" s="84"/>
      <c r="MV15" s="84"/>
      <c r="MW15" s="84"/>
      <c r="MX15" s="84"/>
      <c r="MY15" s="84"/>
      <c r="MZ15" s="84"/>
      <c r="NA15" s="84"/>
      <c r="NB15" s="84"/>
      <c r="NC15" s="84"/>
      <c r="ND15" s="84"/>
      <c r="NE15" s="84"/>
      <c r="NF15" s="84"/>
      <c r="NG15" s="84"/>
      <c r="NH15" s="84"/>
      <c r="NI15" s="84"/>
      <c r="NJ15" s="84"/>
      <c r="NK15" s="84"/>
      <c r="NL15" s="84"/>
      <c r="NM15" s="84"/>
      <c r="NN15" s="84"/>
      <c r="NO15" s="84"/>
      <c r="NP15" s="84"/>
      <c r="NQ15" s="84"/>
      <c r="NR15" s="84"/>
      <c r="NS15" s="84"/>
      <c r="NT15" s="84"/>
      <c r="NU15" s="84"/>
      <c r="NV15" s="84"/>
      <c r="NW15" s="84"/>
      <c r="NX15" s="84"/>
      <c r="NY15" s="84"/>
      <c r="NZ15" s="84"/>
      <c r="OA15" s="84"/>
      <c r="OB15" s="84"/>
      <c r="OC15" s="84"/>
      <c r="OD15" s="84"/>
      <c r="OE15" s="84"/>
      <c r="OF15" s="84"/>
      <c r="OG15" s="84"/>
      <c r="OH15" s="84"/>
      <c r="OI15" s="84"/>
      <c r="OJ15" s="84"/>
      <c r="OK15" s="84"/>
      <c r="OL15" s="84"/>
      <c r="OM15" s="84"/>
      <c r="ON15" s="84"/>
      <c r="OO15" s="84"/>
      <c r="OP15" s="84"/>
      <c r="OQ15" s="84"/>
      <c r="OR15" s="84"/>
      <c r="OS15" s="84"/>
      <c r="OT15" s="84"/>
      <c r="OU15" s="84"/>
      <c r="OV15" s="84"/>
      <c r="OW15" s="84"/>
      <c r="OX15" s="84"/>
      <c r="OY15" s="84"/>
      <c r="OZ15" s="84"/>
      <c r="PA15" s="84"/>
      <c r="PB15" s="84"/>
      <c r="PC15" s="84"/>
      <c r="PD15" s="84"/>
      <c r="PE15" s="84"/>
      <c r="PF15" s="84"/>
      <c r="PG15" s="84"/>
      <c r="PH15" s="84"/>
      <c r="PI15" s="84"/>
      <c r="PJ15" s="84"/>
      <c r="PK15" s="84"/>
      <c r="PL15" s="84"/>
      <c r="PM15" s="84"/>
      <c r="PN15" s="84"/>
      <c r="PO15" s="84"/>
      <c r="PP15" s="84"/>
      <c r="PQ15" s="84"/>
      <c r="PR15" s="84"/>
      <c r="PS15" s="84"/>
      <c r="PT15" s="84"/>
      <c r="PU15" s="84"/>
      <c r="PV15" s="84"/>
      <c r="PW15" s="84"/>
      <c r="PX15" s="84"/>
      <c r="PY15" s="84"/>
      <c r="PZ15" s="84"/>
      <c r="QA15" s="84"/>
      <c r="QB15" s="84"/>
      <c r="QC15" s="84"/>
      <c r="QD15" s="84"/>
      <c r="QE15" s="84"/>
      <c r="QF15" s="84"/>
      <c r="QG15" s="84"/>
      <c r="QH15" s="84"/>
      <c r="QI15" s="84"/>
      <c r="QJ15" s="84"/>
      <c r="QK15" s="84"/>
      <c r="QL15" s="84"/>
      <c r="QM15" s="84"/>
      <c r="QN15" s="84"/>
      <c r="QO15" s="84"/>
      <c r="QP15" s="84"/>
      <c r="QQ15" s="84"/>
      <c r="QR15" s="84"/>
      <c r="QS15" s="84"/>
      <c r="QT15" s="84"/>
      <c r="QU15" s="84"/>
      <c r="QV15" s="84"/>
      <c r="QW15" s="84"/>
      <c r="QX15" s="84"/>
      <c r="QY15" s="84"/>
      <c r="QZ15" s="84"/>
      <c r="RA15" s="84"/>
      <c r="RB15" s="84"/>
      <c r="RC15" s="84"/>
      <c r="RD15" s="84"/>
      <c r="RE15" s="84"/>
      <c r="RF15" s="84"/>
      <c r="RG15" s="84"/>
      <c r="RH15" s="84"/>
      <c r="RI15" s="84"/>
      <c r="RJ15" s="84"/>
      <c r="RK15" s="84"/>
      <c r="RL15" s="84"/>
      <c r="RM15" s="84"/>
      <c r="RN15" s="84"/>
      <c r="RO15" s="84"/>
      <c r="RP15" s="84"/>
      <c r="RQ15" s="84"/>
      <c r="RR15" s="84"/>
      <c r="RS15" s="84"/>
      <c r="RT15" s="84"/>
      <c r="RU15" s="84"/>
      <c r="RV15" s="84"/>
      <c r="RW15" s="84"/>
      <c r="RX15" s="84"/>
      <c r="RY15" s="84"/>
      <c r="RZ15" s="84"/>
      <c r="SA15" s="84"/>
      <c r="SB15" s="84"/>
      <c r="SC15" s="84"/>
      <c r="SD15" s="84"/>
      <c r="SE15" s="84"/>
      <c r="SF15" s="84"/>
      <c r="SG15" s="84"/>
      <c r="SH15" s="84"/>
      <c r="SI15" s="84"/>
    </row>
    <row r="29" spans="2:4" ht="17.25" thickBot="1"/>
    <row r="30" spans="2:4" ht="17.25" thickBot="1">
      <c r="B30" s="112" t="s">
        <v>57</v>
      </c>
      <c r="C30" s="15" t="s">
        <v>4</v>
      </c>
      <c r="D30" s="111" t="s">
        <v>5</v>
      </c>
    </row>
    <row r="31" spans="2:4">
      <c r="B31" s="73" t="s">
        <v>45</v>
      </c>
      <c r="C31" s="130">
        <v>4.1078000000000001</v>
      </c>
      <c r="D31" s="110">
        <f>C31/C33</f>
        <v>11.998481130973245</v>
      </c>
    </row>
    <row r="32" spans="2:4">
      <c r="B32" s="71" t="s">
        <v>46</v>
      </c>
      <c r="C32" s="131">
        <v>4.0426000000000002</v>
      </c>
      <c r="D32" s="108">
        <f>C32/C33</f>
        <v>11.808038322233907</v>
      </c>
    </row>
    <row r="33" spans="2:4" ht="17.25" thickBot="1">
      <c r="B33" s="72" t="s">
        <v>55</v>
      </c>
      <c r="C33" s="116">
        <v>0.34236</v>
      </c>
      <c r="D33" s="109"/>
    </row>
  </sheetData>
  <mergeCells count="2">
    <mergeCell ref="F2:F5"/>
    <mergeCell ref="G2:G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3052F-A1B2-45CC-A9B0-2ACFE4485B18}">
  <dimension ref="B1:SI40"/>
  <sheetViews>
    <sheetView workbookViewId="0">
      <selection activeCell="C34" sqref="C34"/>
    </sheetView>
  </sheetViews>
  <sheetFormatPr defaultRowHeight="16.5"/>
  <cols>
    <col min="3" max="3" width="13.25" bestFit="1" customWidth="1"/>
    <col min="4" max="103" width="10.625" customWidth="1"/>
  </cols>
  <sheetData>
    <row r="1" spans="2:503" ht="17.25" thickBot="1"/>
    <row r="2" spans="2:503" ht="17.25" thickBot="1">
      <c r="B2" s="74" t="s">
        <v>5</v>
      </c>
      <c r="C2" s="92">
        <f>테이블!D15+185</f>
        <v>674</v>
      </c>
      <c r="D2" s="85" t="s">
        <v>28</v>
      </c>
      <c r="E2" s="86">
        <f>테이블!F15</f>
        <v>0.8899999999999999</v>
      </c>
      <c r="F2" s="183" t="s">
        <v>24</v>
      </c>
      <c r="G2" s="186">
        <f>$E$2*(($L$4+C2*$O$4)*1.1*(1+1*C3)/($N$4-0.5*$C$3*$E$2))</f>
        <v>555.09333489308858</v>
      </c>
      <c r="R2" s="12" t="s">
        <v>31</v>
      </c>
      <c r="S2" s="34" t="s">
        <v>32</v>
      </c>
    </row>
    <row r="3" spans="2:503" ht="17.25" thickBot="1">
      <c r="B3" s="138" t="s">
        <v>40</v>
      </c>
      <c r="C3" s="87">
        <f>E3+E4+E5+0.03+0.18</f>
        <v>0.33167166666666664</v>
      </c>
      <c r="D3" s="88" t="s">
        <v>41</v>
      </c>
      <c r="E3" s="89">
        <f>테이블!F16</f>
        <v>1.7999999999999999E-2</v>
      </c>
      <c r="F3" s="184"/>
      <c r="G3" s="187"/>
      <c r="I3" s="77" t="s">
        <v>12</v>
      </c>
      <c r="J3" s="16" t="s">
        <v>14</v>
      </c>
      <c r="K3" s="16" t="s">
        <v>2</v>
      </c>
      <c r="L3" s="16" t="s">
        <v>50</v>
      </c>
      <c r="M3" s="16" t="s">
        <v>51</v>
      </c>
      <c r="N3" s="16" t="s">
        <v>52</v>
      </c>
      <c r="O3" s="16" t="s">
        <v>53</v>
      </c>
      <c r="P3" s="16" t="s">
        <v>54</v>
      </c>
      <c r="Q3" s="29" t="s">
        <v>9</v>
      </c>
      <c r="R3" s="14" t="s">
        <v>4</v>
      </c>
      <c r="S3" s="69" t="s">
        <v>4</v>
      </c>
    </row>
    <row r="4" spans="2:503" ht="17.25" thickBot="1">
      <c r="B4" s="138" t="s">
        <v>23</v>
      </c>
      <c r="C4" s="87">
        <f>테이블!D17</f>
        <v>0.06</v>
      </c>
      <c r="D4" s="88" t="s">
        <v>42</v>
      </c>
      <c r="E4" s="89">
        <f>테이블!F17</f>
        <v>0.04</v>
      </c>
      <c r="F4" s="184"/>
      <c r="G4" s="187"/>
      <c r="I4" s="77">
        <v>6</v>
      </c>
      <c r="J4" s="16" t="s">
        <v>13</v>
      </c>
      <c r="K4" s="78" t="s">
        <v>27</v>
      </c>
      <c r="L4" s="78">
        <v>540.5</v>
      </c>
      <c r="M4" s="78"/>
      <c r="N4" s="78">
        <v>3</v>
      </c>
      <c r="O4" s="79">
        <v>1</v>
      </c>
      <c r="P4" s="80">
        <f>$C$2*$O4</f>
        <v>674</v>
      </c>
      <c r="Q4" s="81">
        <f>$L4+$P4</f>
        <v>1214.5</v>
      </c>
      <c r="R4" s="82">
        <f>$Q4/$N4</f>
        <v>404.83333333333331</v>
      </c>
      <c r="S4" s="83">
        <f>$R4*1.1</f>
        <v>445.31666666666666</v>
      </c>
    </row>
    <row r="5" spans="2:503" ht="17.25" thickBot="1">
      <c r="B5" s="139" t="s">
        <v>25</v>
      </c>
      <c r="C5" s="93">
        <f>(테이블!D18+41)*1.1*1.15</f>
        <v>382.03000000000003</v>
      </c>
      <c r="D5" s="90" t="s">
        <v>43</v>
      </c>
      <c r="E5" s="91">
        <f>C5/60/100</f>
        <v>6.3671666666666668E-2</v>
      </c>
      <c r="F5" s="185"/>
      <c r="G5" s="188"/>
    </row>
    <row r="6" spans="2:503" ht="17.25" thickBot="1"/>
    <row r="7" spans="2:503">
      <c r="B7" s="132" t="s">
        <v>49</v>
      </c>
      <c r="C7" s="101">
        <v>0</v>
      </c>
      <c r="D7" s="97">
        <v>0.01</v>
      </c>
      <c r="E7" s="97">
        <v>0.02</v>
      </c>
      <c r="F7" s="97">
        <v>0.03</v>
      </c>
      <c r="G7" s="97">
        <v>0.04</v>
      </c>
      <c r="H7" s="97">
        <v>0.05</v>
      </c>
      <c r="I7" s="97">
        <v>0.06</v>
      </c>
      <c r="J7" s="97">
        <v>7.0000000000000007E-2</v>
      </c>
      <c r="K7" s="97">
        <v>0.08</v>
      </c>
      <c r="L7" s="97">
        <v>0.09</v>
      </c>
      <c r="M7" s="97">
        <v>0.1</v>
      </c>
      <c r="N7" s="97">
        <v>0.11</v>
      </c>
      <c r="O7" s="97">
        <v>0.12</v>
      </c>
      <c r="P7" s="97">
        <v>0.13</v>
      </c>
      <c r="Q7" s="97">
        <v>0.14000000000000001</v>
      </c>
      <c r="R7" s="97">
        <v>0.15</v>
      </c>
      <c r="S7" s="97">
        <v>0.16</v>
      </c>
      <c r="T7" s="97">
        <v>0.17</v>
      </c>
      <c r="U7" s="97">
        <v>0.18</v>
      </c>
      <c r="V7" s="97">
        <v>0.19</v>
      </c>
      <c r="W7" s="97">
        <v>0.2</v>
      </c>
      <c r="X7" s="97">
        <v>0.21</v>
      </c>
      <c r="Y7" s="97">
        <v>0.22</v>
      </c>
      <c r="Z7" s="97">
        <v>0.23</v>
      </c>
      <c r="AA7" s="97">
        <v>0.24</v>
      </c>
      <c r="AB7" s="97">
        <v>0.25</v>
      </c>
      <c r="AC7" s="97">
        <v>0.26</v>
      </c>
      <c r="AD7" s="97">
        <v>0.27</v>
      </c>
      <c r="AE7" s="97">
        <v>0.28000000000000003</v>
      </c>
      <c r="AF7" s="97">
        <v>0.28999999999999998</v>
      </c>
      <c r="AG7" s="97">
        <v>0.3</v>
      </c>
      <c r="AH7" s="97">
        <v>0.31</v>
      </c>
      <c r="AI7" s="97">
        <v>0.32</v>
      </c>
      <c r="AJ7" s="97">
        <v>0.33</v>
      </c>
      <c r="AK7" s="97">
        <v>0.34</v>
      </c>
      <c r="AL7" s="97">
        <v>0.35</v>
      </c>
      <c r="AM7" s="97">
        <v>0.36</v>
      </c>
      <c r="AN7" s="97">
        <v>0.37</v>
      </c>
      <c r="AO7" s="97">
        <v>0.38</v>
      </c>
      <c r="AP7" s="97">
        <v>0.39</v>
      </c>
      <c r="AQ7" s="97">
        <v>0.4</v>
      </c>
      <c r="AR7" s="97">
        <v>0.41</v>
      </c>
      <c r="AS7" s="97">
        <v>0.42</v>
      </c>
      <c r="AT7" s="97">
        <v>0.43</v>
      </c>
      <c r="AU7" s="97">
        <v>0.44</v>
      </c>
      <c r="AV7" s="97">
        <v>0.45</v>
      </c>
      <c r="AW7" s="97">
        <v>0.46</v>
      </c>
      <c r="AX7" s="97">
        <v>0.47</v>
      </c>
      <c r="AY7" s="97">
        <v>0.48</v>
      </c>
      <c r="AZ7" s="97">
        <v>0.49</v>
      </c>
      <c r="BA7" s="97">
        <v>0.5</v>
      </c>
      <c r="BB7" s="97">
        <v>0.51</v>
      </c>
      <c r="BC7" s="97">
        <v>0.52</v>
      </c>
      <c r="BD7" s="97">
        <v>0.53</v>
      </c>
      <c r="BE7" s="97">
        <v>0.54</v>
      </c>
      <c r="BF7" s="97">
        <v>0.55000000000000004</v>
      </c>
      <c r="BG7" s="97">
        <v>0.56000000000000005</v>
      </c>
      <c r="BH7" s="97">
        <v>0.56999999999999995</v>
      </c>
      <c r="BI7" s="97">
        <v>0.57999999999999996</v>
      </c>
      <c r="BJ7" s="97">
        <v>0.59</v>
      </c>
      <c r="BK7" s="97">
        <v>0.6</v>
      </c>
      <c r="BL7" s="97">
        <v>0.61</v>
      </c>
      <c r="BM7" s="97">
        <v>0.62</v>
      </c>
      <c r="BN7" s="97">
        <v>0.63</v>
      </c>
      <c r="BO7" s="97">
        <v>0.64</v>
      </c>
      <c r="BP7" s="97">
        <v>0.65</v>
      </c>
      <c r="BQ7" s="97">
        <v>0.66</v>
      </c>
      <c r="BR7" s="97">
        <v>0.67</v>
      </c>
      <c r="BS7" s="97">
        <v>0.68</v>
      </c>
      <c r="BT7" s="97">
        <v>0.69</v>
      </c>
      <c r="BU7" s="97">
        <v>0.7</v>
      </c>
      <c r="BV7" s="97">
        <v>0.71</v>
      </c>
      <c r="BW7" s="97">
        <v>0.72</v>
      </c>
      <c r="BX7" s="97">
        <v>0.73</v>
      </c>
      <c r="BY7" s="97">
        <v>0.74</v>
      </c>
      <c r="BZ7" s="97">
        <v>0.75</v>
      </c>
      <c r="CA7" s="97">
        <v>0.76</v>
      </c>
      <c r="CB7" s="97">
        <v>0.77</v>
      </c>
      <c r="CC7" s="97">
        <v>0.78</v>
      </c>
      <c r="CD7" s="97">
        <v>0.79</v>
      </c>
      <c r="CE7" s="97">
        <v>0.8</v>
      </c>
      <c r="CF7" s="97">
        <v>0.81</v>
      </c>
      <c r="CG7" s="97">
        <v>0.82</v>
      </c>
      <c r="CH7" s="97">
        <v>0.83</v>
      </c>
      <c r="CI7" s="97">
        <v>0.84</v>
      </c>
      <c r="CJ7" s="97">
        <v>0.85</v>
      </c>
      <c r="CK7" s="97">
        <v>0.86</v>
      </c>
      <c r="CL7" s="97">
        <v>0.87</v>
      </c>
      <c r="CM7" s="97">
        <v>0.88</v>
      </c>
      <c r="CN7" s="97">
        <v>0.89</v>
      </c>
      <c r="CO7" s="97">
        <v>0.9</v>
      </c>
      <c r="CP7" s="97">
        <v>0.91</v>
      </c>
      <c r="CQ7" s="97">
        <v>0.92</v>
      </c>
      <c r="CR7" s="97">
        <v>0.93</v>
      </c>
      <c r="CS7" s="97">
        <v>0.94</v>
      </c>
      <c r="CT7" s="97">
        <v>0.95</v>
      </c>
      <c r="CU7" s="97">
        <v>0.96</v>
      </c>
      <c r="CV7" s="97">
        <v>0.97</v>
      </c>
      <c r="CW7" s="97">
        <v>0.98</v>
      </c>
      <c r="CX7" s="97">
        <v>0.99</v>
      </c>
      <c r="CY7" s="98">
        <v>1</v>
      </c>
    </row>
    <row r="8" spans="2:503" ht="17.25" thickBot="1">
      <c r="B8" s="136" t="s">
        <v>4</v>
      </c>
      <c r="C8" s="102">
        <f>$E$2*(($L$4+$C$2*$O$4)*(1+1*C7)/($N$4-0.5*$E$2*C7))</f>
        <v>360.30166666666662</v>
      </c>
      <c r="D8" s="99">
        <f t="shared" ref="D8:BO8" si="0">$E$2*(($L$4+$C$2*$O$4)*(1+1*D7)/($N$4-0.5*$E$2*D7))</f>
        <v>364.44527716112225</v>
      </c>
      <c r="E8" s="99">
        <f t="shared" si="0"/>
        <v>368.6012169435993</v>
      </c>
      <c r="F8" s="99">
        <f t="shared" si="0"/>
        <v>372.76954112467138</v>
      </c>
      <c r="G8" s="99">
        <f t="shared" si="0"/>
        <v>376.95030514385354</v>
      </c>
      <c r="H8" s="99">
        <f t="shared" si="0"/>
        <v>381.14356477205951</v>
      </c>
      <c r="I8" s="99">
        <f t="shared" si="0"/>
        <v>385.34937611408196</v>
      </c>
      <c r="J8" s="99">
        <f t="shared" si="0"/>
        <v>389.56779561109516</v>
      </c>
      <c r="K8" s="99">
        <f t="shared" si="0"/>
        <v>393.79888004317905</v>
      </c>
      <c r="L8" s="99">
        <f t="shared" si="0"/>
        <v>398.04268653186705</v>
      </c>
      <c r="M8" s="99">
        <f t="shared" si="0"/>
        <v>402.29927254271695</v>
      </c>
      <c r="N8" s="99">
        <f t="shared" si="0"/>
        <v>406.56869588790425</v>
      </c>
      <c r="O8" s="99">
        <f t="shared" si="0"/>
        <v>410.85101472884003</v>
      </c>
      <c r="P8" s="99">
        <f t="shared" si="0"/>
        <v>415.14628757881133</v>
      </c>
      <c r="Q8" s="99">
        <f t="shared" si="0"/>
        <v>419.45457330564727</v>
      </c>
      <c r="R8" s="99">
        <f t="shared" si="0"/>
        <v>423.77593113440713</v>
      </c>
      <c r="S8" s="99">
        <f t="shared" si="0"/>
        <v>428.11042065009553</v>
      </c>
      <c r="T8" s="99">
        <f t="shared" si="0"/>
        <v>432.45810180040002</v>
      </c>
      <c r="U8" s="99">
        <f t="shared" si="0"/>
        <v>436.8190348984553</v>
      </c>
      <c r="V8" s="99">
        <f t="shared" si="0"/>
        <v>441.19328062563233</v>
      </c>
      <c r="W8" s="99">
        <f t="shared" si="0"/>
        <v>445.5809000343524</v>
      </c>
      <c r="X8" s="99">
        <f t="shared" si="0"/>
        <v>449.98195455092798</v>
      </c>
      <c r="Y8" s="99">
        <f t="shared" si="0"/>
        <v>454.39650597842939</v>
      </c>
      <c r="Z8" s="99">
        <f t="shared" si="0"/>
        <v>458.82461649957719</v>
      </c>
      <c r="AA8" s="99">
        <f t="shared" si="0"/>
        <v>463.2663486796626</v>
      </c>
      <c r="AB8" s="99">
        <f t="shared" si="0"/>
        <v>467.72176546949373</v>
      </c>
      <c r="AC8" s="99">
        <f t="shared" si="0"/>
        <v>472.19093020836942</v>
      </c>
      <c r="AD8" s="99">
        <f t="shared" si="0"/>
        <v>476.67390662708129</v>
      </c>
      <c r="AE8" s="99">
        <f t="shared" si="0"/>
        <v>481.17075885094238</v>
      </c>
      <c r="AF8" s="99">
        <f t="shared" si="0"/>
        <v>485.68155140284574</v>
      </c>
      <c r="AG8" s="99">
        <f t="shared" si="0"/>
        <v>490.20634920634922</v>
      </c>
      <c r="AH8" s="99">
        <f t="shared" si="0"/>
        <v>494.74521758879126</v>
      </c>
      <c r="AI8" s="99">
        <f t="shared" si="0"/>
        <v>499.29822228443447</v>
      </c>
      <c r="AJ8" s="99">
        <f t="shared" si="0"/>
        <v>503.86542943763908</v>
      </c>
      <c r="AK8" s="99">
        <f t="shared" si="0"/>
        <v>508.44690560606591</v>
      </c>
      <c r="AL8" s="99">
        <f t="shared" si="0"/>
        <v>513.04271776390965</v>
      </c>
      <c r="AM8" s="99">
        <f t="shared" si="0"/>
        <v>517.65293330516226</v>
      </c>
      <c r="AN8" s="99">
        <f t="shared" si="0"/>
        <v>522.27762004690783</v>
      </c>
      <c r="AO8" s="99">
        <f t="shared" si="0"/>
        <v>526.91684623264678</v>
      </c>
      <c r="AP8" s="99">
        <f t="shared" si="0"/>
        <v>531.57068053565422</v>
      </c>
      <c r="AQ8" s="99">
        <f t="shared" si="0"/>
        <v>536.23919206236701</v>
      </c>
      <c r="AR8" s="99">
        <f t="shared" si="0"/>
        <v>540.92245035580538</v>
      </c>
      <c r="AS8" s="99">
        <f t="shared" si="0"/>
        <v>545.62052539902584</v>
      </c>
      <c r="AT8" s="99">
        <f t="shared" si="0"/>
        <v>550.33348761860668</v>
      </c>
      <c r="AU8" s="99">
        <f t="shared" si="0"/>
        <v>555.06140788816765</v>
      </c>
      <c r="AV8" s="99">
        <f t="shared" si="0"/>
        <v>559.80435753192239</v>
      </c>
      <c r="AW8" s="99">
        <f t="shared" si="0"/>
        <v>564.56240832826518</v>
      </c>
      <c r="AX8" s="99">
        <f t="shared" si="0"/>
        <v>569.33563251339194</v>
      </c>
      <c r="AY8" s="99">
        <f t="shared" si="0"/>
        <v>574.12410278495543</v>
      </c>
      <c r="AZ8" s="99">
        <f t="shared" si="0"/>
        <v>578.92789230575659</v>
      </c>
      <c r="BA8" s="99">
        <f t="shared" si="0"/>
        <v>583.7470747074708</v>
      </c>
      <c r="BB8" s="99">
        <f t="shared" si="0"/>
        <v>588.58172409440863</v>
      </c>
      <c r="BC8" s="99">
        <f t="shared" si="0"/>
        <v>593.43191504731624</v>
      </c>
      <c r="BD8" s="99">
        <f t="shared" si="0"/>
        <v>598.29772262720905</v>
      </c>
      <c r="BE8" s="99">
        <f t="shared" si="0"/>
        <v>603.17922237924404</v>
      </c>
      <c r="BF8" s="99">
        <f t="shared" si="0"/>
        <v>608.07649033662994</v>
      </c>
      <c r="BG8" s="99">
        <f t="shared" si="0"/>
        <v>612.98960302457465</v>
      </c>
      <c r="BH8" s="99">
        <f t="shared" si="0"/>
        <v>617.91863746427066</v>
      </c>
      <c r="BI8" s="99">
        <f t="shared" si="0"/>
        <v>622.863671176921</v>
      </c>
      <c r="BJ8" s="99">
        <f t="shared" si="0"/>
        <v>627.82478218780238</v>
      </c>
      <c r="BK8" s="99">
        <f t="shared" si="0"/>
        <v>632.80204903036952</v>
      </c>
      <c r="BL8" s="99">
        <f t="shared" si="0"/>
        <v>637.79555075039832</v>
      </c>
      <c r="BM8" s="99">
        <f t="shared" si="0"/>
        <v>642.80536691017221</v>
      </c>
      <c r="BN8" s="99">
        <f t="shared" si="0"/>
        <v>647.83157759270478</v>
      </c>
      <c r="BO8" s="99">
        <f t="shared" si="0"/>
        <v>652.87426340601064</v>
      </c>
      <c r="BP8" s="99">
        <f t="shared" ref="BP8:CY8" si="1">$E$2*(($L$4+$C$2*$O$4)*(1+1*BP7)/($N$4-0.5*$E$2*BP7))</f>
        <v>657.93350548741114</v>
      </c>
      <c r="BQ8" s="99">
        <f t="shared" si="1"/>
        <v>663.00938550788896</v>
      </c>
      <c r="BR8" s="99">
        <f t="shared" si="1"/>
        <v>668.10198567648092</v>
      </c>
      <c r="BS8" s="99">
        <f t="shared" si="1"/>
        <v>673.21138874471717</v>
      </c>
      <c r="BT8" s="99">
        <f t="shared" si="1"/>
        <v>678.33767801110298</v>
      </c>
      <c r="BU8" s="99">
        <f t="shared" si="1"/>
        <v>683.48093732564621</v>
      </c>
      <c r="BV8" s="99">
        <f t="shared" si="1"/>
        <v>688.64125109442818</v>
      </c>
      <c r="BW8" s="99">
        <f t="shared" si="1"/>
        <v>693.81870428422144</v>
      </c>
      <c r="BX8" s="99">
        <f t="shared" si="1"/>
        <v>699.0133824271536</v>
      </c>
      <c r="BY8" s="99">
        <f t="shared" si="1"/>
        <v>704.22537162541641</v>
      </c>
      <c r="BZ8" s="99">
        <f t="shared" si="1"/>
        <v>709.45475855602444</v>
      </c>
      <c r="CA8" s="99">
        <f t="shared" si="1"/>
        <v>714.70163047561789</v>
      </c>
      <c r="CB8" s="99">
        <f t="shared" si="1"/>
        <v>719.96607522531826</v>
      </c>
      <c r="CC8" s="99">
        <f t="shared" si="1"/>
        <v>725.24818123562886</v>
      </c>
      <c r="CD8" s="99">
        <f t="shared" si="1"/>
        <v>730.54803753138617</v>
      </c>
      <c r="CE8" s="99">
        <f t="shared" si="1"/>
        <v>735.86573373676231</v>
      </c>
      <c r="CF8" s="99">
        <f t="shared" si="1"/>
        <v>741.2013600803167</v>
      </c>
      <c r="CG8" s="99">
        <f t="shared" si="1"/>
        <v>746.55500740009859</v>
      </c>
      <c r="CH8" s="99">
        <f t="shared" si="1"/>
        <v>751.92676714880349</v>
      </c>
      <c r="CI8" s="99">
        <f t="shared" si="1"/>
        <v>757.31673139897941</v>
      </c>
      <c r="CJ8" s="99">
        <f t="shared" si="1"/>
        <v>762.72499284828837</v>
      </c>
      <c r="CK8" s="99">
        <f t="shared" si="1"/>
        <v>768.1516448248193</v>
      </c>
      <c r="CL8" s="99">
        <f t="shared" si="1"/>
        <v>773.59678129245845</v>
      </c>
      <c r="CM8" s="99">
        <f t="shared" si="1"/>
        <v>779.06049685631024</v>
      </c>
      <c r="CN8" s="99">
        <f t="shared" si="1"/>
        <v>784.54288676817907</v>
      </c>
      <c r="CO8" s="99">
        <f t="shared" si="1"/>
        <v>790.04404693210222</v>
      </c>
      <c r="CP8" s="99">
        <f t="shared" si="1"/>
        <v>795.56407390994389</v>
      </c>
      <c r="CQ8" s="99">
        <f t="shared" si="1"/>
        <v>801.10306492704376</v>
      </c>
      <c r="CR8" s="99">
        <f t="shared" si="1"/>
        <v>806.66111787792659</v>
      </c>
      <c r="CS8" s="99">
        <f t="shared" si="1"/>
        <v>812.2383313320679</v>
      </c>
      <c r="CT8" s="99">
        <f t="shared" si="1"/>
        <v>817.83480453972243</v>
      </c>
      <c r="CU8" s="99">
        <f t="shared" si="1"/>
        <v>823.45063743781088</v>
      </c>
      <c r="CV8" s="99">
        <f t="shared" si="1"/>
        <v>829.08593065586842</v>
      </c>
      <c r="CW8" s="99">
        <f t="shared" si="1"/>
        <v>834.74078552205606</v>
      </c>
      <c r="CX8" s="99">
        <f t="shared" si="1"/>
        <v>840.41530406923357</v>
      </c>
      <c r="CY8" s="100">
        <f t="shared" si="1"/>
        <v>846.10958904109577</v>
      </c>
    </row>
    <row r="9" spans="2:503" ht="17.25" thickBot="1">
      <c r="B9" s="1"/>
    </row>
    <row r="10" spans="2:503">
      <c r="B10" s="132" t="s">
        <v>23</v>
      </c>
      <c r="C10" s="101">
        <v>0</v>
      </c>
      <c r="D10" s="97">
        <v>0.01</v>
      </c>
      <c r="E10" s="97">
        <v>0.02</v>
      </c>
      <c r="F10" s="97">
        <v>0.03</v>
      </c>
      <c r="G10" s="97">
        <v>0.04</v>
      </c>
      <c r="H10" s="97">
        <v>0.05</v>
      </c>
      <c r="I10" s="97">
        <v>0.06</v>
      </c>
      <c r="J10" s="97">
        <v>7.0000000000000007E-2</v>
      </c>
      <c r="K10" s="97">
        <v>0.08</v>
      </c>
      <c r="L10" s="97">
        <v>0.09</v>
      </c>
      <c r="M10" s="97">
        <v>0.1</v>
      </c>
      <c r="N10" s="97">
        <v>0.11</v>
      </c>
      <c r="O10" s="97">
        <v>0.12</v>
      </c>
      <c r="P10" s="97">
        <v>0.13</v>
      </c>
      <c r="Q10" s="97">
        <v>0.14000000000000001</v>
      </c>
      <c r="R10" s="97">
        <v>0.15</v>
      </c>
      <c r="S10" s="98">
        <v>0.16</v>
      </c>
    </row>
    <row r="11" spans="2:503">
      <c r="B11" s="133" t="s">
        <v>28</v>
      </c>
      <c r="C11" s="104">
        <f>0.83+C10</f>
        <v>0.83</v>
      </c>
      <c r="D11" s="96">
        <f t="shared" ref="D11:S11" si="2">0.83+D10</f>
        <v>0.84</v>
      </c>
      <c r="E11" s="96">
        <f t="shared" si="2"/>
        <v>0.85</v>
      </c>
      <c r="F11" s="96">
        <f t="shared" si="2"/>
        <v>0.86</v>
      </c>
      <c r="G11" s="96">
        <f t="shared" si="2"/>
        <v>0.87</v>
      </c>
      <c r="H11" s="96">
        <f t="shared" si="2"/>
        <v>0.88</v>
      </c>
      <c r="I11" s="96">
        <f t="shared" si="2"/>
        <v>0.8899999999999999</v>
      </c>
      <c r="J11" s="96">
        <f t="shared" si="2"/>
        <v>0.89999999999999991</v>
      </c>
      <c r="K11" s="96">
        <f t="shared" si="2"/>
        <v>0.90999999999999992</v>
      </c>
      <c r="L11" s="96">
        <f t="shared" si="2"/>
        <v>0.91999999999999993</v>
      </c>
      <c r="M11" s="96">
        <f t="shared" si="2"/>
        <v>0.92999999999999994</v>
      </c>
      <c r="N11" s="96">
        <f t="shared" si="2"/>
        <v>0.94</v>
      </c>
      <c r="O11" s="96">
        <f t="shared" si="2"/>
        <v>0.95</v>
      </c>
      <c r="P11" s="96">
        <f t="shared" si="2"/>
        <v>0.96</v>
      </c>
      <c r="Q11" s="96">
        <f t="shared" si="2"/>
        <v>0.97</v>
      </c>
      <c r="R11" s="96">
        <f t="shared" si="2"/>
        <v>0.98</v>
      </c>
      <c r="S11" s="103">
        <f t="shared" si="2"/>
        <v>0.99</v>
      </c>
    </row>
    <row r="12" spans="2:503" ht="17.25" thickBot="1">
      <c r="B12" s="136" t="s">
        <v>4</v>
      </c>
      <c r="C12" s="102">
        <f>C11*(($L$4+$C$2*$O$4)*(1+1*$C$3)/($N$4-0.5*C11*$C$3))</f>
        <v>468.97434398678138</v>
      </c>
      <c r="D12" s="99">
        <f t="shared" ref="D12:S12" si="3">D11*(($L$4+$C$2*$O$4)*(1+1*$C$3)/($N$4-0.5*D11*$C$3))</f>
        <v>474.89977914130674</v>
      </c>
      <c r="E12" s="99">
        <f t="shared" si="3"/>
        <v>480.83208827894686</v>
      </c>
      <c r="F12" s="99">
        <f t="shared" si="3"/>
        <v>486.77128336820715</v>
      </c>
      <c r="G12" s="99">
        <f t="shared" si="3"/>
        <v>492.71737640539391</v>
      </c>
      <c r="H12" s="99">
        <f t="shared" si="3"/>
        <v>498.67037941469522</v>
      </c>
      <c r="I12" s="99">
        <f t="shared" si="3"/>
        <v>504.63030444826234</v>
      </c>
      <c r="J12" s="99">
        <f t="shared" si="3"/>
        <v>510.59716358629049</v>
      </c>
      <c r="K12" s="99">
        <f t="shared" si="3"/>
        <v>516.57096893710116</v>
      </c>
      <c r="L12" s="99">
        <f t="shared" si="3"/>
        <v>522.55173263722349</v>
      </c>
      <c r="M12" s="99">
        <f t="shared" si="3"/>
        <v>528.53946685147639</v>
      </c>
      <c r="N12" s="99">
        <f t="shared" si="3"/>
        <v>534.53418377305138</v>
      </c>
      <c r="O12" s="99">
        <f t="shared" si="3"/>
        <v>540.53589562359525</v>
      </c>
      <c r="P12" s="99">
        <f t="shared" si="3"/>
        <v>546.54461465329302</v>
      </c>
      <c r="Q12" s="99">
        <f t="shared" si="3"/>
        <v>552.56035314095152</v>
      </c>
      <c r="R12" s="99">
        <f t="shared" si="3"/>
        <v>558.58312339408235</v>
      </c>
      <c r="S12" s="100">
        <f t="shared" si="3"/>
        <v>564.61293774898684</v>
      </c>
    </row>
    <row r="13" spans="2:503" ht="17.25" thickBot="1">
      <c r="B13" s="1"/>
    </row>
    <row r="14" spans="2:503">
      <c r="B14" s="132" t="s">
        <v>5</v>
      </c>
      <c r="C14" s="107">
        <v>0</v>
      </c>
      <c r="D14" s="105">
        <v>10</v>
      </c>
      <c r="E14" s="105">
        <v>20</v>
      </c>
      <c r="F14" s="105">
        <v>30</v>
      </c>
      <c r="G14" s="105">
        <v>40</v>
      </c>
      <c r="H14" s="105">
        <v>50</v>
      </c>
      <c r="I14" s="105">
        <v>60</v>
      </c>
      <c r="J14" s="105">
        <v>70</v>
      </c>
      <c r="K14" s="105">
        <v>80</v>
      </c>
      <c r="L14" s="105">
        <v>90</v>
      </c>
      <c r="M14" s="105">
        <v>100</v>
      </c>
      <c r="N14" s="105">
        <v>110</v>
      </c>
      <c r="O14" s="105">
        <v>120</v>
      </c>
      <c r="P14" s="105">
        <v>130</v>
      </c>
      <c r="Q14" s="105">
        <v>140</v>
      </c>
      <c r="R14" s="105">
        <v>150</v>
      </c>
      <c r="S14" s="105">
        <v>160</v>
      </c>
      <c r="T14" s="105">
        <v>170</v>
      </c>
      <c r="U14" s="105">
        <v>180</v>
      </c>
      <c r="V14" s="105">
        <v>190</v>
      </c>
      <c r="W14" s="105">
        <v>200</v>
      </c>
      <c r="X14" s="105">
        <v>210</v>
      </c>
      <c r="Y14" s="105">
        <v>220</v>
      </c>
      <c r="Z14" s="105">
        <v>230</v>
      </c>
      <c r="AA14" s="105">
        <v>240</v>
      </c>
      <c r="AB14" s="105">
        <v>250</v>
      </c>
      <c r="AC14" s="105">
        <v>260</v>
      </c>
      <c r="AD14" s="105">
        <v>270</v>
      </c>
      <c r="AE14" s="105">
        <v>280</v>
      </c>
      <c r="AF14" s="105">
        <v>290</v>
      </c>
      <c r="AG14" s="105">
        <v>300</v>
      </c>
      <c r="AH14" s="105">
        <v>310</v>
      </c>
      <c r="AI14" s="105">
        <v>320</v>
      </c>
      <c r="AJ14" s="105">
        <v>330</v>
      </c>
      <c r="AK14" s="105">
        <v>340</v>
      </c>
      <c r="AL14" s="105">
        <v>350</v>
      </c>
      <c r="AM14" s="105">
        <v>360</v>
      </c>
      <c r="AN14" s="105">
        <v>370</v>
      </c>
      <c r="AO14" s="105">
        <v>380</v>
      </c>
      <c r="AP14" s="105">
        <v>390</v>
      </c>
      <c r="AQ14" s="105">
        <v>400</v>
      </c>
      <c r="AR14" s="105">
        <v>410</v>
      </c>
      <c r="AS14" s="105">
        <v>420</v>
      </c>
      <c r="AT14" s="105">
        <v>430</v>
      </c>
      <c r="AU14" s="105">
        <v>440</v>
      </c>
      <c r="AV14" s="105">
        <v>450</v>
      </c>
      <c r="AW14" s="105">
        <v>460</v>
      </c>
      <c r="AX14" s="105">
        <v>470</v>
      </c>
      <c r="AY14" s="105">
        <v>480</v>
      </c>
      <c r="AZ14" s="105">
        <v>490</v>
      </c>
      <c r="BA14" s="106">
        <v>500</v>
      </c>
    </row>
    <row r="15" spans="2:503" ht="17.25" thickBot="1">
      <c r="B15" s="136" t="s">
        <v>4</v>
      </c>
      <c r="C15" s="102">
        <f>$E$2*(($L$4+C14*$O$4)*(1+1*$C$3)/($N$4-0.5*$E$2*$C$3))</f>
        <v>224.58022194671537</v>
      </c>
      <c r="D15" s="99">
        <f t="shared" ref="D15:BA15" si="4">$E$2*(($L$4+D14*$O$4)*(1+1*$C$3)/($N$4-0.5*$E$2*$C$3))</f>
        <v>228.73526768115963</v>
      </c>
      <c r="E15" s="99">
        <f t="shared" si="4"/>
        <v>232.89031341560397</v>
      </c>
      <c r="F15" s="99">
        <f t="shared" si="4"/>
        <v>237.04535915004831</v>
      </c>
      <c r="G15" s="99">
        <f t="shared" si="4"/>
        <v>241.20040488449263</v>
      </c>
      <c r="H15" s="99">
        <f t="shared" si="4"/>
        <v>245.35545061893697</v>
      </c>
      <c r="I15" s="99">
        <f t="shared" si="4"/>
        <v>249.51049635338126</v>
      </c>
      <c r="J15" s="99">
        <f t="shared" si="4"/>
        <v>253.66554208782554</v>
      </c>
      <c r="K15" s="99">
        <f t="shared" si="4"/>
        <v>257.82058782226989</v>
      </c>
      <c r="L15" s="99">
        <f t="shared" si="4"/>
        <v>261.97563355671417</v>
      </c>
      <c r="M15" s="99">
        <f t="shared" si="4"/>
        <v>266.13067929115851</v>
      </c>
      <c r="N15" s="99">
        <f t="shared" si="4"/>
        <v>270.28572502560286</v>
      </c>
      <c r="O15" s="99">
        <f t="shared" si="4"/>
        <v>274.44077076004714</v>
      </c>
      <c r="P15" s="99">
        <f t="shared" si="4"/>
        <v>278.59581649449149</v>
      </c>
      <c r="Q15" s="99">
        <f t="shared" si="4"/>
        <v>282.75086222893583</v>
      </c>
      <c r="R15" s="99">
        <f t="shared" si="4"/>
        <v>286.90590796338012</v>
      </c>
      <c r="S15" s="99">
        <f t="shared" si="4"/>
        <v>291.0609536978244</v>
      </c>
      <c r="T15" s="99">
        <f t="shared" si="4"/>
        <v>295.21599943226875</v>
      </c>
      <c r="U15" s="99">
        <f t="shared" si="4"/>
        <v>299.37104516671303</v>
      </c>
      <c r="V15" s="99">
        <f t="shared" si="4"/>
        <v>303.52609090115737</v>
      </c>
      <c r="W15" s="99">
        <f t="shared" si="4"/>
        <v>307.68113663560166</v>
      </c>
      <c r="X15" s="99">
        <f t="shared" si="4"/>
        <v>311.83618237004606</v>
      </c>
      <c r="Y15" s="99">
        <f t="shared" si="4"/>
        <v>315.99122810449035</v>
      </c>
      <c r="Z15" s="99">
        <f t="shared" si="4"/>
        <v>320.14627383893469</v>
      </c>
      <c r="AA15" s="99">
        <f t="shared" si="4"/>
        <v>324.30131957337903</v>
      </c>
      <c r="AB15" s="99">
        <f t="shared" si="4"/>
        <v>328.45636530782326</v>
      </c>
      <c r="AC15" s="99">
        <f t="shared" si="4"/>
        <v>332.6114110422676</v>
      </c>
      <c r="AD15" s="99">
        <f t="shared" si="4"/>
        <v>336.76645677671189</v>
      </c>
      <c r="AE15" s="99">
        <f t="shared" si="4"/>
        <v>340.92150251115623</v>
      </c>
      <c r="AF15" s="99">
        <f t="shared" si="4"/>
        <v>345.07654824560058</v>
      </c>
      <c r="AG15" s="99">
        <f t="shared" si="4"/>
        <v>349.23159398004486</v>
      </c>
      <c r="AH15" s="99">
        <f t="shared" si="4"/>
        <v>353.38663971448921</v>
      </c>
      <c r="AI15" s="99">
        <f t="shared" si="4"/>
        <v>357.54168544893349</v>
      </c>
      <c r="AJ15" s="99">
        <f t="shared" si="4"/>
        <v>361.69673118337784</v>
      </c>
      <c r="AK15" s="99">
        <f t="shared" si="4"/>
        <v>365.85177691782218</v>
      </c>
      <c r="AL15" s="99">
        <f t="shared" si="4"/>
        <v>370.00682265226646</v>
      </c>
      <c r="AM15" s="99">
        <f t="shared" si="4"/>
        <v>374.16186838671075</v>
      </c>
      <c r="AN15" s="99">
        <f t="shared" si="4"/>
        <v>378.31691412115504</v>
      </c>
      <c r="AO15" s="99">
        <f t="shared" si="4"/>
        <v>382.47195985559938</v>
      </c>
      <c r="AP15" s="99">
        <f t="shared" si="4"/>
        <v>386.62700559004372</v>
      </c>
      <c r="AQ15" s="99">
        <f t="shared" si="4"/>
        <v>390.78205132448807</v>
      </c>
      <c r="AR15" s="99">
        <f t="shared" si="4"/>
        <v>394.93709705893235</v>
      </c>
      <c r="AS15" s="99">
        <f t="shared" si="4"/>
        <v>399.09214279337669</v>
      </c>
      <c r="AT15" s="99">
        <f t="shared" si="4"/>
        <v>403.24718852782098</v>
      </c>
      <c r="AU15" s="99">
        <f t="shared" si="4"/>
        <v>407.40223426226532</v>
      </c>
      <c r="AV15" s="99">
        <f t="shared" si="4"/>
        <v>411.55727999670967</v>
      </c>
      <c r="AW15" s="99">
        <f t="shared" si="4"/>
        <v>415.71232573115395</v>
      </c>
      <c r="AX15" s="99">
        <f t="shared" si="4"/>
        <v>419.86737146559824</v>
      </c>
      <c r="AY15" s="99">
        <f t="shared" si="4"/>
        <v>424.02241720004253</v>
      </c>
      <c r="AZ15" s="99">
        <f t="shared" si="4"/>
        <v>428.17746293448687</v>
      </c>
      <c r="BA15" s="100">
        <f t="shared" si="4"/>
        <v>432.33250866893127</v>
      </c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  <c r="IW15" s="84"/>
      <c r="IX15" s="84"/>
      <c r="IY15" s="84"/>
      <c r="IZ15" s="84"/>
      <c r="JA15" s="84"/>
      <c r="JB15" s="84"/>
      <c r="JC15" s="84"/>
      <c r="JD15" s="84"/>
      <c r="JE15" s="84"/>
      <c r="JF15" s="84"/>
      <c r="JG15" s="84"/>
      <c r="JH15" s="84"/>
      <c r="JI15" s="84"/>
      <c r="JJ15" s="84"/>
      <c r="JK15" s="84"/>
      <c r="JL15" s="84"/>
      <c r="JM15" s="84"/>
      <c r="JN15" s="84"/>
      <c r="JO15" s="84"/>
      <c r="JP15" s="84"/>
      <c r="JQ15" s="84"/>
      <c r="JR15" s="84"/>
      <c r="JS15" s="84"/>
      <c r="JT15" s="84"/>
      <c r="JU15" s="84"/>
      <c r="JV15" s="84"/>
      <c r="JW15" s="84"/>
      <c r="JX15" s="84"/>
      <c r="JY15" s="84"/>
      <c r="JZ15" s="84"/>
      <c r="KA15" s="84"/>
      <c r="KB15" s="84"/>
      <c r="KC15" s="84"/>
      <c r="KD15" s="84"/>
      <c r="KE15" s="84"/>
      <c r="KF15" s="84"/>
      <c r="KG15" s="84"/>
      <c r="KH15" s="84"/>
      <c r="KI15" s="84"/>
      <c r="KJ15" s="84"/>
      <c r="KK15" s="84"/>
      <c r="KL15" s="84"/>
      <c r="KM15" s="84"/>
      <c r="KN15" s="84"/>
      <c r="KO15" s="84"/>
      <c r="KP15" s="84"/>
      <c r="KQ15" s="84"/>
      <c r="KR15" s="84"/>
      <c r="KS15" s="84"/>
      <c r="KT15" s="84"/>
      <c r="KU15" s="84"/>
      <c r="KV15" s="84"/>
      <c r="KW15" s="84"/>
      <c r="KX15" s="84"/>
      <c r="KY15" s="84"/>
      <c r="KZ15" s="84"/>
      <c r="LA15" s="84"/>
      <c r="LB15" s="84"/>
      <c r="LC15" s="84"/>
      <c r="LD15" s="84"/>
      <c r="LE15" s="84"/>
      <c r="LF15" s="84"/>
      <c r="LG15" s="84"/>
      <c r="LH15" s="84"/>
      <c r="LI15" s="84"/>
      <c r="LJ15" s="84"/>
      <c r="LK15" s="84"/>
      <c r="LL15" s="84"/>
      <c r="LM15" s="84"/>
      <c r="LN15" s="84"/>
      <c r="LO15" s="84"/>
      <c r="LP15" s="84"/>
      <c r="LQ15" s="84"/>
      <c r="LR15" s="84"/>
      <c r="LS15" s="84"/>
      <c r="LT15" s="84"/>
      <c r="LU15" s="84"/>
      <c r="LV15" s="84"/>
      <c r="LW15" s="84"/>
      <c r="LX15" s="84"/>
      <c r="LY15" s="84"/>
      <c r="LZ15" s="84"/>
      <c r="MA15" s="84"/>
      <c r="MB15" s="84"/>
      <c r="MC15" s="84"/>
      <c r="MD15" s="84"/>
      <c r="ME15" s="84"/>
      <c r="MF15" s="84"/>
      <c r="MG15" s="84"/>
      <c r="MH15" s="84"/>
      <c r="MI15" s="84"/>
      <c r="MJ15" s="84"/>
      <c r="MK15" s="84"/>
      <c r="ML15" s="84"/>
      <c r="MM15" s="84"/>
      <c r="MN15" s="84"/>
      <c r="MO15" s="84"/>
      <c r="MP15" s="84"/>
      <c r="MQ15" s="84"/>
      <c r="MR15" s="84"/>
      <c r="MS15" s="84"/>
      <c r="MT15" s="84"/>
      <c r="MU15" s="84"/>
      <c r="MV15" s="84"/>
      <c r="MW15" s="84"/>
      <c r="MX15" s="84"/>
      <c r="MY15" s="84"/>
      <c r="MZ15" s="84"/>
      <c r="NA15" s="84"/>
      <c r="NB15" s="84"/>
      <c r="NC15" s="84"/>
      <c r="ND15" s="84"/>
      <c r="NE15" s="84"/>
      <c r="NF15" s="84"/>
      <c r="NG15" s="84"/>
      <c r="NH15" s="84"/>
      <c r="NI15" s="84"/>
      <c r="NJ15" s="84"/>
      <c r="NK15" s="84"/>
      <c r="NL15" s="84"/>
      <c r="NM15" s="84"/>
      <c r="NN15" s="84"/>
      <c r="NO15" s="84"/>
      <c r="NP15" s="84"/>
      <c r="NQ15" s="84"/>
      <c r="NR15" s="84"/>
      <c r="NS15" s="84"/>
      <c r="NT15" s="84"/>
      <c r="NU15" s="84"/>
      <c r="NV15" s="84"/>
      <c r="NW15" s="84"/>
      <c r="NX15" s="84"/>
      <c r="NY15" s="84"/>
      <c r="NZ15" s="84"/>
      <c r="OA15" s="84"/>
      <c r="OB15" s="84"/>
      <c r="OC15" s="84"/>
      <c r="OD15" s="84"/>
      <c r="OE15" s="84"/>
      <c r="OF15" s="84"/>
      <c r="OG15" s="84"/>
      <c r="OH15" s="84"/>
      <c r="OI15" s="84"/>
      <c r="OJ15" s="84"/>
      <c r="OK15" s="84"/>
      <c r="OL15" s="84"/>
      <c r="OM15" s="84"/>
      <c r="ON15" s="84"/>
      <c r="OO15" s="84"/>
      <c r="OP15" s="84"/>
      <c r="OQ15" s="84"/>
      <c r="OR15" s="84"/>
      <c r="OS15" s="84"/>
      <c r="OT15" s="84"/>
      <c r="OU15" s="84"/>
      <c r="OV15" s="84"/>
      <c r="OW15" s="84"/>
      <c r="OX15" s="84"/>
      <c r="OY15" s="84"/>
      <c r="OZ15" s="84"/>
      <c r="PA15" s="84"/>
      <c r="PB15" s="84"/>
      <c r="PC15" s="84"/>
      <c r="PD15" s="84"/>
      <c r="PE15" s="84"/>
      <c r="PF15" s="84"/>
      <c r="PG15" s="84"/>
      <c r="PH15" s="84"/>
      <c r="PI15" s="84"/>
      <c r="PJ15" s="84"/>
      <c r="PK15" s="84"/>
      <c r="PL15" s="84"/>
      <c r="PM15" s="84"/>
      <c r="PN15" s="84"/>
      <c r="PO15" s="84"/>
      <c r="PP15" s="84"/>
      <c r="PQ15" s="84"/>
      <c r="PR15" s="84"/>
      <c r="PS15" s="84"/>
      <c r="PT15" s="84"/>
      <c r="PU15" s="84"/>
      <c r="PV15" s="84"/>
      <c r="PW15" s="84"/>
      <c r="PX15" s="84"/>
      <c r="PY15" s="84"/>
      <c r="PZ15" s="84"/>
      <c r="QA15" s="84"/>
      <c r="QB15" s="84"/>
      <c r="QC15" s="84"/>
      <c r="QD15" s="84"/>
      <c r="QE15" s="84"/>
      <c r="QF15" s="84"/>
      <c r="QG15" s="84"/>
      <c r="QH15" s="84"/>
      <c r="QI15" s="84"/>
      <c r="QJ15" s="84"/>
      <c r="QK15" s="84"/>
      <c r="QL15" s="84"/>
      <c r="QM15" s="84"/>
      <c r="QN15" s="84"/>
      <c r="QO15" s="84"/>
      <c r="QP15" s="84"/>
      <c r="QQ15" s="84"/>
      <c r="QR15" s="84"/>
      <c r="QS15" s="84"/>
      <c r="QT15" s="84"/>
      <c r="QU15" s="84"/>
      <c r="QV15" s="84"/>
      <c r="QW15" s="84"/>
      <c r="QX15" s="84"/>
      <c r="QY15" s="84"/>
      <c r="QZ15" s="84"/>
      <c r="RA15" s="84"/>
      <c r="RB15" s="84"/>
      <c r="RC15" s="84"/>
      <c r="RD15" s="84"/>
      <c r="RE15" s="84"/>
      <c r="RF15" s="84"/>
      <c r="RG15" s="84"/>
      <c r="RH15" s="84"/>
      <c r="RI15" s="84"/>
      <c r="RJ15" s="84"/>
      <c r="RK15" s="84"/>
      <c r="RL15" s="84"/>
      <c r="RM15" s="84"/>
      <c r="RN15" s="84"/>
      <c r="RO15" s="84"/>
      <c r="RP15" s="84"/>
      <c r="RQ15" s="84"/>
      <c r="RR15" s="84"/>
      <c r="RS15" s="84"/>
      <c r="RT15" s="84"/>
      <c r="RU15" s="84"/>
      <c r="RV15" s="84"/>
      <c r="RW15" s="84"/>
      <c r="RX15" s="84"/>
      <c r="RY15" s="84"/>
      <c r="RZ15" s="84"/>
      <c r="SA15" s="84"/>
      <c r="SB15" s="84"/>
      <c r="SC15" s="84"/>
      <c r="SD15" s="84"/>
      <c r="SE15" s="84"/>
      <c r="SF15" s="84"/>
      <c r="SG15" s="84"/>
      <c r="SH15" s="84"/>
      <c r="SI15" s="84"/>
    </row>
    <row r="29" spans="2:11" ht="17.25" thickBot="1"/>
    <row r="30" spans="2:11" ht="17.25" thickBot="1">
      <c r="B30" s="112" t="s">
        <v>57</v>
      </c>
      <c r="C30" s="15" t="s">
        <v>4</v>
      </c>
      <c r="D30" s="111" t="s">
        <v>5</v>
      </c>
    </row>
    <row r="31" spans="2:11">
      <c r="B31" s="137" t="s">
        <v>45</v>
      </c>
      <c r="C31" s="130">
        <v>4.8459000000000003</v>
      </c>
      <c r="D31" s="110">
        <f>C31/C33</f>
        <v>11.662815884476535</v>
      </c>
      <c r="F31" s="132" t="s">
        <v>94</v>
      </c>
      <c r="G31" s="192" t="s">
        <v>73</v>
      </c>
      <c r="H31" s="193"/>
      <c r="I31" s="193" t="s">
        <v>76</v>
      </c>
      <c r="J31" s="193"/>
      <c r="K31" s="197"/>
    </row>
    <row r="32" spans="2:11">
      <c r="B32" s="133" t="s">
        <v>46</v>
      </c>
      <c r="C32" s="131">
        <v>5.9774000000000003</v>
      </c>
      <c r="D32" s="108">
        <f>C32/C33</f>
        <v>14.386040914560771</v>
      </c>
      <c r="F32" s="133" t="s">
        <v>93</v>
      </c>
      <c r="G32" s="194" t="s">
        <v>74</v>
      </c>
      <c r="H32" s="195"/>
      <c r="I32" s="195" t="s">
        <v>77</v>
      </c>
      <c r="J32" s="195"/>
      <c r="K32" s="196"/>
    </row>
    <row r="33" spans="2:11" ht="17.25" thickBot="1">
      <c r="B33" s="136" t="s">
        <v>55</v>
      </c>
      <c r="C33" s="116">
        <v>0.41549999999999998</v>
      </c>
      <c r="D33" s="109"/>
      <c r="F33" s="133" t="s">
        <v>92</v>
      </c>
      <c r="G33" s="194" t="s">
        <v>71</v>
      </c>
      <c r="H33" s="195"/>
      <c r="I33" s="195" t="s">
        <v>78</v>
      </c>
      <c r="J33" s="195"/>
      <c r="K33" s="196"/>
    </row>
    <row r="34" spans="2:11">
      <c r="F34" s="133" t="s">
        <v>91</v>
      </c>
      <c r="G34" s="194" t="s">
        <v>72</v>
      </c>
      <c r="H34" s="195"/>
      <c r="I34" s="195" t="s">
        <v>75</v>
      </c>
      <c r="J34" s="195"/>
      <c r="K34" s="196"/>
    </row>
    <row r="35" spans="2:11">
      <c r="F35" s="133" t="s">
        <v>91</v>
      </c>
      <c r="G35" s="194" t="s">
        <v>79</v>
      </c>
      <c r="H35" s="195"/>
      <c r="I35" s="195" t="s">
        <v>80</v>
      </c>
      <c r="J35" s="195"/>
      <c r="K35" s="196"/>
    </row>
    <row r="36" spans="2:11" ht="17.25" thickBot="1">
      <c r="F36" s="140" t="s">
        <v>90</v>
      </c>
      <c r="G36" s="198" t="s">
        <v>87</v>
      </c>
      <c r="H36" s="199"/>
      <c r="I36" s="199" t="s">
        <v>88</v>
      </c>
      <c r="J36" s="199"/>
      <c r="K36" s="200"/>
    </row>
    <row r="37" spans="2:11">
      <c r="F37" s="165" t="s">
        <v>89</v>
      </c>
      <c r="G37" s="192" t="s">
        <v>81</v>
      </c>
      <c r="H37" s="193"/>
      <c r="I37" s="193" t="s">
        <v>82</v>
      </c>
      <c r="J37" s="193"/>
      <c r="K37" s="197"/>
    </row>
    <row r="38" spans="2:11">
      <c r="F38" s="166"/>
      <c r="G38" s="194" t="s">
        <v>83</v>
      </c>
      <c r="H38" s="195"/>
      <c r="I38" s="195" t="s">
        <v>84</v>
      </c>
      <c r="J38" s="195"/>
      <c r="K38" s="196"/>
    </row>
    <row r="39" spans="2:11">
      <c r="F39" s="166"/>
      <c r="G39" s="194" t="s">
        <v>85</v>
      </c>
      <c r="H39" s="195"/>
      <c r="I39" s="195" t="s">
        <v>86</v>
      </c>
      <c r="J39" s="195"/>
      <c r="K39" s="196"/>
    </row>
    <row r="40" spans="2:11" ht="17.25" thickBot="1">
      <c r="F40" s="178"/>
      <c r="G40" s="189" t="s">
        <v>70</v>
      </c>
      <c r="H40" s="190"/>
      <c r="I40" s="190" t="s">
        <v>99</v>
      </c>
      <c r="J40" s="190"/>
      <c r="K40" s="191"/>
    </row>
  </sheetData>
  <mergeCells count="23">
    <mergeCell ref="G39:H39"/>
    <mergeCell ref="G34:H34"/>
    <mergeCell ref="I37:K37"/>
    <mergeCell ref="I35:K35"/>
    <mergeCell ref="G35:H35"/>
    <mergeCell ref="G37:H37"/>
    <mergeCell ref="G38:H38"/>
    <mergeCell ref="F37:F40"/>
    <mergeCell ref="G40:H40"/>
    <mergeCell ref="I40:K40"/>
    <mergeCell ref="F2:F5"/>
    <mergeCell ref="G2:G5"/>
    <mergeCell ref="G31:H31"/>
    <mergeCell ref="G32:H32"/>
    <mergeCell ref="G33:H33"/>
    <mergeCell ref="I34:K34"/>
    <mergeCell ref="I33:K33"/>
    <mergeCell ref="I32:K32"/>
    <mergeCell ref="I31:K31"/>
    <mergeCell ref="G36:H36"/>
    <mergeCell ref="I36:K36"/>
    <mergeCell ref="I39:K39"/>
    <mergeCell ref="I38:K38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테이블</vt:lpstr>
      <vt:lpstr>스탯효율</vt:lpstr>
      <vt:lpstr>풀버프 스탯효율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</dc:creator>
  <cp:lastModifiedBy>naz</cp:lastModifiedBy>
  <dcterms:created xsi:type="dcterms:W3CDTF">2020-03-04T07:08:06Z</dcterms:created>
  <dcterms:modified xsi:type="dcterms:W3CDTF">2020-05-13T07:23:18Z</dcterms:modified>
</cp:coreProperties>
</file>