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메디아 정식" sheetId="1" r:id="rId4"/>
    <sheet state="visible" name="발렌시아 정식" sheetId="2" r:id="rId5"/>
    <sheet state="visible" name="데이터" sheetId="3" r:id="rId6"/>
  </sheets>
  <definedNames/>
  <calcPr/>
</workbook>
</file>

<file path=xl/sharedStrings.xml><?xml version="1.0" encoding="utf-8"?>
<sst xmlns="http://schemas.openxmlformats.org/spreadsheetml/2006/main" count="474" uniqueCount="97">
  <si>
    <t>내 공헌도</t>
  </si>
  <si>
    <t>하루분 납품 가능 상자</t>
  </si>
  <si>
    <t>마노스 착용시 배율</t>
  </si>
  <si>
    <t>크리율 고정</t>
  </si>
  <si>
    <t>일주일분 납품 가능 상자</t>
  </si>
  <si>
    <t>은자수 착용시 배율</t>
  </si>
  <si>
    <t>메디아 정식으로 황납을 준비할 경우</t>
  </si>
  <si>
    <t>일주일분 필요 재료</t>
  </si>
  <si>
    <t>순서</t>
  </si>
  <si>
    <t>요리명</t>
  </si>
  <si>
    <t>재료명</t>
  </si>
  <si>
    <t>재료수량</t>
  </si>
  <si>
    <t>1회분 수량</t>
  </si>
  <si>
    <t>재료 수량</t>
  </si>
  <si>
    <t>1회분수량</t>
  </si>
  <si>
    <t>구분</t>
  </si>
  <si>
    <t>필요 요리수</t>
  </si>
  <si>
    <t>황납상자 수량</t>
  </si>
  <si>
    <t>필요 수량</t>
  </si>
  <si>
    <t>식초</t>
  </si>
  <si>
    <t>곡물</t>
  </si>
  <si>
    <t>암흑푸딩</t>
  </si>
  <si>
    <t>오트밀</t>
  </si>
  <si>
    <t>일반 메디아 정식</t>
  </si>
  <si>
    <t>과일</t>
  </si>
  <si>
    <t>가축 피</t>
  </si>
  <si>
    <t>특제 메디아 정식</t>
  </si>
  <si>
    <t>발효제</t>
  </si>
  <si>
    <t>닭고기</t>
  </si>
  <si>
    <t>계</t>
  </si>
  <si>
    <t>설탕</t>
  </si>
  <si>
    <t>채소절임</t>
  </si>
  <si>
    <t>요리 횟수</t>
  </si>
  <si>
    <t>1. 본인의 공헌도를 입력하세요</t>
  </si>
  <si>
    <t>요리 결과물</t>
  </si>
  <si>
    <t>2. 본인의 요리복에 따른 배율을 입력하세요</t>
  </si>
  <si>
    <t>술의정수</t>
  </si>
  <si>
    <t>곡물가루</t>
  </si>
  <si>
    <t>살코기 샐러드</t>
  </si>
  <si>
    <t>고기</t>
  </si>
  <si>
    <t xml:space="preserve">   - 모든 계산은 마지막 정식류를 만들때에만</t>
  </si>
  <si>
    <t xml:space="preserve">     마노스 요리복을 착용하는것으로 작성되었습니다</t>
  </si>
  <si>
    <t>후추</t>
  </si>
  <si>
    <t xml:space="preserve">   -본인의 배율을 모르실 경우 1,000회분 몇번 돌려보시고</t>
  </si>
  <si>
    <t>드레싱</t>
  </si>
  <si>
    <t xml:space="preserve">    1,000회 제작했을시 결과물이 몇개나 나오는지 보시면 됩니다.</t>
  </si>
  <si>
    <t>3. 메디아, 발렌시아 정식의 노란색 칸에 추가 제작 불필요라고</t>
  </si>
  <si>
    <t>채소</t>
  </si>
  <si>
    <t xml:space="preserve">   뜰때까지 값을 조정해주세요</t>
  </si>
  <si>
    <t>이국의 곡주</t>
  </si>
  <si>
    <t>곡물반죽</t>
  </si>
  <si>
    <t>4. 우측 일주일분 필요 재료란 참고해서 재료 준비해주세요</t>
  </si>
  <si>
    <t>생수</t>
  </si>
  <si>
    <t>5. 번호 순서에 의한 제작을 시작하시면 됩니다.</t>
  </si>
  <si>
    <t xml:space="preserve">                                 *추가 안내*
1. 본인이 은자수 또는 마노스 요리복만 있으시거나
    처음부터 끝까지 한 종류의 복장만 사용하시는 분들은 
    상단 배율 입력칸 2곳 모두 동일한 배율로 입력하시면 됩니다.
    예) 본인이 은자수 요리복만 사용하는경우,
          마노스 착용시 배율 : 2.6 / 은자수 착용시 배율 : 2.6 입력
2. 모든 데이터는 근사치이며 100% 완벽한 수치는 아닙니다.
</t>
  </si>
  <si>
    <t>달걀</t>
  </si>
  <si>
    <t>올리브오일</t>
  </si>
  <si>
    <t>구운 소시지</t>
  </si>
  <si>
    <t>소금</t>
  </si>
  <si>
    <t>양파</t>
  </si>
  <si>
    <t>우유</t>
  </si>
  <si>
    <t>메디아 정식</t>
  </si>
  <si>
    <t>식용벌꿀</t>
  </si>
  <si>
    <t>발렌시아 정식으로 황납을 준비할 경우</t>
  </si>
  <si>
    <t>테프 샌드위치</t>
  </si>
  <si>
    <t>테프빵</t>
  </si>
  <si>
    <t>일반 발렌시아 정식</t>
  </si>
  <si>
    <t>프리카 뱀스튜</t>
  </si>
  <si>
    <t>특제 발렌시아 정식</t>
  </si>
  <si>
    <t>전갈구이</t>
  </si>
  <si>
    <t>레드소스</t>
  </si>
  <si>
    <t>대추 야자주</t>
  </si>
  <si>
    <t>대추야자</t>
  </si>
  <si>
    <t>무화과 파이</t>
  </si>
  <si>
    <t>무화과</t>
  </si>
  <si>
    <t>올리브 오일</t>
  </si>
  <si>
    <t>테프가루</t>
  </si>
  <si>
    <t>정글 햄버그</t>
  </si>
  <si>
    <t>사자고기</t>
  </si>
  <si>
    <t>육두구</t>
  </si>
  <si>
    <t>프리카</t>
  </si>
  <si>
    <t>뱀고기</t>
  </si>
  <si>
    <t>발렌시아 정식</t>
  </si>
  <si>
    <t>쿠스쿠스</t>
  </si>
  <si>
    <t>팔각</t>
  </si>
  <si>
    <t>테프가루 반죽</t>
  </si>
  <si>
    <t>정식 이름</t>
  </si>
  <si>
    <t>필요 갯수</t>
  </si>
  <si>
    <t>음식 이름</t>
  </si>
  <si>
    <t>배율 적용</t>
  </si>
  <si>
    <t>재료</t>
  </si>
  <si>
    <t>정식 총 제작 횟수</t>
  </si>
  <si>
    <t>전갈고기</t>
  </si>
  <si>
    <t>고추</t>
  </si>
  <si>
    <t>버터</t>
  </si>
  <si>
    <t>베이스소스</t>
  </si>
  <si>
    <t>대추야자주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</si>
</sst>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10">
    <font>
      <sz val="10.0"/>
      <color rgb="FF000000"/>
      <name val="Arial"/>
    </font>
    <font>
      <b/>
      <sz val="9.0"/>
      <color theme="1"/>
      <name val="Malgun Gothic"/>
    </font>
    <font/>
    <font>
      <b/>
      <sz val="9.0"/>
      <name val="Malgun Gothic"/>
    </font>
    <font>
      <b/>
      <sz val="9.0"/>
      <color rgb="FFFF0000"/>
      <name val="Malgun Gothic"/>
    </font>
    <font>
      <b/>
      <sz val="9.0"/>
      <color rgb="FFFF0000"/>
      <name val="Arial"/>
    </font>
    <font>
      <color rgb="FFFF0000"/>
    </font>
    <font>
      <b/>
      <sz val="9.0"/>
      <color rgb="FF0000FF"/>
      <name val="Malgun Gothic"/>
    </font>
    <font>
      <b/>
      <sz val="8.0"/>
      <name val="Malgun Gothic"/>
    </font>
    <font>
      <b/>
      <sz val="8.0"/>
      <color theme="1"/>
      <name val="Malgun Gothic"/>
    </font>
  </fonts>
  <fills count="7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horizontal="center"/>
    </xf>
    <xf borderId="1" fillId="2" fontId="1" numFmtId="3" xfId="0" applyAlignment="1" applyBorder="1" applyFill="1" applyFont="1" applyNumberFormat="1">
      <alignment horizontal="center" readingOrder="0" vertical="center"/>
    </xf>
    <xf borderId="1" fillId="3" fontId="1" numFmtId="3" xfId="0" applyAlignment="1" applyBorder="1" applyFill="1" applyFont="1" applyNumberFormat="1">
      <alignment horizontal="center" readingOrder="0" vertical="center"/>
    </xf>
    <xf borderId="2" fillId="2" fontId="1" numFmtId="3" xfId="0" applyAlignment="1" applyBorder="1" applyFont="1" applyNumberFormat="1">
      <alignment horizontal="center" readingOrder="0"/>
    </xf>
    <xf borderId="2" fillId="2" fontId="1" numFmtId="3" xfId="0" applyAlignment="1" applyBorder="1" applyFont="1" applyNumberFormat="1">
      <alignment horizontal="center"/>
    </xf>
    <xf borderId="2" fillId="3" fontId="1" numFmtId="164" xfId="0" applyAlignment="1" applyBorder="1" applyFont="1" applyNumberFormat="1">
      <alignment horizontal="center" readingOrder="0"/>
    </xf>
    <xf borderId="1" fillId="2" fontId="1" numFmtId="164" xfId="0" applyAlignment="1" applyBorder="1" applyFont="1" applyNumberFormat="1">
      <alignment horizontal="center" readingOrder="0" vertical="center"/>
    </xf>
    <xf borderId="3" fillId="0" fontId="2" numFmtId="0" xfId="0" applyBorder="1" applyFont="1"/>
    <xf borderId="4" fillId="2" fontId="1" numFmtId="3" xfId="0" applyAlignment="1" applyBorder="1" applyFont="1" applyNumberForma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4" fillId="4" fontId="1" numFmtId="3" xfId="0" applyAlignment="1" applyBorder="1" applyFill="1" applyFont="1" applyNumberFormat="1">
      <alignment horizontal="center" readingOrder="0"/>
    </xf>
    <xf borderId="2" fillId="5" fontId="1" numFmtId="3" xfId="0" applyAlignment="1" applyBorder="1" applyFill="1" applyFont="1" applyNumberFormat="1">
      <alignment horizontal="center" readingOrder="0"/>
    </xf>
    <xf borderId="2" fillId="4" fontId="1" numFmtId="3" xfId="0" applyAlignment="1" applyBorder="1" applyFont="1" applyNumberFormat="1">
      <alignment horizontal="center"/>
    </xf>
    <xf borderId="2" fillId="4" fontId="1" numFmtId="3" xfId="0" applyAlignment="1" applyBorder="1" applyFont="1" applyNumberFormat="1">
      <alignment horizontal="center" readingOrder="0"/>
    </xf>
    <xf borderId="1" fillId="5" fontId="1" numFmtId="3" xfId="0" applyAlignment="1" applyBorder="1" applyFont="1" applyNumberFormat="1">
      <alignment horizontal="center" readingOrder="0" vertical="center"/>
    </xf>
    <xf borderId="2" fillId="3" fontId="3" numFmtId="3" xfId="0" applyAlignment="1" applyBorder="1" applyFont="1" applyNumberFormat="1">
      <alignment horizontal="center" readingOrder="0"/>
    </xf>
    <xf borderId="7" fillId="0" fontId="2" numFmtId="0" xfId="0" applyBorder="1" applyFont="1"/>
    <xf borderId="4" fillId="5" fontId="1" numFmtId="3" xfId="0" applyAlignment="1" applyBorder="1" applyFont="1" applyNumberFormat="1">
      <alignment horizontal="center"/>
    </xf>
    <xf borderId="0" fillId="0" fontId="4" numFmtId="3" xfId="0" applyAlignment="1" applyFont="1" applyNumberFormat="1">
      <alignment horizontal="left" readingOrder="0"/>
    </xf>
    <xf borderId="2" fillId="5" fontId="1" numFmtId="3" xfId="0" applyAlignment="1" applyBorder="1" applyFont="1" applyNumberFormat="1">
      <alignment horizontal="center"/>
    </xf>
    <xf borderId="0" fillId="6" fontId="5" numFmtId="0" xfId="0" applyAlignment="1" applyFill="1" applyFont="1">
      <alignment horizontal="left" readingOrder="0"/>
    </xf>
    <xf borderId="0" fillId="0" fontId="6" numFmtId="0" xfId="0" applyFont="1"/>
    <xf borderId="0" fillId="0" fontId="1" numFmtId="3" xfId="0" applyAlignment="1" applyFont="1" applyNumberFormat="1">
      <alignment horizontal="center" readingOrder="0"/>
    </xf>
    <xf borderId="0" fillId="0" fontId="7" numFmtId="0" xfId="0" applyAlignment="1" applyFont="1">
      <alignment readingOrder="0" vertical="top"/>
    </xf>
    <xf borderId="4" fillId="2" fontId="1" numFmtId="0" xfId="0" applyAlignment="1" applyBorder="1" applyFont="1">
      <alignment horizontal="center" readingOrder="0"/>
    </xf>
    <xf borderId="2" fillId="2" fontId="3" numFmtId="3" xfId="0" applyAlignment="1" applyBorder="1" applyFont="1" applyNumberFormat="1">
      <alignment horizontal="center" readingOrder="0"/>
    </xf>
    <xf borderId="2" fillId="5" fontId="3" numFmtId="3" xfId="0" applyAlignment="1" applyBorder="1" applyFont="1" applyNumberFormat="1">
      <alignment horizontal="center" readingOrder="0"/>
    </xf>
    <xf borderId="1" fillId="4" fontId="1" numFmtId="3" xfId="0" applyAlignment="1" applyBorder="1" applyFont="1" applyNumberFormat="1">
      <alignment horizontal="center"/>
    </xf>
    <xf borderId="0" fillId="0" fontId="8" numFmtId="3" xfId="0" applyAlignment="1" applyFont="1" applyNumberFormat="1">
      <alignment horizontal="center"/>
    </xf>
    <xf borderId="0" fillId="0" fontId="8" numFmtId="3" xfId="0" applyAlignment="1" applyFont="1" applyNumberFormat="1">
      <alignment horizontal="center" readingOrder="0"/>
    </xf>
    <xf borderId="0" fillId="0" fontId="9" numFmtId="3" xfId="0" applyAlignment="1" applyFont="1" applyNumberFormat="1">
      <alignment horizontal="center" readingOrder="0"/>
    </xf>
    <xf borderId="0" fillId="0" fontId="9" numFmtId="3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14"/>
    <col customWidth="1" min="4" max="4" width="20.14"/>
    <col customWidth="1" min="6" max="6" width="16.0"/>
    <col customWidth="1" min="7" max="7" width="16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>
        <v>365.0</v>
      </c>
      <c r="D2" s="4" t="s">
        <v>1</v>
      </c>
      <c r="E2" s="5">
        <f>ROUNDDOWN(C2/2,0)</f>
        <v>182</v>
      </c>
      <c r="F2" s="1"/>
      <c r="G2" s="4" t="s">
        <v>2</v>
      </c>
      <c r="H2" s="6">
        <v>3.0</v>
      </c>
      <c r="I2" s="2" t="s">
        <v>3</v>
      </c>
      <c r="J2" s="7">
        <v>3.0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8"/>
      <c r="C3" s="8"/>
      <c r="D3" s="4" t="s">
        <v>4</v>
      </c>
      <c r="E3" s="5">
        <f>E2*7</f>
        <v>1274</v>
      </c>
      <c r="F3" s="1"/>
      <c r="G3" s="4" t="s">
        <v>5</v>
      </c>
      <c r="H3" s="6">
        <v>2.6</v>
      </c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9" t="s">
        <v>6</v>
      </c>
      <c r="C5" s="10"/>
      <c r="D5" s="11"/>
      <c r="E5" s="1"/>
      <c r="F5" s="12" t="s">
        <v>7</v>
      </c>
      <c r="G5" s="11"/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8</v>
      </c>
      <c r="N5" s="13" t="s">
        <v>9</v>
      </c>
      <c r="O5" s="13" t="s">
        <v>10</v>
      </c>
      <c r="P5" s="13" t="s">
        <v>13</v>
      </c>
      <c r="Q5" s="13" t="s">
        <v>14</v>
      </c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 t="s">
        <v>15</v>
      </c>
      <c r="C6" s="4" t="s">
        <v>16</v>
      </c>
      <c r="D6" s="4" t="s">
        <v>17</v>
      </c>
      <c r="E6" s="1"/>
      <c r="F6" s="14" t="str">
        <f>'데이터'!P3</f>
        <v>재료</v>
      </c>
      <c r="G6" s="15" t="s">
        <v>18</v>
      </c>
      <c r="H6" s="16">
        <v>1.0</v>
      </c>
      <c r="I6" s="16" t="s">
        <v>19</v>
      </c>
      <c r="J6" s="13" t="s">
        <v>20</v>
      </c>
      <c r="K6" s="13">
        <f>'데이터'!J13+'데이터'!J20</f>
        <v>4439</v>
      </c>
      <c r="L6" s="13">
        <v>1.0</v>
      </c>
      <c r="M6" s="16">
        <v>6.0</v>
      </c>
      <c r="N6" s="16" t="s">
        <v>21</v>
      </c>
      <c r="O6" s="13" t="s">
        <v>22</v>
      </c>
      <c r="P6" s="13">
        <f>'데이터'!G6</f>
        <v>1924</v>
      </c>
      <c r="Q6" s="13">
        <v>1.0</v>
      </c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4" t="s">
        <v>23</v>
      </c>
      <c r="C7" s="17">
        <v>15000.0</v>
      </c>
      <c r="D7" s="5">
        <f>C7/15</f>
        <v>1000</v>
      </c>
      <c r="E7" s="1"/>
      <c r="F7" s="14" t="str">
        <f>'데이터'!P4</f>
        <v>가축 피</v>
      </c>
      <c r="G7" s="15">
        <f>sumif('데이터'!$P$4:$P$21,F7,'데이터'!$R$4:$R$21)</f>
        <v>13468</v>
      </c>
      <c r="H7" s="18"/>
      <c r="I7" s="18"/>
      <c r="J7" s="13" t="s">
        <v>24</v>
      </c>
      <c r="K7" s="13">
        <f>'데이터'!J14+'데이터'!J21</f>
        <v>4439</v>
      </c>
      <c r="L7" s="13">
        <v>1.0</v>
      </c>
      <c r="M7" s="18"/>
      <c r="N7" s="18"/>
      <c r="O7" s="13" t="s">
        <v>25</v>
      </c>
      <c r="P7" s="13">
        <f>'데이터'!J4</f>
        <v>13468</v>
      </c>
      <c r="Q7" s="13">
        <v>7.0</v>
      </c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4" t="s">
        <v>26</v>
      </c>
      <c r="C8" s="5">
        <f>'데이터'!D6*0.3</f>
        <v>1500</v>
      </c>
      <c r="D8" s="5">
        <f>C8/5</f>
        <v>300</v>
      </c>
      <c r="E8" s="1"/>
      <c r="F8" s="14" t="str">
        <f>'데이터'!P5</f>
        <v>닭고기</v>
      </c>
      <c r="G8" s="15">
        <f>sumif('데이터'!$P$4:$P$21,F8,'데이터'!$R$4:$R$21)</f>
        <v>9620</v>
      </c>
      <c r="H8" s="18"/>
      <c r="I8" s="18"/>
      <c r="J8" s="13" t="s">
        <v>27</v>
      </c>
      <c r="K8" s="13">
        <f>'데이터'!J15+'데이터'!J22</f>
        <v>4439</v>
      </c>
      <c r="L8" s="13">
        <v>1.0</v>
      </c>
      <c r="M8" s="18"/>
      <c r="N8" s="18"/>
      <c r="O8" s="13" t="s">
        <v>28</v>
      </c>
      <c r="P8" s="13">
        <f>'데이터'!J5</f>
        <v>9620</v>
      </c>
      <c r="Q8" s="13">
        <v>5.0</v>
      </c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4" t="s">
        <v>29</v>
      </c>
      <c r="C9" s="5" t="str">
        <f>if(D7+D8&lt;E3,"추가 제작 필요","추가 제작 불필요")</f>
        <v>추가 제작 불필요</v>
      </c>
      <c r="D9" s="5">
        <f>if(C9="추가 제작 불필요",(E3-D7-D8),(E3-D7-D8))</f>
        <v>-26</v>
      </c>
      <c r="E9" s="1"/>
      <c r="F9" s="14" t="str">
        <f>'데이터'!P6</f>
        <v>곡물가루</v>
      </c>
      <c r="G9" s="15">
        <f>sumif('데이터'!$P$4:$P$21,F9,'데이터'!$R$4:$R$21)</f>
        <v>27823</v>
      </c>
      <c r="H9" s="18"/>
      <c r="I9" s="18"/>
      <c r="J9" s="13" t="s">
        <v>30</v>
      </c>
      <c r="K9" s="13">
        <f>'데이터'!J16+'데이터'!J23</f>
        <v>4439</v>
      </c>
      <c r="L9" s="13">
        <v>1.0</v>
      </c>
      <c r="M9" s="18"/>
      <c r="N9" s="18"/>
      <c r="O9" s="13" t="s">
        <v>31</v>
      </c>
      <c r="P9" s="13">
        <f>'데이터'!G10</f>
        <v>1924</v>
      </c>
      <c r="Q9" s="13">
        <v>1.0</v>
      </c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4" t="str">
        <f>'데이터'!P7</f>
        <v>우유</v>
      </c>
      <c r="G10" s="15">
        <f>sumif('데이터'!$P$4:$P$21,F10,'데이터'!$R$4:$R$21)</f>
        <v>7992</v>
      </c>
      <c r="H10" s="18"/>
      <c r="I10" s="18"/>
      <c r="J10" s="13" t="s">
        <v>32</v>
      </c>
      <c r="K10" s="19">
        <f>K6/L6</f>
        <v>4439</v>
      </c>
      <c r="L10" s="11"/>
      <c r="M10" s="18"/>
      <c r="N10" s="18"/>
      <c r="O10" s="13" t="s">
        <v>32</v>
      </c>
      <c r="P10" s="19">
        <f>P6/Q6</f>
        <v>1924</v>
      </c>
      <c r="Q10" s="1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0" t="s">
        <v>33</v>
      </c>
      <c r="E11" s="1"/>
      <c r="F11" s="14" t="str">
        <f>'데이터'!P8</f>
        <v>식용벌꿀</v>
      </c>
      <c r="G11" s="15">
        <f>sumif('데이터'!$P$4:$P$21,F11,'데이터'!$R$4:$R$21)</f>
        <v>5328</v>
      </c>
      <c r="H11" s="8"/>
      <c r="I11" s="8"/>
      <c r="J11" s="13" t="s">
        <v>34</v>
      </c>
      <c r="K11" s="19">
        <f>K10*H3</f>
        <v>11541.4</v>
      </c>
      <c r="L11" s="11"/>
      <c r="M11" s="8"/>
      <c r="N11" s="8"/>
      <c r="O11" s="13" t="s">
        <v>34</v>
      </c>
      <c r="P11" s="19">
        <f>P10*H3</f>
        <v>5002.4</v>
      </c>
      <c r="Q11" s="1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0" t="s">
        <v>35</v>
      </c>
      <c r="E12" s="1"/>
      <c r="F12" s="14" t="str">
        <f>'데이터'!P9</f>
        <v>양파</v>
      </c>
      <c r="G12" s="15">
        <f>sumif('데이터'!$P$4:$P$21,F12,'데이터'!$R$4:$R$21)</f>
        <v>11839</v>
      </c>
      <c r="H12" s="16">
        <v>2.0</v>
      </c>
      <c r="I12" s="16" t="s">
        <v>36</v>
      </c>
      <c r="J12" s="13" t="s">
        <v>37</v>
      </c>
      <c r="K12" s="21">
        <f>'데이터'!J37</f>
        <v>3847</v>
      </c>
      <c r="L12" s="13">
        <v>1.0</v>
      </c>
      <c r="M12" s="16">
        <v>7.0</v>
      </c>
      <c r="N12" s="16" t="s">
        <v>38</v>
      </c>
      <c r="O12" s="13" t="s">
        <v>39</v>
      </c>
      <c r="P12" s="13">
        <f>'데이터'!J18</f>
        <v>15392</v>
      </c>
      <c r="Q12" s="13">
        <v>8.0</v>
      </c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0" t="s">
        <v>40</v>
      </c>
      <c r="E13" s="1"/>
      <c r="F13" s="14" t="str">
        <f>'데이터'!P10</f>
        <v>채소</v>
      </c>
      <c r="G13" s="15">
        <f>sumif('데이터'!$P$4:$P$21,F13,'데이터'!$R$4:$R$21)</f>
        <v>5920</v>
      </c>
      <c r="H13" s="18"/>
      <c r="I13" s="18"/>
      <c r="J13" s="13" t="s">
        <v>24</v>
      </c>
      <c r="K13" s="21">
        <f>'데이터'!J38</f>
        <v>3847</v>
      </c>
      <c r="L13" s="13">
        <v>1.0</v>
      </c>
      <c r="M13" s="18"/>
      <c r="N13" s="18"/>
      <c r="O13" s="13" t="s">
        <v>19</v>
      </c>
      <c r="P13" s="13">
        <f>'데이터'!J19</f>
        <v>5772</v>
      </c>
      <c r="Q13" s="13">
        <v>2.0</v>
      </c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2" t="s">
        <v>41</v>
      </c>
      <c r="C14" s="23"/>
      <c r="D14" s="23"/>
      <c r="E14" s="1"/>
      <c r="F14" s="14" t="str">
        <f>'데이터'!P11</f>
        <v>발효제</v>
      </c>
      <c r="G14" s="15">
        <f>sumif('데이터'!$P$4:$P$21,F14,'데이터'!$R$4:$R$21)</f>
        <v>17460</v>
      </c>
      <c r="H14" s="18"/>
      <c r="I14" s="18"/>
      <c r="J14" s="13" t="s">
        <v>27</v>
      </c>
      <c r="K14" s="21">
        <f>'데이터'!J39</f>
        <v>3847</v>
      </c>
      <c r="L14" s="13">
        <v>1.0</v>
      </c>
      <c r="M14" s="18"/>
      <c r="N14" s="18"/>
      <c r="O14" s="13" t="s">
        <v>42</v>
      </c>
      <c r="P14" s="13">
        <f>'데이터'!J20</f>
        <v>1480</v>
      </c>
      <c r="Q14" s="13">
        <v>3.0</v>
      </c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0" t="s">
        <v>43</v>
      </c>
      <c r="E15" s="1"/>
      <c r="F15" s="14" t="str">
        <f>'데이터'!P12</f>
        <v>설탕</v>
      </c>
      <c r="G15" s="15">
        <f>sumif('데이터'!$P$4:$P$21,F15,'데이터'!$R$4:$R$21)</f>
        <v>5919</v>
      </c>
      <c r="H15" s="18"/>
      <c r="I15" s="18"/>
      <c r="J15" s="13" t="s">
        <v>32</v>
      </c>
      <c r="K15" s="19">
        <f>K12/L12</f>
        <v>3847</v>
      </c>
      <c r="L15" s="11"/>
      <c r="M15" s="18"/>
      <c r="N15" s="18"/>
      <c r="O15" s="13" t="s">
        <v>44</v>
      </c>
      <c r="P15" s="13">
        <f>'데이터'!G24</f>
        <v>7693</v>
      </c>
      <c r="Q15" s="13">
        <v>4.0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2" t="s">
        <v>45</v>
      </c>
      <c r="C16" s="23"/>
      <c r="D16" s="23"/>
      <c r="E16" s="1"/>
      <c r="F16" s="14" t="str">
        <f>'데이터'!P13</f>
        <v>곡물</v>
      </c>
      <c r="G16" s="15">
        <f>sumif('데이터'!$P$4:$P$21,F16,'데이터'!$R$4:$R$21)</f>
        <v>4439</v>
      </c>
      <c r="H16" s="8"/>
      <c r="I16" s="8"/>
      <c r="J16" s="13" t="s">
        <v>34</v>
      </c>
      <c r="K16" s="19">
        <f>K15*H3</f>
        <v>10002.2</v>
      </c>
      <c r="L16" s="11"/>
      <c r="M16" s="18"/>
      <c r="N16" s="18"/>
      <c r="O16" s="13" t="s">
        <v>32</v>
      </c>
      <c r="P16" s="19">
        <f>P12/Q12</f>
        <v>1924</v>
      </c>
      <c r="Q16" s="1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0" t="s">
        <v>46</v>
      </c>
      <c r="E17" s="1"/>
      <c r="F17" s="14" t="str">
        <f>'데이터'!P14</f>
        <v>과일</v>
      </c>
      <c r="G17" s="15">
        <f>sumif('데이터'!$P$4:$P$21,F17,'데이터'!$R$4:$R$21)</f>
        <v>8286</v>
      </c>
      <c r="H17" s="16">
        <v>3.0</v>
      </c>
      <c r="I17" s="16" t="s">
        <v>31</v>
      </c>
      <c r="J17" s="13" t="s">
        <v>47</v>
      </c>
      <c r="K17" s="21">
        <f>'데이터'!J10</f>
        <v>5920</v>
      </c>
      <c r="L17" s="13">
        <v>8.0</v>
      </c>
      <c r="M17" s="8"/>
      <c r="N17" s="8"/>
      <c r="O17" s="13" t="s">
        <v>34</v>
      </c>
      <c r="P17" s="19">
        <f>P16*H3</f>
        <v>5002.4</v>
      </c>
      <c r="Q17" s="1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2" t="s">
        <v>48</v>
      </c>
      <c r="E18" s="1"/>
      <c r="F18" s="14" t="str">
        <f>'데이터'!P15</f>
        <v>고기</v>
      </c>
      <c r="G18" s="15">
        <f>sumif('데이터'!$P$4:$P$21,F18,'데이터'!$R$4:$R$21)</f>
        <v>38474</v>
      </c>
      <c r="H18" s="18"/>
      <c r="I18" s="18"/>
      <c r="J18" s="13" t="s">
        <v>19</v>
      </c>
      <c r="K18" s="21">
        <f>'데이터'!J11</f>
        <v>1480</v>
      </c>
      <c r="L18" s="13">
        <v>4.0</v>
      </c>
      <c r="M18" s="16">
        <v>8.0</v>
      </c>
      <c r="N18" s="16" t="s">
        <v>49</v>
      </c>
      <c r="O18" s="13" t="s">
        <v>50</v>
      </c>
      <c r="P18" s="13">
        <f>'데이터'!J34</f>
        <v>11541</v>
      </c>
      <c r="Q18" s="13">
        <v>3.0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0" t="s">
        <v>51</v>
      </c>
      <c r="E19" s="24"/>
      <c r="F19" s="14" t="str">
        <f>'데이터'!P16</f>
        <v>후추</v>
      </c>
      <c r="G19" s="15">
        <f>sumif('데이터'!$P$4:$P$21,F19,'데이터'!$R$4:$R$21)</f>
        <v>13466</v>
      </c>
      <c r="H19" s="18"/>
      <c r="I19" s="18"/>
      <c r="J19" s="13" t="s">
        <v>27</v>
      </c>
      <c r="K19" s="21">
        <f>'데이터'!J12</f>
        <v>1480</v>
      </c>
      <c r="L19" s="13">
        <v>2.0</v>
      </c>
      <c r="M19" s="18"/>
      <c r="N19" s="18"/>
      <c r="O19" s="13" t="s">
        <v>52</v>
      </c>
      <c r="P19" s="13">
        <f>'데이터'!J35</f>
        <v>19235</v>
      </c>
      <c r="Q19" s="13">
        <v>5.0</v>
      </c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0" t="s">
        <v>53</v>
      </c>
      <c r="E20" s="24"/>
      <c r="F20" s="14" t="str">
        <f>'데이터'!P17</f>
        <v>달걀</v>
      </c>
      <c r="G20" s="15">
        <f>sumif('데이터'!$P$4:$P$21,F20,'데이터'!$R$4:$R$21)</f>
        <v>2959</v>
      </c>
      <c r="H20" s="18"/>
      <c r="I20" s="18"/>
      <c r="J20" s="13" t="s">
        <v>30</v>
      </c>
      <c r="K20" s="21">
        <f>'데이터'!J13</f>
        <v>2959</v>
      </c>
      <c r="L20" s="13">
        <v>2.0</v>
      </c>
      <c r="M20" s="18"/>
      <c r="N20" s="18"/>
      <c r="O20" s="13" t="s">
        <v>36</v>
      </c>
      <c r="P20" s="13">
        <f>'데이터'!G37</f>
        <v>3847</v>
      </c>
      <c r="Q20" s="13">
        <v>1.0</v>
      </c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E21" s="24"/>
      <c r="F21" s="14" t="str">
        <f>'데이터'!P18</f>
        <v>올리브오일</v>
      </c>
      <c r="G21" s="15">
        <f>sumif('데이터'!$P$4:$P$21,F21,'데이터'!$R$4:$R$21)</f>
        <v>2959</v>
      </c>
      <c r="H21" s="18"/>
      <c r="I21" s="18"/>
      <c r="J21" s="13" t="s">
        <v>32</v>
      </c>
      <c r="K21" s="19">
        <f>K17/L17</f>
        <v>740</v>
      </c>
      <c r="L21" s="11"/>
      <c r="M21" s="18"/>
      <c r="N21" s="18"/>
      <c r="O21" s="13" t="s">
        <v>27</v>
      </c>
      <c r="P21" s="13">
        <f>'데이터'!J36</f>
        <v>7694</v>
      </c>
      <c r="Q21" s="13">
        <v>2.0</v>
      </c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25" t="s">
        <v>54</v>
      </c>
      <c r="E22" s="24"/>
      <c r="F22" s="14" t="str">
        <f>'데이터'!P19</f>
        <v>소금</v>
      </c>
      <c r="G22" s="15">
        <f>sumif('데이터'!$P$4:$P$21,F22,'데이터'!$R$4:$R$21)</f>
        <v>13612</v>
      </c>
      <c r="H22" s="8"/>
      <c r="I22" s="8"/>
      <c r="J22" s="13" t="s">
        <v>34</v>
      </c>
      <c r="K22" s="19">
        <f>K21*H3</f>
        <v>1924</v>
      </c>
      <c r="L22" s="11"/>
      <c r="M22" s="18"/>
      <c r="N22" s="18"/>
      <c r="O22" s="13" t="s">
        <v>32</v>
      </c>
      <c r="P22" s="19">
        <f>P18/Q18</f>
        <v>3847</v>
      </c>
      <c r="Q22" s="1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E23" s="24"/>
      <c r="F23" s="14" t="str">
        <f>'데이터'!P20</f>
        <v>생수</v>
      </c>
      <c r="G23" s="15">
        <f>sumif('데이터'!$P$4:$P$21,F23,'데이터'!$R$4:$R$21)</f>
        <v>22194</v>
      </c>
      <c r="H23" s="16">
        <v>4.0</v>
      </c>
      <c r="I23" s="16" t="s">
        <v>44</v>
      </c>
      <c r="J23" s="13" t="s">
        <v>55</v>
      </c>
      <c r="K23" s="21">
        <f>'데이터'!J24</f>
        <v>2959</v>
      </c>
      <c r="L23" s="13">
        <v>1.0</v>
      </c>
      <c r="M23" s="8"/>
      <c r="N23" s="8"/>
      <c r="O23" s="13" t="s">
        <v>34</v>
      </c>
      <c r="P23" s="19">
        <f>P22*H3</f>
        <v>10002.2</v>
      </c>
      <c r="Q23" s="1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E24" s="24"/>
      <c r="F24" s="14" t="str">
        <f>'데이터'!P21</f>
        <v>곡물반죽</v>
      </c>
      <c r="G24" s="15">
        <f>sumif('데이터'!$P$4:$P$21,F24,'데이터'!$R$4:$R$21)</f>
        <v>11541</v>
      </c>
      <c r="H24" s="18"/>
      <c r="I24" s="18"/>
      <c r="J24" s="13" t="s">
        <v>56</v>
      </c>
      <c r="K24" s="21">
        <f>'데이터'!J25</f>
        <v>2959</v>
      </c>
      <c r="L24" s="13">
        <v>1.0</v>
      </c>
      <c r="M24" s="16">
        <v>9.0</v>
      </c>
      <c r="N24" s="16" t="s">
        <v>57</v>
      </c>
      <c r="O24" s="13" t="s">
        <v>39</v>
      </c>
      <c r="P24" s="13">
        <f>'데이터'!J41</f>
        <v>23082</v>
      </c>
      <c r="Q24" s="13">
        <v>6.0</v>
      </c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E25" s="24"/>
      <c r="F25" s="1" t="str">
        <f>'데이터'!P22</f>
        <v/>
      </c>
      <c r="G25" s="1"/>
      <c r="H25" s="18"/>
      <c r="I25" s="18"/>
      <c r="J25" s="13" t="s">
        <v>58</v>
      </c>
      <c r="K25" s="21">
        <f>'데이터'!J26</f>
        <v>5918</v>
      </c>
      <c r="L25" s="13">
        <v>2.0</v>
      </c>
      <c r="M25" s="18"/>
      <c r="N25" s="18"/>
      <c r="O25" s="13" t="s">
        <v>59</v>
      </c>
      <c r="P25" s="13">
        <f>'데이터'!J42</f>
        <v>3847</v>
      </c>
      <c r="Q25" s="13">
        <v>1.0</v>
      </c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E26" s="24"/>
      <c r="F26" s="1" t="str">
        <f>'데이터'!P23</f>
        <v/>
      </c>
      <c r="G26" s="1"/>
      <c r="H26" s="18"/>
      <c r="I26" s="18"/>
      <c r="J26" s="13" t="s">
        <v>52</v>
      </c>
      <c r="K26" s="21">
        <f>'데이터'!J27</f>
        <v>2959</v>
      </c>
      <c r="L26" s="13">
        <v>1.0</v>
      </c>
      <c r="M26" s="18"/>
      <c r="N26" s="18"/>
      <c r="O26" s="13" t="s">
        <v>58</v>
      </c>
      <c r="P26" s="13">
        <f>'데이터'!J43</f>
        <v>7694</v>
      </c>
      <c r="Q26" s="13">
        <v>2.0</v>
      </c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E27" s="24"/>
      <c r="F27" s="1" t="str">
        <f>'데이터'!P24</f>
        <v/>
      </c>
      <c r="G27" s="1"/>
      <c r="H27" s="18"/>
      <c r="I27" s="18"/>
      <c r="J27" s="13" t="s">
        <v>32</v>
      </c>
      <c r="K27" s="19">
        <f>K23/L23</f>
        <v>2959</v>
      </c>
      <c r="L27" s="11"/>
      <c r="M27" s="18"/>
      <c r="N27" s="18"/>
      <c r="O27" s="13" t="s">
        <v>42</v>
      </c>
      <c r="P27" s="13">
        <f>'데이터'!J44</f>
        <v>7694</v>
      </c>
      <c r="Q27" s="13">
        <v>2.0</v>
      </c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E28" s="24"/>
      <c r="F28" s="1" t="str">
        <f>'데이터'!P25</f>
        <v/>
      </c>
      <c r="G28" s="1"/>
      <c r="H28" s="8"/>
      <c r="I28" s="8"/>
      <c r="J28" s="13" t="s">
        <v>34</v>
      </c>
      <c r="K28" s="19">
        <f>K27*H3</f>
        <v>7693.4</v>
      </c>
      <c r="L28" s="11"/>
      <c r="M28" s="18"/>
      <c r="N28" s="18"/>
      <c r="O28" s="13" t="s">
        <v>32</v>
      </c>
      <c r="P28" s="19">
        <f>P24/Q24</f>
        <v>3847</v>
      </c>
      <c r="Q28" s="1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E29" s="24"/>
      <c r="F29" s="1" t="str">
        <f>'데이터'!P26</f>
        <v/>
      </c>
      <c r="G29" s="1"/>
      <c r="H29" s="16">
        <v>5.0</v>
      </c>
      <c r="I29" s="16" t="s">
        <v>22</v>
      </c>
      <c r="J29" s="13" t="s">
        <v>37</v>
      </c>
      <c r="K29" s="13">
        <f>'데이터'!J6+'데이터'!J29</f>
        <v>23976</v>
      </c>
      <c r="L29" s="13">
        <v>9.0</v>
      </c>
      <c r="M29" s="8"/>
      <c r="N29" s="8"/>
      <c r="O29" s="13" t="s">
        <v>34</v>
      </c>
      <c r="P29" s="19">
        <f>P28*H3</f>
        <v>10002.2</v>
      </c>
      <c r="Q29" s="1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E30" s="24"/>
      <c r="F30" s="1" t="str">
        <f>'데이터'!P27</f>
        <v/>
      </c>
      <c r="G30" s="1"/>
      <c r="H30" s="18"/>
      <c r="I30" s="18"/>
      <c r="J30" s="13" t="s">
        <v>60</v>
      </c>
      <c r="K30" s="13">
        <f>'데이터'!J7+'데이터'!J30</f>
        <v>7992</v>
      </c>
      <c r="L30" s="13">
        <v>3.0</v>
      </c>
      <c r="M30" s="16">
        <v>10.0</v>
      </c>
      <c r="N30" s="16" t="s">
        <v>61</v>
      </c>
      <c r="O30" s="13" t="s">
        <v>21</v>
      </c>
      <c r="P30" s="13">
        <f>P11</f>
        <v>5002.4</v>
      </c>
      <c r="Q30" s="13">
        <v>1.0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E31" s="24"/>
      <c r="F31" s="1" t="str">
        <f>'데이터'!P28</f>
        <v/>
      </c>
      <c r="G31" s="1"/>
      <c r="H31" s="18"/>
      <c r="I31" s="18"/>
      <c r="J31" s="13" t="s">
        <v>62</v>
      </c>
      <c r="K31" s="13">
        <f>'데이터'!J8+'데이터'!J31</f>
        <v>5328</v>
      </c>
      <c r="L31" s="13">
        <v>2.0</v>
      </c>
      <c r="M31" s="18"/>
      <c r="N31" s="18"/>
      <c r="O31" s="13" t="s">
        <v>38</v>
      </c>
      <c r="P31" s="13">
        <f>P17</f>
        <v>5002.4</v>
      </c>
      <c r="Q31" s="13">
        <v>1.0</v>
      </c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E32" s="24"/>
      <c r="F32" s="1" t="str">
        <f>'데이터'!P29</f>
        <v/>
      </c>
      <c r="G32" s="1"/>
      <c r="H32" s="18"/>
      <c r="I32" s="18"/>
      <c r="J32" s="13" t="s">
        <v>59</v>
      </c>
      <c r="K32" s="13">
        <f>'데이터'!J9+'데이터'!J32</f>
        <v>7992</v>
      </c>
      <c r="L32" s="13">
        <v>3.0</v>
      </c>
      <c r="M32" s="18"/>
      <c r="N32" s="18"/>
      <c r="O32" s="13" t="s">
        <v>22</v>
      </c>
      <c r="P32" s="13">
        <f>'데이터'!G29</f>
        <v>5000</v>
      </c>
      <c r="Q32" s="13">
        <v>1.0</v>
      </c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E33" s="24"/>
      <c r="F33" s="1" t="str">
        <f>'데이터'!P30</f>
        <v/>
      </c>
      <c r="G33" s="1"/>
      <c r="H33" s="18"/>
      <c r="I33" s="18"/>
      <c r="J33" s="13" t="s">
        <v>32</v>
      </c>
      <c r="K33" s="19">
        <f>K29/L29</f>
        <v>2664</v>
      </c>
      <c r="L33" s="11"/>
      <c r="M33" s="18"/>
      <c r="N33" s="18"/>
      <c r="O33" s="13" t="s">
        <v>49</v>
      </c>
      <c r="P33" s="13">
        <f>P23</f>
        <v>10002.2</v>
      </c>
      <c r="Q33" s="13">
        <v>2.0</v>
      </c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E34" s="24"/>
      <c r="F34" s="1" t="str">
        <f>'데이터'!P31</f>
        <v/>
      </c>
      <c r="G34" s="1"/>
      <c r="H34" s="8"/>
      <c r="I34" s="8"/>
      <c r="J34" s="13" t="s">
        <v>34</v>
      </c>
      <c r="K34" s="19">
        <f>K33*H3</f>
        <v>6926.4</v>
      </c>
      <c r="L34" s="11"/>
      <c r="M34" s="18"/>
      <c r="N34" s="18"/>
      <c r="O34" s="13" t="s">
        <v>57</v>
      </c>
      <c r="P34" s="13">
        <f>P29</f>
        <v>10002.2</v>
      </c>
      <c r="Q34" s="13">
        <v>2.0</v>
      </c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24"/>
      <c r="E35" s="24"/>
      <c r="F35" s="1" t="str">
        <f>'데이터'!P32</f>
        <v/>
      </c>
      <c r="G35" s="1"/>
      <c r="H35" s="24"/>
      <c r="I35" s="1"/>
      <c r="J35" s="1"/>
      <c r="K35" s="24"/>
      <c r="L35" s="1"/>
      <c r="M35" s="18"/>
      <c r="N35" s="18"/>
      <c r="O35" s="13" t="s">
        <v>32</v>
      </c>
      <c r="P35" s="19">
        <f>P30/Q30</f>
        <v>5002.4</v>
      </c>
      <c r="Q35" s="1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24"/>
      <c r="C36" s="24"/>
      <c r="D36" s="24"/>
      <c r="E36" s="24"/>
      <c r="F36" s="1"/>
      <c r="G36" s="1"/>
      <c r="H36" s="24"/>
      <c r="I36" s="1"/>
      <c r="J36" s="1"/>
      <c r="K36" s="1"/>
      <c r="L36" s="24"/>
      <c r="M36" s="8"/>
      <c r="N36" s="8"/>
      <c r="O36" s="13" t="s">
        <v>34</v>
      </c>
      <c r="P36" s="19">
        <f>P35*H2</f>
        <v>15007.2</v>
      </c>
      <c r="Q36" s="1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24"/>
      <c r="E37" s="24"/>
      <c r="F37" s="1"/>
      <c r="G37" s="1"/>
      <c r="H37" s="24"/>
      <c r="I37" s="1"/>
      <c r="J37" s="1"/>
      <c r="K37" s="1"/>
      <c r="L37" s="24"/>
      <c r="M37" s="1"/>
      <c r="N37" s="24"/>
      <c r="O37" s="1"/>
      <c r="P37" s="2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24"/>
      <c r="E38" s="24"/>
      <c r="F38" s="1"/>
      <c r="G38" s="1"/>
      <c r="H38" s="24"/>
      <c r="I38" s="1"/>
      <c r="J38" s="1"/>
      <c r="K38" s="24"/>
      <c r="L38" s="1"/>
      <c r="M38" s="1"/>
      <c r="N38" s="2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24"/>
      <c r="E39" s="24"/>
      <c r="F39" s="1"/>
      <c r="G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24"/>
      <c r="C40" s="24"/>
      <c r="D40" s="24"/>
      <c r="E40" s="24"/>
      <c r="F40" s="1"/>
      <c r="G40" s="1"/>
      <c r="H40" s="24"/>
      <c r="I40" s="1"/>
      <c r="J40" s="1"/>
      <c r="K40" s="1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24"/>
      <c r="E41" s="24"/>
      <c r="F41" s="1"/>
      <c r="G41" s="1"/>
      <c r="H41" s="24"/>
      <c r="I41" s="1"/>
      <c r="J41" s="1"/>
      <c r="K41" s="1"/>
      <c r="L41" s="24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24"/>
      <c r="E42" s="24"/>
      <c r="F42" s="1"/>
      <c r="G42" s="1"/>
      <c r="H42" s="24"/>
      <c r="I42" s="1"/>
      <c r="J42" s="1"/>
      <c r="K42" s="1"/>
      <c r="L42" s="24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24"/>
      <c r="E43" s="24"/>
      <c r="F43" s="1"/>
      <c r="G43" s="1"/>
      <c r="H43" s="24"/>
      <c r="I43" s="1"/>
      <c r="J43" s="1"/>
      <c r="K43" s="1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24"/>
      <c r="C44" s="24"/>
      <c r="D44" s="24"/>
      <c r="E44" s="24"/>
      <c r="F44" s="1"/>
      <c r="G44" s="1"/>
      <c r="H44" s="24"/>
      <c r="I44" s="1"/>
      <c r="J44" s="1"/>
      <c r="K44" s="2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24"/>
      <c r="E45" s="24"/>
      <c r="F45" s="1"/>
      <c r="G45" s="1"/>
      <c r="H45" s="1"/>
      <c r="I45" s="1"/>
      <c r="J45" s="1"/>
      <c r="K45" s="1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24"/>
      <c r="E46" s="24"/>
      <c r="F46" s="1"/>
      <c r="G46" s="1"/>
      <c r="H46" s="1"/>
      <c r="I46" s="1"/>
      <c r="J46" s="1"/>
      <c r="K46" s="1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24"/>
      <c r="E47" s="24"/>
      <c r="F47" s="1"/>
      <c r="G47" s="1"/>
      <c r="H47" s="1"/>
      <c r="I47" s="1"/>
      <c r="J47" s="1"/>
      <c r="K47" s="1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24"/>
      <c r="C48" s="24"/>
      <c r="D48" s="24"/>
      <c r="E48" s="24"/>
      <c r="F48" s="1"/>
      <c r="G48" s="1"/>
      <c r="H48" s="1"/>
      <c r="I48" s="1"/>
      <c r="J48" s="1"/>
      <c r="K48" s="1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24"/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24"/>
      <c r="E50" s="24"/>
      <c r="F50" s="1"/>
      <c r="G50" s="1"/>
      <c r="H50" s="1"/>
      <c r="I50" s="1"/>
      <c r="J50" s="1"/>
      <c r="K50" s="2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24"/>
      <c r="E51" s="24"/>
      <c r="F51" s="1"/>
      <c r="G51" s="1"/>
      <c r="H51" s="1"/>
      <c r="I51" s="1"/>
      <c r="J51" s="1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24"/>
      <c r="C52" s="24"/>
      <c r="D52" s="24"/>
      <c r="E52" s="24"/>
      <c r="F52" s="1"/>
      <c r="G52" s="1"/>
      <c r="H52" s="1"/>
      <c r="I52" s="1"/>
      <c r="J52" s="1"/>
      <c r="K52" s="1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24"/>
      <c r="E53" s="24"/>
      <c r="F53" s="1"/>
      <c r="G53" s="1"/>
      <c r="H53" s="1"/>
      <c r="I53" s="1"/>
      <c r="J53" s="1"/>
      <c r="K53" s="1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24"/>
      <c r="E54" s="24"/>
      <c r="F54" s="1"/>
      <c r="G54" s="1"/>
      <c r="H54" s="1"/>
      <c r="I54" s="1"/>
      <c r="J54" s="1"/>
      <c r="K54" s="1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24"/>
      <c r="C55" s="24"/>
      <c r="D55" s="24"/>
      <c r="E55" s="2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24"/>
      <c r="E56" s="24"/>
      <c r="F56" s="1"/>
      <c r="G56" s="1"/>
      <c r="H56" s="1"/>
      <c r="I56" s="1"/>
      <c r="J56" s="1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24"/>
      <c r="E57" s="24"/>
      <c r="F57" s="1"/>
      <c r="G57" s="1"/>
      <c r="H57" s="1"/>
      <c r="I57" s="1"/>
      <c r="J57" s="1"/>
      <c r="K57" s="1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24"/>
      <c r="E58" s="24"/>
      <c r="F58" s="1"/>
      <c r="G58" s="1"/>
      <c r="H58" s="1"/>
      <c r="I58" s="1"/>
      <c r="J58" s="24"/>
      <c r="K58" s="1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5">
    <mergeCell ref="I6:I11"/>
    <mergeCell ref="M6:M11"/>
    <mergeCell ref="N6:N11"/>
    <mergeCell ref="K10:L10"/>
    <mergeCell ref="P10:Q10"/>
    <mergeCell ref="K11:L11"/>
    <mergeCell ref="P11:Q11"/>
    <mergeCell ref="P16:Q16"/>
    <mergeCell ref="P17:Q17"/>
    <mergeCell ref="M18:M23"/>
    <mergeCell ref="N18:N23"/>
    <mergeCell ref="K21:L21"/>
    <mergeCell ref="K22:L22"/>
    <mergeCell ref="P22:Q22"/>
    <mergeCell ref="P23:Q23"/>
    <mergeCell ref="H6:H11"/>
    <mergeCell ref="H12:H16"/>
    <mergeCell ref="I12:I16"/>
    <mergeCell ref="M12:M17"/>
    <mergeCell ref="N12:N17"/>
    <mergeCell ref="K15:L15"/>
    <mergeCell ref="K16:L16"/>
    <mergeCell ref="H29:H34"/>
    <mergeCell ref="I29:I34"/>
    <mergeCell ref="M30:M36"/>
    <mergeCell ref="N30:N36"/>
    <mergeCell ref="K33:L33"/>
    <mergeCell ref="K34:L34"/>
    <mergeCell ref="P35:Q35"/>
    <mergeCell ref="P36:Q36"/>
    <mergeCell ref="H23:H28"/>
    <mergeCell ref="I23:I28"/>
    <mergeCell ref="M24:M29"/>
    <mergeCell ref="N24:N29"/>
    <mergeCell ref="K27:L27"/>
    <mergeCell ref="K28:L28"/>
    <mergeCell ref="P28:Q28"/>
    <mergeCell ref="P29:Q29"/>
    <mergeCell ref="B18:D18"/>
    <mergeCell ref="B17:D17"/>
    <mergeCell ref="B13:D13"/>
    <mergeCell ref="B12:D12"/>
    <mergeCell ref="B11:D11"/>
    <mergeCell ref="B22:D34"/>
    <mergeCell ref="H17:H22"/>
    <mergeCell ref="I17:I22"/>
    <mergeCell ref="B19:D19"/>
    <mergeCell ref="B20:D20"/>
    <mergeCell ref="B15:D15"/>
    <mergeCell ref="B2:B3"/>
    <mergeCell ref="C2:C3"/>
    <mergeCell ref="I2:I3"/>
    <mergeCell ref="J2:J3"/>
    <mergeCell ref="B5:D5"/>
    <mergeCell ref="F5:G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14"/>
    <col customWidth="1" min="4" max="4" width="20.14"/>
    <col customWidth="1" min="6" max="6" width="16.0"/>
    <col customWidth="1" min="7" max="7" width="16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>
        <v>365.0</v>
      </c>
      <c r="D2" s="4" t="s">
        <v>1</v>
      </c>
      <c r="E2" s="5">
        <f>ROUNDDOWN(C2/2,0)</f>
        <v>182</v>
      </c>
      <c r="F2" s="1"/>
      <c r="G2" s="4" t="s">
        <v>2</v>
      </c>
      <c r="H2" s="6">
        <v>3.0</v>
      </c>
      <c r="I2" s="2" t="s">
        <v>3</v>
      </c>
      <c r="J2" s="7">
        <v>3.0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8"/>
      <c r="C3" s="8"/>
      <c r="D3" s="4" t="s">
        <v>4</v>
      </c>
      <c r="E3" s="5">
        <f>E2*7</f>
        <v>1274</v>
      </c>
      <c r="F3" s="1"/>
      <c r="G3" s="4" t="s">
        <v>5</v>
      </c>
      <c r="H3" s="6">
        <v>2.6</v>
      </c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26" t="s">
        <v>63</v>
      </c>
      <c r="C5" s="10"/>
      <c r="D5" s="11"/>
      <c r="E5" s="1"/>
      <c r="F5" s="12" t="s">
        <v>7</v>
      </c>
      <c r="G5" s="11"/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8</v>
      </c>
      <c r="N5" s="13" t="s">
        <v>9</v>
      </c>
      <c r="O5" s="13" t="s">
        <v>10</v>
      </c>
      <c r="P5" s="13" t="s">
        <v>13</v>
      </c>
      <c r="Q5" s="13" t="s">
        <v>14</v>
      </c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27" t="s">
        <v>15</v>
      </c>
      <c r="C6" s="27" t="s">
        <v>16</v>
      </c>
      <c r="D6" s="27" t="s">
        <v>17</v>
      </c>
      <c r="E6" s="1"/>
      <c r="F6" s="14" t="str">
        <f>'데이터'!P3</f>
        <v>재료</v>
      </c>
      <c r="G6" s="15" t="s">
        <v>18</v>
      </c>
      <c r="H6" s="16">
        <v>1.0</v>
      </c>
      <c r="I6" s="16" t="s">
        <v>19</v>
      </c>
      <c r="J6" s="13" t="s">
        <v>20</v>
      </c>
      <c r="K6" s="13">
        <f>'데이터'!J89</f>
        <v>2277</v>
      </c>
      <c r="L6" s="13">
        <v>1.0</v>
      </c>
      <c r="M6" s="16">
        <v>7.0</v>
      </c>
      <c r="N6" s="16" t="s">
        <v>64</v>
      </c>
      <c r="O6" s="28" t="s">
        <v>65</v>
      </c>
      <c r="P6" s="13">
        <f>'데이터'!G57</f>
        <v>1924</v>
      </c>
      <c r="Q6" s="28">
        <v>1.0</v>
      </c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27" t="s">
        <v>66</v>
      </c>
      <c r="C7" s="17">
        <v>15000.0</v>
      </c>
      <c r="D7" s="5">
        <f>C7/18</f>
        <v>833.3333333</v>
      </c>
      <c r="E7" s="1"/>
      <c r="F7" s="14" t="str">
        <f>'데이터'!P48</f>
        <v>육두구</v>
      </c>
      <c r="G7" s="15">
        <f>'데이터'!R48</f>
        <v>13764</v>
      </c>
      <c r="H7" s="18"/>
      <c r="I7" s="18"/>
      <c r="J7" s="13" t="s">
        <v>24</v>
      </c>
      <c r="K7" s="13">
        <f>'데이터'!J90</f>
        <v>2277</v>
      </c>
      <c r="L7" s="13">
        <v>1.0</v>
      </c>
      <c r="M7" s="18"/>
      <c r="N7" s="18"/>
      <c r="O7" s="28" t="s">
        <v>67</v>
      </c>
      <c r="P7" s="13">
        <f>'데이터'!G61</f>
        <v>1924</v>
      </c>
      <c r="Q7" s="28">
        <v>1.0</v>
      </c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7" t="s">
        <v>68</v>
      </c>
      <c r="C8" s="5">
        <f>'데이터'!D50*0.3</f>
        <v>1500</v>
      </c>
      <c r="D8" s="5">
        <f>C8/6</f>
        <v>250</v>
      </c>
      <c r="E8" s="1"/>
      <c r="F8" s="14" t="str">
        <f>'데이터'!P49</f>
        <v>채소</v>
      </c>
      <c r="G8" s="15">
        <f>'데이터'!R49</f>
        <v>19536</v>
      </c>
      <c r="H8" s="18"/>
      <c r="I8" s="18"/>
      <c r="J8" s="13" t="s">
        <v>27</v>
      </c>
      <c r="K8" s="13">
        <f>'데이터'!J91</f>
        <v>2277</v>
      </c>
      <c r="L8" s="13">
        <v>1.0</v>
      </c>
      <c r="M8" s="18"/>
      <c r="N8" s="18"/>
      <c r="O8" s="28" t="s">
        <v>69</v>
      </c>
      <c r="P8" s="13">
        <f>'데이터'!G65</f>
        <v>1924</v>
      </c>
      <c r="Q8" s="28">
        <v>1.0</v>
      </c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7" t="s">
        <v>29</v>
      </c>
      <c r="C9" s="5" t="str">
        <f>if(D7+D8&lt;E3,"추가 제작 필요","추가 제작 불필요")</f>
        <v>추가 제작 필요</v>
      </c>
      <c r="D9" s="5">
        <f>if(C9="추가 제작 불필요",(E3-D7-D8),(E3-D7-D8))</f>
        <v>190.6666667</v>
      </c>
      <c r="E9" s="1"/>
      <c r="F9" s="14" t="str">
        <f>'데이터'!P50</f>
        <v>테프가루 반죽</v>
      </c>
      <c r="G9" s="15">
        <f>'데이터'!R50</f>
        <v>11544</v>
      </c>
      <c r="H9" s="18"/>
      <c r="I9" s="18"/>
      <c r="J9" s="13" t="s">
        <v>30</v>
      </c>
      <c r="K9" s="13">
        <f>'데이터'!J92</f>
        <v>2277</v>
      </c>
      <c r="L9" s="13">
        <v>1.0</v>
      </c>
      <c r="M9" s="18"/>
      <c r="N9" s="18"/>
      <c r="O9" s="28" t="s">
        <v>70</v>
      </c>
      <c r="P9" s="13">
        <f>'데이터'!G69</f>
        <v>5770</v>
      </c>
      <c r="Q9" s="28">
        <v>3.0</v>
      </c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4" t="str">
        <f>'데이터'!P51</f>
        <v>프리카</v>
      </c>
      <c r="G10" s="15">
        <f>'데이터'!R51</f>
        <v>8880</v>
      </c>
      <c r="H10" s="18"/>
      <c r="I10" s="18"/>
      <c r="J10" s="13" t="s">
        <v>32</v>
      </c>
      <c r="K10" s="19">
        <f>K6/L6</f>
        <v>2277</v>
      </c>
      <c r="L10" s="11"/>
      <c r="M10" s="18"/>
      <c r="N10" s="18"/>
      <c r="O10" s="28" t="s">
        <v>32</v>
      </c>
      <c r="P10" s="19">
        <f>P6/Q6</f>
        <v>1924</v>
      </c>
      <c r="Q10" s="1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0" t="s">
        <v>33</v>
      </c>
      <c r="E11" s="1"/>
      <c r="F11" s="14" t="str">
        <f>'데이터'!P52</f>
        <v>뱀고기</v>
      </c>
      <c r="G11" s="15">
        <f>'데이터'!R52</f>
        <v>4440</v>
      </c>
      <c r="H11" s="8"/>
      <c r="I11" s="8"/>
      <c r="J11" s="13" t="s">
        <v>34</v>
      </c>
      <c r="K11" s="19">
        <f>K10*H3</f>
        <v>5920.2</v>
      </c>
      <c r="L11" s="11"/>
      <c r="M11" s="8"/>
      <c r="N11" s="8"/>
      <c r="O11" s="28" t="s">
        <v>34</v>
      </c>
      <c r="P11" s="19">
        <f>P10*H3</f>
        <v>5002.4</v>
      </c>
      <c r="Q11" s="1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0" t="s">
        <v>35</v>
      </c>
      <c r="E12" s="1"/>
      <c r="F12" s="14" t="str">
        <f>'데이터'!P53</f>
        <v>생수</v>
      </c>
      <c r="G12" s="15">
        <f>'데이터'!R53</f>
        <v>22937</v>
      </c>
      <c r="H12" s="16">
        <v>2.0</v>
      </c>
      <c r="I12" s="16" t="s">
        <v>36</v>
      </c>
      <c r="J12" s="13" t="s">
        <v>37</v>
      </c>
      <c r="K12" s="21">
        <f>'데이터'!J77</f>
        <v>2959</v>
      </c>
      <c r="L12" s="13">
        <v>1.0</v>
      </c>
      <c r="M12" s="16">
        <v>8.0</v>
      </c>
      <c r="N12" s="16" t="s">
        <v>71</v>
      </c>
      <c r="O12" s="28" t="s">
        <v>72</v>
      </c>
      <c r="P12" s="13">
        <f>'데이터'!J74</f>
        <v>19235</v>
      </c>
      <c r="Q12" s="28">
        <v>5.0</v>
      </c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0" t="s">
        <v>40</v>
      </c>
      <c r="E13" s="1"/>
      <c r="F13" s="14" t="str">
        <f>'데이터'!P54</f>
        <v>팔각</v>
      </c>
      <c r="G13" s="15">
        <f>'데이터'!R54</f>
        <v>2960</v>
      </c>
      <c r="H13" s="18"/>
      <c r="I13" s="18"/>
      <c r="J13" s="13" t="s">
        <v>24</v>
      </c>
      <c r="K13" s="21">
        <f>'데이터'!J78</f>
        <v>2959</v>
      </c>
      <c r="L13" s="13">
        <v>1.0</v>
      </c>
      <c r="M13" s="18"/>
      <c r="N13" s="18"/>
      <c r="O13" s="28" t="s">
        <v>36</v>
      </c>
      <c r="P13" s="13">
        <f>'데이터'!G77</f>
        <v>7693</v>
      </c>
      <c r="Q13" s="28">
        <v>2.0</v>
      </c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2" t="s">
        <v>41</v>
      </c>
      <c r="C14" s="23"/>
      <c r="D14" s="23"/>
      <c r="E14" s="1"/>
      <c r="F14" s="14" t="str">
        <f>'데이터'!P55</f>
        <v>테프가루</v>
      </c>
      <c r="G14" s="15">
        <f>'데이터'!R55</f>
        <v>18495</v>
      </c>
      <c r="H14" s="18"/>
      <c r="I14" s="18"/>
      <c r="J14" s="13" t="s">
        <v>27</v>
      </c>
      <c r="K14" s="21">
        <f>'데이터'!J79</f>
        <v>2959</v>
      </c>
      <c r="L14" s="13">
        <v>1.0</v>
      </c>
      <c r="M14" s="18"/>
      <c r="N14" s="18"/>
      <c r="O14" s="28" t="s">
        <v>30</v>
      </c>
      <c r="P14" s="13">
        <f>'데이터'!J75</f>
        <v>3847</v>
      </c>
      <c r="Q14" s="28">
        <v>1.0</v>
      </c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0" t="s">
        <v>43</v>
      </c>
      <c r="E15" s="1"/>
      <c r="F15" s="14" t="str">
        <f>'데이터'!P56</f>
        <v>발효제</v>
      </c>
      <c r="G15" s="15">
        <f>'데이터'!R56</f>
        <v>30982</v>
      </c>
      <c r="H15" s="18"/>
      <c r="I15" s="18"/>
      <c r="J15" s="13" t="s">
        <v>32</v>
      </c>
      <c r="K15" s="19">
        <f>K12/L12</f>
        <v>2959</v>
      </c>
      <c r="L15" s="11"/>
      <c r="M15" s="18"/>
      <c r="N15" s="18"/>
      <c r="O15" s="28" t="s">
        <v>27</v>
      </c>
      <c r="P15" s="13">
        <f>'데이터'!J76</f>
        <v>15388</v>
      </c>
      <c r="Q15" s="28">
        <v>4.0</v>
      </c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2" t="s">
        <v>45</v>
      </c>
      <c r="C16" s="23"/>
      <c r="D16" s="23"/>
      <c r="E16" s="1"/>
      <c r="F16" s="14" t="str">
        <f>'데이터'!P57</f>
        <v>소금</v>
      </c>
      <c r="G16" s="15">
        <f>'데이터'!R57</f>
        <v>7398</v>
      </c>
      <c r="H16" s="8"/>
      <c r="I16" s="8"/>
      <c r="J16" s="13" t="s">
        <v>34</v>
      </c>
      <c r="K16" s="19">
        <f>K15*H3</f>
        <v>7693.4</v>
      </c>
      <c r="L16" s="11"/>
      <c r="M16" s="18"/>
      <c r="N16" s="18"/>
      <c r="O16" s="28" t="s">
        <v>32</v>
      </c>
      <c r="P16" s="19">
        <f>P12/Q12</f>
        <v>3847</v>
      </c>
      <c r="Q16" s="1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20" t="s">
        <v>46</v>
      </c>
      <c r="E17" s="1"/>
      <c r="F17" s="14" t="str">
        <f>'데이터'!P58</f>
        <v>전갈고기</v>
      </c>
      <c r="G17" s="15">
        <f>'데이터'!R58</f>
        <v>2220</v>
      </c>
      <c r="H17" s="16">
        <v>3.0</v>
      </c>
      <c r="I17" s="16" t="s">
        <v>31</v>
      </c>
      <c r="J17" s="13" t="s">
        <v>47</v>
      </c>
      <c r="K17" s="21">
        <f>'데이터'!J88</f>
        <v>11840</v>
      </c>
      <c r="L17" s="13">
        <v>8.0</v>
      </c>
      <c r="M17" s="8"/>
      <c r="N17" s="8"/>
      <c r="O17" s="28" t="s">
        <v>34</v>
      </c>
      <c r="P17" s="19">
        <f>P16*H3</f>
        <v>10002.2</v>
      </c>
      <c r="Q17" s="1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2" t="s">
        <v>48</v>
      </c>
      <c r="E18" s="1"/>
      <c r="F18" s="14" t="str">
        <f>'데이터'!P59</f>
        <v>고추</v>
      </c>
      <c r="G18" s="15">
        <f>'데이터'!R59</f>
        <v>2220</v>
      </c>
      <c r="H18" s="18"/>
      <c r="I18" s="18"/>
      <c r="J18" s="13" t="s">
        <v>19</v>
      </c>
      <c r="K18" s="21">
        <f>K11</f>
        <v>5920.2</v>
      </c>
      <c r="L18" s="13">
        <v>4.0</v>
      </c>
      <c r="M18" s="16">
        <v>9.0</v>
      </c>
      <c r="N18" s="16" t="s">
        <v>73</v>
      </c>
      <c r="O18" s="28" t="s">
        <v>74</v>
      </c>
      <c r="P18" s="13">
        <f>'데이터'!J81</f>
        <v>19235</v>
      </c>
      <c r="Q18" s="28">
        <v>5.0</v>
      </c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0" t="s">
        <v>51</v>
      </c>
      <c r="E19" s="24"/>
      <c r="F19" s="14" t="str">
        <f>'데이터'!P60</f>
        <v>버터</v>
      </c>
      <c r="G19" s="15">
        <f>'데이터'!R60</f>
        <v>1480</v>
      </c>
      <c r="H19" s="18"/>
      <c r="I19" s="18"/>
      <c r="J19" s="13" t="s">
        <v>27</v>
      </c>
      <c r="K19" s="21">
        <f>'데이터'!J93</f>
        <v>2960</v>
      </c>
      <c r="L19" s="13">
        <v>2.0</v>
      </c>
      <c r="M19" s="18"/>
      <c r="N19" s="18"/>
      <c r="O19" s="28" t="s">
        <v>50</v>
      </c>
      <c r="P19" s="13">
        <f>'데이터'!J82</f>
        <v>11541</v>
      </c>
      <c r="Q19" s="28">
        <v>3.0</v>
      </c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0" t="s">
        <v>53</v>
      </c>
      <c r="E20" s="24"/>
      <c r="F20" s="14" t="str">
        <f>'데이터'!P61</f>
        <v>베이스소스</v>
      </c>
      <c r="G20" s="15">
        <f>'데이터'!R61</f>
        <v>2220</v>
      </c>
      <c r="H20" s="18"/>
      <c r="I20" s="18"/>
      <c r="J20" s="13" t="s">
        <v>30</v>
      </c>
      <c r="K20" s="21">
        <f>'데이터'!J94</f>
        <v>2960</v>
      </c>
      <c r="L20" s="13">
        <v>2.0</v>
      </c>
      <c r="M20" s="18"/>
      <c r="N20" s="18"/>
      <c r="O20" s="28" t="s">
        <v>30</v>
      </c>
      <c r="P20" s="13">
        <f>'데이터'!J83</f>
        <v>11541</v>
      </c>
      <c r="Q20" s="28">
        <v>3.0</v>
      </c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E21" s="24"/>
      <c r="F21" s="14" t="str">
        <f>'데이터'!P62</f>
        <v>고기</v>
      </c>
      <c r="G21" s="15">
        <f>'데이터'!R62</f>
        <v>2220</v>
      </c>
      <c r="H21" s="18"/>
      <c r="I21" s="18"/>
      <c r="J21" s="13" t="s">
        <v>32</v>
      </c>
      <c r="K21" s="19">
        <f>K17/L17</f>
        <v>1480</v>
      </c>
      <c r="L21" s="11"/>
      <c r="M21" s="18"/>
      <c r="N21" s="18"/>
      <c r="O21" s="28" t="s">
        <v>75</v>
      </c>
      <c r="P21" s="13">
        <f>'데이터'!J84</f>
        <v>7694</v>
      </c>
      <c r="Q21" s="28">
        <v>2.0</v>
      </c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E22" s="24"/>
      <c r="F22" s="14" t="str">
        <f>'데이터'!P63</f>
        <v>설탕</v>
      </c>
      <c r="G22" s="15">
        <f>'데이터'!R63</f>
        <v>25065</v>
      </c>
      <c r="H22" s="8"/>
      <c r="I22" s="8"/>
      <c r="J22" s="13" t="s">
        <v>34</v>
      </c>
      <c r="K22" s="19">
        <f>K21*H3</f>
        <v>3848</v>
      </c>
      <c r="L22" s="11"/>
      <c r="M22" s="18"/>
      <c r="N22" s="18"/>
      <c r="O22" s="28" t="s">
        <v>32</v>
      </c>
      <c r="P22" s="19">
        <f>P18/Q18</f>
        <v>3847</v>
      </c>
      <c r="Q22" s="1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E23" s="24"/>
      <c r="F23" s="14" t="str">
        <f>'데이터'!P64</f>
        <v>대추야자</v>
      </c>
      <c r="G23" s="15">
        <f>'데이터'!R64</f>
        <v>19235</v>
      </c>
      <c r="H23" s="16">
        <v>4.0</v>
      </c>
      <c r="I23" s="16" t="s">
        <v>65</v>
      </c>
      <c r="J23" s="28" t="s">
        <v>76</v>
      </c>
      <c r="K23" s="21">
        <f>'데이터'!J57+'데이터'!J95</f>
        <v>18495</v>
      </c>
      <c r="L23" s="28">
        <v>5.0</v>
      </c>
      <c r="M23" s="8"/>
      <c r="N23" s="8"/>
      <c r="O23" s="28" t="s">
        <v>34</v>
      </c>
      <c r="P23" s="19">
        <f>P22*H3</f>
        <v>10002.2</v>
      </c>
      <c r="Q23" s="1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E24" s="24"/>
      <c r="F24" s="14" t="str">
        <f>'데이터'!P65</f>
        <v>곡물가루</v>
      </c>
      <c r="G24" s="15">
        <f>'데이터'!R65</f>
        <v>2959</v>
      </c>
      <c r="H24" s="18"/>
      <c r="I24" s="18"/>
      <c r="J24" s="28" t="s">
        <v>52</v>
      </c>
      <c r="K24" s="21">
        <f>'데이터'!J58+'데이터'!J96</f>
        <v>11097</v>
      </c>
      <c r="L24" s="28">
        <v>3.0</v>
      </c>
      <c r="M24" s="16">
        <v>10.0</v>
      </c>
      <c r="N24" s="16" t="s">
        <v>77</v>
      </c>
      <c r="O24" s="28" t="s">
        <v>78</v>
      </c>
      <c r="P24" s="13">
        <f>'데이터'!J86</f>
        <v>7696</v>
      </c>
      <c r="Q24" s="28">
        <v>4.0</v>
      </c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E25" s="24"/>
      <c r="F25" s="14" t="str">
        <f>'데이터'!P66</f>
        <v>과일</v>
      </c>
      <c r="G25" s="15">
        <f>'데이터'!R66</f>
        <v>5236</v>
      </c>
      <c r="H25" s="18"/>
      <c r="I25" s="18"/>
      <c r="J25" s="28" t="s">
        <v>27</v>
      </c>
      <c r="K25" s="21">
        <f>'데이터'!J59+'데이터'!J97</f>
        <v>7398</v>
      </c>
      <c r="L25" s="13">
        <v>2.0</v>
      </c>
      <c r="M25" s="18"/>
      <c r="N25" s="18"/>
      <c r="O25" s="28" t="s">
        <v>65</v>
      </c>
      <c r="P25" s="13">
        <f>'데이터'!G95</f>
        <v>7693</v>
      </c>
      <c r="Q25" s="28">
        <v>4.0</v>
      </c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E26" s="24"/>
      <c r="F26" s="14" t="str">
        <f>'데이터'!P67</f>
        <v>무화과</v>
      </c>
      <c r="G26" s="15">
        <f>'데이터'!R67</f>
        <v>19235</v>
      </c>
      <c r="H26" s="18"/>
      <c r="I26" s="18"/>
      <c r="J26" s="28" t="s">
        <v>58</v>
      </c>
      <c r="K26" s="21">
        <f>'데이터'!J60+'데이터'!J98</f>
        <v>7398</v>
      </c>
      <c r="L26" s="28">
        <v>2.0</v>
      </c>
      <c r="M26" s="18"/>
      <c r="N26" s="18"/>
      <c r="O26" s="28" t="s">
        <v>79</v>
      </c>
      <c r="P26" s="13">
        <f>'데이터'!J87</f>
        <v>5772</v>
      </c>
      <c r="Q26" s="28">
        <v>3.0</v>
      </c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24"/>
      <c r="C27" s="24"/>
      <c r="D27" s="24"/>
      <c r="E27" s="24"/>
      <c r="F27" s="14" t="str">
        <f>'데이터'!P68</f>
        <v>곡물반죽</v>
      </c>
      <c r="G27" s="15">
        <f>'데이터'!R68</f>
        <v>11541</v>
      </c>
      <c r="H27" s="18"/>
      <c r="I27" s="18"/>
      <c r="J27" s="13" t="s">
        <v>32</v>
      </c>
      <c r="K27" s="19">
        <f>K23/L23</f>
        <v>3699</v>
      </c>
      <c r="L27" s="11"/>
      <c r="M27" s="18"/>
      <c r="N27" s="18"/>
      <c r="O27" s="28" t="s">
        <v>31</v>
      </c>
      <c r="P27" s="13">
        <f>'데이터'!G88</f>
        <v>3847</v>
      </c>
      <c r="Q27" s="28">
        <v>2.0</v>
      </c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24"/>
      <c r="C28" s="24"/>
      <c r="D28" s="24"/>
      <c r="E28" s="24"/>
      <c r="F28" s="14" t="str">
        <f>'데이터'!P69</f>
        <v>올리브 오일</v>
      </c>
      <c r="G28" s="15">
        <f>'데이터'!R69</f>
        <v>7694</v>
      </c>
      <c r="H28" s="8"/>
      <c r="I28" s="8"/>
      <c r="J28" s="13" t="s">
        <v>34</v>
      </c>
      <c r="K28" s="19">
        <f>K27*H3</f>
        <v>9617.4</v>
      </c>
      <c r="L28" s="11"/>
      <c r="M28" s="18"/>
      <c r="N28" s="18"/>
      <c r="O28" s="28" t="s">
        <v>32</v>
      </c>
      <c r="P28" s="19">
        <f>P24/Q24</f>
        <v>1924</v>
      </c>
      <c r="Q28" s="1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24"/>
      <c r="E29" s="24"/>
      <c r="F29" s="14" t="str">
        <f>'데이터'!P70</f>
        <v>사자고기</v>
      </c>
      <c r="G29" s="15">
        <f>'데이터'!R70</f>
        <v>7696</v>
      </c>
      <c r="H29" s="16">
        <v>5.0</v>
      </c>
      <c r="I29" s="16" t="s">
        <v>67</v>
      </c>
      <c r="J29" s="28" t="s">
        <v>80</v>
      </c>
      <c r="K29" s="13">
        <f>'데이터'!J51+'데이터'!J61</f>
        <v>8880</v>
      </c>
      <c r="L29" s="28">
        <v>6.0</v>
      </c>
      <c r="M29" s="8"/>
      <c r="N29" s="8"/>
      <c r="O29" s="28" t="s">
        <v>34</v>
      </c>
      <c r="P29" s="19">
        <f>P28*H3</f>
        <v>5002.4</v>
      </c>
      <c r="Q29" s="1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24"/>
      <c r="E30" s="24"/>
      <c r="F30" s="29" t="str">
        <f>'데이터'!P71</f>
        <v>곡물</v>
      </c>
      <c r="G30" s="15">
        <f>'데이터'!R71</f>
        <v>2277</v>
      </c>
      <c r="H30" s="18"/>
      <c r="I30" s="18"/>
      <c r="J30" s="28" t="s">
        <v>81</v>
      </c>
      <c r="K30" s="13">
        <f>'데이터'!J52+'데이터'!J62</f>
        <v>4440</v>
      </c>
      <c r="L30" s="13">
        <v>3.0</v>
      </c>
      <c r="M30" s="16">
        <v>11.0</v>
      </c>
      <c r="N30" s="16" t="s">
        <v>82</v>
      </c>
      <c r="O30" s="28" t="s">
        <v>83</v>
      </c>
      <c r="P30" s="13">
        <f>K40</f>
        <v>5002.4</v>
      </c>
      <c r="Q30" s="28">
        <v>1.0</v>
      </c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24"/>
      <c r="C31" s="24"/>
      <c r="D31" s="24"/>
      <c r="E31" s="24"/>
      <c r="F31" s="1" t="str">
        <f>'데이터'!P72</f>
        <v/>
      </c>
      <c r="G31" s="1"/>
      <c r="H31" s="18"/>
      <c r="I31" s="18"/>
      <c r="J31" s="28" t="s">
        <v>52</v>
      </c>
      <c r="K31" s="13">
        <f>'데이터'!J53+'데이터'!J63</f>
        <v>7400</v>
      </c>
      <c r="L31" s="28">
        <v>5.0</v>
      </c>
      <c r="M31" s="18"/>
      <c r="N31" s="18"/>
      <c r="O31" s="28" t="s">
        <v>64</v>
      </c>
      <c r="P31" s="13">
        <f>P11</f>
        <v>5002.4</v>
      </c>
      <c r="Q31" s="28">
        <v>1.0</v>
      </c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24"/>
      <c r="C32" s="24"/>
      <c r="D32" s="24"/>
      <c r="E32" s="24"/>
      <c r="F32" s="1" t="str">
        <f>'데이터'!P29</f>
        <v/>
      </c>
      <c r="G32" s="1"/>
      <c r="H32" s="18"/>
      <c r="I32" s="18"/>
      <c r="J32" s="28" t="s">
        <v>84</v>
      </c>
      <c r="K32" s="13">
        <f>'데이터'!J54+'데이터'!J64</f>
        <v>2960</v>
      </c>
      <c r="L32" s="28">
        <v>2.0</v>
      </c>
      <c r="M32" s="18"/>
      <c r="N32" s="18"/>
      <c r="O32" s="28" t="s">
        <v>71</v>
      </c>
      <c r="P32" s="13">
        <f>P17</f>
        <v>10002.2</v>
      </c>
      <c r="Q32" s="28">
        <v>2.0</v>
      </c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24"/>
      <c r="E33" s="24"/>
      <c r="F33" s="1" t="str">
        <f>'데이터'!P30</f>
        <v/>
      </c>
      <c r="G33" s="1"/>
      <c r="H33" s="18"/>
      <c r="I33" s="18"/>
      <c r="J33" s="13" t="s">
        <v>32</v>
      </c>
      <c r="K33" s="19">
        <f>K29/L29</f>
        <v>1480</v>
      </c>
      <c r="L33" s="11"/>
      <c r="M33" s="18"/>
      <c r="N33" s="18"/>
      <c r="O33" s="28" t="s">
        <v>73</v>
      </c>
      <c r="P33" s="13">
        <f>P23</f>
        <v>10002.2</v>
      </c>
      <c r="Q33" s="28">
        <v>2.0</v>
      </c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24"/>
      <c r="E34" s="24"/>
      <c r="F34" s="1" t="str">
        <f>'데이터'!P31</f>
        <v/>
      </c>
      <c r="G34" s="1"/>
      <c r="H34" s="8"/>
      <c r="I34" s="8"/>
      <c r="J34" s="13" t="s">
        <v>34</v>
      </c>
      <c r="K34" s="19">
        <f>K33*H3</f>
        <v>3848</v>
      </c>
      <c r="L34" s="11"/>
      <c r="M34" s="18"/>
      <c r="N34" s="18"/>
      <c r="O34" s="28" t="s">
        <v>77</v>
      </c>
      <c r="P34" s="13">
        <f>P29</f>
        <v>5002.4</v>
      </c>
      <c r="Q34" s="28">
        <v>1.0</v>
      </c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24"/>
      <c r="E35" s="24"/>
      <c r="F35" s="1" t="str">
        <f>'데이터'!P32</f>
        <v/>
      </c>
      <c r="G35" s="1"/>
      <c r="H35" s="16">
        <v>6.0</v>
      </c>
      <c r="I35" s="16" t="s">
        <v>83</v>
      </c>
      <c r="J35" s="28" t="s">
        <v>67</v>
      </c>
      <c r="K35" s="13">
        <f>'데이터'!G51</f>
        <v>1924</v>
      </c>
      <c r="L35" s="28">
        <v>1.0</v>
      </c>
      <c r="M35" s="18"/>
      <c r="N35" s="18"/>
      <c r="O35" s="28" t="s">
        <v>32</v>
      </c>
      <c r="P35" s="19">
        <f>P30/Q30</f>
        <v>5002.4</v>
      </c>
      <c r="Q35" s="1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24"/>
      <c r="C36" s="24"/>
      <c r="D36" s="24"/>
      <c r="E36" s="24"/>
      <c r="F36" s="1"/>
      <c r="G36" s="1"/>
      <c r="H36" s="18"/>
      <c r="I36" s="18"/>
      <c r="J36" s="28" t="s">
        <v>85</v>
      </c>
      <c r="K36" s="13">
        <f>'데이터'!J50</f>
        <v>11544</v>
      </c>
      <c r="L36" s="28">
        <v>6.0</v>
      </c>
      <c r="M36" s="8"/>
      <c r="N36" s="8"/>
      <c r="O36" s="28" t="s">
        <v>34</v>
      </c>
      <c r="P36" s="19">
        <f>P35*H2</f>
        <v>15007.2</v>
      </c>
      <c r="Q36" s="1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24"/>
      <c r="E37" s="24"/>
      <c r="F37" s="1"/>
      <c r="G37" s="1"/>
      <c r="H37" s="18"/>
      <c r="I37" s="18"/>
      <c r="J37" s="28" t="s">
        <v>79</v>
      </c>
      <c r="K37" s="13">
        <f>'데이터'!J48</f>
        <v>5772</v>
      </c>
      <c r="L37" s="28">
        <v>3.0</v>
      </c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24"/>
      <c r="E38" s="24"/>
      <c r="F38" s="1"/>
      <c r="G38" s="1"/>
      <c r="H38" s="18"/>
      <c r="I38" s="18"/>
      <c r="J38" s="28" t="s">
        <v>47</v>
      </c>
      <c r="K38" s="13">
        <f>'데이터'!J49</f>
        <v>7696</v>
      </c>
      <c r="L38" s="28">
        <v>4.0</v>
      </c>
      <c r="M38" s="1"/>
      <c r="N38" s="2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24"/>
      <c r="E39" s="24"/>
      <c r="F39" s="1"/>
      <c r="G39" s="1"/>
      <c r="H39" s="18"/>
      <c r="I39" s="18"/>
      <c r="J39" s="13" t="s">
        <v>32</v>
      </c>
      <c r="K39" s="19">
        <f>K35/L35</f>
        <v>1924</v>
      </c>
      <c r="L39" s="1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24"/>
      <c r="C40" s="24"/>
      <c r="D40" s="24"/>
      <c r="E40" s="24"/>
      <c r="F40" s="1"/>
      <c r="G40" s="1"/>
      <c r="H40" s="8"/>
      <c r="I40" s="8"/>
      <c r="J40" s="28" t="s">
        <v>34</v>
      </c>
      <c r="K40" s="19">
        <f>K39*H3</f>
        <v>5002.4</v>
      </c>
      <c r="L40" s="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24"/>
      <c r="E41" s="24"/>
      <c r="F41" s="1"/>
      <c r="G41" s="1"/>
      <c r="H41" s="24"/>
      <c r="I41" s="1"/>
      <c r="J41" s="1"/>
      <c r="K41" s="1"/>
      <c r="L41" s="24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24"/>
      <c r="E42" s="24"/>
      <c r="F42" s="1"/>
      <c r="G42" s="1"/>
      <c r="H42" s="24"/>
      <c r="I42" s="1"/>
      <c r="J42" s="1"/>
      <c r="K42" s="1"/>
      <c r="L42" s="24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24"/>
      <c r="E43" s="24"/>
      <c r="F43" s="1"/>
      <c r="G43" s="1"/>
      <c r="H43" s="24"/>
      <c r="I43" s="1"/>
      <c r="J43" s="1"/>
      <c r="K43" s="1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24"/>
      <c r="C44" s="24"/>
      <c r="D44" s="24"/>
      <c r="E44" s="24"/>
      <c r="F44" s="1"/>
      <c r="G44" s="1"/>
      <c r="H44" s="24"/>
      <c r="I44" s="1"/>
      <c r="J44" s="1"/>
      <c r="K44" s="2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24"/>
      <c r="E45" s="24"/>
      <c r="F45" s="1"/>
      <c r="G45" s="1"/>
      <c r="H45" s="1"/>
      <c r="I45" s="1"/>
      <c r="J45" s="1"/>
      <c r="K45" s="1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24"/>
      <c r="E46" s="24"/>
      <c r="F46" s="1"/>
      <c r="G46" s="1"/>
      <c r="H46" s="1"/>
      <c r="I46" s="1"/>
      <c r="J46" s="1"/>
      <c r="K46" s="1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24"/>
      <c r="E47" s="24"/>
      <c r="F47" s="1"/>
      <c r="G47" s="1"/>
      <c r="H47" s="1"/>
      <c r="I47" s="1"/>
      <c r="J47" s="1"/>
      <c r="K47" s="1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24"/>
      <c r="C48" s="24"/>
      <c r="D48" s="24"/>
      <c r="E48" s="24"/>
      <c r="F48" s="1"/>
      <c r="G48" s="1"/>
      <c r="H48" s="1"/>
      <c r="I48" s="1"/>
      <c r="J48" s="1"/>
      <c r="K48" s="1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24"/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24"/>
      <c r="E50" s="24"/>
      <c r="F50" s="1"/>
      <c r="G50" s="1"/>
      <c r="H50" s="1"/>
      <c r="I50" s="1"/>
      <c r="J50" s="1"/>
      <c r="K50" s="2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24"/>
      <c r="E51" s="24"/>
      <c r="F51" s="1"/>
      <c r="G51" s="1"/>
      <c r="H51" s="1"/>
      <c r="I51" s="1"/>
      <c r="J51" s="1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24"/>
      <c r="C52" s="24"/>
      <c r="D52" s="24"/>
      <c r="E52" s="24"/>
      <c r="F52" s="1"/>
      <c r="G52" s="1"/>
      <c r="H52" s="1"/>
      <c r="I52" s="1"/>
      <c r="J52" s="1"/>
      <c r="K52" s="1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24"/>
      <c r="E53" s="24"/>
      <c r="F53" s="1"/>
      <c r="G53" s="1"/>
      <c r="H53" s="1"/>
      <c r="I53" s="1"/>
      <c r="J53" s="1"/>
      <c r="K53" s="1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24"/>
      <c r="E54" s="24"/>
      <c r="F54" s="1"/>
      <c r="G54" s="1"/>
      <c r="H54" s="1"/>
      <c r="I54" s="1"/>
      <c r="J54" s="1"/>
      <c r="K54" s="1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24"/>
      <c r="C55" s="24"/>
      <c r="D55" s="24"/>
      <c r="E55" s="2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24"/>
      <c r="E56" s="24"/>
      <c r="F56" s="1"/>
      <c r="G56" s="1"/>
      <c r="H56" s="1"/>
      <c r="I56" s="1"/>
      <c r="J56" s="1"/>
      <c r="K56" s="2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24"/>
      <c r="E57" s="24"/>
      <c r="F57" s="1"/>
      <c r="G57" s="1"/>
      <c r="H57" s="1"/>
      <c r="I57" s="1"/>
      <c r="J57" s="1"/>
      <c r="K57" s="1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24"/>
      <c r="E58" s="24"/>
      <c r="F58" s="1"/>
      <c r="G58" s="1"/>
      <c r="H58" s="1"/>
      <c r="I58" s="1"/>
      <c r="J58" s="24"/>
      <c r="K58" s="1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2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8">
    <mergeCell ref="B17:D17"/>
    <mergeCell ref="B18:D18"/>
    <mergeCell ref="H17:H22"/>
    <mergeCell ref="I17:I22"/>
    <mergeCell ref="B19:D19"/>
    <mergeCell ref="B20:D20"/>
    <mergeCell ref="B15:D15"/>
    <mergeCell ref="H29:H34"/>
    <mergeCell ref="I29:I34"/>
    <mergeCell ref="K33:L33"/>
    <mergeCell ref="P29:Q29"/>
    <mergeCell ref="P36:Q36"/>
    <mergeCell ref="P35:Q35"/>
    <mergeCell ref="M30:M36"/>
    <mergeCell ref="N30:N36"/>
    <mergeCell ref="H23:H28"/>
    <mergeCell ref="I23:I28"/>
    <mergeCell ref="K27:L27"/>
    <mergeCell ref="K28:L28"/>
    <mergeCell ref="P28:Q28"/>
    <mergeCell ref="N24:N29"/>
    <mergeCell ref="M24:M29"/>
    <mergeCell ref="I6:I11"/>
    <mergeCell ref="K10:L10"/>
    <mergeCell ref="K11:L11"/>
    <mergeCell ref="P10:Q10"/>
    <mergeCell ref="P11:Q11"/>
    <mergeCell ref="M6:M11"/>
    <mergeCell ref="N6:N11"/>
    <mergeCell ref="K21:L21"/>
    <mergeCell ref="K22:L22"/>
    <mergeCell ref="P22:Q22"/>
    <mergeCell ref="N18:N23"/>
    <mergeCell ref="P23:Q23"/>
    <mergeCell ref="P16:Q16"/>
    <mergeCell ref="P17:Q17"/>
    <mergeCell ref="M18:M23"/>
    <mergeCell ref="H6:H11"/>
    <mergeCell ref="H12:H16"/>
    <mergeCell ref="I12:I16"/>
    <mergeCell ref="K15:L15"/>
    <mergeCell ref="K16:L16"/>
    <mergeCell ref="M12:M17"/>
    <mergeCell ref="N12:N17"/>
    <mergeCell ref="B12:D12"/>
    <mergeCell ref="B13:D13"/>
    <mergeCell ref="B2:B3"/>
    <mergeCell ref="C2:C3"/>
    <mergeCell ref="I2:I3"/>
    <mergeCell ref="J2:J3"/>
    <mergeCell ref="F5:G5"/>
    <mergeCell ref="B5:D5"/>
    <mergeCell ref="B11:D11"/>
    <mergeCell ref="K34:L34"/>
    <mergeCell ref="K40:L40"/>
    <mergeCell ref="H35:H40"/>
    <mergeCell ref="I35:I40"/>
    <mergeCell ref="K39:L3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5.71"/>
    <col customWidth="1" min="15" max="15" width="5.29"/>
  </cols>
  <sheetData>
    <row r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0"/>
      <c r="B3" s="30"/>
      <c r="C3" s="31" t="s">
        <v>86</v>
      </c>
      <c r="D3" s="31" t="s">
        <v>87</v>
      </c>
      <c r="E3" s="31" t="s">
        <v>88</v>
      </c>
      <c r="F3" s="31" t="s">
        <v>87</v>
      </c>
      <c r="G3" s="31" t="s">
        <v>89</v>
      </c>
      <c r="H3" s="31" t="s">
        <v>90</v>
      </c>
      <c r="I3" s="31" t="s">
        <v>87</v>
      </c>
      <c r="J3" s="31" t="s">
        <v>89</v>
      </c>
      <c r="K3" s="30"/>
      <c r="L3" s="31" t="s">
        <v>90</v>
      </c>
      <c r="M3" s="31" t="s">
        <v>87</v>
      </c>
      <c r="N3" s="31" t="s">
        <v>89</v>
      </c>
      <c r="O3" s="30"/>
      <c r="P3" s="31" t="s">
        <v>90</v>
      </c>
      <c r="Q3" s="31" t="s">
        <v>87</v>
      </c>
      <c r="R3" s="31" t="s">
        <v>89</v>
      </c>
      <c r="S3" s="30"/>
      <c r="T3" s="30"/>
      <c r="U3" s="30"/>
      <c r="V3" s="30"/>
      <c r="W3" s="30"/>
      <c r="X3" s="30"/>
      <c r="Y3" s="30"/>
      <c r="Z3" s="30"/>
    </row>
    <row r="4">
      <c r="A4" s="30"/>
      <c r="B4" s="30"/>
      <c r="C4" s="31" t="s">
        <v>61</v>
      </c>
      <c r="D4" s="32">
        <f>'메디아 정식'!C7</f>
        <v>15000</v>
      </c>
      <c r="E4" s="31" t="s">
        <v>21</v>
      </c>
      <c r="F4" s="32">
        <f>D4*1</f>
        <v>15000</v>
      </c>
      <c r="G4" s="33">
        <f>ROUNDUP(($D$4*1)/'메디아 정식'!$H$2)</f>
        <v>5000</v>
      </c>
      <c r="H4" s="31" t="s">
        <v>25</v>
      </c>
      <c r="I4" s="32">
        <f>F4*7</f>
        <v>105000</v>
      </c>
      <c r="J4" s="32">
        <f>ROUNDUP($G$4/'메디아 정식'!$H$3)*7</f>
        <v>13468</v>
      </c>
      <c r="K4" s="30"/>
      <c r="L4" s="31" t="s">
        <v>25</v>
      </c>
      <c r="M4" s="33">
        <f t="shared" ref="M4:M14" si="1">sumif($H$4:$H$16,L4,$I$4:$I$16)</f>
        <v>105000</v>
      </c>
      <c r="N4" s="33">
        <f t="shared" ref="N4:N14" si="2">sumif($H$4:$H$16,L4,$J$4:$J$16)</f>
        <v>13468</v>
      </c>
      <c r="O4" s="30"/>
      <c r="P4" s="31" t="s">
        <v>25</v>
      </c>
      <c r="Q4" s="33">
        <f t="shared" ref="Q4:Q21" si="3">sumif($L$4:$L$44,P4,$M$4:$M$44)</f>
        <v>105000</v>
      </c>
      <c r="R4" s="33">
        <f t="shared" ref="R4:R21" si="4">sumif($L$4:$L$44,P4,$N$4:$N$44)</f>
        <v>13468</v>
      </c>
      <c r="S4" s="30"/>
      <c r="T4" s="30"/>
      <c r="U4" s="30"/>
      <c r="V4" s="30"/>
      <c r="W4" s="30"/>
      <c r="X4" s="30"/>
      <c r="Y4" s="30"/>
      <c r="Z4" s="30"/>
    </row>
    <row r="5">
      <c r="A5" s="30"/>
      <c r="B5" s="30"/>
      <c r="C5" s="30"/>
      <c r="D5" s="30"/>
      <c r="E5" s="30"/>
      <c r="F5" s="30"/>
      <c r="G5" s="30"/>
      <c r="H5" s="31" t="s">
        <v>28</v>
      </c>
      <c r="I5" s="32">
        <f>F4*5</f>
        <v>75000</v>
      </c>
      <c r="J5" s="32">
        <f>ROUNDUP($G$4/'메디아 정식'!$H$3)*5</f>
        <v>9620</v>
      </c>
      <c r="K5" s="30"/>
      <c r="L5" s="31" t="s">
        <v>28</v>
      </c>
      <c r="M5" s="33">
        <f t="shared" si="1"/>
        <v>75000</v>
      </c>
      <c r="N5" s="33">
        <f t="shared" si="2"/>
        <v>9620</v>
      </c>
      <c r="O5" s="30"/>
      <c r="P5" s="31" t="s">
        <v>28</v>
      </c>
      <c r="Q5" s="33">
        <f t="shared" si="3"/>
        <v>75000</v>
      </c>
      <c r="R5" s="33">
        <f t="shared" si="4"/>
        <v>9620</v>
      </c>
      <c r="S5" s="30"/>
      <c r="T5" s="30"/>
      <c r="U5" s="30"/>
      <c r="V5" s="30"/>
      <c r="W5" s="30"/>
      <c r="X5" s="30"/>
      <c r="Y5" s="30"/>
      <c r="Z5" s="30"/>
    </row>
    <row r="6">
      <c r="A6" s="30"/>
      <c r="B6" s="30"/>
      <c r="C6" s="31" t="s">
        <v>91</v>
      </c>
      <c r="D6" s="33">
        <f>ROUNDUP(($D$4*1)/'메디아 정식'!H2)</f>
        <v>5000</v>
      </c>
      <c r="E6" s="31" t="s">
        <v>22</v>
      </c>
      <c r="F6" s="32">
        <f>F4*1</f>
        <v>15000</v>
      </c>
      <c r="G6" s="33">
        <f>ROUNDUP($G$4/'메디아 정식'!$H$3)</f>
        <v>1924</v>
      </c>
      <c r="H6" s="31" t="s">
        <v>37</v>
      </c>
      <c r="I6" s="32">
        <f>F6*9</f>
        <v>135000</v>
      </c>
      <c r="J6" s="32">
        <f>ROUNDUP($G$6/'메디아 정식'!$H$3)*9</f>
        <v>6660</v>
      </c>
      <c r="K6" s="30"/>
      <c r="L6" s="31" t="s">
        <v>37</v>
      </c>
      <c r="M6" s="33">
        <f t="shared" si="1"/>
        <v>135000</v>
      </c>
      <c r="N6" s="33">
        <f t="shared" si="2"/>
        <v>6660</v>
      </c>
      <c r="O6" s="30"/>
      <c r="P6" s="31" t="s">
        <v>37</v>
      </c>
      <c r="Q6" s="33">
        <f t="shared" si="3"/>
        <v>300000</v>
      </c>
      <c r="R6" s="33">
        <f t="shared" si="4"/>
        <v>27823</v>
      </c>
      <c r="S6" s="30"/>
      <c r="T6" s="30"/>
      <c r="U6" s="30"/>
      <c r="V6" s="30"/>
      <c r="W6" s="30"/>
      <c r="X6" s="30"/>
      <c r="Y6" s="30"/>
      <c r="Z6" s="30"/>
    </row>
    <row r="7">
      <c r="A7" s="30"/>
      <c r="B7" s="30"/>
      <c r="C7" s="30"/>
      <c r="D7" s="30"/>
      <c r="E7" s="30"/>
      <c r="F7" s="30"/>
      <c r="G7" s="30"/>
      <c r="H7" s="31" t="s">
        <v>60</v>
      </c>
      <c r="I7" s="32">
        <f>F6*3</f>
        <v>45000</v>
      </c>
      <c r="J7" s="32">
        <f>ROUNDUP($G$6/'메디아 정식'!$H$3)*3</f>
        <v>2220</v>
      </c>
      <c r="K7" s="30"/>
      <c r="L7" s="31" t="s">
        <v>60</v>
      </c>
      <c r="M7" s="33">
        <f t="shared" si="1"/>
        <v>45000</v>
      </c>
      <c r="N7" s="33">
        <f t="shared" si="2"/>
        <v>2220</v>
      </c>
      <c r="O7" s="30"/>
      <c r="P7" s="31" t="s">
        <v>60</v>
      </c>
      <c r="Q7" s="33">
        <f t="shared" si="3"/>
        <v>90000</v>
      </c>
      <c r="R7" s="33">
        <f t="shared" si="4"/>
        <v>7992</v>
      </c>
      <c r="S7" s="30"/>
      <c r="T7" s="30"/>
      <c r="U7" s="30"/>
      <c r="V7" s="30"/>
      <c r="W7" s="30"/>
      <c r="X7" s="30"/>
      <c r="Y7" s="30"/>
      <c r="Z7" s="30"/>
    </row>
    <row r="8">
      <c r="A8" s="30"/>
      <c r="B8" s="30"/>
      <c r="C8" s="30"/>
      <c r="D8" s="30"/>
      <c r="E8" s="30"/>
      <c r="F8" s="30"/>
      <c r="G8" s="30"/>
      <c r="H8" s="31" t="s">
        <v>62</v>
      </c>
      <c r="I8" s="32">
        <f>F6*2</f>
        <v>30000</v>
      </c>
      <c r="J8" s="32">
        <f>ROUNDUP($G$6/'메디아 정식'!$H$3)*2</f>
        <v>1480</v>
      </c>
      <c r="K8" s="30"/>
      <c r="L8" s="31" t="s">
        <v>62</v>
      </c>
      <c r="M8" s="33">
        <f t="shared" si="1"/>
        <v>30000</v>
      </c>
      <c r="N8" s="33">
        <f t="shared" si="2"/>
        <v>1480</v>
      </c>
      <c r="O8" s="30"/>
      <c r="P8" s="31" t="s">
        <v>62</v>
      </c>
      <c r="Q8" s="33">
        <f t="shared" si="3"/>
        <v>60000</v>
      </c>
      <c r="R8" s="33">
        <f t="shared" si="4"/>
        <v>5328</v>
      </c>
      <c r="S8" s="30"/>
      <c r="T8" s="30"/>
      <c r="U8" s="30"/>
      <c r="V8" s="30"/>
      <c r="W8" s="30"/>
      <c r="X8" s="30"/>
      <c r="Y8" s="30"/>
      <c r="Z8" s="30"/>
    </row>
    <row r="9">
      <c r="A9" s="30"/>
      <c r="B9" s="30"/>
      <c r="C9" s="30"/>
      <c r="D9" s="30"/>
      <c r="E9" s="30"/>
      <c r="F9" s="30"/>
      <c r="G9" s="30"/>
      <c r="H9" s="31" t="s">
        <v>59</v>
      </c>
      <c r="I9" s="32">
        <f>F6*3</f>
        <v>45000</v>
      </c>
      <c r="J9" s="32">
        <f>ROUNDUP($G$6/'메디아 정식'!$H$3)*3</f>
        <v>2220</v>
      </c>
      <c r="K9" s="30"/>
      <c r="L9" s="31" t="s">
        <v>59</v>
      </c>
      <c r="M9" s="33">
        <f t="shared" si="1"/>
        <v>45000</v>
      </c>
      <c r="N9" s="33">
        <f t="shared" si="2"/>
        <v>2220</v>
      </c>
      <c r="O9" s="30"/>
      <c r="P9" s="31" t="s">
        <v>59</v>
      </c>
      <c r="Q9" s="33">
        <f t="shared" si="3"/>
        <v>120000</v>
      </c>
      <c r="R9" s="33">
        <f t="shared" si="4"/>
        <v>11839</v>
      </c>
      <c r="S9" s="30"/>
      <c r="T9" s="30"/>
      <c r="U9" s="30"/>
      <c r="V9" s="30"/>
      <c r="W9" s="30"/>
      <c r="X9" s="30"/>
      <c r="Y9" s="30"/>
      <c r="Z9" s="30"/>
    </row>
    <row r="10">
      <c r="A10" s="30"/>
      <c r="B10" s="30"/>
      <c r="C10" s="30"/>
      <c r="D10" s="30"/>
      <c r="E10" s="31" t="s">
        <v>31</v>
      </c>
      <c r="F10" s="32">
        <f>F4*1</f>
        <v>15000</v>
      </c>
      <c r="G10" s="33">
        <f>ROUNDUP($G$4/'메디아 정식'!$H$3)</f>
        <v>1924</v>
      </c>
      <c r="H10" s="31" t="s">
        <v>47</v>
      </c>
      <c r="I10" s="32">
        <f>F10*8</f>
        <v>120000</v>
      </c>
      <c r="J10" s="32">
        <f>ROUNDUP($G$10/'메디아 정식'!$H$3)*8</f>
        <v>5920</v>
      </c>
      <c r="K10" s="30"/>
      <c r="L10" s="31" t="s">
        <v>47</v>
      </c>
      <c r="M10" s="33">
        <f t="shared" si="1"/>
        <v>120000</v>
      </c>
      <c r="N10" s="33">
        <f t="shared" si="2"/>
        <v>5920</v>
      </c>
      <c r="O10" s="30"/>
      <c r="P10" s="31" t="s">
        <v>47</v>
      </c>
      <c r="Q10" s="33">
        <f t="shared" si="3"/>
        <v>120000</v>
      </c>
      <c r="R10" s="33">
        <f t="shared" si="4"/>
        <v>5920</v>
      </c>
      <c r="S10" s="30"/>
      <c r="T10" s="30"/>
      <c r="U10" s="30"/>
      <c r="V10" s="30"/>
      <c r="W10" s="30"/>
      <c r="X10" s="30"/>
      <c r="Y10" s="30"/>
      <c r="Z10" s="30"/>
    </row>
    <row r="11">
      <c r="A11" s="30"/>
      <c r="B11" s="30"/>
      <c r="C11" s="30"/>
      <c r="D11" s="30"/>
      <c r="E11" s="30"/>
      <c r="F11" s="30"/>
      <c r="G11" s="30"/>
      <c r="H11" s="31" t="s">
        <v>27</v>
      </c>
      <c r="I11" s="32">
        <f>F10*2</f>
        <v>30000</v>
      </c>
      <c r="J11" s="32">
        <f>ROUNDUP($G$10/'메디아 정식'!$H$3)*2</f>
        <v>1480</v>
      </c>
      <c r="K11" s="30"/>
      <c r="L11" s="31" t="s">
        <v>27</v>
      </c>
      <c r="M11" s="33">
        <f t="shared" si="1"/>
        <v>90000</v>
      </c>
      <c r="N11" s="33">
        <f t="shared" si="2"/>
        <v>4439</v>
      </c>
      <c r="O11" s="30"/>
      <c r="P11" s="31" t="s">
        <v>27</v>
      </c>
      <c r="Q11" s="33">
        <f t="shared" si="3"/>
        <v>210000</v>
      </c>
      <c r="R11" s="33">
        <f t="shared" si="4"/>
        <v>17460</v>
      </c>
      <c r="S11" s="30"/>
      <c r="T11" s="30"/>
      <c r="U11" s="30"/>
      <c r="V11" s="30"/>
      <c r="W11" s="30"/>
      <c r="X11" s="30"/>
      <c r="Y11" s="30"/>
      <c r="Z11" s="30"/>
    </row>
    <row r="12">
      <c r="A12" s="30"/>
      <c r="B12" s="30"/>
      <c r="C12" s="30"/>
      <c r="D12" s="30"/>
      <c r="E12" s="30"/>
      <c r="F12" s="30"/>
      <c r="G12" s="30"/>
      <c r="H12" s="31" t="s">
        <v>30</v>
      </c>
      <c r="I12" s="32">
        <f>F10*2</f>
        <v>30000</v>
      </c>
      <c r="J12" s="32">
        <f>ROUNDUP($G$10/'메디아 정식'!$H$3)*2</f>
        <v>1480</v>
      </c>
      <c r="K12" s="30"/>
      <c r="L12" s="31" t="s">
        <v>30</v>
      </c>
      <c r="M12" s="33">
        <f t="shared" si="1"/>
        <v>90000</v>
      </c>
      <c r="N12" s="33">
        <f t="shared" si="2"/>
        <v>4439</v>
      </c>
      <c r="O12" s="30"/>
      <c r="P12" s="31" t="s">
        <v>30</v>
      </c>
      <c r="Q12" s="33">
        <f t="shared" si="3"/>
        <v>120000</v>
      </c>
      <c r="R12" s="33">
        <f t="shared" si="4"/>
        <v>5919</v>
      </c>
      <c r="S12" s="30"/>
      <c r="T12" s="30"/>
      <c r="U12" s="30"/>
      <c r="V12" s="30"/>
      <c r="W12" s="30"/>
      <c r="X12" s="30"/>
      <c r="Y12" s="30"/>
      <c r="Z12" s="30"/>
    </row>
    <row r="13">
      <c r="A13" s="30"/>
      <c r="B13" s="30"/>
      <c r="C13" s="30"/>
      <c r="D13" s="30"/>
      <c r="E13" s="31" t="s">
        <v>19</v>
      </c>
      <c r="F13" s="32">
        <f>F10*4</f>
        <v>60000</v>
      </c>
      <c r="G13" s="33">
        <f>ROUNDUP($G$4*4/'메디아 정식'!$H$3)</f>
        <v>7693</v>
      </c>
      <c r="H13" s="31" t="s">
        <v>20</v>
      </c>
      <c r="I13" s="32">
        <f>F13*1</f>
        <v>60000</v>
      </c>
      <c r="J13" s="32">
        <f>ROUNDUP($G$13/'메디아 정식'!$H$3)*1</f>
        <v>2959</v>
      </c>
      <c r="K13" s="30"/>
      <c r="L13" s="31" t="s">
        <v>20</v>
      </c>
      <c r="M13" s="33">
        <f t="shared" si="1"/>
        <v>60000</v>
      </c>
      <c r="N13" s="33">
        <f t="shared" si="2"/>
        <v>2959</v>
      </c>
      <c r="O13" s="30"/>
      <c r="P13" s="31" t="s">
        <v>20</v>
      </c>
      <c r="Q13" s="33">
        <f t="shared" si="3"/>
        <v>90000</v>
      </c>
      <c r="R13" s="33">
        <f t="shared" si="4"/>
        <v>4439</v>
      </c>
      <c r="S13" s="30"/>
      <c r="T13" s="30"/>
      <c r="U13" s="30"/>
      <c r="V13" s="30"/>
      <c r="W13" s="30"/>
      <c r="X13" s="30"/>
      <c r="Y13" s="30"/>
      <c r="Z13" s="30"/>
    </row>
    <row r="14">
      <c r="A14" s="30"/>
      <c r="B14" s="30"/>
      <c r="C14" s="30"/>
      <c r="D14" s="30"/>
      <c r="E14" s="30"/>
      <c r="F14" s="30"/>
      <c r="G14" s="30"/>
      <c r="H14" s="31" t="s">
        <v>24</v>
      </c>
      <c r="I14" s="32">
        <f>F13*1</f>
        <v>60000</v>
      </c>
      <c r="J14" s="32">
        <f>ROUNDUP($G$13/'메디아 정식'!$H$3)*1</f>
        <v>2959</v>
      </c>
      <c r="K14" s="30"/>
      <c r="L14" s="31" t="s">
        <v>24</v>
      </c>
      <c r="M14" s="33">
        <f t="shared" si="1"/>
        <v>60000</v>
      </c>
      <c r="N14" s="33">
        <f t="shared" si="2"/>
        <v>2959</v>
      </c>
      <c r="O14" s="30"/>
      <c r="P14" s="31" t="s">
        <v>24</v>
      </c>
      <c r="Q14" s="33">
        <f t="shared" si="3"/>
        <v>120000</v>
      </c>
      <c r="R14" s="33">
        <f t="shared" si="4"/>
        <v>8286</v>
      </c>
      <c r="S14" s="30"/>
      <c r="T14" s="30"/>
      <c r="U14" s="30"/>
      <c r="V14" s="30"/>
      <c r="W14" s="30"/>
      <c r="X14" s="30"/>
      <c r="Y14" s="30"/>
      <c r="Z14" s="30"/>
    </row>
    <row r="15">
      <c r="A15" s="30"/>
      <c r="B15" s="30"/>
      <c r="C15" s="30"/>
      <c r="D15" s="30"/>
      <c r="E15" s="30"/>
      <c r="F15" s="30"/>
      <c r="G15" s="30"/>
      <c r="H15" s="31" t="s">
        <v>27</v>
      </c>
      <c r="I15" s="32">
        <f>F13*1</f>
        <v>60000</v>
      </c>
      <c r="J15" s="32">
        <f>ROUNDUP($G$13/'메디아 정식'!$H$3)*1</f>
        <v>2959</v>
      </c>
      <c r="K15" s="30"/>
      <c r="L15" s="30"/>
      <c r="M15" s="30"/>
      <c r="N15" s="30"/>
      <c r="O15" s="30"/>
      <c r="P15" s="31" t="s">
        <v>39</v>
      </c>
      <c r="Q15" s="33">
        <f t="shared" si="3"/>
        <v>300000</v>
      </c>
      <c r="R15" s="33">
        <f t="shared" si="4"/>
        <v>38474</v>
      </c>
      <c r="S15" s="30"/>
      <c r="T15" s="30"/>
      <c r="U15" s="30"/>
      <c r="V15" s="30"/>
      <c r="W15" s="30"/>
      <c r="X15" s="30"/>
      <c r="Y15" s="30"/>
      <c r="Z15" s="30"/>
    </row>
    <row r="16">
      <c r="A16" s="30"/>
      <c r="B16" s="30"/>
      <c r="C16" s="30"/>
      <c r="D16" s="30"/>
      <c r="E16" s="30"/>
      <c r="F16" s="30"/>
      <c r="G16" s="30"/>
      <c r="H16" s="31" t="s">
        <v>30</v>
      </c>
      <c r="I16" s="32">
        <f>F13*1</f>
        <v>60000</v>
      </c>
      <c r="J16" s="32">
        <f>ROUNDUP($G$13/'메디아 정식'!$H$3)*1</f>
        <v>2959</v>
      </c>
      <c r="K16" s="30"/>
      <c r="L16" s="30"/>
      <c r="M16" s="30"/>
      <c r="N16" s="30"/>
      <c r="O16" s="30"/>
      <c r="P16" s="31" t="s">
        <v>42</v>
      </c>
      <c r="Q16" s="33">
        <f t="shared" si="3"/>
        <v>105000</v>
      </c>
      <c r="R16" s="33">
        <f t="shared" si="4"/>
        <v>13466</v>
      </c>
      <c r="S16" s="30"/>
      <c r="T16" s="30"/>
      <c r="U16" s="30"/>
      <c r="V16" s="30"/>
      <c r="W16" s="30"/>
      <c r="X16" s="30"/>
      <c r="Y16" s="30"/>
      <c r="Z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 t="s">
        <v>55</v>
      </c>
      <c r="Q17" s="33">
        <f t="shared" si="3"/>
        <v>60000</v>
      </c>
      <c r="R17" s="33">
        <f t="shared" si="4"/>
        <v>2959</v>
      </c>
      <c r="S17" s="30"/>
      <c r="T17" s="30"/>
      <c r="U17" s="30"/>
      <c r="V17" s="30"/>
      <c r="W17" s="30"/>
      <c r="X17" s="30"/>
      <c r="Y17" s="30"/>
      <c r="Z17" s="30"/>
    </row>
    <row r="18">
      <c r="A18" s="30"/>
      <c r="B18" s="30"/>
      <c r="C18" s="30"/>
      <c r="D18" s="30"/>
      <c r="E18" s="31" t="s">
        <v>38</v>
      </c>
      <c r="F18" s="32">
        <f>D4*1</f>
        <v>15000</v>
      </c>
      <c r="G18" s="33">
        <f>ROUNDUP(($D$4*1)/'메디아 정식'!$H$2)</f>
        <v>5000</v>
      </c>
      <c r="H18" s="31" t="s">
        <v>39</v>
      </c>
      <c r="I18" s="32">
        <f>F18*8</f>
        <v>120000</v>
      </c>
      <c r="J18" s="32">
        <f>ROUNDUP($G$18/'메디아 정식'!$H$3)*8</f>
        <v>15392</v>
      </c>
      <c r="K18" s="30"/>
      <c r="L18" s="31" t="s">
        <v>39</v>
      </c>
      <c r="M18" s="33">
        <f t="shared" ref="M18:M27" si="5">sumif($H$18:$H$27,L18,$I$18:$I$27)</f>
        <v>120000</v>
      </c>
      <c r="N18" s="33">
        <f t="shared" ref="N18:N27" si="6">sumif($H$18:$H$27,L18,$J$18:$J$27)</f>
        <v>15392</v>
      </c>
      <c r="O18" s="30"/>
      <c r="P18" s="31" t="s">
        <v>56</v>
      </c>
      <c r="Q18" s="33">
        <f t="shared" si="3"/>
        <v>60000</v>
      </c>
      <c r="R18" s="33">
        <f t="shared" si="4"/>
        <v>2959</v>
      </c>
      <c r="S18" s="30"/>
      <c r="T18" s="30"/>
      <c r="U18" s="30"/>
      <c r="V18" s="30"/>
      <c r="W18" s="30"/>
      <c r="X18" s="30"/>
      <c r="Y18" s="30"/>
      <c r="Z18" s="30"/>
    </row>
    <row r="19">
      <c r="A19" s="30"/>
      <c r="B19" s="30"/>
      <c r="C19" s="30"/>
      <c r="D19" s="30"/>
      <c r="E19" s="30"/>
      <c r="F19" s="30"/>
      <c r="G19" s="30"/>
      <c r="H19" s="31" t="s">
        <v>42</v>
      </c>
      <c r="I19" s="32">
        <f>F18*3</f>
        <v>45000</v>
      </c>
      <c r="J19" s="32">
        <f>ROUNDUP($G$18/'메디아 정식'!$H$3)*3</f>
        <v>5772</v>
      </c>
      <c r="K19" s="30"/>
      <c r="L19" s="31" t="s">
        <v>42</v>
      </c>
      <c r="M19" s="33">
        <f t="shared" si="5"/>
        <v>45000</v>
      </c>
      <c r="N19" s="33">
        <f t="shared" si="6"/>
        <v>5772</v>
      </c>
      <c r="O19" s="30"/>
      <c r="P19" s="31" t="s">
        <v>58</v>
      </c>
      <c r="Q19" s="33">
        <f t="shared" si="3"/>
        <v>180000</v>
      </c>
      <c r="R19" s="33">
        <f t="shared" si="4"/>
        <v>13612</v>
      </c>
      <c r="S19" s="30"/>
      <c r="T19" s="30"/>
      <c r="U19" s="30"/>
      <c r="V19" s="30"/>
      <c r="W19" s="30"/>
      <c r="X19" s="30"/>
      <c r="Y19" s="30"/>
      <c r="Z19" s="30"/>
    </row>
    <row r="20">
      <c r="A20" s="30"/>
      <c r="B20" s="30"/>
      <c r="C20" s="30"/>
      <c r="D20" s="30"/>
      <c r="E20" s="31" t="s">
        <v>19</v>
      </c>
      <c r="F20" s="32">
        <f>F18*2</f>
        <v>30000</v>
      </c>
      <c r="G20" s="33">
        <f>ROUNDUP($G$18*2/'메디아 정식'!$H$3)</f>
        <v>3847</v>
      </c>
      <c r="H20" s="31" t="s">
        <v>20</v>
      </c>
      <c r="I20" s="32">
        <f>F20*1</f>
        <v>30000</v>
      </c>
      <c r="J20" s="32">
        <f>ROUNDUP($G$20/'메디아 정식'!$H$3)*1</f>
        <v>1480</v>
      </c>
      <c r="K20" s="30"/>
      <c r="L20" s="31" t="s">
        <v>20</v>
      </c>
      <c r="M20" s="33">
        <f t="shared" si="5"/>
        <v>30000</v>
      </c>
      <c r="N20" s="33">
        <f t="shared" si="6"/>
        <v>1480</v>
      </c>
      <c r="O20" s="30"/>
      <c r="P20" s="31" t="s">
        <v>52</v>
      </c>
      <c r="Q20" s="33">
        <f t="shared" si="3"/>
        <v>210000</v>
      </c>
      <c r="R20" s="33">
        <f t="shared" si="4"/>
        <v>22194</v>
      </c>
      <c r="S20" s="30"/>
      <c r="T20" s="30"/>
      <c r="U20" s="30"/>
      <c r="V20" s="30"/>
      <c r="W20" s="30"/>
      <c r="X20" s="30"/>
      <c r="Y20" s="30"/>
      <c r="Z20" s="30"/>
    </row>
    <row r="21">
      <c r="A21" s="30"/>
      <c r="B21" s="30"/>
      <c r="C21" s="30"/>
      <c r="D21" s="30"/>
      <c r="E21" s="30"/>
      <c r="F21" s="30"/>
      <c r="G21" s="30"/>
      <c r="H21" s="31" t="s">
        <v>24</v>
      </c>
      <c r="I21" s="32">
        <f>F20*1</f>
        <v>30000</v>
      </c>
      <c r="J21" s="32">
        <f>ROUNDUP($G$20/'메디아 정식'!$H$3)*1</f>
        <v>1480</v>
      </c>
      <c r="K21" s="30"/>
      <c r="L21" s="31" t="s">
        <v>24</v>
      </c>
      <c r="M21" s="33">
        <f t="shared" si="5"/>
        <v>30000</v>
      </c>
      <c r="N21" s="33">
        <f t="shared" si="6"/>
        <v>1480</v>
      </c>
      <c r="O21" s="30"/>
      <c r="P21" s="31" t="s">
        <v>50</v>
      </c>
      <c r="Q21" s="33">
        <f t="shared" si="3"/>
        <v>90000</v>
      </c>
      <c r="R21" s="33">
        <f t="shared" si="4"/>
        <v>11541</v>
      </c>
      <c r="S21" s="30"/>
      <c r="T21" s="30"/>
      <c r="U21" s="30"/>
      <c r="V21" s="30"/>
      <c r="W21" s="30"/>
      <c r="X21" s="30"/>
      <c r="Y21" s="30"/>
      <c r="Z21" s="30"/>
    </row>
    <row r="22">
      <c r="A22" s="30"/>
      <c r="B22" s="30"/>
      <c r="C22" s="30"/>
      <c r="D22" s="30"/>
      <c r="E22" s="30"/>
      <c r="F22" s="30"/>
      <c r="G22" s="30"/>
      <c r="H22" s="31" t="s">
        <v>27</v>
      </c>
      <c r="I22" s="32">
        <f>F20*1</f>
        <v>30000</v>
      </c>
      <c r="J22" s="32">
        <f>ROUNDUP($G$20/'메디아 정식'!$H$3)*1</f>
        <v>1480</v>
      </c>
      <c r="K22" s="30"/>
      <c r="L22" s="31" t="s">
        <v>27</v>
      </c>
      <c r="M22" s="33">
        <f t="shared" si="5"/>
        <v>30000</v>
      </c>
      <c r="N22" s="33">
        <f t="shared" si="6"/>
        <v>1480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>
      <c r="A23" s="30"/>
      <c r="B23" s="30"/>
      <c r="C23" s="30"/>
      <c r="D23" s="30"/>
      <c r="E23" s="30"/>
      <c r="F23" s="30"/>
      <c r="G23" s="30"/>
      <c r="H23" s="31" t="s">
        <v>30</v>
      </c>
      <c r="I23" s="32">
        <f>F20*1</f>
        <v>30000</v>
      </c>
      <c r="J23" s="32">
        <f>ROUNDUP($G$20/'메디아 정식'!$H$3)*1</f>
        <v>1480</v>
      </c>
      <c r="K23" s="30"/>
      <c r="L23" s="31" t="s">
        <v>30</v>
      </c>
      <c r="M23" s="33">
        <f t="shared" si="5"/>
        <v>30000</v>
      </c>
      <c r="N23" s="33">
        <f t="shared" si="6"/>
        <v>1480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>
      <c r="A24" s="30"/>
      <c r="B24" s="30"/>
      <c r="C24" s="30"/>
      <c r="D24" s="30"/>
      <c r="E24" s="31" t="s">
        <v>44</v>
      </c>
      <c r="F24" s="32">
        <f>F18*4</f>
        <v>60000</v>
      </c>
      <c r="G24" s="33">
        <f>ROUNDUP($G$18*4/'메디아 정식'!$H$3)</f>
        <v>7693</v>
      </c>
      <c r="H24" s="31" t="s">
        <v>55</v>
      </c>
      <c r="I24" s="32">
        <f>F24*1</f>
        <v>60000</v>
      </c>
      <c r="J24" s="32">
        <f>ROUNDUP($G$24/'메디아 정식'!$H$3)*1</f>
        <v>2959</v>
      </c>
      <c r="K24" s="30"/>
      <c r="L24" s="31" t="s">
        <v>55</v>
      </c>
      <c r="M24" s="33">
        <f t="shared" si="5"/>
        <v>60000</v>
      </c>
      <c r="N24" s="33">
        <f t="shared" si="6"/>
        <v>2959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>
      <c r="A25" s="30"/>
      <c r="B25" s="30"/>
      <c r="C25" s="30"/>
      <c r="D25" s="30"/>
      <c r="E25" s="30"/>
      <c r="F25" s="30"/>
      <c r="G25" s="30"/>
      <c r="H25" s="31" t="s">
        <v>56</v>
      </c>
      <c r="I25" s="32">
        <f>F24*1</f>
        <v>60000</v>
      </c>
      <c r="J25" s="32">
        <f>ROUNDUP($G$24/'메디아 정식'!$H$3)*1</f>
        <v>2959</v>
      </c>
      <c r="K25" s="30"/>
      <c r="L25" s="31" t="s">
        <v>56</v>
      </c>
      <c r="M25" s="33">
        <f t="shared" si="5"/>
        <v>60000</v>
      </c>
      <c r="N25" s="33">
        <f t="shared" si="6"/>
        <v>2959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>
      <c r="A26" s="30"/>
      <c r="B26" s="30"/>
      <c r="C26" s="30"/>
      <c r="D26" s="30"/>
      <c r="E26" s="30"/>
      <c r="F26" s="30"/>
      <c r="G26" s="30"/>
      <c r="H26" s="31" t="s">
        <v>58</v>
      </c>
      <c r="I26" s="32">
        <f>F24*2</f>
        <v>120000</v>
      </c>
      <c r="J26" s="32">
        <f>ROUNDUP($G$24/'메디아 정식'!$H$3)*2</f>
        <v>5918</v>
      </c>
      <c r="K26" s="30"/>
      <c r="L26" s="31" t="s">
        <v>58</v>
      </c>
      <c r="M26" s="33">
        <f t="shared" si="5"/>
        <v>120000</v>
      </c>
      <c r="N26" s="33">
        <f t="shared" si="6"/>
        <v>5918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>
      <c r="A27" s="30"/>
      <c r="B27" s="30"/>
      <c r="C27" s="30"/>
      <c r="D27" s="30"/>
      <c r="E27" s="30"/>
      <c r="F27" s="30"/>
      <c r="G27" s="30"/>
      <c r="H27" s="31" t="s">
        <v>52</v>
      </c>
      <c r="I27" s="32">
        <f>F24*1</f>
        <v>60000</v>
      </c>
      <c r="J27" s="32">
        <f>ROUNDUP($G$24/'메디아 정식'!$H$3)*1</f>
        <v>2959</v>
      </c>
      <c r="K27" s="30"/>
      <c r="L27" s="31" t="s">
        <v>52</v>
      </c>
      <c r="M27" s="33">
        <f t="shared" si="5"/>
        <v>60000</v>
      </c>
      <c r="N27" s="33">
        <f t="shared" si="6"/>
        <v>2959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>
      <c r="A29" s="30"/>
      <c r="B29" s="30"/>
      <c r="C29" s="30"/>
      <c r="D29" s="30"/>
      <c r="E29" s="31" t="s">
        <v>22</v>
      </c>
      <c r="F29" s="32">
        <f>D4*1</f>
        <v>15000</v>
      </c>
      <c r="G29" s="33">
        <f>ROUNDUP(($D$4*1)/'메디아 정식'!$H$2)</f>
        <v>5000</v>
      </c>
      <c r="H29" s="31" t="s">
        <v>37</v>
      </c>
      <c r="I29" s="32">
        <f>F29*9</f>
        <v>135000</v>
      </c>
      <c r="J29" s="32">
        <f>ROUNDUP($G$29/'메디아 정식'!$H$3)*9</f>
        <v>17316</v>
      </c>
      <c r="K29" s="30"/>
      <c r="L29" s="31" t="s">
        <v>37</v>
      </c>
      <c r="M29" s="33">
        <f t="shared" ref="M29:M32" si="7">sumif($H$29:$H$32,L29,$I$29:$I$32)</f>
        <v>135000</v>
      </c>
      <c r="N29" s="33">
        <f t="shared" ref="N29:N32" si="8">sumif($H$29:$H$32,L29,$J$29:$J$32)</f>
        <v>17316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>
      <c r="A30" s="30"/>
      <c r="B30" s="30"/>
      <c r="C30" s="30"/>
      <c r="D30" s="30"/>
      <c r="E30" s="30"/>
      <c r="F30" s="30"/>
      <c r="G30" s="30"/>
      <c r="H30" s="31" t="s">
        <v>60</v>
      </c>
      <c r="I30" s="32">
        <f>F29*3</f>
        <v>45000</v>
      </c>
      <c r="J30" s="32">
        <f>ROUNDUP($G$29/'메디아 정식'!$H$3)*3</f>
        <v>5772</v>
      </c>
      <c r="K30" s="30"/>
      <c r="L30" s="31" t="s">
        <v>60</v>
      </c>
      <c r="M30" s="33">
        <f t="shared" si="7"/>
        <v>45000</v>
      </c>
      <c r="N30" s="33">
        <f t="shared" si="8"/>
        <v>5772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>
      <c r="A31" s="30"/>
      <c r="B31" s="30"/>
      <c r="C31" s="30"/>
      <c r="D31" s="30"/>
      <c r="E31" s="30"/>
      <c r="F31" s="30"/>
      <c r="G31" s="30"/>
      <c r="H31" s="31" t="s">
        <v>62</v>
      </c>
      <c r="I31" s="32">
        <f>F29*2</f>
        <v>30000</v>
      </c>
      <c r="J31" s="32">
        <f>ROUNDUP($G$29/'메디아 정식'!$H$3)*2</f>
        <v>3848</v>
      </c>
      <c r="K31" s="30"/>
      <c r="L31" s="31" t="s">
        <v>62</v>
      </c>
      <c r="M31" s="33">
        <f t="shared" si="7"/>
        <v>30000</v>
      </c>
      <c r="N31" s="33">
        <f t="shared" si="8"/>
        <v>3848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>
      <c r="A32" s="30"/>
      <c r="B32" s="30"/>
      <c r="C32" s="30"/>
      <c r="D32" s="30"/>
      <c r="E32" s="30"/>
      <c r="F32" s="30"/>
      <c r="G32" s="30"/>
      <c r="H32" s="31" t="s">
        <v>59</v>
      </c>
      <c r="I32" s="32">
        <f>F29*3</f>
        <v>45000</v>
      </c>
      <c r="J32" s="32">
        <f>ROUNDUP($G$29/'메디아 정식'!$H$3)*3</f>
        <v>5772</v>
      </c>
      <c r="K32" s="30"/>
      <c r="L32" s="31" t="s">
        <v>59</v>
      </c>
      <c r="M32" s="33">
        <f t="shared" si="7"/>
        <v>45000</v>
      </c>
      <c r="N32" s="33">
        <f t="shared" si="8"/>
        <v>5772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>
      <c r="A34" s="30"/>
      <c r="B34" s="30"/>
      <c r="C34" s="30"/>
      <c r="D34" s="30"/>
      <c r="E34" s="31" t="s">
        <v>49</v>
      </c>
      <c r="F34" s="32">
        <f>D4*2</f>
        <v>30000</v>
      </c>
      <c r="G34" s="33">
        <f>ROUNDUP(($D$4*2)/'메디아 정식'!$H$2)</f>
        <v>10000</v>
      </c>
      <c r="H34" s="31" t="s">
        <v>50</v>
      </c>
      <c r="I34" s="32">
        <f>F34*3</f>
        <v>90000</v>
      </c>
      <c r="J34" s="32">
        <f>ROUNDUP($G$34/'메디아 정식'!$H$3)*3</f>
        <v>11541</v>
      </c>
      <c r="K34" s="30"/>
      <c r="L34" s="31" t="s">
        <v>50</v>
      </c>
      <c r="M34" s="33">
        <f t="shared" ref="M34:M38" si="9">sumif($H$34:$H$39,L34,$I$34:$I$39)</f>
        <v>90000</v>
      </c>
      <c r="N34" s="33">
        <f t="shared" ref="N34:N38" si="10">sumif($H$34:$H$39,L34,$J$34:$J$39)</f>
        <v>11541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>
      <c r="A35" s="30"/>
      <c r="B35" s="30"/>
      <c r="C35" s="30"/>
      <c r="D35" s="30"/>
      <c r="E35" s="30"/>
      <c r="F35" s="30"/>
      <c r="G35" s="30"/>
      <c r="H35" s="31" t="s">
        <v>52</v>
      </c>
      <c r="I35" s="32">
        <f>F34*5</f>
        <v>150000</v>
      </c>
      <c r="J35" s="32">
        <f>ROUNDUP($G$34/'메디아 정식'!$H$3)*5</f>
        <v>19235</v>
      </c>
      <c r="K35" s="30"/>
      <c r="L35" s="31" t="s">
        <v>52</v>
      </c>
      <c r="M35" s="33">
        <f t="shared" si="9"/>
        <v>150000</v>
      </c>
      <c r="N35" s="33">
        <f t="shared" si="10"/>
        <v>19235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>
      <c r="A36" s="30"/>
      <c r="B36" s="30"/>
      <c r="C36" s="30"/>
      <c r="D36" s="30"/>
      <c r="E36" s="30"/>
      <c r="F36" s="30"/>
      <c r="G36" s="30"/>
      <c r="H36" s="31" t="s">
        <v>27</v>
      </c>
      <c r="I36" s="32">
        <f>F34*2</f>
        <v>60000</v>
      </c>
      <c r="J36" s="32">
        <f>ROUNDUP($G$34/'메디아 정식'!$H$3)*2</f>
        <v>7694</v>
      </c>
      <c r="K36" s="30"/>
      <c r="L36" s="31" t="s">
        <v>27</v>
      </c>
      <c r="M36" s="33">
        <f t="shared" si="9"/>
        <v>90000</v>
      </c>
      <c r="N36" s="33">
        <f t="shared" si="10"/>
        <v>11541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>
      <c r="A37" s="30"/>
      <c r="B37" s="30"/>
      <c r="C37" s="30"/>
      <c r="D37" s="30"/>
      <c r="E37" s="31" t="s">
        <v>36</v>
      </c>
      <c r="F37" s="32">
        <f>F34*1</f>
        <v>30000</v>
      </c>
      <c r="G37" s="33">
        <f>ROUNDUP(($G$34*1)/'메디아 정식'!$H$3)</f>
        <v>3847</v>
      </c>
      <c r="H37" s="31" t="s">
        <v>37</v>
      </c>
      <c r="I37" s="32">
        <f>F37*1</f>
        <v>30000</v>
      </c>
      <c r="J37" s="32">
        <f>ROUNDUP($G$34/'메디아 정식'!$H$3)*1</f>
        <v>3847</v>
      </c>
      <c r="K37" s="30"/>
      <c r="L37" s="31" t="s">
        <v>37</v>
      </c>
      <c r="M37" s="33">
        <f t="shared" si="9"/>
        <v>30000</v>
      </c>
      <c r="N37" s="33">
        <f t="shared" si="10"/>
        <v>3847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>
      <c r="A38" s="30"/>
      <c r="B38" s="30"/>
      <c r="C38" s="30"/>
      <c r="D38" s="30"/>
      <c r="E38" s="30"/>
      <c r="F38" s="30"/>
      <c r="G38" s="30"/>
      <c r="H38" s="31" t="s">
        <v>24</v>
      </c>
      <c r="I38" s="32">
        <f>F37*1</f>
        <v>30000</v>
      </c>
      <c r="J38" s="32">
        <f>ROUNDUP($G$34/'메디아 정식'!$H$3)*1</f>
        <v>3847</v>
      </c>
      <c r="K38" s="30"/>
      <c r="L38" s="31" t="s">
        <v>24</v>
      </c>
      <c r="M38" s="33">
        <f t="shared" si="9"/>
        <v>30000</v>
      </c>
      <c r="N38" s="33">
        <f t="shared" si="10"/>
        <v>3847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>
      <c r="A39" s="30"/>
      <c r="B39" s="30"/>
      <c r="C39" s="30"/>
      <c r="D39" s="30"/>
      <c r="E39" s="30"/>
      <c r="F39" s="30"/>
      <c r="G39" s="30"/>
      <c r="H39" s="31" t="s">
        <v>27</v>
      </c>
      <c r="I39" s="32">
        <f>F37*1</f>
        <v>30000</v>
      </c>
      <c r="J39" s="32">
        <f>ROUNDUP($G$34/'메디아 정식'!$H$3)*1</f>
        <v>3847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>
      <c r="A41" s="30"/>
      <c r="B41" s="30"/>
      <c r="C41" s="30"/>
      <c r="D41" s="30"/>
      <c r="E41" s="31" t="s">
        <v>57</v>
      </c>
      <c r="F41" s="32">
        <f>D4*2</f>
        <v>30000</v>
      </c>
      <c r="G41" s="33">
        <f>ROUNDUP(($D$4*2)/'메디아 정식'!$H$2)</f>
        <v>10000</v>
      </c>
      <c r="H41" s="31" t="s">
        <v>39</v>
      </c>
      <c r="I41" s="32">
        <f>F41*6</f>
        <v>180000</v>
      </c>
      <c r="J41" s="32">
        <f>ROUNDUP($G$41/'메디아 정식'!$H$3)*6</f>
        <v>23082</v>
      </c>
      <c r="K41" s="30"/>
      <c r="L41" s="31" t="s">
        <v>39</v>
      </c>
      <c r="M41" s="33">
        <f t="shared" ref="M41:M44" si="11">sumif($H$41:$H$44,L41,$I$41:$I$44)</f>
        <v>180000</v>
      </c>
      <c r="N41" s="33">
        <f t="shared" ref="N41:N44" si="12">sumif($H$41:$H$44,L41,$J$41:$J$44)</f>
        <v>23082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>
      <c r="A42" s="30"/>
      <c r="B42" s="30"/>
      <c r="C42" s="30"/>
      <c r="D42" s="30"/>
      <c r="E42" s="30"/>
      <c r="F42" s="30"/>
      <c r="G42" s="30"/>
      <c r="H42" s="31" t="s">
        <v>59</v>
      </c>
      <c r="I42" s="32">
        <f>F41*1</f>
        <v>30000</v>
      </c>
      <c r="J42" s="32">
        <f>ROUNDUP($G$41/'메디아 정식'!$H$3)*1</f>
        <v>3847</v>
      </c>
      <c r="K42" s="30"/>
      <c r="L42" s="31" t="s">
        <v>59</v>
      </c>
      <c r="M42" s="33">
        <f t="shared" si="11"/>
        <v>30000</v>
      </c>
      <c r="N42" s="33">
        <f t="shared" si="12"/>
        <v>3847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>
      <c r="A43" s="30"/>
      <c r="B43" s="30"/>
      <c r="C43" s="30"/>
      <c r="D43" s="30"/>
      <c r="E43" s="30"/>
      <c r="F43" s="30"/>
      <c r="G43" s="30"/>
      <c r="H43" s="31" t="s">
        <v>58</v>
      </c>
      <c r="I43" s="32">
        <f>F41*2</f>
        <v>60000</v>
      </c>
      <c r="J43" s="32">
        <f>ROUNDUP($G$41/'메디아 정식'!$H$3)*2</f>
        <v>7694</v>
      </c>
      <c r="K43" s="30"/>
      <c r="L43" s="31" t="s">
        <v>58</v>
      </c>
      <c r="M43" s="33">
        <f t="shared" si="11"/>
        <v>60000</v>
      </c>
      <c r="N43" s="33">
        <f t="shared" si="12"/>
        <v>7694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>
      <c r="A44" s="30"/>
      <c r="B44" s="30"/>
      <c r="C44" s="30"/>
      <c r="D44" s="30"/>
      <c r="E44" s="30"/>
      <c r="F44" s="30"/>
      <c r="G44" s="30"/>
      <c r="H44" s="31" t="s">
        <v>42</v>
      </c>
      <c r="I44" s="32">
        <f>F41*2</f>
        <v>60000</v>
      </c>
      <c r="J44" s="32">
        <f>ROUNDUP($G$41/'메디아 정식'!$H$3)*2</f>
        <v>7694</v>
      </c>
      <c r="K44" s="30"/>
      <c r="L44" s="31" t="s">
        <v>42</v>
      </c>
      <c r="M44" s="33">
        <f t="shared" si="11"/>
        <v>60000</v>
      </c>
      <c r="N44" s="33">
        <f t="shared" si="12"/>
        <v>7694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>
      <c r="A47" s="30"/>
      <c r="B47" s="30"/>
      <c r="C47" s="31" t="s">
        <v>86</v>
      </c>
      <c r="D47" s="31" t="s">
        <v>87</v>
      </c>
      <c r="E47" s="31" t="s">
        <v>88</v>
      </c>
      <c r="F47" s="31" t="s">
        <v>87</v>
      </c>
      <c r="G47" s="31" t="s">
        <v>89</v>
      </c>
      <c r="H47" s="31" t="s">
        <v>90</v>
      </c>
      <c r="I47" s="31" t="s">
        <v>87</v>
      </c>
      <c r="J47" s="31" t="s">
        <v>89</v>
      </c>
      <c r="K47" s="30"/>
      <c r="L47" s="31" t="s">
        <v>90</v>
      </c>
      <c r="M47" s="31" t="s">
        <v>87</v>
      </c>
      <c r="N47" s="31" t="s">
        <v>89</v>
      </c>
      <c r="O47" s="30"/>
      <c r="P47" s="31" t="s">
        <v>90</v>
      </c>
      <c r="Q47" s="31" t="s">
        <v>87</v>
      </c>
      <c r="R47" s="31" t="s">
        <v>89</v>
      </c>
      <c r="S47" s="30"/>
      <c r="T47" s="30"/>
      <c r="U47" s="30"/>
      <c r="V47" s="30"/>
      <c r="W47" s="30"/>
      <c r="X47" s="30"/>
      <c r="Y47" s="30"/>
      <c r="Z47" s="30"/>
    </row>
    <row r="48">
      <c r="A48" s="30"/>
      <c r="B48" s="30"/>
      <c r="C48" s="31" t="s">
        <v>82</v>
      </c>
      <c r="D48" s="33">
        <f>'발렌시아 정식'!C7</f>
        <v>15000</v>
      </c>
      <c r="E48" s="31" t="s">
        <v>83</v>
      </c>
      <c r="F48" s="34">
        <f>D48*1</f>
        <v>15000</v>
      </c>
      <c r="G48" s="33">
        <f>ROUNDUP(($D$48*1)/'발렌시아 정식'!$H$2)</f>
        <v>5000</v>
      </c>
      <c r="H48" s="31" t="s">
        <v>79</v>
      </c>
      <c r="I48" s="33">
        <f>F48*3</f>
        <v>45000</v>
      </c>
      <c r="J48" s="32">
        <f>ROUNDUP($G$48/'발렌시아 정식'!$H$3)*3</f>
        <v>5772</v>
      </c>
      <c r="K48" s="30"/>
      <c r="L48" s="31" t="s">
        <v>79</v>
      </c>
      <c r="M48" s="33">
        <f t="shared" ref="M48:M54" si="13">sumif($H$48:$H$54,L48,$I$48:$I$54)</f>
        <v>45000</v>
      </c>
      <c r="N48" s="33">
        <f t="shared" ref="N48:N54" si="14">sumif($H$48:$H$54,L48,$J$48:$J$54)</f>
        <v>5772</v>
      </c>
      <c r="O48" s="30"/>
      <c r="P48" s="31" t="s">
        <v>79</v>
      </c>
      <c r="Q48" s="33">
        <f t="shared" ref="Q48:Q71" si="15">sumif($L$48:$L$95,P48,$M$48:$M$95)</f>
        <v>135000</v>
      </c>
      <c r="R48" s="33">
        <f t="shared" ref="R48:R71" si="16">sumif($L$48:$L$95,P48,$N$48:$N$95)</f>
        <v>13764</v>
      </c>
      <c r="S48" s="30"/>
      <c r="T48" s="30"/>
      <c r="U48" s="30"/>
      <c r="V48" s="30"/>
      <c r="W48" s="30"/>
      <c r="X48" s="30"/>
      <c r="Y48" s="30"/>
      <c r="Z48" s="30"/>
    </row>
    <row r="49">
      <c r="A49" s="30"/>
      <c r="B49" s="30"/>
      <c r="C49" s="30"/>
      <c r="D49" s="30"/>
      <c r="E49" s="30"/>
      <c r="F49" s="35"/>
      <c r="G49" s="30"/>
      <c r="H49" s="31" t="s">
        <v>47</v>
      </c>
      <c r="I49" s="33">
        <f>F48*4</f>
        <v>60000</v>
      </c>
      <c r="J49" s="32">
        <f>ROUNDUP($G$48/'발렌시아 정식'!$H$3)*4</f>
        <v>7696</v>
      </c>
      <c r="K49" s="30"/>
      <c r="L49" s="31" t="s">
        <v>47</v>
      </c>
      <c r="M49" s="33">
        <f t="shared" si="13"/>
        <v>60000</v>
      </c>
      <c r="N49" s="33">
        <f t="shared" si="14"/>
        <v>7696</v>
      </c>
      <c r="O49" s="30"/>
      <c r="P49" s="31" t="s">
        <v>47</v>
      </c>
      <c r="Q49" s="33">
        <f t="shared" si="15"/>
        <v>300000</v>
      </c>
      <c r="R49" s="33">
        <f t="shared" si="16"/>
        <v>19536</v>
      </c>
      <c r="S49" s="30"/>
      <c r="T49" s="30"/>
      <c r="U49" s="30"/>
      <c r="V49" s="30"/>
      <c r="W49" s="30"/>
      <c r="X49" s="30"/>
      <c r="Y49" s="30"/>
      <c r="Z49" s="30"/>
    </row>
    <row r="50">
      <c r="A50" s="30"/>
      <c r="B50" s="30"/>
      <c r="C50" s="31" t="s">
        <v>91</v>
      </c>
      <c r="D50" s="33">
        <f>ROUNDUP(($D$48*1)/'발렌시아 정식'!H2)</f>
        <v>5000</v>
      </c>
      <c r="E50" s="30"/>
      <c r="F50" s="35"/>
      <c r="G50" s="30"/>
      <c r="H50" s="31" t="s">
        <v>85</v>
      </c>
      <c r="I50" s="33">
        <f>F48*6</f>
        <v>90000</v>
      </c>
      <c r="J50" s="32">
        <f>ROUNDUP($G$48/'발렌시아 정식'!$H$3)*6</f>
        <v>11544</v>
      </c>
      <c r="K50" s="30"/>
      <c r="L50" s="31" t="s">
        <v>85</v>
      </c>
      <c r="M50" s="33">
        <f t="shared" si="13"/>
        <v>90000</v>
      </c>
      <c r="N50" s="33">
        <f t="shared" si="14"/>
        <v>11544</v>
      </c>
      <c r="O50" s="30"/>
      <c r="P50" s="31" t="s">
        <v>85</v>
      </c>
      <c r="Q50" s="33">
        <f t="shared" si="15"/>
        <v>90000</v>
      </c>
      <c r="R50" s="33">
        <f t="shared" si="16"/>
        <v>11544</v>
      </c>
      <c r="S50" s="30"/>
      <c r="T50" s="30"/>
      <c r="U50" s="30"/>
      <c r="V50" s="30"/>
      <c r="W50" s="30"/>
      <c r="X50" s="30"/>
      <c r="Y50" s="30"/>
      <c r="Z50" s="30"/>
    </row>
    <row r="51">
      <c r="A51" s="30"/>
      <c r="B51" s="30"/>
      <c r="C51" s="30"/>
      <c r="D51" s="30"/>
      <c r="E51" s="31" t="s">
        <v>67</v>
      </c>
      <c r="F51" s="34">
        <f>F48*1</f>
        <v>15000</v>
      </c>
      <c r="G51" s="33">
        <f>ROUNDUP($G$48/'발렌시아 정식'!$H$3)</f>
        <v>1924</v>
      </c>
      <c r="H51" s="31" t="s">
        <v>80</v>
      </c>
      <c r="I51" s="33">
        <f>F51*6</f>
        <v>90000</v>
      </c>
      <c r="J51" s="32">
        <f>ROUNDUP($G$51/'발렌시아 정식'!$H$3)*6</f>
        <v>4440</v>
      </c>
      <c r="K51" s="30"/>
      <c r="L51" s="31" t="s">
        <v>80</v>
      </c>
      <c r="M51" s="33">
        <f t="shared" si="13"/>
        <v>90000</v>
      </c>
      <c r="N51" s="33">
        <f t="shared" si="14"/>
        <v>4440</v>
      </c>
      <c r="O51" s="30"/>
      <c r="P51" s="31" t="s">
        <v>80</v>
      </c>
      <c r="Q51" s="33">
        <f t="shared" si="15"/>
        <v>180000</v>
      </c>
      <c r="R51" s="33">
        <f t="shared" si="16"/>
        <v>8880</v>
      </c>
      <c r="S51" s="30"/>
      <c r="T51" s="30"/>
      <c r="U51" s="30"/>
      <c r="V51" s="30"/>
      <c r="W51" s="30"/>
      <c r="X51" s="30"/>
      <c r="Y51" s="30"/>
      <c r="Z51" s="30"/>
    </row>
    <row r="52">
      <c r="A52" s="30"/>
      <c r="B52" s="30"/>
      <c r="C52" s="30"/>
      <c r="D52" s="30"/>
      <c r="E52" s="30"/>
      <c r="F52" s="30"/>
      <c r="G52" s="35"/>
      <c r="H52" s="31" t="s">
        <v>81</v>
      </c>
      <c r="I52" s="33">
        <f>F51*3</f>
        <v>45000</v>
      </c>
      <c r="J52" s="32">
        <f>ROUNDUP($G$51/'발렌시아 정식'!$H$3)*3</f>
        <v>2220</v>
      </c>
      <c r="K52" s="30"/>
      <c r="L52" s="31" t="s">
        <v>81</v>
      </c>
      <c r="M52" s="33">
        <f t="shared" si="13"/>
        <v>45000</v>
      </c>
      <c r="N52" s="33">
        <f t="shared" si="14"/>
        <v>2220</v>
      </c>
      <c r="O52" s="30"/>
      <c r="P52" s="31" t="s">
        <v>81</v>
      </c>
      <c r="Q52" s="33">
        <f t="shared" si="15"/>
        <v>90000</v>
      </c>
      <c r="R52" s="33">
        <f t="shared" si="16"/>
        <v>4440</v>
      </c>
      <c r="S52" s="30"/>
      <c r="T52" s="30"/>
      <c r="U52" s="30"/>
      <c r="V52" s="30"/>
      <c r="W52" s="30"/>
      <c r="X52" s="30"/>
      <c r="Y52" s="30"/>
      <c r="Z52" s="30"/>
    </row>
    <row r="53">
      <c r="A53" s="30"/>
      <c r="B53" s="30"/>
      <c r="C53" s="30"/>
      <c r="D53" s="30"/>
      <c r="E53" s="30"/>
      <c r="F53" s="30"/>
      <c r="G53" s="35"/>
      <c r="H53" s="31" t="s">
        <v>52</v>
      </c>
      <c r="I53" s="33">
        <f>F51*5</f>
        <v>75000</v>
      </c>
      <c r="J53" s="32">
        <f>ROUNDUP($G$51/'발렌시아 정식'!$H$3)*5</f>
        <v>3700</v>
      </c>
      <c r="K53" s="30"/>
      <c r="L53" s="31" t="s">
        <v>52</v>
      </c>
      <c r="M53" s="33">
        <f t="shared" si="13"/>
        <v>75000</v>
      </c>
      <c r="N53" s="33">
        <f t="shared" si="14"/>
        <v>3700</v>
      </c>
      <c r="O53" s="30"/>
      <c r="P53" s="31" t="s">
        <v>52</v>
      </c>
      <c r="Q53" s="33">
        <f t="shared" si="15"/>
        <v>465000</v>
      </c>
      <c r="R53" s="33">
        <f t="shared" si="16"/>
        <v>22937</v>
      </c>
      <c r="S53" s="30"/>
      <c r="T53" s="30"/>
      <c r="U53" s="30"/>
      <c r="V53" s="30"/>
      <c r="W53" s="30"/>
      <c r="X53" s="30"/>
      <c r="Y53" s="30"/>
      <c r="Z53" s="30"/>
    </row>
    <row r="54">
      <c r="A54" s="30"/>
      <c r="B54" s="30"/>
      <c r="C54" s="30"/>
      <c r="D54" s="30"/>
      <c r="E54" s="30"/>
      <c r="F54" s="30"/>
      <c r="G54" s="35"/>
      <c r="H54" s="31" t="s">
        <v>84</v>
      </c>
      <c r="I54" s="33">
        <f>F51*2</f>
        <v>30000</v>
      </c>
      <c r="J54" s="32">
        <f>ROUNDUP($G$51/'발렌시아 정식'!$H$3)*2</f>
        <v>1480</v>
      </c>
      <c r="K54" s="30"/>
      <c r="L54" s="31" t="s">
        <v>84</v>
      </c>
      <c r="M54" s="33">
        <f t="shared" si="13"/>
        <v>30000</v>
      </c>
      <c r="N54" s="33">
        <f t="shared" si="14"/>
        <v>1480</v>
      </c>
      <c r="O54" s="30"/>
      <c r="P54" s="31" t="s">
        <v>84</v>
      </c>
      <c r="Q54" s="33">
        <f t="shared" si="15"/>
        <v>60000</v>
      </c>
      <c r="R54" s="33">
        <f t="shared" si="16"/>
        <v>2960</v>
      </c>
      <c r="S54" s="30"/>
      <c r="T54" s="30"/>
      <c r="U54" s="30"/>
      <c r="V54" s="30"/>
      <c r="W54" s="30"/>
      <c r="X54" s="30"/>
      <c r="Y54" s="30"/>
      <c r="Z54" s="30"/>
    </row>
    <row r="5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 t="s">
        <v>76</v>
      </c>
      <c r="Q55" s="33">
        <f t="shared" si="15"/>
        <v>375000</v>
      </c>
      <c r="R55" s="33">
        <f t="shared" si="16"/>
        <v>18495</v>
      </c>
      <c r="S55" s="30"/>
      <c r="T55" s="30"/>
      <c r="U55" s="30"/>
      <c r="V55" s="30"/>
      <c r="W55" s="30"/>
      <c r="X55" s="30"/>
      <c r="Y55" s="30"/>
      <c r="Z55" s="30"/>
    </row>
    <row r="56">
      <c r="A56" s="30"/>
      <c r="B56" s="30"/>
      <c r="C56" s="30"/>
      <c r="D56" s="30"/>
      <c r="E56" s="31" t="s">
        <v>64</v>
      </c>
      <c r="F56" s="34">
        <f>D48*1</f>
        <v>15000</v>
      </c>
      <c r="G56" s="33">
        <f>ROUNDUP(($D$48*1)/'발렌시아 정식'!$H$2)</f>
        <v>5000</v>
      </c>
      <c r="H56" s="30"/>
      <c r="I56" s="30"/>
      <c r="J56" s="30"/>
      <c r="K56" s="30"/>
      <c r="L56" s="30"/>
      <c r="M56" s="30"/>
      <c r="N56" s="30"/>
      <c r="O56" s="30"/>
      <c r="P56" s="31" t="s">
        <v>27</v>
      </c>
      <c r="Q56" s="33">
        <f t="shared" si="15"/>
        <v>510000</v>
      </c>
      <c r="R56" s="33">
        <f t="shared" si="16"/>
        <v>30982</v>
      </c>
      <c r="S56" s="30"/>
      <c r="T56" s="30"/>
      <c r="U56" s="30"/>
      <c r="V56" s="30"/>
      <c r="W56" s="30"/>
      <c r="X56" s="30"/>
      <c r="Y56" s="30"/>
      <c r="Z56" s="30"/>
    </row>
    <row r="57">
      <c r="A57" s="30"/>
      <c r="B57" s="30"/>
      <c r="C57" s="30"/>
      <c r="D57" s="30"/>
      <c r="E57" s="31" t="s">
        <v>65</v>
      </c>
      <c r="F57" s="34">
        <f>F56*1</f>
        <v>15000</v>
      </c>
      <c r="G57" s="33">
        <f>ROUNDUP($G$56/'발렌시아 정식'!$H$3)</f>
        <v>1924</v>
      </c>
      <c r="H57" s="31" t="s">
        <v>76</v>
      </c>
      <c r="I57" s="33">
        <f>F57*5</f>
        <v>75000</v>
      </c>
      <c r="J57" s="32">
        <f>ROUNDUP($G$57/'발렌시아 정식'!$H$3)*5</f>
        <v>3700</v>
      </c>
      <c r="K57" s="30"/>
      <c r="L57" s="31" t="s">
        <v>76</v>
      </c>
      <c r="M57" s="33">
        <f t="shared" ref="M57:M70" si="17">sumif($H$57:$H$72,L57,$I$57:$I$72)</f>
        <v>75000</v>
      </c>
      <c r="N57" s="33">
        <f t="shared" ref="N57:N70" si="18">sumif($H$57:$H$72,L57,$J$57:$J$72)</f>
        <v>3700</v>
      </c>
      <c r="O57" s="30"/>
      <c r="P57" s="31" t="s">
        <v>58</v>
      </c>
      <c r="Q57" s="33">
        <f t="shared" si="15"/>
        <v>150000</v>
      </c>
      <c r="R57" s="33">
        <f t="shared" si="16"/>
        <v>7398</v>
      </c>
      <c r="S57" s="30"/>
      <c r="T57" s="30"/>
      <c r="U57" s="30"/>
      <c r="V57" s="30"/>
      <c r="W57" s="30"/>
      <c r="X57" s="30"/>
      <c r="Y57" s="30"/>
      <c r="Z57" s="30"/>
    </row>
    <row r="58">
      <c r="A58" s="30"/>
      <c r="B58" s="30"/>
      <c r="C58" s="30"/>
      <c r="D58" s="30"/>
      <c r="E58" s="30"/>
      <c r="F58" s="30"/>
      <c r="G58" s="35"/>
      <c r="H58" s="31" t="s">
        <v>52</v>
      </c>
      <c r="I58" s="33">
        <f>F57*3</f>
        <v>45000</v>
      </c>
      <c r="J58" s="32">
        <f>ROUNDUP($G$57/'발렌시아 정식'!$H$3)*3</f>
        <v>2220</v>
      </c>
      <c r="K58" s="30"/>
      <c r="L58" s="31" t="s">
        <v>52</v>
      </c>
      <c r="M58" s="33">
        <f t="shared" si="17"/>
        <v>210000</v>
      </c>
      <c r="N58" s="33">
        <f t="shared" si="18"/>
        <v>10360</v>
      </c>
      <c r="O58" s="30"/>
      <c r="P58" s="31" t="s">
        <v>92</v>
      </c>
      <c r="Q58" s="33">
        <f t="shared" si="15"/>
        <v>45000</v>
      </c>
      <c r="R58" s="33">
        <f t="shared" si="16"/>
        <v>2220</v>
      </c>
      <c r="S58" s="30"/>
      <c r="T58" s="30"/>
      <c r="U58" s="30"/>
      <c r="V58" s="30"/>
      <c r="W58" s="30"/>
      <c r="X58" s="30"/>
      <c r="Y58" s="30"/>
      <c r="Z58" s="30"/>
    </row>
    <row r="59">
      <c r="A59" s="30"/>
      <c r="B59" s="30"/>
      <c r="C59" s="30"/>
      <c r="D59" s="30"/>
      <c r="E59" s="30"/>
      <c r="F59" s="30"/>
      <c r="G59" s="35"/>
      <c r="H59" s="31" t="s">
        <v>27</v>
      </c>
      <c r="I59" s="33">
        <f>F57*2</f>
        <v>30000</v>
      </c>
      <c r="J59" s="32">
        <f>ROUNDUP($G$57/'발렌시아 정식'!$H$3)*2</f>
        <v>1480</v>
      </c>
      <c r="K59" s="30"/>
      <c r="L59" s="31" t="s">
        <v>27</v>
      </c>
      <c r="M59" s="33">
        <f t="shared" si="17"/>
        <v>30000</v>
      </c>
      <c r="N59" s="33">
        <f t="shared" si="18"/>
        <v>1480</v>
      </c>
      <c r="O59" s="30"/>
      <c r="P59" s="31" t="s">
        <v>93</v>
      </c>
      <c r="Q59" s="33">
        <f t="shared" si="15"/>
        <v>45000</v>
      </c>
      <c r="R59" s="33">
        <f t="shared" si="16"/>
        <v>2220</v>
      </c>
      <c r="S59" s="30"/>
      <c r="T59" s="30"/>
      <c r="U59" s="30"/>
      <c r="V59" s="30"/>
      <c r="W59" s="30"/>
      <c r="X59" s="30"/>
      <c r="Y59" s="30"/>
      <c r="Z59" s="30"/>
    </row>
    <row r="60">
      <c r="A60" s="30"/>
      <c r="B60" s="30"/>
      <c r="C60" s="30"/>
      <c r="D60" s="30"/>
      <c r="E60" s="30"/>
      <c r="F60" s="30"/>
      <c r="G60" s="35"/>
      <c r="H60" s="31" t="s">
        <v>58</v>
      </c>
      <c r="I60" s="33">
        <f>F57*2</f>
        <v>30000</v>
      </c>
      <c r="J60" s="32">
        <f>ROUNDUP($G$57/'발렌시아 정식'!$H$3)*2</f>
        <v>1480</v>
      </c>
      <c r="K60" s="30"/>
      <c r="L60" s="31" t="s">
        <v>58</v>
      </c>
      <c r="M60" s="33">
        <f t="shared" si="17"/>
        <v>30000</v>
      </c>
      <c r="N60" s="33">
        <f t="shared" si="18"/>
        <v>1480</v>
      </c>
      <c r="O60" s="30"/>
      <c r="P60" s="31" t="s">
        <v>94</v>
      </c>
      <c r="Q60" s="33">
        <f t="shared" si="15"/>
        <v>30000</v>
      </c>
      <c r="R60" s="33">
        <f t="shared" si="16"/>
        <v>1480</v>
      </c>
      <c r="S60" s="30"/>
      <c r="T60" s="30"/>
      <c r="U60" s="30"/>
      <c r="V60" s="30"/>
      <c r="W60" s="30"/>
      <c r="X60" s="30"/>
      <c r="Y60" s="30"/>
      <c r="Z60" s="30"/>
    </row>
    <row r="61">
      <c r="A61" s="30"/>
      <c r="B61" s="30"/>
      <c r="C61" s="30"/>
      <c r="D61" s="30"/>
      <c r="E61" s="31" t="s">
        <v>67</v>
      </c>
      <c r="F61" s="34">
        <f>F56*1</f>
        <v>15000</v>
      </c>
      <c r="G61" s="33">
        <f>ROUNDUP($G$56/'발렌시아 정식'!$H$3)</f>
        <v>1924</v>
      </c>
      <c r="H61" s="31" t="s">
        <v>80</v>
      </c>
      <c r="I61" s="33">
        <f>F61*6</f>
        <v>90000</v>
      </c>
      <c r="J61" s="32">
        <f>ROUNDUP($G$61/'발렌시아 정식'!$H$3)*6</f>
        <v>4440</v>
      </c>
      <c r="K61" s="30"/>
      <c r="L61" s="31" t="s">
        <v>80</v>
      </c>
      <c r="M61" s="33">
        <f t="shared" si="17"/>
        <v>90000</v>
      </c>
      <c r="N61" s="33">
        <f t="shared" si="18"/>
        <v>4440</v>
      </c>
      <c r="O61" s="30"/>
      <c r="P61" s="31" t="s">
        <v>95</v>
      </c>
      <c r="Q61" s="33">
        <f t="shared" si="15"/>
        <v>45000</v>
      </c>
      <c r="R61" s="33">
        <f t="shared" si="16"/>
        <v>2220</v>
      </c>
      <c r="S61" s="30"/>
      <c r="T61" s="30"/>
      <c r="U61" s="30"/>
      <c r="V61" s="30"/>
      <c r="W61" s="30"/>
      <c r="X61" s="30"/>
      <c r="Y61" s="30"/>
      <c r="Z61" s="30"/>
    </row>
    <row r="62">
      <c r="A62" s="30"/>
      <c r="B62" s="30"/>
      <c r="C62" s="30"/>
      <c r="D62" s="30"/>
      <c r="E62" s="30"/>
      <c r="F62" s="30"/>
      <c r="G62" s="35"/>
      <c r="H62" s="31" t="s">
        <v>81</v>
      </c>
      <c r="I62" s="33">
        <f>F61*3</f>
        <v>45000</v>
      </c>
      <c r="J62" s="32">
        <f>ROUNDUP($G$61/'발렌시아 정식'!$H$3)*3</f>
        <v>2220</v>
      </c>
      <c r="K62" s="30"/>
      <c r="L62" s="31" t="s">
        <v>81</v>
      </c>
      <c r="M62" s="33">
        <f t="shared" si="17"/>
        <v>45000</v>
      </c>
      <c r="N62" s="33">
        <f t="shared" si="18"/>
        <v>2220</v>
      </c>
      <c r="O62" s="30"/>
      <c r="P62" s="31" t="s">
        <v>39</v>
      </c>
      <c r="Q62" s="33">
        <f t="shared" si="15"/>
        <v>45000</v>
      </c>
      <c r="R62" s="33">
        <f t="shared" si="16"/>
        <v>2220</v>
      </c>
      <c r="S62" s="30"/>
      <c r="T62" s="30"/>
      <c r="U62" s="30"/>
      <c r="V62" s="30"/>
      <c r="W62" s="30"/>
      <c r="X62" s="30"/>
      <c r="Y62" s="30"/>
      <c r="Z62" s="30"/>
    </row>
    <row r="63">
      <c r="A63" s="30"/>
      <c r="B63" s="30"/>
      <c r="C63" s="30"/>
      <c r="D63" s="30"/>
      <c r="E63" s="30"/>
      <c r="F63" s="30"/>
      <c r="G63" s="35"/>
      <c r="H63" s="31" t="s">
        <v>52</v>
      </c>
      <c r="I63" s="33">
        <f>F61*5</f>
        <v>75000</v>
      </c>
      <c r="J63" s="32">
        <f>ROUNDUP($G$61/'발렌시아 정식'!$H$3)*5</f>
        <v>3700</v>
      </c>
      <c r="K63" s="30"/>
      <c r="L63" s="31" t="s">
        <v>84</v>
      </c>
      <c r="M63" s="33">
        <f t="shared" si="17"/>
        <v>30000</v>
      </c>
      <c r="N63" s="33">
        <f t="shared" si="18"/>
        <v>1480</v>
      </c>
      <c r="O63" s="30"/>
      <c r="P63" s="31" t="s">
        <v>30</v>
      </c>
      <c r="Q63" s="33">
        <f t="shared" si="15"/>
        <v>390000</v>
      </c>
      <c r="R63" s="33">
        <f t="shared" si="16"/>
        <v>25065</v>
      </c>
      <c r="S63" s="30"/>
      <c r="T63" s="30"/>
      <c r="U63" s="30"/>
      <c r="V63" s="30"/>
      <c r="W63" s="30"/>
      <c r="X63" s="30"/>
      <c r="Y63" s="30"/>
      <c r="Z63" s="30"/>
    </row>
    <row r="64">
      <c r="A64" s="30"/>
      <c r="B64" s="30"/>
      <c r="C64" s="30"/>
      <c r="D64" s="30"/>
      <c r="E64" s="30"/>
      <c r="F64" s="30"/>
      <c r="G64" s="35"/>
      <c r="H64" s="31" t="s">
        <v>84</v>
      </c>
      <c r="I64" s="33">
        <f>F61*2</f>
        <v>30000</v>
      </c>
      <c r="J64" s="32">
        <f>ROUNDUP($G$61/'발렌시아 정식'!$H$3)*2</f>
        <v>1480</v>
      </c>
      <c r="K64" s="30"/>
      <c r="L64" s="31" t="s">
        <v>92</v>
      </c>
      <c r="M64" s="33">
        <f t="shared" si="17"/>
        <v>45000</v>
      </c>
      <c r="N64" s="33">
        <f t="shared" si="18"/>
        <v>2220</v>
      </c>
      <c r="O64" s="30"/>
      <c r="P64" s="31" t="s">
        <v>72</v>
      </c>
      <c r="Q64" s="33">
        <f t="shared" si="15"/>
        <v>150000</v>
      </c>
      <c r="R64" s="33">
        <f t="shared" si="16"/>
        <v>19235</v>
      </c>
      <c r="S64" s="30"/>
      <c r="T64" s="30"/>
      <c r="U64" s="30"/>
      <c r="V64" s="30"/>
      <c r="W64" s="30"/>
      <c r="X64" s="30"/>
      <c r="Y64" s="30"/>
      <c r="Z64" s="30"/>
    </row>
    <row r="65">
      <c r="A65" s="30"/>
      <c r="B65" s="30"/>
      <c r="C65" s="30"/>
      <c r="D65" s="30"/>
      <c r="E65" s="31" t="s">
        <v>69</v>
      </c>
      <c r="F65" s="34">
        <f>F56*1</f>
        <v>15000</v>
      </c>
      <c r="G65" s="33">
        <f>ROUNDUP($G$56/'발렌시아 정식'!$H$3)</f>
        <v>1924</v>
      </c>
      <c r="H65" s="31" t="s">
        <v>92</v>
      </c>
      <c r="I65" s="33">
        <f>F65*3</f>
        <v>45000</v>
      </c>
      <c r="J65" s="32">
        <f>ROUNDUP($G$65/'발렌시아 정식'!$H$3)*3</f>
        <v>2220</v>
      </c>
      <c r="K65" s="30"/>
      <c r="L65" s="31" t="s">
        <v>93</v>
      </c>
      <c r="M65" s="33">
        <f t="shared" si="17"/>
        <v>45000</v>
      </c>
      <c r="N65" s="33">
        <f t="shared" si="18"/>
        <v>2220</v>
      </c>
      <c r="O65" s="30"/>
      <c r="P65" s="31" t="s">
        <v>37</v>
      </c>
      <c r="Q65" s="33">
        <f t="shared" si="15"/>
        <v>60000</v>
      </c>
      <c r="R65" s="33">
        <f t="shared" si="16"/>
        <v>2959</v>
      </c>
      <c r="S65" s="30"/>
      <c r="T65" s="30"/>
      <c r="U65" s="30"/>
      <c r="V65" s="30"/>
      <c r="W65" s="30"/>
      <c r="X65" s="30"/>
      <c r="Y65" s="30"/>
      <c r="Z65" s="30"/>
    </row>
    <row r="66">
      <c r="A66" s="30"/>
      <c r="B66" s="30"/>
      <c r="C66" s="30"/>
      <c r="D66" s="30"/>
      <c r="E66" s="30"/>
      <c r="F66" s="30"/>
      <c r="G66" s="35"/>
      <c r="H66" s="31" t="s">
        <v>93</v>
      </c>
      <c r="I66" s="33">
        <f>F65*3</f>
        <v>45000</v>
      </c>
      <c r="J66" s="32">
        <f>ROUNDUP($G$65/'발렌시아 정식'!$H$3)*3</f>
        <v>2220</v>
      </c>
      <c r="K66" s="30"/>
      <c r="L66" s="31" t="s">
        <v>79</v>
      </c>
      <c r="M66" s="33">
        <f t="shared" si="17"/>
        <v>45000</v>
      </c>
      <c r="N66" s="33">
        <f t="shared" si="18"/>
        <v>2220</v>
      </c>
      <c r="O66" s="30"/>
      <c r="P66" s="31" t="s">
        <v>24</v>
      </c>
      <c r="Q66" s="33">
        <f t="shared" si="15"/>
        <v>180000</v>
      </c>
      <c r="R66" s="33">
        <f t="shared" si="16"/>
        <v>5236</v>
      </c>
      <c r="S66" s="30"/>
      <c r="T66" s="30"/>
      <c r="U66" s="30"/>
      <c r="V66" s="30"/>
      <c r="W66" s="30"/>
      <c r="X66" s="30"/>
      <c r="Y66" s="30"/>
      <c r="Z66" s="30"/>
    </row>
    <row r="67">
      <c r="A67" s="30"/>
      <c r="B67" s="30"/>
      <c r="C67" s="30"/>
      <c r="D67" s="30"/>
      <c r="E67" s="30"/>
      <c r="F67" s="30"/>
      <c r="G67" s="35"/>
      <c r="H67" s="31" t="s">
        <v>79</v>
      </c>
      <c r="I67" s="33">
        <f>F65*3</f>
        <v>45000</v>
      </c>
      <c r="J67" s="32">
        <f>ROUNDUP($G$65/'발렌시아 정식'!$H$3)*3</f>
        <v>2220</v>
      </c>
      <c r="K67" s="30"/>
      <c r="L67" s="31" t="s">
        <v>94</v>
      </c>
      <c r="M67" s="33">
        <f t="shared" si="17"/>
        <v>30000</v>
      </c>
      <c r="N67" s="33">
        <f t="shared" si="18"/>
        <v>1480</v>
      </c>
      <c r="O67" s="30"/>
      <c r="P67" s="36" t="s">
        <v>74</v>
      </c>
      <c r="Q67" s="33">
        <f t="shared" si="15"/>
        <v>150000</v>
      </c>
      <c r="R67" s="33">
        <f t="shared" si="16"/>
        <v>19235</v>
      </c>
      <c r="S67" s="30"/>
      <c r="T67" s="30"/>
      <c r="U67" s="30"/>
      <c r="V67" s="30"/>
      <c r="W67" s="30"/>
      <c r="X67" s="30"/>
      <c r="Y67" s="30"/>
      <c r="Z67" s="30"/>
    </row>
    <row r="68">
      <c r="A68" s="30"/>
      <c r="B68" s="30"/>
      <c r="C68" s="30"/>
      <c r="D68" s="30"/>
      <c r="E68" s="30"/>
      <c r="F68" s="30"/>
      <c r="G68" s="35"/>
      <c r="H68" s="31" t="s">
        <v>94</v>
      </c>
      <c r="I68" s="33">
        <f>F65*2</f>
        <v>30000</v>
      </c>
      <c r="J68" s="32">
        <f>ROUNDUP($G$65/'발렌시아 정식'!$H$3)*2</f>
        <v>1480</v>
      </c>
      <c r="K68" s="30"/>
      <c r="L68" s="31" t="s">
        <v>95</v>
      </c>
      <c r="M68" s="33">
        <f t="shared" si="17"/>
        <v>45000</v>
      </c>
      <c r="N68" s="33">
        <f t="shared" si="18"/>
        <v>2220</v>
      </c>
      <c r="O68" s="30"/>
      <c r="P68" s="36" t="s">
        <v>50</v>
      </c>
      <c r="Q68" s="33">
        <f t="shared" si="15"/>
        <v>90000</v>
      </c>
      <c r="R68" s="33">
        <f t="shared" si="16"/>
        <v>11541</v>
      </c>
      <c r="S68" s="30"/>
      <c r="T68" s="30"/>
      <c r="U68" s="30"/>
      <c r="V68" s="30"/>
      <c r="W68" s="30"/>
      <c r="X68" s="30"/>
      <c r="Y68" s="30"/>
      <c r="Z68" s="30"/>
    </row>
    <row r="69">
      <c r="A69" s="30"/>
      <c r="B69" s="30"/>
      <c r="C69" s="30"/>
      <c r="D69" s="30"/>
      <c r="E69" s="31" t="s">
        <v>70</v>
      </c>
      <c r="F69" s="34">
        <f>F56*3</f>
        <v>45000</v>
      </c>
      <c r="G69" s="33">
        <f>ROUNDUP(($G$56*3)/'발렌시아 정식'!$H$3)</f>
        <v>5770</v>
      </c>
      <c r="H69" s="31" t="s">
        <v>95</v>
      </c>
      <c r="I69" s="33">
        <f>F69*1</f>
        <v>45000</v>
      </c>
      <c r="J69" s="32">
        <f>ROUNDUP($G$69/'발렌시아 정식'!$H$3)*1</f>
        <v>2220</v>
      </c>
      <c r="K69" s="30"/>
      <c r="L69" s="31" t="s">
        <v>39</v>
      </c>
      <c r="M69" s="33">
        <f t="shared" si="17"/>
        <v>45000</v>
      </c>
      <c r="N69" s="33">
        <f t="shared" si="18"/>
        <v>2220</v>
      </c>
      <c r="O69" s="30"/>
      <c r="P69" s="36" t="s">
        <v>75</v>
      </c>
      <c r="Q69" s="33">
        <f t="shared" si="15"/>
        <v>60000</v>
      </c>
      <c r="R69" s="33">
        <f t="shared" si="16"/>
        <v>7694</v>
      </c>
      <c r="S69" s="30"/>
      <c r="T69" s="30"/>
      <c r="U69" s="30"/>
      <c r="V69" s="30"/>
      <c r="W69" s="30"/>
      <c r="X69" s="30"/>
      <c r="Y69" s="30"/>
      <c r="Z69" s="30"/>
    </row>
    <row r="70">
      <c r="A70" s="30"/>
      <c r="B70" s="30"/>
      <c r="C70" s="30"/>
      <c r="D70" s="30"/>
      <c r="E70" s="30"/>
      <c r="F70" s="30"/>
      <c r="G70" s="35"/>
      <c r="H70" s="31" t="s">
        <v>39</v>
      </c>
      <c r="I70" s="33">
        <f>F69*1</f>
        <v>45000</v>
      </c>
      <c r="J70" s="32">
        <f>ROUNDUP($G$69/'발렌시아 정식'!$H$3)*1</f>
        <v>2220</v>
      </c>
      <c r="K70" s="30"/>
      <c r="L70" s="31" t="s">
        <v>30</v>
      </c>
      <c r="M70" s="33">
        <f t="shared" si="17"/>
        <v>90000</v>
      </c>
      <c r="N70" s="33">
        <f t="shared" si="18"/>
        <v>4440</v>
      </c>
      <c r="O70" s="30"/>
      <c r="P70" s="31" t="s">
        <v>78</v>
      </c>
      <c r="Q70" s="33">
        <f t="shared" si="15"/>
        <v>60000</v>
      </c>
      <c r="R70" s="33">
        <f t="shared" si="16"/>
        <v>7696</v>
      </c>
      <c r="S70" s="30"/>
      <c r="T70" s="30"/>
      <c r="U70" s="30"/>
      <c r="V70" s="30"/>
      <c r="W70" s="30"/>
      <c r="X70" s="30"/>
      <c r="Y70" s="30"/>
      <c r="Z70" s="30"/>
    </row>
    <row r="71">
      <c r="A71" s="30"/>
      <c r="B71" s="30"/>
      <c r="C71" s="30"/>
      <c r="D71" s="30"/>
      <c r="E71" s="30"/>
      <c r="F71" s="30"/>
      <c r="G71" s="35"/>
      <c r="H71" s="31" t="s">
        <v>52</v>
      </c>
      <c r="I71" s="33">
        <f>F69*2</f>
        <v>90000</v>
      </c>
      <c r="J71" s="32">
        <f>ROUNDUP($G$69/'발렌시아 정식'!$H$3)*2</f>
        <v>4440</v>
      </c>
      <c r="K71" s="30"/>
      <c r="L71" s="35"/>
      <c r="M71" s="30"/>
      <c r="N71" s="30"/>
      <c r="O71" s="30"/>
      <c r="P71" s="31" t="s">
        <v>20</v>
      </c>
      <c r="Q71" s="33">
        <f t="shared" si="15"/>
        <v>120000</v>
      </c>
      <c r="R71" s="33">
        <f t="shared" si="16"/>
        <v>2277</v>
      </c>
      <c r="S71" s="30"/>
      <c r="T71" s="30"/>
      <c r="U71" s="30"/>
      <c r="V71" s="30"/>
      <c r="W71" s="30"/>
      <c r="X71" s="30"/>
      <c r="Y71" s="30"/>
      <c r="Z71" s="30"/>
    </row>
    <row r="72">
      <c r="A72" s="30"/>
      <c r="B72" s="30"/>
      <c r="C72" s="30"/>
      <c r="D72" s="30"/>
      <c r="E72" s="31"/>
      <c r="F72" s="30"/>
      <c r="G72" s="35"/>
      <c r="H72" s="31" t="s">
        <v>30</v>
      </c>
      <c r="I72" s="33">
        <f>F69*2</f>
        <v>90000</v>
      </c>
      <c r="J72" s="32">
        <f>ROUNDUP($G$69/'발렌시아 정식'!$H$3)*2</f>
        <v>4440</v>
      </c>
      <c r="K72" s="30"/>
      <c r="L72" s="35"/>
      <c r="M72" s="30"/>
      <c r="N72" s="30"/>
      <c r="O72" s="30"/>
      <c r="P72" s="35"/>
      <c r="Q72" s="35"/>
      <c r="R72" s="35"/>
      <c r="S72" s="30"/>
      <c r="T72" s="30"/>
      <c r="U72" s="30"/>
      <c r="V72" s="30"/>
      <c r="W72" s="30"/>
      <c r="X72" s="30"/>
      <c r="Y72" s="30"/>
      <c r="Z72" s="30"/>
    </row>
    <row r="73">
      <c r="A73" s="30"/>
      <c r="B73" s="30"/>
      <c r="C73" s="30"/>
      <c r="D73" s="30"/>
      <c r="E73" s="35"/>
      <c r="F73" s="35"/>
      <c r="G73" s="35"/>
      <c r="H73" s="35"/>
      <c r="I73" s="30"/>
      <c r="J73" s="30"/>
      <c r="K73" s="30"/>
      <c r="L73" s="30"/>
      <c r="M73" s="30"/>
      <c r="N73" s="30"/>
      <c r="O73" s="30"/>
      <c r="P73" s="35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>
      <c r="A74" s="30"/>
      <c r="B74" s="30"/>
      <c r="C74" s="30"/>
      <c r="D74" s="30"/>
      <c r="E74" s="31" t="s">
        <v>96</v>
      </c>
      <c r="F74" s="34">
        <f>D48*2</f>
        <v>30000</v>
      </c>
      <c r="G74" s="33">
        <f>ROUNDUP(($D$48*2)/'발렌시아 정식'!$H$2)</f>
        <v>10000</v>
      </c>
      <c r="H74" s="31" t="s">
        <v>72</v>
      </c>
      <c r="I74" s="33">
        <f>F74*5</f>
        <v>150000</v>
      </c>
      <c r="J74" s="32">
        <f>ROUNDUP($G$74/'발렌시아 정식'!$H$3)*5</f>
        <v>19235</v>
      </c>
      <c r="K74" s="30"/>
      <c r="L74" s="31" t="s">
        <v>72</v>
      </c>
      <c r="M74" s="33">
        <f t="shared" ref="M74:M78" si="19">sumif($H$74:$H$79,L74,$I$74:$I$79)</f>
        <v>150000</v>
      </c>
      <c r="N74" s="33">
        <f t="shared" ref="N74:N78" si="20">sumif($H$74:$H$79,L74,$J$74:$J$79)</f>
        <v>19235</v>
      </c>
      <c r="O74" s="30"/>
      <c r="P74" s="35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>
      <c r="A75" s="30"/>
      <c r="B75" s="30"/>
      <c r="C75" s="30"/>
      <c r="D75" s="30"/>
      <c r="E75" s="30"/>
      <c r="F75" s="35"/>
      <c r="G75" s="31"/>
      <c r="H75" s="31" t="s">
        <v>30</v>
      </c>
      <c r="I75" s="33">
        <f>F74*1</f>
        <v>30000</v>
      </c>
      <c r="J75" s="32">
        <f>ROUNDUP($G$74/'발렌시아 정식'!$H$3)*1</f>
        <v>3847</v>
      </c>
      <c r="K75" s="30"/>
      <c r="L75" s="31" t="s">
        <v>30</v>
      </c>
      <c r="M75" s="33">
        <f t="shared" si="19"/>
        <v>30000</v>
      </c>
      <c r="N75" s="33">
        <f t="shared" si="20"/>
        <v>3847</v>
      </c>
      <c r="O75" s="30"/>
      <c r="P75" s="35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>
      <c r="A76" s="30"/>
      <c r="B76" s="30"/>
      <c r="C76" s="30"/>
      <c r="D76" s="30"/>
      <c r="E76" s="30"/>
      <c r="F76" s="35"/>
      <c r="G76" s="30"/>
      <c r="H76" s="31" t="s">
        <v>27</v>
      </c>
      <c r="I76" s="33">
        <f>F74*4</f>
        <v>120000</v>
      </c>
      <c r="J76" s="32">
        <f>ROUNDUP($G$74/'발렌시아 정식'!$H$3)*4</f>
        <v>15388</v>
      </c>
      <c r="K76" s="30"/>
      <c r="L76" s="31" t="s">
        <v>27</v>
      </c>
      <c r="M76" s="33">
        <f t="shared" si="19"/>
        <v>180000</v>
      </c>
      <c r="N76" s="33">
        <f t="shared" si="20"/>
        <v>18347</v>
      </c>
      <c r="O76" s="30"/>
      <c r="P76" s="35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>
      <c r="A77" s="30"/>
      <c r="B77" s="30"/>
      <c r="C77" s="30"/>
      <c r="D77" s="30"/>
      <c r="E77" s="31" t="s">
        <v>36</v>
      </c>
      <c r="F77" s="34">
        <f>F74*2</f>
        <v>60000</v>
      </c>
      <c r="G77" s="33">
        <f>ROUNDUP(($G$74*2)/'발렌시아 정식'!$H$3)</f>
        <v>7693</v>
      </c>
      <c r="H77" s="31" t="s">
        <v>37</v>
      </c>
      <c r="I77" s="33">
        <f>F77*1</f>
        <v>60000</v>
      </c>
      <c r="J77" s="32">
        <f>ROUNDUP($G$77/'발렌시아 정식'!$H$3)*1</f>
        <v>2959</v>
      </c>
      <c r="K77" s="30"/>
      <c r="L77" s="31" t="s">
        <v>37</v>
      </c>
      <c r="M77" s="33">
        <f t="shared" si="19"/>
        <v>60000</v>
      </c>
      <c r="N77" s="33">
        <f t="shared" si="20"/>
        <v>2959</v>
      </c>
      <c r="O77" s="30"/>
      <c r="P77" s="35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>
      <c r="A78" s="30"/>
      <c r="B78" s="30"/>
      <c r="C78" s="30"/>
      <c r="D78" s="30"/>
      <c r="E78" s="30"/>
      <c r="F78" s="30"/>
      <c r="G78" s="35"/>
      <c r="H78" s="31" t="s">
        <v>24</v>
      </c>
      <c r="I78" s="33">
        <f>F77*1</f>
        <v>60000</v>
      </c>
      <c r="J78" s="32">
        <f>ROUNDUP($G$77/'발렌시아 정식'!$H$3)*1</f>
        <v>2959</v>
      </c>
      <c r="K78" s="30"/>
      <c r="L78" s="31" t="s">
        <v>24</v>
      </c>
      <c r="M78" s="33">
        <f t="shared" si="19"/>
        <v>60000</v>
      </c>
      <c r="N78" s="33">
        <f t="shared" si="20"/>
        <v>2959</v>
      </c>
      <c r="O78" s="30"/>
      <c r="P78" s="35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>
      <c r="A79" s="30"/>
      <c r="B79" s="30"/>
      <c r="C79" s="30"/>
      <c r="D79" s="30"/>
      <c r="E79" s="30"/>
      <c r="F79" s="30"/>
      <c r="G79" s="35"/>
      <c r="H79" s="31" t="s">
        <v>27</v>
      </c>
      <c r="I79" s="33">
        <f>F77*1</f>
        <v>60000</v>
      </c>
      <c r="J79" s="32">
        <f>ROUNDUP($G$77/'발렌시아 정식'!$H$3)*1</f>
        <v>2959</v>
      </c>
      <c r="K79" s="30"/>
      <c r="L79" s="35"/>
      <c r="M79" s="30"/>
      <c r="N79" s="30"/>
      <c r="O79" s="30"/>
      <c r="P79" s="35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5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>
      <c r="A81" s="30"/>
      <c r="B81" s="30"/>
      <c r="C81" s="30"/>
      <c r="D81" s="30"/>
      <c r="E81" s="36" t="s">
        <v>73</v>
      </c>
      <c r="F81" s="34">
        <f>D48*2</f>
        <v>30000</v>
      </c>
      <c r="G81" s="33">
        <f>ROUNDUP(($D$48*2)/'발렌시아 정식'!$H$2)</f>
        <v>10000</v>
      </c>
      <c r="H81" s="36" t="s">
        <v>74</v>
      </c>
      <c r="I81" s="33">
        <f>F81*5</f>
        <v>150000</v>
      </c>
      <c r="J81" s="32">
        <f>ROUNDUP($G$81/'발렌시아 정식'!$H$3)*5</f>
        <v>19235</v>
      </c>
      <c r="K81" s="30"/>
      <c r="L81" s="36" t="s">
        <v>74</v>
      </c>
      <c r="M81" s="33">
        <f t="shared" ref="M81:M84" si="21">sumif($H$81:$H$84,L81,$I$81:$I$84)</f>
        <v>150000</v>
      </c>
      <c r="N81" s="33">
        <f t="shared" ref="N81:N84" si="22">sumif($H$81:$H$84,L81,$J$81:$J$84)</f>
        <v>19235</v>
      </c>
      <c r="O81" s="30"/>
      <c r="P81" s="35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>
      <c r="A82" s="30"/>
      <c r="B82" s="30"/>
      <c r="C82" s="30"/>
      <c r="D82" s="30"/>
      <c r="E82" s="35"/>
      <c r="F82" s="35"/>
      <c r="G82" s="35"/>
      <c r="H82" s="36" t="s">
        <v>50</v>
      </c>
      <c r="I82" s="33">
        <f>F81*3</f>
        <v>90000</v>
      </c>
      <c r="J82" s="32">
        <f>ROUNDUP($G$81/'발렌시아 정식'!$H$3)*3</f>
        <v>11541</v>
      </c>
      <c r="K82" s="30"/>
      <c r="L82" s="36" t="s">
        <v>50</v>
      </c>
      <c r="M82" s="33">
        <f t="shared" si="21"/>
        <v>90000</v>
      </c>
      <c r="N82" s="33">
        <f t="shared" si="22"/>
        <v>11541</v>
      </c>
      <c r="O82" s="30"/>
      <c r="P82" s="35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>
      <c r="A83" s="30"/>
      <c r="B83" s="30"/>
      <c r="C83" s="30"/>
      <c r="D83" s="30"/>
      <c r="E83" s="35"/>
      <c r="F83" s="35"/>
      <c r="G83" s="35"/>
      <c r="H83" s="36" t="s">
        <v>30</v>
      </c>
      <c r="I83" s="33">
        <f>F81*3</f>
        <v>90000</v>
      </c>
      <c r="J83" s="32">
        <f>ROUNDUP($G$81/'발렌시아 정식'!$H$3)*3</f>
        <v>11541</v>
      </c>
      <c r="K83" s="30"/>
      <c r="L83" s="36" t="s">
        <v>30</v>
      </c>
      <c r="M83" s="33">
        <f t="shared" si="21"/>
        <v>90000</v>
      </c>
      <c r="N83" s="33">
        <f t="shared" si="22"/>
        <v>11541</v>
      </c>
      <c r="O83" s="30"/>
      <c r="P83" s="35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>
      <c r="A84" s="30"/>
      <c r="B84" s="30"/>
      <c r="C84" s="30"/>
      <c r="D84" s="30"/>
      <c r="E84" s="35"/>
      <c r="F84" s="35"/>
      <c r="G84" s="35"/>
      <c r="H84" s="36" t="s">
        <v>75</v>
      </c>
      <c r="I84" s="33">
        <f>F81*2</f>
        <v>60000</v>
      </c>
      <c r="J84" s="32">
        <f>ROUNDUP($G$81/'발렌시아 정식'!$H$3)*2</f>
        <v>7694</v>
      </c>
      <c r="K84" s="30"/>
      <c r="L84" s="36" t="s">
        <v>75</v>
      </c>
      <c r="M84" s="33">
        <f t="shared" si="21"/>
        <v>60000</v>
      </c>
      <c r="N84" s="33">
        <f t="shared" si="22"/>
        <v>7694</v>
      </c>
      <c r="O84" s="30"/>
      <c r="P84" s="35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>
      <c r="A85" s="30"/>
      <c r="B85" s="30"/>
      <c r="C85" s="30"/>
      <c r="D85" s="30"/>
      <c r="E85" s="35"/>
      <c r="F85" s="35"/>
      <c r="G85" s="35"/>
      <c r="H85" s="35"/>
      <c r="I85" s="30"/>
      <c r="J85" s="30"/>
      <c r="K85" s="30"/>
      <c r="L85" s="30"/>
      <c r="M85" s="30"/>
      <c r="N85" s="30"/>
      <c r="O85" s="30"/>
      <c r="P85" s="35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>
      <c r="A86" s="30"/>
      <c r="B86" s="30"/>
      <c r="C86" s="30"/>
      <c r="D86" s="30"/>
      <c r="E86" s="31" t="s">
        <v>77</v>
      </c>
      <c r="F86" s="34">
        <f>D48*1</f>
        <v>15000</v>
      </c>
      <c r="G86" s="33">
        <f>ROUNDUP(($D$48*1)/'발렌시아 정식'!$H$2)</f>
        <v>5000</v>
      </c>
      <c r="H86" s="31" t="s">
        <v>78</v>
      </c>
      <c r="I86" s="33">
        <f>F86*4</f>
        <v>60000</v>
      </c>
      <c r="J86" s="32">
        <f>ROUNDUP($G$86/'발렌시아 정식'!$H$3)*4</f>
        <v>7696</v>
      </c>
      <c r="K86" s="30"/>
      <c r="L86" s="31" t="s">
        <v>78</v>
      </c>
      <c r="M86" s="33">
        <f t="shared" ref="M86:M95" si="23">sumif($H$86:$H$98,L86,$I$86:$I$98)</f>
        <v>60000</v>
      </c>
      <c r="N86" s="33">
        <f t="shared" ref="N86:N95" si="24">sumif($H$86:$H$98,L86,$J$86:$J$98)</f>
        <v>7696</v>
      </c>
      <c r="O86" s="30"/>
      <c r="P86" s="35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>
      <c r="A87" s="30"/>
      <c r="B87" s="30"/>
      <c r="C87" s="30"/>
      <c r="D87" s="30"/>
      <c r="E87" s="30"/>
      <c r="F87" s="35"/>
      <c r="G87" s="30"/>
      <c r="H87" s="31" t="s">
        <v>79</v>
      </c>
      <c r="I87" s="33">
        <f>F86*3</f>
        <v>45000</v>
      </c>
      <c r="J87" s="32">
        <f>ROUNDUP($G$86/'발렌시아 정식'!$H$3)*3</f>
        <v>5772</v>
      </c>
      <c r="K87" s="30"/>
      <c r="L87" s="31" t="s">
        <v>79</v>
      </c>
      <c r="M87" s="33">
        <f t="shared" si="23"/>
        <v>45000</v>
      </c>
      <c r="N87" s="33">
        <f t="shared" si="24"/>
        <v>5772</v>
      </c>
      <c r="O87" s="30"/>
      <c r="P87" s="35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>
      <c r="A88" s="30"/>
      <c r="B88" s="30"/>
      <c r="C88" s="30"/>
      <c r="D88" s="30"/>
      <c r="E88" s="31" t="s">
        <v>31</v>
      </c>
      <c r="F88" s="34">
        <f>F86*2</f>
        <v>30000</v>
      </c>
      <c r="G88" s="33">
        <f>ROUNDUP(($G$86*2)/'발렌시아 정식'!$H$3)</f>
        <v>3847</v>
      </c>
      <c r="H88" s="31" t="s">
        <v>47</v>
      </c>
      <c r="I88" s="33">
        <f>F88*8</f>
        <v>240000</v>
      </c>
      <c r="J88" s="32">
        <f>ROUNDUP($G$88/'발렌시아 정식'!$H$3)*8</f>
        <v>11840</v>
      </c>
      <c r="K88" s="30"/>
      <c r="L88" s="31" t="s">
        <v>47</v>
      </c>
      <c r="M88" s="33">
        <f t="shared" si="23"/>
        <v>240000</v>
      </c>
      <c r="N88" s="33">
        <f t="shared" si="24"/>
        <v>11840</v>
      </c>
      <c r="O88" s="30"/>
      <c r="P88" s="35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>
      <c r="A89" s="30"/>
      <c r="B89" s="30"/>
      <c r="C89" s="30"/>
      <c r="D89" s="30"/>
      <c r="E89" s="31" t="s">
        <v>19</v>
      </c>
      <c r="F89" s="33">
        <f>F88*4</f>
        <v>120000</v>
      </c>
      <c r="G89" s="33">
        <f>ROUNDUP(($G$88*4)/'발렌시아 정식'!$H$3)</f>
        <v>5919</v>
      </c>
      <c r="H89" s="31" t="s">
        <v>20</v>
      </c>
      <c r="I89" s="33">
        <f>F89*1</f>
        <v>120000</v>
      </c>
      <c r="J89" s="32">
        <f>ROUNDUP($G$89/'발렌시아 정식'!$H$3)*1</f>
        <v>2277</v>
      </c>
      <c r="K89" s="30"/>
      <c r="L89" s="31" t="s">
        <v>20</v>
      </c>
      <c r="M89" s="33">
        <f t="shared" si="23"/>
        <v>120000</v>
      </c>
      <c r="N89" s="33">
        <f t="shared" si="24"/>
        <v>2277</v>
      </c>
      <c r="O89" s="30"/>
      <c r="P89" s="35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>
      <c r="A90" s="30"/>
      <c r="B90" s="30"/>
      <c r="C90" s="30"/>
      <c r="D90" s="30"/>
      <c r="E90" s="35"/>
      <c r="F90" s="35"/>
      <c r="G90" s="35"/>
      <c r="H90" s="36" t="s">
        <v>24</v>
      </c>
      <c r="I90" s="33">
        <f>F89*1</f>
        <v>120000</v>
      </c>
      <c r="J90" s="32">
        <f>ROUNDUP($G$89/'발렌시아 정식'!$H$3)*1</f>
        <v>2277</v>
      </c>
      <c r="K90" s="30"/>
      <c r="L90" s="36" t="s">
        <v>24</v>
      </c>
      <c r="M90" s="33">
        <f t="shared" si="23"/>
        <v>120000</v>
      </c>
      <c r="N90" s="33">
        <f t="shared" si="24"/>
        <v>2277</v>
      </c>
      <c r="O90" s="30"/>
      <c r="P90" s="35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>
      <c r="A91" s="30"/>
      <c r="B91" s="30"/>
      <c r="C91" s="30"/>
      <c r="D91" s="30"/>
      <c r="E91" s="35"/>
      <c r="F91" s="35"/>
      <c r="G91" s="35"/>
      <c r="H91" s="36" t="s">
        <v>27</v>
      </c>
      <c r="I91" s="33">
        <f>F89*1</f>
        <v>120000</v>
      </c>
      <c r="J91" s="32">
        <f>ROUNDUP($G$89/'발렌시아 정식'!$H$3)*1</f>
        <v>2277</v>
      </c>
      <c r="K91" s="30"/>
      <c r="L91" s="36" t="s">
        <v>27</v>
      </c>
      <c r="M91" s="33">
        <f t="shared" si="23"/>
        <v>300000</v>
      </c>
      <c r="N91" s="33">
        <f t="shared" si="24"/>
        <v>11155</v>
      </c>
      <c r="O91" s="30"/>
      <c r="P91" s="35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>
      <c r="A92" s="30"/>
      <c r="B92" s="30"/>
      <c r="C92" s="30"/>
      <c r="D92" s="30"/>
      <c r="E92" s="35"/>
      <c r="F92" s="35"/>
      <c r="G92" s="35"/>
      <c r="H92" s="36" t="s">
        <v>30</v>
      </c>
      <c r="I92" s="33">
        <f>F89*1</f>
        <v>120000</v>
      </c>
      <c r="J92" s="32">
        <f>ROUNDUP($G$89/'발렌시아 정식'!$H$3)*1</f>
        <v>2277</v>
      </c>
      <c r="K92" s="30"/>
      <c r="L92" s="36" t="s">
        <v>30</v>
      </c>
      <c r="M92" s="33">
        <f t="shared" si="23"/>
        <v>180000</v>
      </c>
      <c r="N92" s="33">
        <f t="shared" si="24"/>
        <v>5237</v>
      </c>
      <c r="O92" s="30"/>
      <c r="P92" s="35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>
      <c r="A93" s="30"/>
      <c r="B93" s="30"/>
      <c r="C93" s="30"/>
      <c r="D93" s="30"/>
      <c r="E93" s="30"/>
      <c r="F93" s="30"/>
      <c r="G93" s="35"/>
      <c r="H93" s="31" t="s">
        <v>27</v>
      </c>
      <c r="I93" s="33">
        <f>F88*2</f>
        <v>60000</v>
      </c>
      <c r="J93" s="32">
        <f>ROUNDUP($G$88/'발렌시아 정식'!$H$3)*2</f>
        <v>2960</v>
      </c>
      <c r="K93" s="30"/>
      <c r="L93" s="31" t="s">
        <v>76</v>
      </c>
      <c r="M93" s="33">
        <f t="shared" si="23"/>
        <v>300000</v>
      </c>
      <c r="N93" s="33">
        <f t="shared" si="24"/>
        <v>14795</v>
      </c>
      <c r="O93" s="30"/>
      <c r="P93" s="35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>
      <c r="A94" s="30"/>
      <c r="B94" s="30"/>
      <c r="C94" s="30"/>
      <c r="D94" s="30"/>
      <c r="E94" s="30"/>
      <c r="F94" s="30"/>
      <c r="G94" s="35"/>
      <c r="H94" s="31" t="s">
        <v>30</v>
      </c>
      <c r="I94" s="33">
        <f>F88*2</f>
        <v>60000</v>
      </c>
      <c r="J94" s="32">
        <f>ROUNDUP($G$88/'발렌시아 정식'!$H$3)*2</f>
        <v>2960</v>
      </c>
      <c r="K94" s="30"/>
      <c r="L94" s="31" t="s">
        <v>52</v>
      </c>
      <c r="M94" s="33">
        <f t="shared" si="23"/>
        <v>180000</v>
      </c>
      <c r="N94" s="33">
        <f t="shared" si="24"/>
        <v>8877</v>
      </c>
      <c r="O94" s="30"/>
      <c r="P94" s="35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>
      <c r="A95" s="30"/>
      <c r="B95" s="30"/>
      <c r="C95" s="30"/>
      <c r="D95" s="30"/>
      <c r="E95" s="31" t="s">
        <v>65</v>
      </c>
      <c r="F95" s="34">
        <f>F86*4</f>
        <v>60000</v>
      </c>
      <c r="G95" s="33">
        <f>ROUNDUP(($G$86*4)/'발렌시아 정식'!$H$3)</f>
        <v>7693</v>
      </c>
      <c r="H95" s="31" t="s">
        <v>76</v>
      </c>
      <c r="I95" s="33">
        <f>F95*5</f>
        <v>300000</v>
      </c>
      <c r="J95" s="32">
        <f>ROUNDUP($G$95/'발렌시아 정식'!$H$3)*5</f>
        <v>14795</v>
      </c>
      <c r="K95" s="30"/>
      <c r="L95" s="31" t="s">
        <v>58</v>
      </c>
      <c r="M95" s="33">
        <f t="shared" si="23"/>
        <v>120000</v>
      </c>
      <c r="N95" s="33">
        <f t="shared" si="24"/>
        <v>5918</v>
      </c>
      <c r="O95" s="30"/>
      <c r="P95" s="35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>
      <c r="A96" s="30"/>
      <c r="B96" s="30"/>
      <c r="C96" s="30"/>
      <c r="D96" s="30"/>
      <c r="E96" s="30"/>
      <c r="F96" s="30"/>
      <c r="G96" s="35"/>
      <c r="H96" s="31" t="s">
        <v>52</v>
      </c>
      <c r="I96" s="33">
        <f>F95*3</f>
        <v>180000</v>
      </c>
      <c r="J96" s="32">
        <f>ROUNDUP($G$95/'발렌시아 정식'!$H$3)*3</f>
        <v>8877</v>
      </c>
      <c r="K96" s="30"/>
      <c r="L96" s="35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>
      <c r="A97" s="30"/>
      <c r="B97" s="30"/>
      <c r="C97" s="30"/>
      <c r="D97" s="30"/>
      <c r="E97" s="30"/>
      <c r="F97" s="30"/>
      <c r="G97" s="35"/>
      <c r="H97" s="31" t="s">
        <v>27</v>
      </c>
      <c r="I97" s="33">
        <f>F95*2</f>
        <v>120000</v>
      </c>
      <c r="J97" s="32">
        <f>ROUNDUP($G$95/'발렌시아 정식'!$H$3)*2</f>
        <v>5918</v>
      </c>
      <c r="K97" s="30"/>
      <c r="L97" s="35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>
      <c r="A98" s="30"/>
      <c r="B98" s="30"/>
      <c r="C98" s="30"/>
      <c r="D98" s="30"/>
      <c r="E98" s="30"/>
      <c r="F98" s="30"/>
      <c r="G98" s="35"/>
      <c r="H98" s="31" t="s">
        <v>58</v>
      </c>
      <c r="I98" s="33">
        <f>F95*2</f>
        <v>120000</v>
      </c>
      <c r="J98" s="32">
        <f>ROUNDUP($G$95/'발렌시아 정식'!$H$3)*2</f>
        <v>5918</v>
      </c>
      <c r="K98" s="30"/>
      <c r="L98" s="35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>
      <c r="A99" s="30"/>
      <c r="B99" s="30"/>
      <c r="C99" s="30"/>
      <c r="D99" s="30"/>
      <c r="E99" s="35"/>
      <c r="F99" s="35"/>
      <c r="G99" s="35"/>
      <c r="H99" s="35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>
      <c r="A100" s="30"/>
      <c r="B100" s="30"/>
      <c r="C100" s="30"/>
      <c r="D100" s="30"/>
      <c r="E100" s="35"/>
      <c r="F100" s="35"/>
      <c r="G100" s="35"/>
      <c r="H100" s="35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drawing r:id="rId1"/>
</worksheet>
</file>