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1555" windowHeight="11370"/>
  </bookViews>
  <sheets>
    <sheet name="입력란" sheetId="7" r:id="rId1"/>
    <sheet name="DPS표" sheetId="1" r:id="rId2"/>
    <sheet name="트라이포드" sheetId="6" r:id="rId3"/>
    <sheet name="스킬 계수" sheetId="2" r:id="rId4"/>
    <sheet name="각인" sheetId="4" r:id="rId5"/>
  </sheets>
  <definedNames>
    <definedName name="_xlnm._FilterDatabase" localSheetId="1" hidden="1">DPS표!$B$15:$AR$582</definedName>
  </definedNames>
  <calcPr calcId="145621"/>
</workbook>
</file>

<file path=xl/calcChain.xml><?xml version="1.0" encoding="utf-8"?>
<calcChain xmlns="http://schemas.openxmlformats.org/spreadsheetml/2006/main">
  <c r="AN294" i="1" l="1"/>
  <c r="C27" i="7"/>
  <c r="AK213" i="1" s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212" i="1"/>
  <c r="AL582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80" i="1"/>
  <c r="AL581" i="1"/>
  <c r="AK240" i="1" l="1"/>
  <c r="AK234" i="1"/>
  <c r="AK244" i="1"/>
  <c r="AK246" i="1"/>
  <c r="AK242" i="1"/>
  <c r="AK238" i="1"/>
  <c r="AK228" i="1"/>
  <c r="AK245" i="1"/>
  <c r="AK241" i="1"/>
  <c r="AK237" i="1"/>
  <c r="AK224" i="1"/>
  <c r="AK247" i="1"/>
  <c r="AK243" i="1"/>
  <c r="AK239" i="1"/>
  <c r="AK233" i="1"/>
  <c r="AK236" i="1"/>
  <c r="AK232" i="1"/>
  <c r="AK220" i="1"/>
  <c r="AK235" i="1"/>
  <c r="AK229" i="1"/>
  <c r="AK216" i="1"/>
  <c r="AK231" i="1"/>
  <c r="AK227" i="1"/>
  <c r="AK223" i="1"/>
  <c r="AK219" i="1"/>
  <c r="AK215" i="1"/>
  <c r="AK230" i="1"/>
  <c r="AK226" i="1"/>
  <c r="AK222" i="1"/>
  <c r="AK218" i="1"/>
  <c r="AK214" i="1"/>
  <c r="AK225" i="1"/>
  <c r="AK221" i="1"/>
  <c r="AK217" i="1"/>
  <c r="AK581" i="1" l="1"/>
  <c r="AK561" i="1"/>
  <c r="Z561" i="1"/>
  <c r="AK560" i="1"/>
  <c r="Z560" i="1"/>
  <c r="AK559" i="1"/>
  <c r="Z559" i="1"/>
  <c r="AK558" i="1"/>
  <c r="AK557" i="1"/>
  <c r="AK556" i="1"/>
  <c r="AK555" i="1"/>
  <c r="Z555" i="1"/>
  <c r="AK554" i="1"/>
  <c r="Z554" i="1"/>
  <c r="AK553" i="1"/>
  <c r="Z553" i="1"/>
  <c r="AK552" i="1"/>
  <c r="Z552" i="1"/>
  <c r="AK551" i="1"/>
  <c r="Z551" i="1"/>
  <c r="AK550" i="1"/>
  <c r="Z550" i="1"/>
  <c r="AK549" i="1"/>
  <c r="Z549" i="1"/>
  <c r="AK548" i="1"/>
  <c r="AK547" i="1"/>
  <c r="Z547" i="1"/>
  <c r="AK546" i="1"/>
  <c r="Z546" i="1"/>
  <c r="AK545" i="1"/>
  <c r="Z545" i="1"/>
  <c r="AK544" i="1"/>
  <c r="Z544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539" i="1"/>
  <c r="AK538" i="1"/>
  <c r="AK537" i="1"/>
  <c r="Z537" i="1"/>
  <c r="AK536" i="1"/>
  <c r="Z536" i="1"/>
  <c r="AK543" i="1"/>
  <c r="Z543" i="1"/>
  <c r="AK542" i="1"/>
  <c r="Z542" i="1"/>
  <c r="AK541" i="1"/>
  <c r="Z541" i="1"/>
  <c r="AK540" i="1"/>
  <c r="AK531" i="1"/>
  <c r="Z531" i="1"/>
  <c r="Z527" i="1"/>
  <c r="Z528" i="1"/>
  <c r="Z529" i="1"/>
  <c r="Z532" i="1"/>
  <c r="Z533" i="1"/>
  <c r="Z534" i="1"/>
  <c r="Z535" i="1"/>
  <c r="Z526" i="1"/>
  <c r="R25" i="6"/>
  <c r="P25" i="6"/>
  <c r="N25" i="6"/>
  <c r="L25" i="6"/>
  <c r="J25" i="6"/>
  <c r="AK492" i="1"/>
  <c r="AK493" i="1"/>
  <c r="R24" i="6"/>
  <c r="P24" i="6"/>
  <c r="N24" i="6"/>
  <c r="J24" i="6"/>
  <c r="R23" i="6"/>
  <c r="N23" i="6"/>
  <c r="J23" i="6"/>
  <c r="J22" i="6"/>
  <c r="AJ348" i="1"/>
  <c r="AJ347" i="1"/>
  <c r="AJ346" i="1"/>
  <c r="AJ345" i="1"/>
  <c r="AJ344" i="1"/>
  <c r="AJ343" i="1"/>
  <c r="AJ342" i="1"/>
  <c r="AJ325" i="1"/>
  <c r="AJ324" i="1"/>
  <c r="AJ323" i="1"/>
  <c r="AJ316" i="1"/>
  <c r="P20" i="6"/>
  <c r="R20" i="6"/>
  <c r="N20" i="6"/>
  <c r="J20" i="6"/>
  <c r="R19" i="6"/>
  <c r="P19" i="6"/>
  <c r="L19" i="6"/>
  <c r="D19" i="6"/>
  <c r="R18" i="6"/>
  <c r="P18" i="6"/>
  <c r="N18" i="6"/>
  <c r="L18" i="6"/>
  <c r="D18" i="6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2" i="1"/>
  <c r="V255" i="1"/>
  <c r="V256" i="1"/>
  <c r="V259" i="1"/>
  <c r="V260" i="1"/>
  <c r="V263" i="1"/>
  <c r="V264" i="1"/>
  <c r="V237" i="1"/>
  <c r="R17" i="6"/>
  <c r="P17" i="6"/>
  <c r="N17" i="6"/>
  <c r="J17" i="6"/>
  <c r="F17" i="6"/>
  <c r="D17" i="6"/>
  <c r="R16" i="6"/>
  <c r="P16" i="6"/>
  <c r="L16" i="6"/>
  <c r="J16" i="6"/>
  <c r="D16" i="6"/>
  <c r="AK202" i="1"/>
  <c r="AK201" i="1"/>
  <c r="AK199" i="1"/>
  <c r="AK198" i="1"/>
  <c r="AK197" i="1"/>
  <c r="AK190" i="1"/>
  <c r="P15" i="6"/>
  <c r="N15" i="6"/>
  <c r="J15" i="6"/>
  <c r="H15" i="6"/>
  <c r="D15" i="6"/>
  <c r="R14" i="6"/>
  <c r="N14" i="6"/>
  <c r="J14" i="6"/>
  <c r="R11" i="6"/>
  <c r="N11" i="6"/>
  <c r="L11" i="6"/>
  <c r="J11" i="6"/>
  <c r="Q553" i="1" l="1"/>
  <c r="Q549" i="1"/>
  <c r="Q550" i="1"/>
  <c r="Q554" i="1"/>
  <c r="Q545" i="1"/>
  <c r="Q552" i="1"/>
  <c r="Q561" i="1"/>
  <c r="Q551" i="1"/>
  <c r="Q555" i="1"/>
  <c r="Q546" i="1"/>
  <c r="Q547" i="1"/>
  <c r="Q559" i="1"/>
  <c r="Q544" i="1"/>
  <c r="Q560" i="1"/>
  <c r="Q541" i="1"/>
  <c r="Q537" i="1"/>
  <c r="Q542" i="1"/>
  <c r="Q543" i="1"/>
  <c r="Q536" i="1"/>
  <c r="Q531" i="1"/>
  <c r="P7" i="6" l="1"/>
  <c r="R7" i="6"/>
  <c r="L7" i="6"/>
  <c r="H7" i="6"/>
  <c r="AK58" i="1"/>
  <c r="AK16" i="1" l="1"/>
  <c r="C32" i="7" l="1"/>
  <c r="C33" i="7" s="1"/>
  <c r="C34" i="7" l="1"/>
  <c r="Z504" i="1" l="1"/>
  <c r="Z501" i="1"/>
  <c r="Z489" i="1"/>
  <c r="AI489" i="1" s="1"/>
  <c r="Z494" i="1"/>
  <c r="AI494" i="1" s="1"/>
  <c r="Z508" i="1"/>
  <c r="Z505" i="1"/>
  <c r="Z498" i="1"/>
  <c r="Z485" i="1"/>
  <c r="AI485" i="1" s="1"/>
  <c r="Z490" i="1"/>
  <c r="AI490" i="1" s="1"/>
  <c r="Z495" i="1"/>
  <c r="AI495" i="1" s="1"/>
  <c r="Z509" i="1"/>
  <c r="Z506" i="1"/>
  <c r="Z499" i="1"/>
  <c r="Z486" i="1"/>
  <c r="AI486" i="1" s="1"/>
  <c r="Z491" i="1"/>
  <c r="AI491" i="1" s="1"/>
  <c r="Z484" i="1"/>
  <c r="AI484" i="1" s="1"/>
  <c r="Z503" i="1"/>
  <c r="Z500" i="1"/>
  <c r="Z487" i="1"/>
  <c r="AI487" i="1" s="1"/>
  <c r="Z492" i="1"/>
  <c r="W19" i="2"/>
  <c r="X19" i="2"/>
  <c r="Y19" i="2"/>
  <c r="Z19" i="2"/>
  <c r="AA19" i="2"/>
  <c r="AB19" i="2"/>
  <c r="AC19" i="2"/>
  <c r="AD19" i="2"/>
  <c r="AE19" i="2"/>
  <c r="AF19" i="2"/>
  <c r="AG19" i="2"/>
  <c r="AH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0" i="2"/>
  <c r="M19" i="2"/>
  <c r="N19" i="2"/>
  <c r="O19" i="2"/>
  <c r="P19" i="2"/>
  <c r="M20" i="2"/>
  <c r="N20" i="2"/>
  <c r="O20" i="2"/>
  <c r="P20" i="2"/>
  <c r="M21" i="2"/>
  <c r="N21" i="2"/>
  <c r="O21" i="2"/>
  <c r="P21" i="2"/>
  <c r="M22" i="2"/>
  <c r="N22" i="2"/>
  <c r="O22" i="2"/>
  <c r="P22" i="2"/>
  <c r="M23" i="2"/>
  <c r="N23" i="2"/>
  <c r="O23" i="2"/>
  <c r="P23" i="2"/>
  <c r="M24" i="2"/>
  <c r="N24" i="2"/>
  <c r="O24" i="2"/>
  <c r="P24" i="2"/>
  <c r="AI492" i="1" l="1"/>
  <c r="Q492" i="1"/>
  <c r="AI506" i="1"/>
  <c r="Q506" i="1"/>
  <c r="AI509" i="1"/>
  <c r="Q509" i="1"/>
  <c r="AI498" i="1"/>
  <c r="Q498" i="1"/>
  <c r="AI500" i="1"/>
  <c r="Q500" i="1"/>
  <c r="AI505" i="1"/>
  <c r="Q505" i="1"/>
  <c r="AI501" i="1"/>
  <c r="Q501" i="1"/>
  <c r="AI503" i="1"/>
  <c r="Q503" i="1"/>
  <c r="AI499" i="1"/>
  <c r="Q499" i="1"/>
  <c r="AI508" i="1"/>
  <c r="Q508" i="1"/>
  <c r="AI504" i="1"/>
  <c r="Q504" i="1"/>
  <c r="AK19" i="1"/>
  <c r="AK22" i="1"/>
  <c r="AK25" i="1"/>
  <c r="AK26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2" i="1"/>
  <c r="AK101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9" i="1"/>
  <c r="AK128" i="1"/>
  <c r="AK130" i="1"/>
  <c r="AK131" i="1"/>
  <c r="AK132" i="1"/>
  <c r="AK133" i="1"/>
  <c r="AK134" i="1"/>
  <c r="AK135" i="1"/>
  <c r="AK137" i="1"/>
  <c r="AK136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1" i="1"/>
  <c r="AK192" i="1"/>
  <c r="AK193" i="1"/>
  <c r="AK194" i="1"/>
  <c r="AK195" i="1"/>
  <c r="AK196" i="1"/>
  <c r="AK200" i="1"/>
  <c r="AK203" i="1"/>
  <c r="AK204" i="1"/>
  <c r="AK205" i="1"/>
  <c r="AK206" i="1"/>
  <c r="AK207" i="1"/>
  <c r="AK208" i="1"/>
  <c r="AK209" i="1"/>
  <c r="AK210" i="1"/>
  <c r="AK211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84" i="1"/>
  <c r="AK485" i="1"/>
  <c r="AK486" i="1"/>
  <c r="AK487" i="1"/>
  <c r="AK488" i="1"/>
  <c r="AK489" i="1"/>
  <c r="AK490" i="1"/>
  <c r="AK491" i="1"/>
  <c r="AK494" i="1"/>
  <c r="AK495" i="1"/>
  <c r="AK496" i="1"/>
  <c r="AK497" i="1"/>
  <c r="AK526" i="1"/>
  <c r="AK527" i="1"/>
  <c r="AK528" i="1"/>
  <c r="AK529" i="1"/>
  <c r="AK530" i="1"/>
  <c r="AK532" i="1"/>
  <c r="AK533" i="1"/>
  <c r="AK534" i="1"/>
  <c r="AK535" i="1"/>
  <c r="AK436" i="1"/>
  <c r="AK438" i="1"/>
  <c r="AK437" i="1"/>
  <c r="AK439" i="1"/>
  <c r="AK441" i="1"/>
  <c r="AK444" i="1"/>
  <c r="AK442" i="1"/>
  <c r="AK440" i="1"/>
  <c r="AK443" i="1"/>
  <c r="AK445" i="1"/>
  <c r="AK447" i="1"/>
  <c r="AK449" i="1"/>
  <c r="AK451" i="1"/>
  <c r="AK446" i="1"/>
  <c r="AK448" i="1"/>
  <c r="AK450" i="1"/>
  <c r="AK580" i="1"/>
  <c r="M249" i="1" l="1"/>
  <c r="M245" i="1"/>
  <c r="M260" i="1"/>
  <c r="M264" i="1"/>
  <c r="M256" i="1"/>
  <c r="M247" i="1"/>
  <c r="M240" i="1"/>
  <c r="AK21" i="1"/>
  <c r="AK18" i="1"/>
  <c r="AK17" i="1"/>
  <c r="AK24" i="1"/>
  <c r="AK20" i="1"/>
  <c r="AK582" i="1"/>
  <c r="AK27" i="1"/>
  <c r="AK23" i="1"/>
  <c r="Y138" i="1"/>
  <c r="AH138" i="1" s="1"/>
  <c r="X138" i="1"/>
  <c r="AG138" i="1" s="1"/>
  <c r="W138" i="1"/>
  <c r="AF138" i="1" s="1"/>
  <c r="Y136" i="1"/>
  <c r="AH136" i="1" s="1"/>
  <c r="X136" i="1"/>
  <c r="AG136" i="1" s="1"/>
  <c r="W136" i="1"/>
  <c r="AF136" i="1" s="1"/>
  <c r="Y130" i="1"/>
  <c r="AH130" i="1" s="1"/>
  <c r="X130" i="1"/>
  <c r="AG130" i="1" s="1"/>
  <c r="W130" i="1"/>
  <c r="AF130" i="1" s="1"/>
  <c r="Y128" i="1"/>
  <c r="AH128" i="1" s="1"/>
  <c r="X128" i="1"/>
  <c r="AG128" i="1" s="1"/>
  <c r="W128" i="1"/>
  <c r="AF128" i="1" s="1"/>
  <c r="Y121" i="1"/>
  <c r="AH121" i="1" s="1"/>
  <c r="X121" i="1"/>
  <c r="AG121" i="1" s="1"/>
  <c r="W121" i="1"/>
  <c r="AF121" i="1" s="1"/>
  <c r="Y117" i="1"/>
  <c r="AH117" i="1" s="1"/>
  <c r="X117" i="1"/>
  <c r="AG117" i="1" s="1"/>
  <c r="W117" i="1"/>
  <c r="AF117" i="1" s="1"/>
  <c r="W112" i="1"/>
  <c r="AF112" i="1" s="1"/>
  <c r="X112" i="1"/>
  <c r="AG112" i="1" s="1"/>
  <c r="Y112" i="1"/>
  <c r="AH112" i="1" s="1"/>
  <c r="W113" i="1"/>
  <c r="AF113" i="1" s="1"/>
  <c r="X113" i="1"/>
  <c r="AG113" i="1" s="1"/>
  <c r="Y113" i="1"/>
  <c r="AH113" i="1" s="1"/>
  <c r="W114" i="1"/>
  <c r="AF114" i="1" s="1"/>
  <c r="X114" i="1"/>
  <c r="AG114" i="1" s="1"/>
  <c r="Y114" i="1"/>
  <c r="AH114" i="1" s="1"/>
  <c r="W116" i="1"/>
  <c r="AF116" i="1" s="1"/>
  <c r="X116" i="1"/>
  <c r="AG116" i="1" s="1"/>
  <c r="Y116" i="1"/>
  <c r="AH116" i="1" s="1"/>
  <c r="W118" i="1"/>
  <c r="AF118" i="1" s="1"/>
  <c r="X118" i="1"/>
  <c r="AG118" i="1" s="1"/>
  <c r="Y118" i="1"/>
  <c r="AH118" i="1" s="1"/>
  <c r="W120" i="1"/>
  <c r="AF120" i="1" s="1"/>
  <c r="X120" i="1"/>
  <c r="AG120" i="1" s="1"/>
  <c r="Y120" i="1"/>
  <c r="AH120" i="1" s="1"/>
  <c r="W122" i="1"/>
  <c r="AF122" i="1" s="1"/>
  <c r="X122" i="1"/>
  <c r="AG122" i="1" s="1"/>
  <c r="Y122" i="1"/>
  <c r="AH122" i="1" s="1"/>
  <c r="W123" i="1"/>
  <c r="AF123" i="1" s="1"/>
  <c r="X123" i="1"/>
  <c r="AG123" i="1" s="1"/>
  <c r="Y123" i="1"/>
  <c r="AH123" i="1" s="1"/>
  <c r="W124" i="1"/>
  <c r="AF124" i="1" s="1"/>
  <c r="X124" i="1"/>
  <c r="AG124" i="1" s="1"/>
  <c r="Y124" i="1"/>
  <c r="AH124" i="1" s="1"/>
  <c r="W127" i="1"/>
  <c r="AF127" i="1" s="1"/>
  <c r="X127" i="1"/>
  <c r="AG127" i="1" s="1"/>
  <c r="Y127" i="1"/>
  <c r="AH127" i="1" s="1"/>
  <c r="W129" i="1"/>
  <c r="AF129" i="1" s="1"/>
  <c r="X129" i="1"/>
  <c r="AG129" i="1" s="1"/>
  <c r="Y129" i="1"/>
  <c r="AH129" i="1" s="1"/>
  <c r="W131" i="1"/>
  <c r="AF131" i="1" s="1"/>
  <c r="X131" i="1"/>
  <c r="AG131" i="1" s="1"/>
  <c r="Y131" i="1"/>
  <c r="AH131" i="1" s="1"/>
  <c r="W132" i="1"/>
  <c r="AF132" i="1" s="1"/>
  <c r="X132" i="1"/>
  <c r="AG132" i="1" s="1"/>
  <c r="Y132" i="1"/>
  <c r="AH132" i="1" s="1"/>
  <c r="W135" i="1"/>
  <c r="AF135" i="1" s="1"/>
  <c r="X135" i="1"/>
  <c r="AG135" i="1" s="1"/>
  <c r="Y135" i="1"/>
  <c r="AH135" i="1" s="1"/>
  <c r="W137" i="1"/>
  <c r="AF137" i="1" s="1"/>
  <c r="X137" i="1"/>
  <c r="AG137" i="1" s="1"/>
  <c r="Y137" i="1"/>
  <c r="AH137" i="1" s="1"/>
  <c r="X111" i="1"/>
  <c r="AG111" i="1" s="1"/>
  <c r="Y111" i="1"/>
  <c r="AH111" i="1" s="1"/>
  <c r="W111" i="1"/>
  <c r="AF111" i="1" s="1"/>
  <c r="C19" i="2"/>
  <c r="D19" i="2"/>
  <c r="E19" i="2"/>
  <c r="F19" i="2"/>
  <c r="G19" i="2"/>
  <c r="H19" i="2"/>
  <c r="I19" i="2"/>
  <c r="J19" i="2"/>
  <c r="K19" i="2"/>
  <c r="L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Q24" i="2"/>
  <c r="R24" i="2"/>
  <c r="S24" i="2"/>
  <c r="T24" i="2"/>
  <c r="U24" i="2"/>
  <c r="V24" i="2"/>
  <c r="B23" i="2" l="1"/>
  <c r="B24" i="2"/>
  <c r="C24" i="7" l="1"/>
  <c r="R22" i="6"/>
  <c r="L22" i="6"/>
  <c r="R21" i="6"/>
  <c r="P21" i="6"/>
  <c r="N21" i="6"/>
  <c r="J21" i="6"/>
  <c r="F21" i="6"/>
  <c r="J13" i="6"/>
  <c r="H13" i="6"/>
  <c r="R12" i="6"/>
  <c r="H12" i="6"/>
  <c r="R10" i="6"/>
  <c r="L10" i="6"/>
  <c r="R9" i="6"/>
  <c r="P9" i="6"/>
  <c r="N9" i="6"/>
  <c r="L9" i="6"/>
  <c r="H9" i="6"/>
  <c r="R8" i="6"/>
  <c r="P8" i="6"/>
  <c r="N8" i="6"/>
  <c r="C25" i="7" l="1"/>
  <c r="R6" i="6"/>
  <c r="P6" i="6"/>
  <c r="N6" i="6"/>
  <c r="L6" i="6"/>
  <c r="J6" i="6"/>
  <c r="N5" i="6"/>
  <c r="C28" i="7"/>
  <c r="C29" i="7"/>
  <c r="C31" i="7"/>
  <c r="C35" i="7"/>
  <c r="L5" i="6"/>
  <c r="AJ442" i="1" l="1"/>
  <c r="AJ581" i="1"/>
  <c r="AJ559" i="1"/>
  <c r="AJ554" i="1"/>
  <c r="AJ550" i="1"/>
  <c r="AJ547" i="1"/>
  <c r="AJ511" i="1"/>
  <c r="AJ509" i="1"/>
  <c r="AJ507" i="1"/>
  <c r="AJ505" i="1"/>
  <c r="AJ503" i="1"/>
  <c r="AJ501" i="1"/>
  <c r="AJ499" i="1"/>
  <c r="AJ467" i="1"/>
  <c r="AJ465" i="1"/>
  <c r="AJ463" i="1"/>
  <c r="AJ461" i="1"/>
  <c r="AJ459" i="1"/>
  <c r="AJ457" i="1"/>
  <c r="AJ455" i="1"/>
  <c r="AJ453" i="1"/>
  <c r="AJ423" i="1"/>
  <c r="AJ421" i="1"/>
  <c r="AJ419" i="1"/>
  <c r="AJ417" i="1"/>
  <c r="AJ415" i="1"/>
  <c r="AJ413" i="1"/>
  <c r="AJ382" i="1"/>
  <c r="AJ380" i="1"/>
  <c r="AJ378" i="1"/>
  <c r="AJ376" i="1"/>
  <c r="AJ374" i="1"/>
  <c r="AJ372" i="1"/>
  <c r="AJ370" i="1"/>
  <c r="AJ368" i="1"/>
  <c r="AJ366" i="1"/>
  <c r="AJ538" i="1"/>
  <c r="AJ543" i="1"/>
  <c r="AJ335" i="1"/>
  <c r="AJ314" i="1"/>
  <c r="AJ319" i="1"/>
  <c r="AJ328" i="1"/>
  <c r="AJ332" i="1"/>
  <c r="AJ339" i="1"/>
  <c r="AJ297" i="1"/>
  <c r="AJ301" i="1"/>
  <c r="AJ305" i="1"/>
  <c r="AJ309" i="1"/>
  <c r="AJ294" i="1"/>
  <c r="AJ269" i="1"/>
  <c r="AJ273" i="1"/>
  <c r="AJ277" i="1"/>
  <c r="AJ281" i="1"/>
  <c r="AJ285" i="1"/>
  <c r="AJ289" i="1"/>
  <c r="AJ293" i="1"/>
  <c r="AJ560" i="1"/>
  <c r="AJ557" i="1"/>
  <c r="AJ555" i="1"/>
  <c r="AJ551" i="1"/>
  <c r="AJ544" i="1"/>
  <c r="AJ536" i="1"/>
  <c r="AJ540" i="1"/>
  <c r="AJ493" i="1"/>
  <c r="AJ340" i="1"/>
  <c r="AJ322" i="1"/>
  <c r="AJ315" i="1"/>
  <c r="AJ320" i="1"/>
  <c r="AJ329" i="1"/>
  <c r="AJ333" i="1"/>
  <c r="AJ341" i="1"/>
  <c r="AJ298" i="1"/>
  <c r="AJ302" i="1"/>
  <c r="AJ306" i="1"/>
  <c r="AJ310" i="1"/>
  <c r="AJ266" i="1"/>
  <c r="AJ270" i="1"/>
  <c r="AJ274" i="1"/>
  <c r="AJ278" i="1"/>
  <c r="AJ282" i="1"/>
  <c r="AJ286" i="1"/>
  <c r="AJ290" i="1"/>
  <c r="AJ265" i="1"/>
  <c r="AJ240" i="1"/>
  <c r="AJ244" i="1"/>
  <c r="AJ248" i="1"/>
  <c r="AJ252" i="1"/>
  <c r="AJ256" i="1"/>
  <c r="AJ260" i="1"/>
  <c r="AJ264" i="1"/>
  <c r="AJ216" i="1"/>
  <c r="AJ220" i="1"/>
  <c r="AJ224" i="1"/>
  <c r="AJ228" i="1"/>
  <c r="AJ232" i="1"/>
  <c r="AJ236" i="1"/>
  <c r="AJ202" i="1"/>
  <c r="AJ56" i="1"/>
  <c r="AJ62" i="1"/>
  <c r="AJ561" i="1"/>
  <c r="AJ552" i="1"/>
  <c r="AJ548" i="1"/>
  <c r="AJ545" i="1"/>
  <c r="AJ510" i="1"/>
  <c r="AJ508" i="1"/>
  <c r="AJ506" i="1"/>
  <c r="AJ504" i="1"/>
  <c r="AJ502" i="1"/>
  <c r="AJ500" i="1"/>
  <c r="AJ498" i="1"/>
  <c r="AJ466" i="1"/>
  <c r="AJ464" i="1"/>
  <c r="AJ462" i="1"/>
  <c r="AJ460" i="1"/>
  <c r="AJ458" i="1"/>
  <c r="AJ456" i="1"/>
  <c r="AJ454" i="1"/>
  <c r="AJ452" i="1"/>
  <c r="AJ422" i="1"/>
  <c r="AJ420" i="1"/>
  <c r="AJ418" i="1"/>
  <c r="AJ416" i="1"/>
  <c r="AJ414" i="1"/>
  <c r="AJ412" i="1"/>
  <c r="AJ381" i="1"/>
  <c r="AJ379" i="1"/>
  <c r="AJ377" i="1"/>
  <c r="AJ375" i="1"/>
  <c r="AJ373" i="1"/>
  <c r="AJ371" i="1"/>
  <c r="AJ369" i="1"/>
  <c r="AJ367" i="1"/>
  <c r="AJ539" i="1"/>
  <c r="AJ537" i="1"/>
  <c r="AJ541" i="1"/>
  <c r="AJ337" i="1"/>
  <c r="AJ321" i="1"/>
  <c r="AJ317" i="1"/>
  <c r="AJ326" i="1"/>
  <c r="AJ330" i="1"/>
  <c r="AJ334" i="1"/>
  <c r="AJ553" i="1"/>
  <c r="AJ336" i="1"/>
  <c r="AJ331" i="1"/>
  <c r="AJ299" i="1"/>
  <c r="AJ307" i="1"/>
  <c r="AJ267" i="1"/>
  <c r="AJ275" i="1"/>
  <c r="AJ283" i="1"/>
  <c r="AJ291" i="1"/>
  <c r="AJ239" i="1"/>
  <c r="AJ245" i="1"/>
  <c r="AJ250" i="1"/>
  <c r="AJ255" i="1"/>
  <c r="AJ261" i="1"/>
  <c r="AJ214" i="1"/>
  <c r="AJ219" i="1"/>
  <c r="AJ225" i="1"/>
  <c r="AJ230" i="1"/>
  <c r="AJ235" i="1"/>
  <c r="AJ198" i="1"/>
  <c r="AJ190" i="1"/>
  <c r="AJ60" i="1"/>
  <c r="AJ52" i="1"/>
  <c r="AJ233" i="1"/>
  <c r="AJ55" i="1"/>
  <c r="AJ546" i="1"/>
  <c r="AJ243" i="1"/>
  <c r="AJ237" i="1"/>
  <c r="AJ218" i="1"/>
  <c r="AJ59" i="1"/>
  <c r="AJ549" i="1"/>
  <c r="AJ542" i="1"/>
  <c r="AJ338" i="1"/>
  <c r="AJ300" i="1"/>
  <c r="AJ308" i="1"/>
  <c r="AJ268" i="1"/>
  <c r="AJ276" i="1"/>
  <c r="AJ284" i="1"/>
  <c r="AJ292" i="1"/>
  <c r="AJ241" i="1"/>
  <c r="AJ246" i="1"/>
  <c r="AJ251" i="1"/>
  <c r="AJ257" i="1"/>
  <c r="AJ262" i="1"/>
  <c r="AJ215" i="1"/>
  <c r="AJ221" i="1"/>
  <c r="AJ226" i="1"/>
  <c r="AJ231" i="1"/>
  <c r="AJ212" i="1"/>
  <c r="AJ53" i="1"/>
  <c r="AJ61" i="1"/>
  <c r="AJ318" i="1"/>
  <c r="AJ295" i="1"/>
  <c r="AJ311" i="1"/>
  <c r="AJ271" i="1"/>
  <c r="AJ287" i="1"/>
  <c r="AJ242" i="1"/>
  <c r="AJ253" i="1"/>
  <c r="AJ263" i="1"/>
  <c r="AJ217" i="1"/>
  <c r="AJ227" i="1"/>
  <c r="AJ199" i="1"/>
  <c r="AJ63" i="1"/>
  <c r="AJ492" i="1"/>
  <c r="AJ296" i="1"/>
  <c r="AJ304" i="1"/>
  <c r="AJ272" i="1"/>
  <c r="AJ288" i="1"/>
  <c r="AJ249" i="1"/>
  <c r="AJ259" i="1"/>
  <c r="AJ223" i="1"/>
  <c r="AJ234" i="1"/>
  <c r="AJ64" i="1"/>
  <c r="AJ556" i="1"/>
  <c r="AJ313" i="1"/>
  <c r="AJ303" i="1"/>
  <c r="AJ279" i="1"/>
  <c r="AJ247" i="1"/>
  <c r="AJ258" i="1"/>
  <c r="AJ222" i="1"/>
  <c r="AJ197" i="1"/>
  <c r="AJ558" i="1"/>
  <c r="AJ531" i="1"/>
  <c r="AJ327" i="1"/>
  <c r="AJ312" i="1"/>
  <c r="AJ280" i="1"/>
  <c r="AJ238" i="1"/>
  <c r="AJ254" i="1"/>
  <c r="AJ213" i="1"/>
  <c r="AJ229" i="1"/>
  <c r="AJ201" i="1"/>
  <c r="AJ65" i="1"/>
  <c r="AJ58" i="1"/>
  <c r="AJ57" i="1"/>
  <c r="AJ67" i="1"/>
  <c r="AJ69" i="1"/>
  <c r="AJ66" i="1"/>
  <c r="AJ68" i="1"/>
  <c r="AJ70" i="1"/>
  <c r="AJ54" i="1"/>
  <c r="AL18" i="1"/>
  <c r="AL22" i="1"/>
  <c r="AL26" i="1"/>
  <c r="AL30" i="1"/>
  <c r="AL34" i="1"/>
  <c r="AL38" i="1"/>
  <c r="AL42" i="1"/>
  <c r="AL46" i="1"/>
  <c r="AL50" i="1"/>
  <c r="AL54" i="1"/>
  <c r="AL58" i="1"/>
  <c r="AL62" i="1"/>
  <c r="AL66" i="1"/>
  <c r="AL70" i="1"/>
  <c r="AL74" i="1"/>
  <c r="AL78" i="1"/>
  <c r="AL82" i="1"/>
  <c r="AL86" i="1"/>
  <c r="AL90" i="1"/>
  <c r="AL94" i="1"/>
  <c r="AL98" i="1"/>
  <c r="AL102" i="1"/>
  <c r="AL106" i="1"/>
  <c r="AL110" i="1"/>
  <c r="AL114" i="1"/>
  <c r="AL118" i="1"/>
  <c r="AL122" i="1"/>
  <c r="AL126" i="1"/>
  <c r="AL130" i="1"/>
  <c r="AL134" i="1"/>
  <c r="AL138" i="1"/>
  <c r="AL142" i="1"/>
  <c r="AL146" i="1"/>
  <c r="AL150" i="1"/>
  <c r="AL154" i="1"/>
  <c r="AL158" i="1"/>
  <c r="AL162" i="1"/>
  <c r="AL166" i="1"/>
  <c r="AL170" i="1"/>
  <c r="AL174" i="1"/>
  <c r="AL178" i="1"/>
  <c r="AL182" i="1"/>
  <c r="AL186" i="1"/>
  <c r="AL190" i="1"/>
  <c r="AL194" i="1"/>
  <c r="AL198" i="1"/>
  <c r="AL202" i="1"/>
  <c r="AL206" i="1"/>
  <c r="AL210" i="1"/>
  <c r="AL19" i="1"/>
  <c r="AL23" i="1"/>
  <c r="AL27" i="1"/>
  <c r="AL31" i="1"/>
  <c r="AL35" i="1"/>
  <c r="AL39" i="1"/>
  <c r="AL43" i="1"/>
  <c r="AL47" i="1"/>
  <c r="AL51" i="1"/>
  <c r="AL55" i="1"/>
  <c r="AL59" i="1"/>
  <c r="AL63" i="1"/>
  <c r="AL67" i="1"/>
  <c r="AL71" i="1"/>
  <c r="AL75" i="1"/>
  <c r="AL79" i="1"/>
  <c r="AL83" i="1"/>
  <c r="AL87" i="1"/>
  <c r="AL91" i="1"/>
  <c r="AL95" i="1"/>
  <c r="AL99" i="1"/>
  <c r="AL103" i="1"/>
  <c r="AL107" i="1"/>
  <c r="AL111" i="1"/>
  <c r="AL115" i="1"/>
  <c r="AL119" i="1"/>
  <c r="AL123" i="1"/>
  <c r="AL127" i="1"/>
  <c r="AL131" i="1"/>
  <c r="AL135" i="1"/>
  <c r="AL139" i="1"/>
  <c r="AL143" i="1"/>
  <c r="AL147" i="1"/>
  <c r="AL151" i="1"/>
  <c r="AL155" i="1"/>
  <c r="AL159" i="1"/>
  <c r="AL163" i="1"/>
  <c r="AL167" i="1"/>
  <c r="AL171" i="1"/>
  <c r="AL175" i="1"/>
  <c r="AL179" i="1"/>
  <c r="AL183" i="1"/>
  <c r="AL187" i="1"/>
  <c r="AL191" i="1"/>
  <c r="AL195" i="1"/>
  <c r="AL199" i="1"/>
  <c r="AL203" i="1"/>
  <c r="AL207" i="1"/>
  <c r="AL211" i="1"/>
  <c r="AL20" i="1"/>
  <c r="AL24" i="1"/>
  <c r="AL28" i="1"/>
  <c r="AL32" i="1"/>
  <c r="AL36" i="1"/>
  <c r="AL40" i="1"/>
  <c r="AL44" i="1"/>
  <c r="AL48" i="1"/>
  <c r="AL52" i="1"/>
  <c r="AL56" i="1"/>
  <c r="AL60" i="1"/>
  <c r="AL64" i="1"/>
  <c r="AL68" i="1"/>
  <c r="AL72" i="1"/>
  <c r="AL76" i="1"/>
  <c r="AL80" i="1"/>
  <c r="AL84" i="1"/>
  <c r="AL88" i="1"/>
  <c r="AL92" i="1"/>
  <c r="AL96" i="1"/>
  <c r="AL100" i="1"/>
  <c r="AL104" i="1"/>
  <c r="AL108" i="1"/>
  <c r="AL112" i="1"/>
  <c r="AL116" i="1"/>
  <c r="AL120" i="1"/>
  <c r="AL124" i="1"/>
  <c r="AL128" i="1"/>
  <c r="AL132" i="1"/>
  <c r="AL136" i="1"/>
  <c r="AL140" i="1"/>
  <c r="AL144" i="1"/>
  <c r="AL148" i="1"/>
  <c r="AL152" i="1"/>
  <c r="AL156" i="1"/>
  <c r="AL160" i="1"/>
  <c r="AL164" i="1"/>
  <c r="AL168" i="1"/>
  <c r="AL172" i="1"/>
  <c r="AL176" i="1"/>
  <c r="AL180" i="1"/>
  <c r="AL184" i="1"/>
  <c r="AL188" i="1"/>
  <c r="AL192" i="1"/>
  <c r="AL196" i="1"/>
  <c r="AL200" i="1"/>
  <c r="AL204" i="1"/>
  <c r="AL208" i="1"/>
  <c r="AL17" i="1"/>
  <c r="AL21" i="1"/>
  <c r="AL25" i="1"/>
  <c r="AL29" i="1"/>
  <c r="AL33" i="1"/>
  <c r="AL37" i="1"/>
  <c r="AL41" i="1"/>
  <c r="AL45" i="1"/>
  <c r="AL49" i="1"/>
  <c r="AL53" i="1"/>
  <c r="AL57" i="1"/>
  <c r="AL61" i="1"/>
  <c r="AL65" i="1"/>
  <c r="AL69" i="1"/>
  <c r="AL73" i="1"/>
  <c r="AL77" i="1"/>
  <c r="AL81" i="1"/>
  <c r="AL85" i="1"/>
  <c r="AL89" i="1"/>
  <c r="AL93" i="1"/>
  <c r="AL97" i="1"/>
  <c r="AL101" i="1"/>
  <c r="AL105" i="1"/>
  <c r="AL109" i="1"/>
  <c r="AL113" i="1"/>
  <c r="AL117" i="1"/>
  <c r="AL121" i="1"/>
  <c r="AL125" i="1"/>
  <c r="AL129" i="1"/>
  <c r="AL133" i="1"/>
  <c r="AL137" i="1"/>
  <c r="AL141" i="1"/>
  <c r="AL145" i="1"/>
  <c r="AL149" i="1"/>
  <c r="AL153" i="1"/>
  <c r="AL157" i="1"/>
  <c r="AL161" i="1"/>
  <c r="AL165" i="1"/>
  <c r="AL169" i="1"/>
  <c r="AL173" i="1"/>
  <c r="AL177" i="1"/>
  <c r="AL181" i="1"/>
  <c r="AL185" i="1"/>
  <c r="AL189" i="1"/>
  <c r="AL193" i="1"/>
  <c r="AL197" i="1"/>
  <c r="AL201" i="1"/>
  <c r="AL205" i="1"/>
  <c r="AL209" i="1"/>
  <c r="AL16" i="1"/>
  <c r="AJ446" i="1"/>
  <c r="AJ448" i="1"/>
  <c r="AJ437" i="1"/>
  <c r="AJ450" i="1"/>
  <c r="AJ440" i="1"/>
  <c r="AJ443" i="1"/>
  <c r="AJ101" i="1"/>
  <c r="AJ130" i="1"/>
  <c r="AJ117" i="1"/>
  <c r="AJ138" i="1"/>
  <c r="AJ121" i="1"/>
  <c r="AJ128" i="1"/>
  <c r="AJ136" i="1"/>
  <c r="AJ103" i="1"/>
  <c r="AJ105" i="1"/>
  <c r="AJ109" i="1"/>
  <c r="AJ100" i="1"/>
  <c r="AJ106" i="1"/>
  <c r="AJ110" i="1"/>
  <c r="AJ107" i="1"/>
  <c r="AJ102" i="1"/>
  <c r="AJ104" i="1"/>
  <c r="AJ108" i="1"/>
  <c r="AJ99" i="1"/>
  <c r="AJ349" i="1"/>
  <c r="AJ353" i="1"/>
  <c r="AJ357" i="1"/>
  <c r="AJ361" i="1"/>
  <c r="AJ350" i="1"/>
  <c r="AJ354" i="1"/>
  <c r="AJ358" i="1"/>
  <c r="AJ362" i="1"/>
  <c r="AJ351" i="1"/>
  <c r="AJ355" i="1"/>
  <c r="AJ359" i="1"/>
  <c r="AJ363" i="1"/>
  <c r="AJ352" i="1"/>
  <c r="AJ356" i="1"/>
  <c r="AJ360" i="1"/>
  <c r="AJ364" i="1"/>
  <c r="C23" i="7"/>
  <c r="AN553" i="1" l="1"/>
  <c r="AN552" i="1"/>
  <c r="AN551" i="1"/>
  <c r="AN550" i="1"/>
  <c r="AN547" i="1"/>
  <c r="AN546" i="1"/>
  <c r="AN511" i="1"/>
  <c r="AN510" i="1"/>
  <c r="AO509" i="1"/>
  <c r="U509" i="1" s="1"/>
  <c r="AO506" i="1"/>
  <c r="U506" i="1" s="1"/>
  <c r="AN504" i="1"/>
  <c r="AO503" i="1"/>
  <c r="U503" i="1" s="1"/>
  <c r="AN500" i="1"/>
  <c r="AO499" i="1"/>
  <c r="U499" i="1" s="1"/>
  <c r="AN498" i="1"/>
  <c r="AN467" i="1"/>
  <c r="AN466" i="1"/>
  <c r="AN457" i="1"/>
  <c r="AN456" i="1"/>
  <c r="AN455" i="1"/>
  <c r="AN454" i="1"/>
  <c r="AN453" i="1"/>
  <c r="AN452" i="1"/>
  <c r="AN423" i="1"/>
  <c r="AN422" i="1"/>
  <c r="AN381" i="1"/>
  <c r="AN380" i="1"/>
  <c r="AN379" i="1"/>
  <c r="AN378" i="1"/>
  <c r="AN377" i="1"/>
  <c r="AO376" i="1"/>
  <c r="T376" i="1" s="1"/>
  <c r="AO375" i="1"/>
  <c r="T375" i="1" s="1"/>
  <c r="AO374" i="1"/>
  <c r="T374" i="1" s="1"/>
  <c r="AO373" i="1"/>
  <c r="T373" i="1" s="1"/>
  <c r="AN368" i="1"/>
  <c r="AN367" i="1"/>
  <c r="AO366" i="1"/>
  <c r="T366" i="1" s="1"/>
  <c r="AN582" i="1"/>
  <c r="S582" i="1" s="1"/>
  <c r="AN528" i="1"/>
  <c r="AN533" i="1"/>
  <c r="AN485" i="1"/>
  <c r="AN487" i="1"/>
  <c r="AN489" i="1"/>
  <c r="AN491" i="1"/>
  <c r="AN495" i="1"/>
  <c r="AN497" i="1"/>
  <c r="AN437" i="1"/>
  <c r="AN441" i="1"/>
  <c r="AN445" i="1"/>
  <c r="AN449" i="1"/>
  <c r="AN401" i="1"/>
  <c r="AN405" i="1"/>
  <c r="AN409" i="1"/>
  <c r="AN350" i="1"/>
  <c r="AN352" i="1"/>
  <c r="AN354" i="1"/>
  <c r="AN356" i="1"/>
  <c r="AN358" i="1"/>
  <c r="AN360" i="1"/>
  <c r="AN362" i="1"/>
  <c r="AN364" i="1"/>
  <c r="AO349" i="1"/>
  <c r="AN346" i="1"/>
  <c r="Z346" i="1" s="1"/>
  <c r="AN344" i="1"/>
  <c r="Z344" i="1" s="1"/>
  <c r="AN342" i="1"/>
  <c r="Z342" i="1" s="1"/>
  <c r="AN337" i="1"/>
  <c r="Z337" i="1" s="1"/>
  <c r="AN335" i="1"/>
  <c r="Z335" i="1" s="1"/>
  <c r="AN324" i="1"/>
  <c r="Z324" i="1" s="1"/>
  <c r="AN316" i="1"/>
  <c r="Z316" i="1" s="1"/>
  <c r="AN321" i="1"/>
  <c r="Z321" i="1" s="1"/>
  <c r="AN318" i="1"/>
  <c r="Z318" i="1" s="1"/>
  <c r="AN327" i="1"/>
  <c r="Z327" i="1" s="1"/>
  <c r="AN331" i="1"/>
  <c r="Z331" i="1" s="1"/>
  <c r="AN338" i="1"/>
  <c r="Z338" i="1" s="1"/>
  <c r="AN295" i="1"/>
  <c r="AO296" i="1"/>
  <c r="T296" i="1" s="1"/>
  <c r="AP297" i="1"/>
  <c r="U297" i="1" s="1"/>
  <c r="AN299" i="1"/>
  <c r="AN549" i="1"/>
  <c r="AN548" i="1"/>
  <c r="AN545" i="1"/>
  <c r="AN544" i="1"/>
  <c r="AN509" i="1"/>
  <c r="AO508" i="1"/>
  <c r="U508" i="1" s="1"/>
  <c r="AN506" i="1"/>
  <c r="AN503" i="1"/>
  <c r="AO502" i="1"/>
  <c r="U502" i="1" s="1"/>
  <c r="AN499" i="1"/>
  <c r="AN461" i="1"/>
  <c r="AN460" i="1"/>
  <c r="AN459" i="1"/>
  <c r="AN458" i="1"/>
  <c r="AN376" i="1"/>
  <c r="AN375" i="1"/>
  <c r="AN374" i="1"/>
  <c r="AN373" i="1"/>
  <c r="AO372" i="1"/>
  <c r="T372" i="1" s="1"/>
  <c r="AO371" i="1"/>
  <c r="T371" i="1" s="1"/>
  <c r="AN366" i="1"/>
  <c r="AN580" i="1"/>
  <c r="S580" i="1" s="1"/>
  <c r="AN529" i="1"/>
  <c r="AN534" i="1"/>
  <c r="AO485" i="1"/>
  <c r="U485" i="1" s="1"/>
  <c r="AO487" i="1"/>
  <c r="U487" i="1" s="1"/>
  <c r="AO489" i="1"/>
  <c r="U489" i="1" s="1"/>
  <c r="AO491" i="1"/>
  <c r="U491" i="1" s="1"/>
  <c r="AO495" i="1"/>
  <c r="U495" i="1" s="1"/>
  <c r="AO497" i="1"/>
  <c r="U497" i="1" s="1"/>
  <c r="AN438" i="1"/>
  <c r="AN442" i="1"/>
  <c r="AM442" i="1" s="1"/>
  <c r="AN446" i="1"/>
  <c r="AN450" i="1"/>
  <c r="AN402" i="1"/>
  <c r="AN406" i="1"/>
  <c r="AN410" i="1"/>
  <c r="AO350" i="1"/>
  <c r="AO352" i="1"/>
  <c r="AO354" i="1"/>
  <c r="AO356" i="1"/>
  <c r="AO358" i="1"/>
  <c r="AO360" i="1"/>
  <c r="AO362" i="1"/>
  <c r="AO364" i="1"/>
  <c r="AN349" i="1"/>
  <c r="AN347" i="1"/>
  <c r="Z347" i="1" s="1"/>
  <c r="AN314" i="1"/>
  <c r="Z314" i="1" s="1"/>
  <c r="AN319" i="1"/>
  <c r="Z319" i="1" s="1"/>
  <c r="AN328" i="1"/>
  <c r="Z328" i="1" s="1"/>
  <c r="AN332" i="1"/>
  <c r="Z332" i="1" s="1"/>
  <c r="AN339" i="1"/>
  <c r="Z339" i="1" s="1"/>
  <c r="AO295" i="1"/>
  <c r="T295" i="1" s="1"/>
  <c r="AP296" i="1"/>
  <c r="U296" i="1" s="1"/>
  <c r="AN298" i="1"/>
  <c r="AO299" i="1"/>
  <c r="T299" i="1" s="1"/>
  <c r="AN561" i="1"/>
  <c r="AN560" i="1"/>
  <c r="AN559" i="1"/>
  <c r="AN558" i="1"/>
  <c r="AN557" i="1"/>
  <c r="AN556" i="1"/>
  <c r="AN555" i="1"/>
  <c r="AN554" i="1"/>
  <c r="AN508" i="1"/>
  <c r="AO507" i="1"/>
  <c r="U507" i="1" s="1"/>
  <c r="AO505" i="1"/>
  <c r="U505" i="1" s="1"/>
  <c r="AN502" i="1"/>
  <c r="AO501" i="1"/>
  <c r="U501" i="1" s="1"/>
  <c r="AN464" i="1"/>
  <c r="AN463" i="1"/>
  <c r="AN462" i="1"/>
  <c r="AN413" i="1"/>
  <c r="AN412" i="1"/>
  <c r="AO382" i="1"/>
  <c r="T382" i="1" s="1"/>
  <c r="AN372" i="1"/>
  <c r="AN371" i="1"/>
  <c r="AO370" i="1"/>
  <c r="T370" i="1" s="1"/>
  <c r="AO369" i="1"/>
  <c r="T369" i="1" s="1"/>
  <c r="AN539" i="1"/>
  <c r="AN538" i="1"/>
  <c r="AN537" i="1"/>
  <c r="AN536" i="1"/>
  <c r="AN543" i="1"/>
  <c r="AN542" i="1"/>
  <c r="AN541" i="1"/>
  <c r="AN540" i="1"/>
  <c r="AN531" i="1"/>
  <c r="AN530" i="1"/>
  <c r="AN535" i="1"/>
  <c r="AO492" i="1"/>
  <c r="U492" i="1" s="1"/>
  <c r="AO493" i="1"/>
  <c r="U493" i="1" s="1"/>
  <c r="AN486" i="1"/>
  <c r="AN488" i="1"/>
  <c r="AN490" i="1"/>
  <c r="AN494" i="1"/>
  <c r="AN496" i="1"/>
  <c r="AO484" i="1"/>
  <c r="U484" i="1" s="1"/>
  <c r="AN439" i="1"/>
  <c r="AN443" i="1"/>
  <c r="AN447" i="1"/>
  <c r="AN451" i="1"/>
  <c r="AN403" i="1"/>
  <c r="AN407" i="1"/>
  <c r="AN411" i="1"/>
  <c r="AN351" i="1"/>
  <c r="AN353" i="1"/>
  <c r="AN355" i="1"/>
  <c r="AN357" i="1"/>
  <c r="AN359" i="1"/>
  <c r="AN361" i="1"/>
  <c r="AN363" i="1"/>
  <c r="AN365" i="1"/>
  <c r="AN348" i="1"/>
  <c r="Z348" i="1" s="1"/>
  <c r="AN345" i="1"/>
  <c r="Z345" i="1" s="1"/>
  <c r="AN343" i="1"/>
  <c r="Z343" i="1" s="1"/>
  <c r="AN340" i="1"/>
  <c r="Z340" i="1" s="1"/>
  <c r="AN336" i="1"/>
  <c r="Z336" i="1" s="1"/>
  <c r="AN325" i="1"/>
  <c r="Z325" i="1" s="1"/>
  <c r="AN323" i="1"/>
  <c r="Z323" i="1" s="1"/>
  <c r="AN322" i="1"/>
  <c r="Z322" i="1" s="1"/>
  <c r="AN315" i="1"/>
  <c r="Z315" i="1" s="1"/>
  <c r="AN320" i="1"/>
  <c r="Z320" i="1" s="1"/>
  <c r="AN329" i="1"/>
  <c r="Z329" i="1" s="1"/>
  <c r="AN333" i="1"/>
  <c r="Z333" i="1" s="1"/>
  <c r="AN341" i="1"/>
  <c r="Z341" i="1" s="1"/>
  <c r="AP295" i="1"/>
  <c r="U295" i="1" s="1"/>
  <c r="AN297" i="1"/>
  <c r="AO298" i="1"/>
  <c r="T298" i="1" s="1"/>
  <c r="AN418" i="1"/>
  <c r="AN414" i="1"/>
  <c r="AO379" i="1"/>
  <c r="T379" i="1" s="1"/>
  <c r="AO368" i="1"/>
  <c r="T368" i="1" s="1"/>
  <c r="AN526" i="1"/>
  <c r="AO490" i="1"/>
  <c r="U490" i="1" s="1"/>
  <c r="AN440" i="1"/>
  <c r="AN404" i="1"/>
  <c r="AO353" i="1"/>
  <c r="AO361" i="1"/>
  <c r="AN317" i="1"/>
  <c r="Z317" i="1" s="1"/>
  <c r="AN313" i="1"/>
  <c r="Z313" i="1" s="1"/>
  <c r="AP299" i="1"/>
  <c r="U299" i="1" s="1"/>
  <c r="AN301" i="1"/>
  <c r="AO302" i="1"/>
  <c r="T302" i="1" s="1"/>
  <c r="AP303" i="1"/>
  <c r="U303" i="1" s="1"/>
  <c r="AN305" i="1"/>
  <c r="AO306" i="1"/>
  <c r="T306" i="1" s="1"/>
  <c r="AP307" i="1"/>
  <c r="U307" i="1" s="1"/>
  <c r="AN309" i="1"/>
  <c r="AO310" i="1"/>
  <c r="T310" i="1" s="1"/>
  <c r="AP311" i="1"/>
  <c r="U311" i="1" s="1"/>
  <c r="AP294" i="1"/>
  <c r="U294" i="1" s="1"/>
  <c r="AN267" i="1"/>
  <c r="AN271" i="1"/>
  <c r="AN275" i="1"/>
  <c r="AN279" i="1"/>
  <c r="AN283" i="1"/>
  <c r="AN287" i="1"/>
  <c r="AN291" i="1"/>
  <c r="AP238" i="1"/>
  <c r="U238" i="1" s="1"/>
  <c r="AN240" i="1"/>
  <c r="S240" i="1" s="1"/>
  <c r="J240" i="1" s="1"/>
  <c r="AO241" i="1"/>
  <c r="T241" i="1" s="1"/>
  <c r="AP242" i="1"/>
  <c r="U242" i="1" s="1"/>
  <c r="AN244" i="1"/>
  <c r="S244" i="1" s="1"/>
  <c r="AO245" i="1"/>
  <c r="T245" i="1" s="1"/>
  <c r="K245" i="1" s="1"/>
  <c r="AP246" i="1"/>
  <c r="U246" i="1" s="1"/>
  <c r="AN248" i="1"/>
  <c r="S248" i="1" s="1"/>
  <c r="AO249" i="1"/>
  <c r="T249" i="1" s="1"/>
  <c r="K249" i="1" s="1"/>
  <c r="AP250" i="1"/>
  <c r="U250" i="1" s="1"/>
  <c r="AN252" i="1"/>
  <c r="S252" i="1" s="1"/>
  <c r="AO253" i="1"/>
  <c r="T253" i="1" s="1"/>
  <c r="AP254" i="1"/>
  <c r="U254" i="1" s="1"/>
  <c r="L254" i="1" s="1"/>
  <c r="AN256" i="1"/>
  <c r="S256" i="1" s="1"/>
  <c r="J256" i="1" s="1"/>
  <c r="AO257" i="1"/>
  <c r="T257" i="1" s="1"/>
  <c r="AP258" i="1"/>
  <c r="U258" i="1" s="1"/>
  <c r="L258" i="1" s="1"/>
  <c r="AN260" i="1"/>
  <c r="S260" i="1" s="1"/>
  <c r="J260" i="1" s="1"/>
  <c r="AO261" i="1"/>
  <c r="T261" i="1" s="1"/>
  <c r="AP262" i="1"/>
  <c r="U262" i="1" s="1"/>
  <c r="L262" i="1" s="1"/>
  <c r="AN264" i="1"/>
  <c r="S264" i="1" s="1"/>
  <c r="J264" i="1" s="1"/>
  <c r="AO237" i="1"/>
  <c r="T237" i="1" s="1"/>
  <c r="AN214" i="1"/>
  <c r="S214" i="1" s="1"/>
  <c r="AN216" i="1"/>
  <c r="S216" i="1" s="1"/>
  <c r="AN218" i="1"/>
  <c r="S218" i="1" s="1"/>
  <c r="AN220" i="1"/>
  <c r="S220" i="1" s="1"/>
  <c r="AN222" i="1"/>
  <c r="S222" i="1" s="1"/>
  <c r="AN224" i="1"/>
  <c r="S224" i="1" s="1"/>
  <c r="AN226" i="1"/>
  <c r="S226" i="1" s="1"/>
  <c r="AN228" i="1"/>
  <c r="S228" i="1" s="1"/>
  <c r="AN230" i="1"/>
  <c r="S230" i="1" s="1"/>
  <c r="AN232" i="1"/>
  <c r="S232" i="1" s="1"/>
  <c r="AN234" i="1"/>
  <c r="S234" i="1" s="1"/>
  <c r="AN236" i="1"/>
  <c r="S236" i="1" s="1"/>
  <c r="AN202" i="1"/>
  <c r="AN198" i="1"/>
  <c r="AN191" i="1"/>
  <c r="S191" i="1" s="1"/>
  <c r="AN195" i="1"/>
  <c r="S195" i="1" s="1"/>
  <c r="AN204" i="1"/>
  <c r="S204" i="1" s="1"/>
  <c r="AN208" i="1"/>
  <c r="S208" i="1" s="1"/>
  <c r="AN187" i="1"/>
  <c r="S187" i="1" s="1"/>
  <c r="AN177" i="1"/>
  <c r="S177" i="1" s="1"/>
  <c r="AN178" i="1"/>
  <c r="S178" i="1" s="1"/>
  <c r="AN179" i="1"/>
  <c r="S179" i="1" s="1"/>
  <c r="AN180" i="1"/>
  <c r="S180" i="1" s="1"/>
  <c r="AN181" i="1"/>
  <c r="S181" i="1" s="1"/>
  <c r="AN182" i="1"/>
  <c r="S182" i="1" s="1"/>
  <c r="AN183" i="1"/>
  <c r="S183" i="1" s="1"/>
  <c r="AN184" i="1"/>
  <c r="S184" i="1" s="1"/>
  <c r="AN185" i="1"/>
  <c r="S185" i="1" s="1"/>
  <c r="AO510" i="1"/>
  <c r="U510" i="1" s="1"/>
  <c r="AN419" i="1"/>
  <c r="AN415" i="1"/>
  <c r="AO380" i="1"/>
  <c r="T380" i="1" s="1"/>
  <c r="AN369" i="1"/>
  <c r="AO494" i="1"/>
  <c r="U494" i="1" s="1"/>
  <c r="AN444" i="1"/>
  <c r="AN408" i="1"/>
  <c r="AO355" i="1"/>
  <c r="AO363" i="1"/>
  <c r="AN326" i="1"/>
  <c r="Z326" i="1" s="1"/>
  <c r="AN296" i="1"/>
  <c r="AN300" i="1"/>
  <c r="AO301" i="1"/>
  <c r="T301" i="1" s="1"/>
  <c r="AP302" i="1"/>
  <c r="U302" i="1" s="1"/>
  <c r="AN304" i="1"/>
  <c r="AO305" i="1"/>
  <c r="T305" i="1" s="1"/>
  <c r="AP306" i="1"/>
  <c r="U306" i="1" s="1"/>
  <c r="AN308" i="1"/>
  <c r="AO309" i="1"/>
  <c r="T309" i="1" s="1"/>
  <c r="AP310" i="1"/>
  <c r="U310" i="1" s="1"/>
  <c r="AN312" i="1"/>
  <c r="AO294" i="1"/>
  <c r="T294" i="1" s="1"/>
  <c r="AN268" i="1"/>
  <c r="AN272" i="1"/>
  <c r="AN276" i="1"/>
  <c r="AN280" i="1"/>
  <c r="AN284" i="1"/>
  <c r="AN288" i="1"/>
  <c r="AN292" i="1"/>
  <c r="AN239" i="1"/>
  <c r="S239" i="1" s="1"/>
  <c r="AO240" i="1"/>
  <c r="T240" i="1" s="1"/>
  <c r="K240" i="1" s="1"/>
  <c r="AP241" i="1"/>
  <c r="U241" i="1" s="1"/>
  <c r="AN243" i="1"/>
  <c r="S243" i="1" s="1"/>
  <c r="AO244" i="1"/>
  <c r="T244" i="1" s="1"/>
  <c r="AP245" i="1"/>
  <c r="U245" i="1" s="1"/>
  <c r="L245" i="1" s="1"/>
  <c r="AN247" i="1"/>
  <c r="S247" i="1" s="1"/>
  <c r="J247" i="1" s="1"/>
  <c r="AO248" i="1"/>
  <c r="T248" i="1" s="1"/>
  <c r="AP249" i="1"/>
  <c r="U249" i="1" s="1"/>
  <c r="L249" i="1" s="1"/>
  <c r="AN251" i="1"/>
  <c r="S251" i="1" s="1"/>
  <c r="AO252" i="1"/>
  <c r="T252" i="1" s="1"/>
  <c r="AP253" i="1"/>
  <c r="U253" i="1" s="1"/>
  <c r="AN255" i="1"/>
  <c r="S255" i="1" s="1"/>
  <c r="AO256" i="1"/>
  <c r="T256" i="1" s="1"/>
  <c r="K256" i="1" s="1"/>
  <c r="AP257" i="1"/>
  <c r="U257" i="1" s="1"/>
  <c r="AN259" i="1"/>
  <c r="S259" i="1" s="1"/>
  <c r="AO260" i="1"/>
  <c r="T260" i="1" s="1"/>
  <c r="K260" i="1" s="1"/>
  <c r="AP261" i="1"/>
  <c r="U261" i="1" s="1"/>
  <c r="AN263" i="1"/>
  <c r="S263" i="1" s="1"/>
  <c r="AO264" i="1"/>
  <c r="T264" i="1" s="1"/>
  <c r="K264" i="1" s="1"/>
  <c r="AN237" i="1"/>
  <c r="S237" i="1" s="1"/>
  <c r="AO214" i="1"/>
  <c r="T214" i="1" s="1"/>
  <c r="AO216" i="1"/>
  <c r="T216" i="1" s="1"/>
  <c r="AC216" i="1" s="1"/>
  <c r="AO218" i="1"/>
  <c r="T218" i="1" s="1"/>
  <c r="AC218" i="1" s="1"/>
  <c r="AO220" i="1"/>
  <c r="T220" i="1" s="1"/>
  <c r="AC220" i="1" s="1"/>
  <c r="AO222" i="1"/>
  <c r="T222" i="1" s="1"/>
  <c r="AO224" i="1"/>
  <c r="T224" i="1" s="1"/>
  <c r="AO226" i="1"/>
  <c r="T226" i="1" s="1"/>
  <c r="AO228" i="1"/>
  <c r="T228" i="1" s="1"/>
  <c r="AC228" i="1" s="1"/>
  <c r="AO230" i="1"/>
  <c r="T230" i="1" s="1"/>
  <c r="AO232" i="1"/>
  <c r="T232" i="1" s="1"/>
  <c r="AC232" i="1" s="1"/>
  <c r="AO234" i="1"/>
  <c r="T234" i="1" s="1"/>
  <c r="AC234" i="1" s="1"/>
  <c r="AO236" i="1"/>
  <c r="T236" i="1" s="1"/>
  <c r="AC236" i="1" s="1"/>
  <c r="AN199" i="1"/>
  <c r="AN192" i="1"/>
  <c r="S192" i="1" s="1"/>
  <c r="AN196" i="1"/>
  <c r="S196" i="1" s="1"/>
  <c r="AN205" i="1"/>
  <c r="S205" i="1" s="1"/>
  <c r="AN209" i="1"/>
  <c r="S209" i="1" s="1"/>
  <c r="AO177" i="1"/>
  <c r="T177" i="1" s="1"/>
  <c r="AO178" i="1"/>
  <c r="T178" i="1" s="1"/>
  <c r="AO179" i="1"/>
  <c r="T179" i="1" s="1"/>
  <c r="AO180" i="1"/>
  <c r="T180" i="1" s="1"/>
  <c r="AO181" i="1"/>
  <c r="T181" i="1" s="1"/>
  <c r="AO182" i="1"/>
  <c r="T182" i="1" s="1"/>
  <c r="AO183" i="1"/>
  <c r="T183" i="1" s="1"/>
  <c r="AO184" i="1"/>
  <c r="T184" i="1" s="1"/>
  <c r="AO185" i="1"/>
  <c r="T185" i="1" s="1"/>
  <c r="AO186" i="1"/>
  <c r="T186" i="1" s="1"/>
  <c r="AN581" i="1"/>
  <c r="AN507" i="1"/>
  <c r="AN501" i="1"/>
  <c r="AO500" i="1"/>
  <c r="U500" i="1" s="1"/>
  <c r="AN416" i="1"/>
  <c r="AO377" i="1"/>
  <c r="T377" i="1" s="1"/>
  <c r="AN493" i="1"/>
  <c r="AO486" i="1"/>
  <c r="U486" i="1" s="1"/>
  <c r="AN448" i="1"/>
  <c r="AO357" i="1"/>
  <c r="AN334" i="1"/>
  <c r="Z334" i="1" s="1"/>
  <c r="AP300" i="1"/>
  <c r="U300" i="1" s="1"/>
  <c r="AO311" i="1"/>
  <c r="T311" i="1" s="1"/>
  <c r="AN266" i="1"/>
  <c r="AP247" i="1"/>
  <c r="U247" i="1" s="1"/>
  <c r="L247" i="1" s="1"/>
  <c r="AO258" i="1"/>
  <c r="T258" i="1" s="1"/>
  <c r="K258" i="1" s="1"/>
  <c r="AO217" i="1"/>
  <c r="T217" i="1" s="1"/>
  <c r="AN212" i="1"/>
  <c r="S212" i="1" s="1"/>
  <c r="AQ178" i="1"/>
  <c r="V178" i="1" s="1"/>
  <c r="AE178" i="1" s="1"/>
  <c r="AN161" i="1"/>
  <c r="AN142" i="1"/>
  <c r="S142" i="1" s="1"/>
  <c r="AO511" i="1"/>
  <c r="U511" i="1" s="1"/>
  <c r="AN417" i="1"/>
  <c r="AO378" i="1"/>
  <c r="T378" i="1" s="1"/>
  <c r="AN527" i="1"/>
  <c r="AN492" i="1"/>
  <c r="AO488" i="1"/>
  <c r="U488" i="1" s="1"/>
  <c r="AN436" i="1"/>
  <c r="AO359" i="1"/>
  <c r="AO297" i="1"/>
  <c r="T297" i="1" s="1"/>
  <c r="AP301" i="1"/>
  <c r="U301" i="1" s="1"/>
  <c r="AO304" i="1"/>
  <c r="T304" i="1" s="1"/>
  <c r="AN307" i="1"/>
  <c r="AP309" i="1"/>
  <c r="U309" i="1" s="1"/>
  <c r="AO312" i="1"/>
  <c r="T312" i="1" s="1"/>
  <c r="AN269" i="1"/>
  <c r="AN277" i="1"/>
  <c r="AN285" i="1"/>
  <c r="AN293" i="1"/>
  <c r="AN238" i="1"/>
  <c r="S238" i="1" s="1"/>
  <c r="AP240" i="1"/>
  <c r="U240" i="1" s="1"/>
  <c r="L240" i="1" s="1"/>
  <c r="AO243" i="1"/>
  <c r="T243" i="1" s="1"/>
  <c r="AN246" i="1"/>
  <c r="S246" i="1" s="1"/>
  <c r="AP248" i="1"/>
  <c r="U248" i="1" s="1"/>
  <c r="AO251" i="1"/>
  <c r="T251" i="1" s="1"/>
  <c r="AN254" i="1"/>
  <c r="S254" i="1" s="1"/>
  <c r="AP256" i="1"/>
  <c r="U256" i="1" s="1"/>
  <c r="L256" i="1" s="1"/>
  <c r="AO259" i="1"/>
  <c r="T259" i="1" s="1"/>
  <c r="AN262" i="1"/>
  <c r="S262" i="1" s="1"/>
  <c r="AP264" i="1"/>
  <c r="U264" i="1" s="1"/>
  <c r="L264" i="1" s="1"/>
  <c r="AN215" i="1"/>
  <c r="S215" i="1" s="1"/>
  <c r="AN219" i="1"/>
  <c r="S219" i="1" s="1"/>
  <c r="AN223" i="1"/>
  <c r="S223" i="1" s="1"/>
  <c r="AN227" i="1"/>
  <c r="S227" i="1" s="1"/>
  <c r="AN231" i="1"/>
  <c r="S231" i="1" s="1"/>
  <c r="AN235" i="1"/>
  <c r="S235" i="1" s="1"/>
  <c r="AN197" i="1"/>
  <c r="AN189" i="1"/>
  <c r="S189" i="1" s="1"/>
  <c r="AN203" i="1"/>
  <c r="S203" i="1" s="1"/>
  <c r="AN211" i="1"/>
  <c r="S211" i="1" s="1"/>
  <c r="AP177" i="1"/>
  <c r="U177" i="1" s="1"/>
  <c r="AD177" i="1" s="1"/>
  <c r="AP179" i="1"/>
  <c r="U179" i="1" s="1"/>
  <c r="AD179" i="1" s="1"/>
  <c r="AP181" i="1"/>
  <c r="U181" i="1" s="1"/>
  <c r="AD181" i="1" s="1"/>
  <c r="AP183" i="1"/>
  <c r="U183" i="1" s="1"/>
  <c r="AD183" i="1" s="1"/>
  <c r="AP185" i="1"/>
  <c r="U185" i="1" s="1"/>
  <c r="AD185" i="1" s="1"/>
  <c r="AQ186" i="1"/>
  <c r="V186" i="1" s="1"/>
  <c r="AE186" i="1" s="1"/>
  <c r="AN176" i="1"/>
  <c r="S176" i="1" s="1"/>
  <c r="AN162" i="1"/>
  <c r="AN166" i="1"/>
  <c r="AN170" i="1"/>
  <c r="AN174" i="1"/>
  <c r="AO140" i="1"/>
  <c r="AO142" i="1"/>
  <c r="AO144" i="1"/>
  <c r="AO146" i="1"/>
  <c r="AO148" i="1"/>
  <c r="AO150" i="1"/>
  <c r="AO152" i="1"/>
  <c r="AO154" i="1"/>
  <c r="AO156" i="1"/>
  <c r="AN139" i="1"/>
  <c r="S139" i="1" s="1"/>
  <c r="AN115" i="1"/>
  <c r="AN119" i="1"/>
  <c r="AN123" i="1"/>
  <c r="AN127" i="1"/>
  <c r="AN131" i="1"/>
  <c r="AN135" i="1"/>
  <c r="AN111" i="1"/>
  <c r="AN103" i="1"/>
  <c r="AN107" i="1"/>
  <c r="AN99" i="1"/>
  <c r="AN85" i="1"/>
  <c r="S85" i="1" s="1"/>
  <c r="AN89" i="1"/>
  <c r="S89" i="1" s="1"/>
  <c r="AN93" i="1"/>
  <c r="S93" i="1" s="1"/>
  <c r="AN97" i="1"/>
  <c r="S97" i="1" s="1"/>
  <c r="AN73" i="1"/>
  <c r="S73" i="1" s="1"/>
  <c r="AN77" i="1"/>
  <c r="S77" i="1" s="1"/>
  <c r="AN71" i="1"/>
  <c r="S71" i="1" s="1"/>
  <c r="AP308" i="1"/>
  <c r="U308" i="1" s="1"/>
  <c r="AN274" i="1"/>
  <c r="AP239" i="1"/>
  <c r="U239" i="1" s="1"/>
  <c r="AO250" i="1"/>
  <c r="T250" i="1" s="1"/>
  <c r="AN261" i="1"/>
  <c r="S261" i="1" s="1"/>
  <c r="AO221" i="1"/>
  <c r="T221" i="1" s="1"/>
  <c r="AC221" i="1" s="1"/>
  <c r="AO233" i="1"/>
  <c r="T233" i="1" s="1"/>
  <c r="AC233" i="1" s="1"/>
  <c r="AN200" i="1"/>
  <c r="S200" i="1" s="1"/>
  <c r="AQ182" i="1"/>
  <c r="V182" i="1" s="1"/>
  <c r="AE182" i="1" s="1"/>
  <c r="AO176" i="1"/>
  <c r="T176" i="1" s="1"/>
  <c r="AN173" i="1"/>
  <c r="AN146" i="1"/>
  <c r="S146" i="1" s="1"/>
  <c r="AN420" i="1"/>
  <c r="AO381" i="1"/>
  <c r="T381" i="1" s="1"/>
  <c r="AO367" i="1"/>
  <c r="T367" i="1" s="1"/>
  <c r="AN532" i="1"/>
  <c r="AO496" i="1"/>
  <c r="U496" i="1" s="1"/>
  <c r="AN400" i="1"/>
  <c r="AO365" i="1"/>
  <c r="AP298" i="1"/>
  <c r="U298" i="1" s="1"/>
  <c r="AN302" i="1"/>
  <c r="AP304" i="1"/>
  <c r="U304" i="1" s="1"/>
  <c r="AO307" i="1"/>
  <c r="T307" i="1" s="1"/>
  <c r="AN310" i="1"/>
  <c r="AP312" i="1"/>
  <c r="U312" i="1" s="1"/>
  <c r="AN270" i="1"/>
  <c r="AN278" i="1"/>
  <c r="AN286" i="1"/>
  <c r="AN265" i="1"/>
  <c r="AO238" i="1"/>
  <c r="T238" i="1" s="1"/>
  <c r="AN241" i="1"/>
  <c r="S241" i="1" s="1"/>
  <c r="AP243" i="1"/>
  <c r="U243" i="1" s="1"/>
  <c r="AO246" i="1"/>
  <c r="T246" i="1" s="1"/>
  <c r="AN249" i="1"/>
  <c r="S249" i="1" s="1"/>
  <c r="J249" i="1" s="1"/>
  <c r="AP251" i="1"/>
  <c r="U251" i="1" s="1"/>
  <c r="AO254" i="1"/>
  <c r="T254" i="1" s="1"/>
  <c r="K254" i="1" s="1"/>
  <c r="AN257" i="1"/>
  <c r="S257" i="1" s="1"/>
  <c r="AP259" i="1"/>
  <c r="U259" i="1" s="1"/>
  <c r="AO262" i="1"/>
  <c r="T262" i="1" s="1"/>
  <c r="K262" i="1" s="1"/>
  <c r="AP237" i="1"/>
  <c r="U237" i="1" s="1"/>
  <c r="AO215" i="1"/>
  <c r="T215" i="1" s="1"/>
  <c r="AO219" i="1"/>
  <c r="T219" i="1" s="1"/>
  <c r="AC219" i="1" s="1"/>
  <c r="AO223" i="1"/>
  <c r="T223" i="1" s="1"/>
  <c r="AO227" i="1"/>
  <c r="T227" i="1" s="1"/>
  <c r="AC227" i="1" s="1"/>
  <c r="AO231" i="1"/>
  <c r="T231" i="1" s="1"/>
  <c r="AC231" i="1" s="1"/>
  <c r="AO235" i="1"/>
  <c r="T235" i="1" s="1"/>
  <c r="AC235" i="1" s="1"/>
  <c r="AN193" i="1"/>
  <c r="S193" i="1" s="1"/>
  <c r="AN206" i="1"/>
  <c r="S206" i="1" s="1"/>
  <c r="AQ177" i="1"/>
  <c r="V177" i="1" s="1"/>
  <c r="AE177" i="1" s="1"/>
  <c r="AQ179" i="1"/>
  <c r="V179" i="1" s="1"/>
  <c r="AE179" i="1" s="1"/>
  <c r="AQ181" i="1"/>
  <c r="V181" i="1" s="1"/>
  <c r="AE181" i="1" s="1"/>
  <c r="AQ183" i="1"/>
  <c r="V183" i="1" s="1"/>
  <c r="AE183" i="1" s="1"/>
  <c r="AQ185" i="1"/>
  <c r="V185" i="1" s="1"/>
  <c r="AE185" i="1" s="1"/>
  <c r="AQ176" i="1"/>
  <c r="V176" i="1" s="1"/>
  <c r="AE176" i="1" s="1"/>
  <c r="AN159" i="1"/>
  <c r="AN163" i="1"/>
  <c r="AN167" i="1"/>
  <c r="AN171" i="1"/>
  <c r="AN175" i="1"/>
  <c r="AN141" i="1"/>
  <c r="S141" i="1" s="1"/>
  <c r="AN143" i="1"/>
  <c r="S143" i="1" s="1"/>
  <c r="AN145" i="1"/>
  <c r="S145" i="1" s="1"/>
  <c r="AN147" i="1"/>
  <c r="S147" i="1" s="1"/>
  <c r="AN149" i="1"/>
  <c r="S149" i="1" s="1"/>
  <c r="AN151" i="1"/>
  <c r="S151" i="1" s="1"/>
  <c r="AN153" i="1"/>
  <c r="S153" i="1" s="1"/>
  <c r="AN155" i="1"/>
  <c r="S155" i="1" s="1"/>
  <c r="AN157" i="1"/>
  <c r="S157" i="1" s="1"/>
  <c r="AN112" i="1"/>
  <c r="AN116" i="1"/>
  <c r="AN120" i="1"/>
  <c r="AN124" i="1"/>
  <c r="AN128" i="1"/>
  <c r="AN132" i="1"/>
  <c r="AN136" i="1"/>
  <c r="AN100" i="1"/>
  <c r="AN104" i="1"/>
  <c r="AN108" i="1"/>
  <c r="AN82" i="1"/>
  <c r="S82" i="1" s="1"/>
  <c r="AN86" i="1"/>
  <c r="S86" i="1" s="1"/>
  <c r="AN90" i="1"/>
  <c r="S90" i="1" s="1"/>
  <c r="AN94" i="1"/>
  <c r="S94" i="1" s="1"/>
  <c r="AN98" i="1"/>
  <c r="S98" i="1" s="1"/>
  <c r="AN74" i="1"/>
  <c r="S74" i="1" s="1"/>
  <c r="AN78" i="1"/>
  <c r="S78" i="1" s="1"/>
  <c r="AN306" i="1"/>
  <c r="AN282" i="1"/>
  <c r="AN245" i="1"/>
  <c r="S245" i="1" s="1"/>
  <c r="J245" i="1" s="1"/>
  <c r="AN253" i="1"/>
  <c r="S253" i="1" s="1"/>
  <c r="AP263" i="1"/>
  <c r="U263" i="1" s="1"/>
  <c r="AO229" i="1"/>
  <c r="T229" i="1" s="1"/>
  <c r="AC229" i="1" s="1"/>
  <c r="AN188" i="1"/>
  <c r="S188" i="1" s="1"/>
  <c r="AQ180" i="1"/>
  <c r="V180" i="1" s="1"/>
  <c r="AE180" i="1" s="1"/>
  <c r="AP186" i="1"/>
  <c r="U186" i="1" s="1"/>
  <c r="AD186" i="1" s="1"/>
  <c r="AN169" i="1"/>
  <c r="AN144" i="1"/>
  <c r="S144" i="1" s="1"/>
  <c r="AN505" i="1"/>
  <c r="AO504" i="1"/>
  <c r="U504" i="1" s="1"/>
  <c r="AO498" i="1"/>
  <c r="U498" i="1" s="1"/>
  <c r="AN465" i="1"/>
  <c r="AN421" i="1"/>
  <c r="AN382" i="1"/>
  <c r="AN370" i="1"/>
  <c r="AN484" i="1"/>
  <c r="AO351" i="1"/>
  <c r="AN330" i="1"/>
  <c r="Z330" i="1" s="1"/>
  <c r="AO300" i="1"/>
  <c r="T300" i="1" s="1"/>
  <c r="AN303" i="1"/>
  <c r="AP305" i="1"/>
  <c r="U305" i="1" s="1"/>
  <c r="AO308" i="1"/>
  <c r="T308" i="1" s="1"/>
  <c r="AN311" i="1"/>
  <c r="AN273" i="1"/>
  <c r="AN281" i="1"/>
  <c r="AN289" i="1"/>
  <c r="AO239" i="1"/>
  <c r="T239" i="1" s="1"/>
  <c r="AN242" i="1"/>
  <c r="S242" i="1" s="1"/>
  <c r="AP244" i="1"/>
  <c r="U244" i="1" s="1"/>
  <c r="AO247" i="1"/>
  <c r="T247" i="1" s="1"/>
  <c r="K247" i="1" s="1"/>
  <c r="AN250" i="1"/>
  <c r="S250" i="1" s="1"/>
  <c r="AP252" i="1"/>
  <c r="U252" i="1" s="1"/>
  <c r="AO255" i="1"/>
  <c r="T255" i="1" s="1"/>
  <c r="AN258" i="1"/>
  <c r="S258" i="1" s="1"/>
  <c r="AP260" i="1"/>
  <c r="U260" i="1" s="1"/>
  <c r="L260" i="1" s="1"/>
  <c r="AO263" i="1"/>
  <c r="T263" i="1" s="1"/>
  <c r="AN213" i="1"/>
  <c r="S213" i="1" s="1"/>
  <c r="AN217" i="1"/>
  <c r="S217" i="1" s="1"/>
  <c r="AN221" i="1"/>
  <c r="S221" i="1" s="1"/>
  <c r="AN225" i="1"/>
  <c r="S225" i="1" s="1"/>
  <c r="AN229" i="1"/>
  <c r="S229" i="1" s="1"/>
  <c r="AN233" i="1"/>
  <c r="S233" i="1" s="1"/>
  <c r="AO212" i="1"/>
  <c r="T212" i="1" s="1"/>
  <c r="AN201" i="1"/>
  <c r="AN194" i="1"/>
  <c r="S194" i="1" s="1"/>
  <c r="AN207" i="1"/>
  <c r="S207" i="1" s="1"/>
  <c r="AP178" i="1"/>
  <c r="U178" i="1" s="1"/>
  <c r="AD178" i="1" s="1"/>
  <c r="AP180" i="1"/>
  <c r="U180" i="1" s="1"/>
  <c r="AD180" i="1" s="1"/>
  <c r="AP182" i="1"/>
  <c r="U182" i="1" s="1"/>
  <c r="AD182" i="1" s="1"/>
  <c r="AP184" i="1"/>
  <c r="U184" i="1" s="1"/>
  <c r="AD184" i="1" s="1"/>
  <c r="AN186" i="1"/>
  <c r="S186" i="1" s="1"/>
  <c r="AP176" i="1"/>
  <c r="U176" i="1" s="1"/>
  <c r="AN160" i="1"/>
  <c r="AN164" i="1"/>
  <c r="AN168" i="1"/>
  <c r="AN172" i="1"/>
  <c r="AN158" i="1"/>
  <c r="AO141" i="1"/>
  <c r="AO143" i="1"/>
  <c r="AO145" i="1"/>
  <c r="AO147" i="1"/>
  <c r="AO149" i="1"/>
  <c r="AO151" i="1"/>
  <c r="AO153" i="1"/>
  <c r="AO155" i="1"/>
  <c r="AO157" i="1"/>
  <c r="AN113" i="1"/>
  <c r="AN117" i="1"/>
  <c r="AN121" i="1"/>
  <c r="AN125" i="1"/>
  <c r="AN129" i="1"/>
  <c r="AN133" i="1"/>
  <c r="AN137" i="1"/>
  <c r="AN101" i="1"/>
  <c r="AM101" i="1" s="1"/>
  <c r="AN105" i="1"/>
  <c r="AN109" i="1"/>
  <c r="AN83" i="1"/>
  <c r="S83" i="1" s="1"/>
  <c r="AN87" i="1"/>
  <c r="S87" i="1" s="1"/>
  <c r="AN91" i="1"/>
  <c r="S91" i="1" s="1"/>
  <c r="AN95" i="1"/>
  <c r="S95" i="1" s="1"/>
  <c r="AN81" i="1"/>
  <c r="S81" i="1" s="1"/>
  <c r="AN75" i="1"/>
  <c r="S75" i="1" s="1"/>
  <c r="AN79" i="1"/>
  <c r="S79" i="1" s="1"/>
  <c r="AO303" i="1"/>
  <c r="T303" i="1" s="1"/>
  <c r="AN290" i="1"/>
  <c r="AO242" i="1"/>
  <c r="T242" i="1" s="1"/>
  <c r="AP255" i="1"/>
  <c r="U255" i="1" s="1"/>
  <c r="AO213" i="1"/>
  <c r="T213" i="1" s="1"/>
  <c r="AO225" i="1"/>
  <c r="T225" i="1" s="1"/>
  <c r="AC225" i="1" s="1"/>
  <c r="AN190" i="1"/>
  <c r="AN210" i="1"/>
  <c r="S210" i="1" s="1"/>
  <c r="AQ184" i="1"/>
  <c r="V184" i="1" s="1"/>
  <c r="AE184" i="1" s="1"/>
  <c r="AN165" i="1"/>
  <c r="AN140" i="1"/>
  <c r="S140" i="1" s="1"/>
  <c r="AN148" i="1"/>
  <c r="S148" i="1" s="1"/>
  <c r="AN150" i="1"/>
  <c r="S150" i="1" s="1"/>
  <c r="AO139" i="1"/>
  <c r="AN126" i="1"/>
  <c r="AN102" i="1"/>
  <c r="AN88" i="1"/>
  <c r="S88" i="1" s="1"/>
  <c r="AN76" i="1"/>
  <c r="S76" i="1" s="1"/>
  <c r="AN122" i="1"/>
  <c r="AN72" i="1"/>
  <c r="S72" i="1" s="1"/>
  <c r="AN152" i="1"/>
  <c r="S152" i="1" s="1"/>
  <c r="AN114" i="1"/>
  <c r="AN130" i="1"/>
  <c r="AN106" i="1"/>
  <c r="AN92" i="1"/>
  <c r="S92" i="1" s="1"/>
  <c r="AN80" i="1"/>
  <c r="S80" i="1" s="1"/>
  <c r="AN156" i="1"/>
  <c r="S156" i="1" s="1"/>
  <c r="AN84" i="1"/>
  <c r="S84" i="1" s="1"/>
  <c r="AN154" i="1"/>
  <c r="S154" i="1" s="1"/>
  <c r="AN118" i="1"/>
  <c r="AN134" i="1"/>
  <c r="AN110" i="1"/>
  <c r="AN96" i="1"/>
  <c r="S96" i="1" s="1"/>
  <c r="AN138" i="1"/>
  <c r="AN54" i="1"/>
  <c r="AN58" i="1"/>
  <c r="AN62" i="1"/>
  <c r="AN66" i="1"/>
  <c r="AN70" i="1"/>
  <c r="AN56" i="1"/>
  <c r="AN64" i="1"/>
  <c r="AN53" i="1"/>
  <c r="AN61" i="1"/>
  <c r="AN69" i="1"/>
  <c r="AN55" i="1"/>
  <c r="AN59" i="1"/>
  <c r="AN63" i="1"/>
  <c r="AN67" i="1"/>
  <c r="AN52" i="1"/>
  <c r="AN60" i="1"/>
  <c r="AN68" i="1"/>
  <c r="AN57" i="1"/>
  <c r="AN65" i="1"/>
  <c r="AN36" i="1"/>
  <c r="AN40" i="1"/>
  <c r="AN44" i="1"/>
  <c r="AN48" i="1"/>
  <c r="AN34" i="1"/>
  <c r="AN20" i="1"/>
  <c r="AN24" i="1"/>
  <c r="AN28" i="1"/>
  <c r="AN32" i="1"/>
  <c r="AN38" i="1"/>
  <c r="AN46" i="1"/>
  <c r="AN18" i="1"/>
  <c r="AN26" i="1"/>
  <c r="AN16" i="1"/>
  <c r="AN35" i="1"/>
  <c r="AN43" i="1"/>
  <c r="AN51" i="1"/>
  <c r="AN23" i="1"/>
  <c r="AN31" i="1"/>
  <c r="AN37" i="1"/>
  <c r="AN41" i="1"/>
  <c r="AN45" i="1"/>
  <c r="AN49" i="1"/>
  <c r="AN17" i="1"/>
  <c r="AN21" i="1"/>
  <c r="AN25" i="1"/>
  <c r="AN29" i="1"/>
  <c r="AN33" i="1"/>
  <c r="AN42" i="1"/>
  <c r="AN50" i="1"/>
  <c r="AN22" i="1"/>
  <c r="AN30" i="1"/>
  <c r="AN39" i="1"/>
  <c r="AN47" i="1"/>
  <c r="AN19" i="1"/>
  <c r="AN27" i="1"/>
  <c r="N117" i="1"/>
  <c r="O117" i="1"/>
  <c r="P117" i="1"/>
  <c r="P121" i="1"/>
  <c r="N121" i="1"/>
  <c r="O121" i="1"/>
  <c r="N136" i="1"/>
  <c r="O136" i="1"/>
  <c r="P136" i="1"/>
  <c r="P138" i="1"/>
  <c r="O138" i="1"/>
  <c r="N138" i="1"/>
  <c r="P128" i="1"/>
  <c r="O128" i="1"/>
  <c r="N128" i="1"/>
  <c r="N130" i="1"/>
  <c r="P130" i="1"/>
  <c r="O130" i="1"/>
  <c r="AD245" i="1" l="1"/>
  <c r="AD264" i="1"/>
  <c r="AC256" i="1"/>
  <c r="AD240" i="1"/>
  <c r="AD258" i="1"/>
  <c r="AD254" i="1"/>
  <c r="V261" i="1"/>
  <c r="AC249" i="1"/>
  <c r="AC254" i="1"/>
  <c r="AC240" i="1"/>
  <c r="AC260" i="1"/>
  <c r="AD249" i="1"/>
  <c r="AC262" i="1"/>
  <c r="AC247" i="1"/>
  <c r="AC258" i="1"/>
  <c r="AD256" i="1"/>
  <c r="AC245" i="1"/>
  <c r="AD247" i="1"/>
  <c r="AD260" i="1"/>
  <c r="I249" i="1"/>
  <c r="I245" i="1"/>
  <c r="I247" i="1"/>
  <c r="I256" i="1"/>
  <c r="I240" i="1"/>
  <c r="I260" i="1"/>
  <c r="I264" i="1"/>
  <c r="AC264" i="1"/>
  <c r="V253" i="1"/>
  <c r="V257" i="1"/>
  <c r="AD262" i="1"/>
  <c r="T21" i="1"/>
  <c r="U21" i="1"/>
  <c r="W21" i="1"/>
  <c r="V21" i="1"/>
  <c r="S21" i="1"/>
  <c r="S26" i="1"/>
  <c r="V26" i="1"/>
  <c r="T26" i="1"/>
  <c r="U26" i="1"/>
  <c r="W26" i="1"/>
  <c r="S34" i="1"/>
  <c r="Z34" i="1"/>
  <c r="S60" i="1"/>
  <c r="Z60" i="1"/>
  <c r="AI60" i="1" s="1"/>
  <c r="S53" i="1"/>
  <c r="Z53" i="1"/>
  <c r="AI53" i="1" s="1"/>
  <c r="Z138" i="1"/>
  <c r="S138" i="1"/>
  <c r="Z118" i="1"/>
  <c r="S118" i="1"/>
  <c r="T139" i="1"/>
  <c r="Z139" i="1"/>
  <c r="S165" i="1"/>
  <c r="T165" i="1"/>
  <c r="U165" i="1"/>
  <c r="T290" i="1"/>
  <c r="Z290" i="1"/>
  <c r="S290" i="1"/>
  <c r="Z121" i="1"/>
  <c r="S121" i="1"/>
  <c r="T147" i="1"/>
  <c r="Z147" i="1"/>
  <c r="S160" i="1"/>
  <c r="U160" i="1"/>
  <c r="T160" i="1"/>
  <c r="AC308" i="1"/>
  <c r="K308" i="1"/>
  <c r="AM330" i="1"/>
  <c r="X330" i="1"/>
  <c r="S330" i="1"/>
  <c r="T330" i="1"/>
  <c r="U330" i="1"/>
  <c r="Y330" i="1"/>
  <c r="W330" i="1"/>
  <c r="V330" i="1"/>
  <c r="AD504" i="1"/>
  <c r="L504" i="1"/>
  <c r="S306" i="1"/>
  <c r="AM306" i="1"/>
  <c r="S108" i="1"/>
  <c r="Z108" i="1"/>
  <c r="Z132" i="1"/>
  <c r="S132" i="1"/>
  <c r="Z116" i="1"/>
  <c r="S116" i="1"/>
  <c r="U171" i="1"/>
  <c r="S171" i="1"/>
  <c r="T171" i="1"/>
  <c r="T270" i="1"/>
  <c r="Z270" i="1"/>
  <c r="S270" i="1"/>
  <c r="L304" i="1"/>
  <c r="AD304" i="1"/>
  <c r="AC381" i="1"/>
  <c r="K381" i="1"/>
  <c r="T274" i="1"/>
  <c r="Z274" i="1"/>
  <c r="S274" i="1"/>
  <c r="Z111" i="1"/>
  <c r="S111" i="1"/>
  <c r="Z123" i="1"/>
  <c r="S123" i="1"/>
  <c r="T156" i="1"/>
  <c r="Z156" i="1"/>
  <c r="T148" i="1"/>
  <c r="Z148" i="1"/>
  <c r="T140" i="1"/>
  <c r="Z140" i="1"/>
  <c r="S162" i="1"/>
  <c r="T162" i="1"/>
  <c r="U162" i="1"/>
  <c r="Z269" i="1"/>
  <c r="T269" i="1"/>
  <c r="S269" i="1"/>
  <c r="K304" i="1"/>
  <c r="AC304" i="1"/>
  <c r="Z436" i="1"/>
  <c r="AI436" i="1" s="1"/>
  <c r="S436" i="1"/>
  <c r="J436" i="1" s="1"/>
  <c r="K378" i="1"/>
  <c r="AC378" i="1"/>
  <c r="S161" i="1"/>
  <c r="U161" i="1"/>
  <c r="T161" i="1"/>
  <c r="L300" i="1"/>
  <c r="AD300" i="1"/>
  <c r="AD500" i="1"/>
  <c r="L500" i="1"/>
  <c r="S292" i="1"/>
  <c r="Z292" i="1"/>
  <c r="T292" i="1"/>
  <c r="S276" i="1"/>
  <c r="Z276" i="1"/>
  <c r="T276" i="1"/>
  <c r="S312" i="1"/>
  <c r="AM312" i="1"/>
  <c r="L306" i="1"/>
  <c r="AD306" i="1"/>
  <c r="K301" i="1"/>
  <c r="AC301" i="1"/>
  <c r="AM419" i="1"/>
  <c r="T419" i="1"/>
  <c r="V419" i="1"/>
  <c r="S419" i="1"/>
  <c r="U419" i="1"/>
  <c r="AM198" i="1"/>
  <c r="S198" i="1"/>
  <c r="Z287" i="1"/>
  <c r="T287" i="1"/>
  <c r="S287" i="1"/>
  <c r="Z271" i="1"/>
  <c r="T271" i="1"/>
  <c r="S271" i="1"/>
  <c r="K310" i="1"/>
  <c r="AC310" i="1"/>
  <c r="S305" i="1"/>
  <c r="AM305" i="1"/>
  <c r="L299" i="1"/>
  <c r="AD299" i="1"/>
  <c r="S526" i="1"/>
  <c r="J526" i="1" s="1"/>
  <c r="V526" i="1"/>
  <c r="M526" i="1" s="1"/>
  <c r="T526" i="1"/>
  <c r="K526" i="1" s="1"/>
  <c r="U526" i="1"/>
  <c r="L526" i="1" s="1"/>
  <c r="AM418" i="1"/>
  <c r="U418" i="1"/>
  <c r="T418" i="1"/>
  <c r="S418" i="1"/>
  <c r="V418" i="1"/>
  <c r="T341" i="1"/>
  <c r="W341" i="1"/>
  <c r="X341" i="1"/>
  <c r="S341" i="1"/>
  <c r="Y341" i="1"/>
  <c r="V341" i="1"/>
  <c r="U341" i="1"/>
  <c r="AM341" i="1"/>
  <c r="T315" i="1"/>
  <c r="W315" i="1"/>
  <c r="S315" i="1"/>
  <c r="Y315" i="1"/>
  <c r="V315" i="1"/>
  <c r="U315" i="1"/>
  <c r="X315" i="1"/>
  <c r="AM315" i="1"/>
  <c r="T336" i="1"/>
  <c r="W336" i="1"/>
  <c r="AM336" i="1"/>
  <c r="U336" i="1"/>
  <c r="S336" i="1"/>
  <c r="Y336" i="1"/>
  <c r="X336" i="1"/>
  <c r="V336" i="1"/>
  <c r="W348" i="1"/>
  <c r="S348" i="1"/>
  <c r="X348" i="1"/>
  <c r="U348" i="1"/>
  <c r="V348" i="1"/>
  <c r="AM348" i="1"/>
  <c r="Y348" i="1"/>
  <c r="T348" i="1"/>
  <c r="S451" i="1"/>
  <c r="J451" i="1" s="1"/>
  <c r="Z451" i="1"/>
  <c r="AI451" i="1" s="1"/>
  <c r="S488" i="1"/>
  <c r="J488" i="1" s="1"/>
  <c r="T488" i="1"/>
  <c r="K488" i="1" s="1"/>
  <c r="Z488" i="1"/>
  <c r="AI488" i="1" s="1"/>
  <c r="V535" i="1"/>
  <c r="M535" i="1" s="1"/>
  <c r="T535" i="1"/>
  <c r="K535" i="1" s="1"/>
  <c r="S535" i="1"/>
  <c r="J535" i="1" s="1"/>
  <c r="U535" i="1"/>
  <c r="L535" i="1" s="1"/>
  <c r="S541" i="1"/>
  <c r="U541" i="1"/>
  <c r="V541" i="1"/>
  <c r="T541" i="1"/>
  <c r="AM541" i="1"/>
  <c r="V537" i="1"/>
  <c r="T537" i="1"/>
  <c r="AM537" i="1"/>
  <c r="S537" i="1"/>
  <c r="U537" i="1"/>
  <c r="AC370" i="1"/>
  <c r="K370" i="1"/>
  <c r="V412" i="1"/>
  <c r="S412" i="1"/>
  <c r="U412" i="1"/>
  <c r="AM412" i="1"/>
  <c r="T412" i="1"/>
  <c r="AM464" i="1"/>
  <c r="Z464" i="1"/>
  <c r="S464" i="1"/>
  <c r="J464" i="1" s="1"/>
  <c r="L507" i="1"/>
  <c r="AD507" i="1"/>
  <c r="Z556" i="1"/>
  <c r="Q556" i="1" s="1"/>
  <c r="U556" i="1"/>
  <c r="T556" i="1"/>
  <c r="V556" i="1"/>
  <c r="AM556" i="1"/>
  <c r="S556" i="1"/>
  <c r="V560" i="1"/>
  <c r="S560" i="1"/>
  <c r="AM560" i="1"/>
  <c r="U560" i="1"/>
  <c r="T560" i="1"/>
  <c r="L296" i="1"/>
  <c r="AD296" i="1"/>
  <c r="V328" i="1"/>
  <c r="W328" i="1"/>
  <c r="S328" i="1"/>
  <c r="Y328" i="1"/>
  <c r="X328" i="1"/>
  <c r="AM328" i="1"/>
  <c r="U328" i="1"/>
  <c r="T328" i="1"/>
  <c r="Z450" i="1"/>
  <c r="AI450" i="1" s="1"/>
  <c r="S450" i="1"/>
  <c r="J450" i="1" s="1"/>
  <c r="S373" i="1"/>
  <c r="AM373" i="1"/>
  <c r="Z373" i="1"/>
  <c r="Z458" i="1"/>
  <c r="AM458" i="1"/>
  <c r="S458" i="1"/>
  <c r="J458" i="1" s="1"/>
  <c r="T499" i="1"/>
  <c r="S499" i="1"/>
  <c r="AM499" i="1"/>
  <c r="AD508" i="1"/>
  <c r="L508" i="1"/>
  <c r="V548" i="1"/>
  <c r="U548" i="1"/>
  <c r="T548" i="1"/>
  <c r="AM548" i="1"/>
  <c r="S548" i="1"/>
  <c r="Z548" i="1"/>
  <c r="Q548" i="1" s="1"/>
  <c r="AC296" i="1"/>
  <c r="K296" i="1"/>
  <c r="X327" i="1"/>
  <c r="W327" i="1"/>
  <c r="AM327" i="1"/>
  <c r="Y327" i="1"/>
  <c r="T327" i="1"/>
  <c r="S327" i="1"/>
  <c r="V327" i="1"/>
  <c r="U327" i="1"/>
  <c r="AM324" i="1"/>
  <c r="U324" i="1"/>
  <c r="X324" i="1"/>
  <c r="S324" i="1"/>
  <c r="T324" i="1"/>
  <c r="Y324" i="1"/>
  <c r="V324" i="1"/>
  <c r="W324" i="1"/>
  <c r="S344" i="1"/>
  <c r="X344" i="1"/>
  <c r="W344" i="1"/>
  <c r="T344" i="1"/>
  <c r="AM344" i="1"/>
  <c r="U344" i="1"/>
  <c r="Y344" i="1"/>
  <c r="V344" i="1"/>
  <c r="Z441" i="1"/>
  <c r="AI441" i="1" s="1"/>
  <c r="S441" i="1"/>
  <c r="J441" i="1" s="1"/>
  <c r="S491" i="1"/>
  <c r="J491" i="1" s="1"/>
  <c r="T491" i="1"/>
  <c r="K491" i="1" s="1"/>
  <c r="V533" i="1"/>
  <c r="M533" i="1" s="1"/>
  <c r="U533" i="1"/>
  <c r="L533" i="1" s="1"/>
  <c r="T533" i="1"/>
  <c r="K533" i="1" s="1"/>
  <c r="S533" i="1"/>
  <c r="J533" i="1" s="1"/>
  <c r="S367" i="1"/>
  <c r="Z367" i="1"/>
  <c r="AM367" i="1"/>
  <c r="AC375" i="1"/>
  <c r="K375" i="1"/>
  <c r="S379" i="1"/>
  <c r="AM379" i="1"/>
  <c r="Z379" i="1"/>
  <c r="AM423" i="1"/>
  <c r="T423" i="1"/>
  <c r="U423" i="1"/>
  <c r="V423" i="1"/>
  <c r="S423" i="1"/>
  <c r="AM455" i="1"/>
  <c r="Z455" i="1"/>
  <c r="S455" i="1"/>
  <c r="J455" i="1" s="1"/>
  <c r="AM467" i="1"/>
  <c r="Z467" i="1"/>
  <c r="S467" i="1"/>
  <c r="J467" i="1" s="1"/>
  <c r="L503" i="1"/>
  <c r="AD503" i="1"/>
  <c r="T510" i="1"/>
  <c r="Z510" i="1"/>
  <c r="AM510" i="1"/>
  <c r="S510" i="1"/>
  <c r="S550" i="1"/>
  <c r="AM550" i="1"/>
  <c r="V550" i="1"/>
  <c r="T550" i="1"/>
  <c r="U550" i="1"/>
  <c r="Z39" i="1"/>
  <c r="S39" i="1"/>
  <c r="Z41" i="1"/>
  <c r="S41" i="1"/>
  <c r="S51" i="1"/>
  <c r="Z51" i="1"/>
  <c r="W32" i="1"/>
  <c r="V32" i="1"/>
  <c r="S32" i="1"/>
  <c r="U32" i="1"/>
  <c r="T32" i="1"/>
  <c r="Z36" i="1"/>
  <c r="S36" i="1"/>
  <c r="S59" i="1"/>
  <c r="Z59" i="1"/>
  <c r="AI59" i="1" s="1"/>
  <c r="S66" i="1"/>
  <c r="Z66" i="1"/>
  <c r="AI66" i="1" s="1"/>
  <c r="Z114" i="1"/>
  <c r="S114" i="1"/>
  <c r="Z137" i="1"/>
  <c r="S137" i="1"/>
  <c r="T155" i="1"/>
  <c r="Z155" i="1"/>
  <c r="U158" i="1"/>
  <c r="S158" i="1"/>
  <c r="T158" i="1"/>
  <c r="Z281" i="1"/>
  <c r="S281" i="1"/>
  <c r="T281" i="1"/>
  <c r="S382" i="1"/>
  <c r="AM382" i="1"/>
  <c r="Z382" i="1"/>
  <c r="W27" i="1"/>
  <c r="V27" i="1"/>
  <c r="S27" i="1"/>
  <c r="U27" i="1"/>
  <c r="T27" i="1"/>
  <c r="S30" i="1"/>
  <c r="V30" i="1"/>
  <c r="T30" i="1"/>
  <c r="W30" i="1"/>
  <c r="U30" i="1"/>
  <c r="U33" i="1"/>
  <c r="V33" i="1"/>
  <c r="W33" i="1"/>
  <c r="S33" i="1"/>
  <c r="T33" i="1"/>
  <c r="U17" i="1"/>
  <c r="V17" i="1"/>
  <c r="T17" i="1"/>
  <c r="W17" i="1"/>
  <c r="S17" i="1"/>
  <c r="S37" i="1"/>
  <c r="Z37" i="1"/>
  <c r="S43" i="1"/>
  <c r="Z43" i="1"/>
  <c r="U18" i="1"/>
  <c r="T18" i="1"/>
  <c r="W18" i="1"/>
  <c r="V18" i="1"/>
  <c r="S18" i="1"/>
  <c r="S28" i="1"/>
  <c r="T28" i="1"/>
  <c r="U28" i="1"/>
  <c r="V28" i="1"/>
  <c r="W28" i="1"/>
  <c r="S48" i="1"/>
  <c r="Z48" i="1"/>
  <c r="S65" i="1"/>
  <c r="Z65" i="1"/>
  <c r="AI65" i="1" s="1"/>
  <c r="Z52" i="1"/>
  <c r="AI52" i="1" s="1"/>
  <c r="S52" i="1"/>
  <c r="S55" i="1"/>
  <c r="Z55" i="1"/>
  <c r="AI55" i="1" s="1"/>
  <c r="S64" i="1"/>
  <c r="Z64" i="1"/>
  <c r="AI64" i="1" s="1"/>
  <c r="S62" i="1"/>
  <c r="Z62" i="1"/>
  <c r="AI62" i="1" s="1"/>
  <c r="K303" i="1"/>
  <c r="AC303" i="1"/>
  <c r="Z109" i="1"/>
  <c r="S109" i="1"/>
  <c r="Z133" i="1"/>
  <c r="S133" i="1"/>
  <c r="Z117" i="1"/>
  <c r="S117" i="1"/>
  <c r="Z153" i="1"/>
  <c r="T153" i="1"/>
  <c r="Z145" i="1"/>
  <c r="T145" i="1"/>
  <c r="S172" i="1"/>
  <c r="T172" i="1"/>
  <c r="U172" i="1"/>
  <c r="AM201" i="1"/>
  <c r="S201" i="1"/>
  <c r="Z273" i="1"/>
  <c r="S273" i="1"/>
  <c r="T273" i="1"/>
  <c r="L305" i="1"/>
  <c r="AD305" i="1"/>
  <c r="AM421" i="1"/>
  <c r="T421" i="1"/>
  <c r="U421" i="1"/>
  <c r="V421" i="1"/>
  <c r="S421" i="1"/>
  <c r="S505" i="1"/>
  <c r="T505" i="1"/>
  <c r="AM505" i="1"/>
  <c r="S104" i="1"/>
  <c r="Z104" i="1"/>
  <c r="Z128" i="1"/>
  <c r="S128" i="1"/>
  <c r="Z112" i="1"/>
  <c r="S112" i="1"/>
  <c r="U167" i="1"/>
  <c r="S167" i="1"/>
  <c r="T167" i="1"/>
  <c r="T265" i="1"/>
  <c r="Z265" i="1"/>
  <c r="S265" i="1"/>
  <c r="L312" i="1"/>
  <c r="AD312" i="1"/>
  <c r="S302" i="1"/>
  <c r="AM302" i="1"/>
  <c r="AM420" i="1"/>
  <c r="V420" i="1"/>
  <c r="T420" i="1"/>
  <c r="S420" i="1"/>
  <c r="U420" i="1"/>
  <c r="L308" i="1"/>
  <c r="AD308" i="1"/>
  <c r="Z99" i="1"/>
  <c r="S99" i="1"/>
  <c r="Z135" i="1"/>
  <c r="S135" i="1"/>
  <c r="Z119" i="1"/>
  <c r="S119" i="1"/>
  <c r="T154" i="1"/>
  <c r="Z154" i="1"/>
  <c r="T146" i="1"/>
  <c r="Z146" i="1"/>
  <c r="U174" i="1"/>
  <c r="T174" i="1"/>
  <c r="S174" i="1"/>
  <c r="Z293" i="1"/>
  <c r="T293" i="1"/>
  <c r="S293" i="1"/>
  <c r="K312" i="1"/>
  <c r="AC312" i="1"/>
  <c r="L301" i="1"/>
  <c r="AD301" i="1"/>
  <c r="V417" i="1"/>
  <c r="T417" i="1"/>
  <c r="U417" i="1"/>
  <c r="S417" i="1"/>
  <c r="AM417" i="1"/>
  <c r="U334" i="1"/>
  <c r="W334" i="1"/>
  <c r="V334" i="1"/>
  <c r="AM334" i="1"/>
  <c r="X334" i="1"/>
  <c r="S334" i="1"/>
  <c r="T334" i="1"/>
  <c r="Y334" i="1"/>
  <c r="S493" i="1"/>
  <c r="T493" i="1"/>
  <c r="AM493" i="1"/>
  <c r="Z493" i="1"/>
  <c r="S501" i="1"/>
  <c r="T501" i="1"/>
  <c r="AM501" i="1"/>
  <c r="S288" i="1"/>
  <c r="Z288" i="1"/>
  <c r="T288" i="1"/>
  <c r="S272" i="1"/>
  <c r="Z272" i="1"/>
  <c r="T272" i="1"/>
  <c r="L310" i="1"/>
  <c r="AD310" i="1"/>
  <c r="K305" i="1"/>
  <c r="AC305" i="1"/>
  <c r="S300" i="1"/>
  <c r="AM300" i="1"/>
  <c r="S369" i="1"/>
  <c r="AM369" i="1"/>
  <c r="Z369" i="1"/>
  <c r="AD510" i="1"/>
  <c r="L510" i="1"/>
  <c r="AM202" i="1"/>
  <c r="S202" i="1"/>
  <c r="Z283" i="1"/>
  <c r="T283" i="1"/>
  <c r="S283" i="1"/>
  <c r="Z267" i="1"/>
  <c r="T267" i="1"/>
  <c r="S267" i="1"/>
  <c r="S309" i="1"/>
  <c r="AM309" i="1"/>
  <c r="L303" i="1"/>
  <c r="AD303" i="1"/>
  <c r="U313" i="1"/>
  <c r="V313" i="1"/>
  <c r="AM313" i="1"/>
  <c r="W313" i="1"/>
  <c r="T313" i="1"/>
  <c r="Y313" i="1"/>
  <c r="X313" i="1"/>
  <c r="S313" i="1"/>
  <c r="AC368" i="1"/>
  <c r="K368" i="1"/>
  <c r="AC298" i="1"/>
  <c r="K298" i="1"/>
  <c r="S333" i="1"/>
  <c r="X333" i="1"/>
  <c r="Y333" i="1"/>
  <c r="T333" i="1"/>
  <c r="V333" i="1"/>
  <c r="U333" i="1"/>
  <c r="W333" i="1"/>
  <c r="AM333" i="1"/>
  <c r="X322" i="1"/>
  <c r="W322" i="1"/>
  <c r="T322" i="1"/>
  <c r="AM322" i="1"/>
  <c r="U322" i="1"/>
  <c r="V322" i="1"/>
  <c r="Y322" i="1"/>
  <c r="S322" i="1"/>
  <c r="X340" i="1"/>
  <c r="AM340" i="1"/>
  <c r="U340" i="1"/>
  <c r="V340" i="1"/>
  <c r="S340" i="1"/>
  <c r="Y340" i="1"/>
  <c r="W340" i="1"/>
  <c r="T340" i="1"/>
  <c r="S447" i="1"/>
  <c r="J447" i="1" s="1"/>
  <c r="Z447" i="1"/>
  <c r="AI447" i="1" s="1"/>
  <c r="S496" i="1"/>
  <c r="J496" i="1" s="1"/>
  <c r="T496" i="1"/>
  <c r="K496" i="1" s="1"/>
  <c r="Z496" i="1"/>
  <c r="AI496" i="1" s="1"/>
  <c r="T486" i="1"/>
  <c r="K486" i="1" s="1"/>
  <c r="S486" i="1"/>
  <c r="J486" i="1" s="1"/>
  <c r="V530" i="1"/>
  <c r="M530" i="1" s="1"/>
  <c r="T530" i="1"/>
  <c r="K530" i="1" s="1"/>
  <c r="Z530" i="1"/>
  <c r="Q530" i="1" s="1"/>
  <c r="S530" i="1"/>
  <c r="J530" i="1" s="1"/>
  <c r="U530" i="1"/>
  <c r="L530" i="1" s="1"/>
  <c r="AM542" i="1"/>
  <c r="S542" i="1"/>
  <c r="U542" i="1"/>
  <c r="V542" i="1"/>
  <c r="T542" i="1"/>
  <c r="AM538" i="1"/>
  <c r="Z538" i="1"/>
  <c r="Q538" i="1" s="1"/>
  <c r="S538" i="1"/>
  <c r="T538" i="1"/>
  <c r="U538" i="1"/>
  <c r="V538" i="1"/>
  <c r="S371" i="1"/>
  <c r="AM371" i="1"/>
  <c r="Z371" i="1"/>
  <c r="V413" i="1"/>
  <c r="T413" i="1"/>
  <c r="S413" i="1"/>
  <c r="AM413" i="1"/>
  <c r="U413" i="1"/>
  <c r="L501" i="1"/>
  <c r="AD501" i="1"/>
  <c r="T508" i="1"/>
  <c r="AM508" i="1"/>
  <c r="S508" i="1"/>
  <c r="AM557" i="1"/>
  <c r="U557" i="1"/>
  <c r="S557" i="1"/>
  <c r="Z557" i="1"/>
  <c r="Q557" i="1" s="1"/>
  <c r="T557" i="1"/>
  <c r="V557" i="1"/>
  <c r="AM561" i="1"/>
  <c r="U561" i="1"/>
  <c r="V561" i="1"/>
  <c r="T561" i="1"/>
  <c r="S561" i="1"/>
  <c r="K295" i="1"/>
  <c r="AC295" i="1"/>
  <c r="S319" i="1"/>
  <c r="W319" i="1"/>
  <c r="Y319" i="1"/>
  <c r="X319" i="1"/>
  <c r="U319" i="1"/>
  <c r="T319" i="1"/>
  <c r="V319" i="1"/>
  <c r="AM319" i="1"/>
  <c r="Z446" i="1"/>
  <c r="AI446" i="1" s="1"/>
  <c r="S446" i="1"/>
  <c r="J446" i="1" s="1"/>
  <c r="AM366" i="1"/>
  <c r="Z366" i="1"/>
  <c r="S366" i="1"/>
  <c r="S374" i="1"/>
  <c r="Z374" i="1"/>
  <c r="AM374" i="1"/>
  <c r="AM459" i="1"/>
  <c r="Z459" i="1"/>
  <c r="S459" i="1"/>
  <c r="J459" i="1" s="1"/>
  <c r="AD502" i="1"/>
  <c r="L502" i="1"/>
  <c r="T509" i="1"/>
  <c r="S509" i="1"/>
  <c r="AM509" i="1"/>
  <c r="U549" i="1"/>
  <c r="T549" i="1"/>
  <c r="S549" i="1"/>
  <c r="V549" i="1"/>
  <c r="AM549" i="1"/>
  <c r="S295" i="1"/>
  <c r="R295" i="1" s="1"/>
  <c r="AM295" i="1"/>
  <c r="Y318" i="1"/>
  <c r="T318" i="1"/>
  <c r="S318" i="1"/>
  <c r="U318" i="1"/>
  <c r="V318" i="1"/>
  <c r="AM318" i="1"/>
  <c r="X318" i="1"/>
  <c r="W318" i="1"/>
  <c r="U335" i="1"/>
  <c r="AM335" i="1"/>
  <c r="T335" i="1"/>
  <c r="X335" i="1"/>
  <c r="S335" i="1"/>
  <c r="Y335" i="1"/>
  <c r="W335" i="1"/>
  <c r="V335" i="1"/>
  <c r="S346" i="1"/>
  <c r="W346" i="1"/>
  <c r="T346" i="1"/>
  <c r="AM346" i="1"/>
  <c r="V346" i="1"/>
  <c r="U346" i="1"/>
  <c r="Y346" i="1"/>
  <c r="X346" i="1"/>
  <c r="Z437" i="1"/>
  <c r="AI437" i="1" s="1"/>
  <c r="S437" i="1"/>
  <c r="J437" i="1" s="1"/>
  <c r="S489" i="1"/>
  <c r="J489" i="1" s="1"/>
  <c r="T489" i="1"/>
  <c r="K489" i="1" s="1"/>
  <c r="V528" i="1"/>
  <c r="M528" i="1" s="1"/>
  <c r="U528" i="1"/>
  <c r="L528" i="1" s="1"/>
  <c r="T528" i="1"/>
  <c r="K528" i="1" s="1"/>
  <c r="S528" i="1"/>
  <c r="J528" i="1" s="1"/>
  <c r="Z368" i="1"/>
  <c r="S368" i="1"/>
  <c r="AM368" i="1"/>
  <c r="K376" i="1"/>
  <c r="AC376" i="1"/>
  <c r="Z380" i="1"/>
  <c r="S380" i="1"/>
  <c r="AM380" i="1"/>
  <c r="AM452" i="1"/>
  <c r="Z452" i="1"/>
  <c r="S452" i="1"/>
  <c r="J452" i="1" s="1"/>
  <c r="AM456" i="1"/>
  <c r="Z456" i="1"/>
  <c r="S456" i="1"/>
  <c r="J456" i="1" s="1"/>
  <c r="T498" i="1"/>
  <c r="S498" i="1"/>
  <c r="AM498" i="1"/>
  <c r="S504" i="1"/>
  <c r="T504" i="1"/>
  <c r="AM504" i="1"/>
  <c r="S511" i="1"/>
  <c r="Z511" i="1"/>
  <c r="AM511" i="1"/>
  <c r="T511" i="1"/>
  <c r="V551" i="1"/>
  <c r="S551" i="1"/>
  <c r="U551" i="1"/>
  <c r="AM551" i="1"/>
  <c r="T551" i="1"/>
  <c r="S42" i="1"/>
  <c r="Z42" i="1"/>
  <c r="U22" i="1"/>
  <c r="V22" i="1"/>
  <c r="S22" i="1"/>
  <c r="W22" i="1"/>
  <c r="T22" i="1"/>
  <c r="Z49" i="1"/>
  <c r="S49" i="1"/>
  <c r="S35" i="1"/>
  <c r="Z35" i="1"/>
  <c r="S24" i="1"/>
  <c r="U24" i="1"/>
  <c r="W24" i="1"/>
  <c r="V24" i="1"/>
  <c r="T24" i="1"/>
  <c r="S57" i="1"/>
  <c r="Z57" i="1"/>
  <c r="AI57" i="1" s="1"/>
  <c r="S56" i="1"/>
  <c r="Z56" i="1"/>
  <c r="AI56" i="1" s="1"/>
  <c r="Z106" i="1"/>
  <c r="S106" i="1"/>
  <c r="Z102" i="1"/>
  <c r="S102" i="1"/>
  <c r="Z105" i="1"/>
  <c r="S105" i="1"/>
  <c r="S129" i="1"/>
  <c r="Z129" i="1"/>
  <c r="Z113" i="1"/>
  <c r="S113" i="1"/>
  <c r="T151" i="1"/>
  <c r="Z151" i="1"/>
  <c r="T143" i="1"/>
  <c r="Z143" i="1"/>
  <c r="T168" i="1"/>
  <c r="S168" i="1"/>
  <c r="U168" i="1"/>
  <c r="S294" i="1"/>
  <c r="AM294" i="1"/>
  <c r="S303" i="1"/>
  <c r="AM303" i="1"/>
  <c r="T484" i="1"/>
  <c r="K484" i="1" s="1"/>
  <c r="S484" i="1"/>
  <c r="J484" i="1" s="1"/>
  <c r="Z465" i="1"/>
  <c r="AM465" i="1"/>
  <c r="S465" i="1"/>
  <c r="J465" i="1" s="1"/>
  <c r="S100" i="1"/>
  <c r="Z100" i="1"/>
  <c r="Z124" i="1"/>
  <c r="S124" i="1"/>
  <c r="U163" i="1"/>
  <c r="S163" i="1"/>
  <c r="T163" i="1"/>
  <c r="T286" i="1"/>
  <c r="Z286" i="1"/>
  <c r="S286" i="1"/>
  <c r="S310" i="1"/>
  <c r="AM310" i="1"/>
  <c r="L298" i="1"/>
  <c r="AD298" i="1"/>
  <c r="V532" i="1"/>
  <c r="M532" i="1" s="1"/>
  <c r="S532" i="1"/>
  <c r="J532" i="1" s="1"/>
  <c r="U532" i="1"/>
  <c r="L532" i="1" s="1"/>
  <c r="T532" i="1"/>
  <c r="K532" i="1" s="1"/>
  <c r="Z107" i="1"/>
  <c r="S107" i="1"/>
  <c r="Z131" i="1"/>
  <c r="S131" i="1"/>
  <c r="Z115" i="1"/>
  <c r="S115" i="1"/>
  <c r="T152" i="1"/>
  <c r="Z152" i="1"/>
  <c r="T144" i="1"/>
  <c r="Z144" i="1"/>
  <c r="T170" i="1"/>
  <c r="U170" i="1"/>
  <c r="S170" i="1"/>
  <c r="V254" i="1"/>
  <c r="M254" i="1" s="1"/>
  <c r="J254" i="1"/>
  <c r="Z285" i="1"/>
  <c r="S285" i="1"/>
  <c r="T285" i="1"/>
  <c r="L309" i="1"/>
  <c r="AD309" i="1"/>
  <c r="K297" i="1"/>
  <c r="AC297" i="1"/>
  <c r="S492" i="1"/>
  <c r="T492" i="1"/>
  <c r="AM492" i="1"/>
  <c r="AD511" i="1"/>
  <c r="L511" i="1"/>
  <c r="T266" i="1"/>
  <c r="Z266" i="1"/>
  <c r="S266" i="1"/>
  <c r="AC377" i="1"/>
  <c r="K377" i="1"/>
  <c r="T507" i="1"/>
  <c r="S507" i="1"/>
  <c r="Z507" i="1"/>
  <c r="AM507" i="1"/>
  <c r="AM199" i="1"/>
  <c r="S199" i="1"/>
  <c r="V251" i="1"/>
  <c r="S284" i="1"/>
  <c r="Z284" i="1"/>
  <c r="T284" i="1"/>
  <c r="S268" i="1"/>
  <c r="Z268" i="1"/>
  <c r="T268" i="1"/>
  <c r="K309" i="1"/>
  <c r="AC309" i="1"/>
  <c r="S304" i="1"/>
  <c r="AM304" i="1"/>
  <c r="S296" i="1"/>
  <c r="AM296" i="1"/>
  <c r="AC380" i="1"/>
  <c r="K380" i="1"/>
  <c r="Z279" i="1"/>
  <c r="S279" i="1"/>
  <c r="T279" i="1"/>
  <c r="L294" i="1"/>
  <c r="AD294" i="1"/>
  <c r="L307" i="1"/>
  <c r="AD307" i="1"/>
  <c r="K302" i="1"/>
  <c r="AC302" i="1"/>
  <c r="W317" i="1"/>
  <c r="V317" i="1"/>
  <c r="U317" i="1"/>
  <c r="X317" i="1"/>
  <c r="S317" i="1"/>
  <c r="Y317" i="1"/>
  <c r="T317" i="1"/>
  <c r="AM317" i="1"/>
  <c r="S440" i="1"/>
  <c r="J440" i="1" s="1"/>
  <c r="Z440" i="1"/>
  <c r="AI440" i="1" s="1"/>
  <c r="AC379" i="1"/>
  <c r="K379" i="1"/>
  <c r="S297" i="1"/>
  <c r="AM297" i="1"/>
  <c r="T329" i="1"/>
  <c r="Y329" i="1"/>
  <c r="V329" i="1"/>
  <c r="U329" i="1"/>
  <c r="W329" i="1"/>
  <c r="S329" i="1"/>
  <c r="X329" i="1"/>
  <c r="AM329" i="1"/>
  <c r="X323" i="1"/>
  <c r="Y323" i="1"/>
  <c r="U323" i="1"/>
  <c r="T323" i="1"/>
  <c r="S323" i="1"/>
  <c r="AM323" i="1"/>
  <c r="V323" i="1"/>
  <c r="W323" i="1"/>
  <c r="U343" i="1"/>
  <c r="W343" i="1"/>
  <c r="AM343" i="1"/>
  <c r="T343" i="1"/>
  <c r="V343" i="1"/>
  <c r="X343" i="1"/>
  <c r="Y343" i="1"/>
  <c r="S343" i="1"/>
  <c r="S443" i="1"/>
  <c r="J443" i="1" s="1"/>
  <c r="Z443" i="1"/>
  <c r="AI443" i="1" s="1"/>
  <c r="T494" i="1"/>
  <c r="K494" i="1" s="1"/>
  <c r="S494" i="1"/>
  <c r="J494" i="1" s="1"/>
  <c r="L493" i="1"/>
  <c r="AD493" i="1"/>
  <c r="V531" i="1"/>
  <c r="S531" i="1"/>
  <c r="T531" i="1"/>
  <c r="U531" i="1"/>
  <c r="AM531" i="1"/>
  <c r="AM543" i="1"/>
  <c r="U543" i="1"/>
  <c r="T543" i="1"/>
  <c r="S543" i="1"/>
  <c r="V543" i="1"/>
  <c r="AM539" i="1"/>
  <c r="Z539" i="1"/>
  <c r="Q539" i="1" s="1"/>
  <c r="U539" i="1"/>
  <c r="T539" i="1"/>
  <c r="S539" i="1"/>
  <c r="V539" i="1"/>
  <c r="S372" i="1"/>
  <c r="AM372" i="1"/>
  <c r="Z372" i="1"/>
  <c r="Z462" i="1"/>
  <c r="S462" i="1"/>
  <c r="J462" i="1" s="1"/>
  <c r="AM462" i="1"/>
  <c r="S502" i="1"/>
  <c r="T502" i="1"/>
  <c r="AM502" i="1"/>
  <c r="Z502" i="1"/>
  <c r="S554" i="1"/>
  <c r="AM554" i="1"/>
  <c r="V554" i="1"/>
  <c r="T554" i="1"/>
  <c r="U554" i="1"/>
  <c r="Z558" i="1"/>
  <c r="Q558" i="1" s="1"/>
  <c r="V558" i="1"/>
  <c r="U558" i="1"/>
  <c r="AM558" i="1"/>
  <c r="T558" i="1"/>
  <c r="S558" i="1"/>
  <c r="K299" i="1"/>
  <c r="AC299" i="1"/>
  <c r="AM339" i="1"/>
  <c r="Y339" i="1"/>
  <c r="X339" i="1"/>
  <c r="U339" i="1"/>
  <c r="T339" i="1"/>
  <c r="W339" i="1"/>
  <c r="S339" i="1"/>
  <c r="V339" i="1"/>
  <c r="Y314" i="1"/>
  <c r="X314" i="1"/>
  <c r="W314" i="1"/>
  <c r="U314" i="1"/>
  <c r="T314" i="1"/>
  <c r="S314" i="1"/>
  <c r="V314" i="1"/>
  <c r="AM314" i="1"/>
  <c r="Z442" i="1"/>
  <c r="S442" i="1"/>
  <c r="V534" i="1"/>
  <c r="M534" i="1" s="1"/>
  <c r="T534" i="1"/>
  <c r="K534" i="1" s="1"/>
  <c r="S534" i="1"/>
  <c r="J534" i="1" s="1"/>
  <c r="U534" i="1"/>
  <c r="L534" i="1" s="1"/>
  <c r="K371" i="1"/>
  <c r="AC371" i="1"/>
  <c r="Z375" i="1"/>
  <c r="AM375" i="1"/>
  <c r="S375" i="1"/>
  <c r="AM460" i="1"/>
  <c r="Z460" i="1"/>
  <c r="S460" i="1"/>
  <c r="J460" i="1" s="1"/>
  <c r="S503" i="1"/>
  <c r="T503" i="1"/>
  <c r="AM503" i="1"/>
  <c r="S544" i="1"/>
  <c r="V544" i="1"/>
  <c r="U544" i="1"/>
  <c r="T544" i="1"/>
  <c r="AM544" i="1"/>
  <c r="S299" i="1"/>
  <c r="AM299" i="1"/>
  <c r="U338" i="1"/>
  <c r="AM338" i="1"/>
  <c r="X338" i="1"/>
  <c r="W338" i="1"/>
  <c r="V338" i="1"/>
  <c r="Y338" i="1"/>
  <c r="T338" i="1"/>
  <c r="S338" i="1"/>
  <c r="T321" i="1"/>
  <c r="W321" i="1"/>
  <c r="X321" i="1"/>
  <c r="AM321" i="1"/>
  <c r="Y321" i="1"/>
  <c r="V321" i="1"/>
  <c r="U321" i="1"/>
  <c r="S321" i="1"/>
  <c r="X337" i="1"/>
  <c r="S337" i="1"/>
  <c r="U337" i="1"/>
  <c r="AM337" i="1"/>
  <c r="W337" i="1"/>
  <c r="V337" i="1"/>
  <c r="T337" i="1"/>
  <c r="Y337" i="1"/>
  <c r="Z449" i="1"/>
  <c r="AI449" i="1" s="1"/>
  <c r="S449" i="1"/>
  <c r="J449" i="1" s="1"/>
  <c r="S497" i="1"/>
  <c r="J497" i="1" s="1"/>
  <c r="T497" i="1"/>
  <c r="K497" i="1" s="1"/>
  <c r="Z497" i="1"/>
  <c r="AI497" i="1" s="1"/>
  <c r="S487" i="1"/>
  <c r="J487" i="1" s="1"/>
  <c r="T487" i="1"/>
  <c r="K487" i="1" s="1"/>
  <c r="AC373" i="1"/>
  <c r="K373" i="1"/>
  <c r="S377" i="1"/>
  <c r="Z377" i="1"/>
  <c r="AM377" i="1"/>
  <c r="S381" i="1"/>
  <c r="AM381" i="1"/>
  <c r="Z381" i="1"/>
  <c r="Z453" i="1"/>
  <c r="S453" i="1"/>
  <c r="J453" i="1" s="1"/>
  <c r="AM453" i="1"/>
  <c r="Z457" i="1"/>
  <c r="S457" i="1"/>
  <c r="J457" i="1" s="1"/>
  <c r="AM457" i="1"/>
  <c r="L499" i="1"/>
  <c r="AD499" i="1"/>
  <c r="AD506" i="1"/>
  <c r="L506" i="1"/>
  <c r="S546" i="1"/>
  <c r="T546" i="1"/>
  <c r="U546" i="1"/>
  <c r="AM546" i="1"/>
  <c r="V546" i="1"/>
  <c r="S552" i="1"/>
  <c r="U552" i="1"/>
  <c r="T552" i="1"/>
  <c r="AM552" i="1"/>
  <c r="V552" i="1"/>
  <c r="V19" i="1"/>
  <c r="W19" i="1"/>
  <c r="S19" i="1"/>
  <c r="U19" i="1"/>
  <c r="T19" i="1"/>
  <c r="S29" i="1"/>
  <c r="V29" i="1"/>
  <c r="W29" i="1"/>
  <c r="T29" i="1"/>
  <c r="U29" i="1"/>
  <c r="S31" i="1"/>
  <c r="V31" i="1"/>
  <c r="T31" i="1"/>
  <c r="W31" i="1"/>
  <c r="U31" i="1"/>
  <c r="S46" i="1"/>
  <c r="Z46" i="1"/>
  <c r="Z44" i="1"/>
  <c r="S44" i="1"/>
  <c r="S67" i="1"/>
  <c r="Z67" i="1"/>
  <c r="AI67" i="1" s="1"/>
  <c r="Z69" i="1"/>
  <c r="AI69" i="1" s="1"/>
  <c r="S69" i="1"/>
  <c r="AM58" i="1"/>
  <c r="S58" i="1"/>
  <c r="Z58" i="1"/>
  <c r="Z110" i="1"/>
  <c r="S110" i="1"/>
  <c r="S47" i="1"/>
  <c r="Z47" i="1"/>
  <c r="Z50" i="1"/>
  <c r="S50" i="1"/>
  <c r="U25" i="1"/>
  <c r="W25" i="1"/>
  <c r="V25" i="1"/>
  <c r="S25" i="1"/>
  <c r="T25" i="1"/>
  <c r="S45" i="1"/>
  <c r="Z45" i="1"/>
  <c r="S23" i="1"/>
  <c r="V23" i="1"/>
  <c r="W23" i="1"/>
  <c r="T23" i="1"/>
  <c r="U23" i="1"/>
  <c r="W16" i="1"/>
  <c r="U16" i="1"/>
  <c r="V16" i="1"/>
  <c r="T16" i="1"/>
  <c r="S16" i="1"/>
  <c r="S38" i="1"/>
  <c r="Z38" i="1"/>
  <c r="S20" i="1"/>
  <c r="T20" i="1"/>
  <c r="U20" i="1"/>
  <c r="V20" i="1"/>
  <c r="W20" i="1"/>
  <c r="Z40" i="1"/>
  <c r="S40" i="1"/>
  <c r="S68" i="1"/>
  <c r="Z68" i="1"/>
  <c r="AI68" i="1" s="1"/>
  <c r="S63" i="1"/>
  <c r="Z63" i="1"/>
  <c r="AI63" i="1" s="1"/>
  <c r="S61" i="1"/>
  <c r="Z61" i="1"/>
  <c r="AI61" i="1" s="1"/>
  <c r="S70" i="1"/>
  <c r="Z70" i="1"/>
  <c r="AI70" i="1" s="1"/>
  <c r="S54" i="1"/>
  <c r="Z54" i="1"/>
  <c r="AI54" i="1" s="1"/>
  <c r="Z134" i="1"/>
  <c r="S134" i="1"/>
  <c r="S130" i="1"/>
  <c r="Z130" i="1"/>
  <c r="Z122" i="1"/>
  <c r="S122" i="1"/>
  <c r="Z126" i="1"/>
  <c r="S126" i="1"/>
  <c r="AM190" i="1"/>
  <c r="S190" i="1"/>
  <c r="Z101" i="1"/>
  <c r="AI101" i="1" s="1"/>
  <c r="S101" i="1"/>
  <c r="J101" i="1" s="1"/>
  <c r="Z125" i="1"/>
  <c r="S125" i="1"/>
  <c r="Z157" i="1"/>
  <c r="T157" i="1"/>
  <c r="Z149" i="1"/>
  <c r="T149" i="1"/>
  <c r="Z141" i="1"/>
  <c r="T141" i="1"/>
  <c r="U164" i="1"/>
  <c r="T164" i="1"/>
  <c r="S164" i="1"/>
  <c r="V258" i="1"/>
  <c r="M258" i="1" s="1"/>
  <c r="J258" i="1"/>
  <c r="Z289" i="1"/>
  <c r="T289" i="1"/>
  <c r="S289" i="1"/>
  <c r="S311" i="1"/>
  <c r="AM311" i="1"/>
  <c r="K300" i="1"/>
  <c r="AC300" i="1"/>
  <c r="S370" i="1"/>
  <c r="AM370" i="1"/>
  <c r="Z370" i="1"/>
  <c r="AD498" i="1"/>
  <c r="L498" i="1"/>
  <c r="T169" i="1"/>
  <c r="U169" i="1"/>
  <c r="S169" i="1"/>
  <c r="T282" i="1"/>
  <c r="Z282" i="1"/>
  <c r="S282" i="1"/>
  <c r="Z136" i="1"/>
  <c r="S136" i="1"/>
  <c r="Z120" i="1"/>
  <c r="S120" i="1"/>
  <c r="U175" i="1"/>
  <c r="S175" i="1"/>
  <c r="T175" i="1"/>
  <c r="U159" i="1"/>
  <c r="T159" i="1"/>
  <c r="S159" i="1"/>
  <c r="T278" i="1"/>
  <c r="Z278" i="1"/>
  <c r="S278" i="1"/>
  <c r="K307" i="1"/>
  <c r="AC307" i="1"/>
  <c r="K367" i="1"/>
  <c r="AC367" i="1"/>
  <c r="S173" i="1"/>
  <c r="U173" i="1"/>
  <c r="T173" i="1"/>
  <c r="Z103" i="1"/>
  <c r="S103" i="1"/>
  <c r="Z127" i="1"/>
  <c r="S127" i="1"/>
  <c r="T150" i="1"/>
  <c r="Z150" i="1"/>
  <c r="T142" i="1"/>
  <c r="Z142" i="1"/>
  <c r="T166" i="1"/>
  <c r="S166" i="1"/>
  <c r="U166" i="1"/>
  <c r="AM197" i="1"/>
  <c r="S197" i="1"/>
  <c r="V262" i="1"/>
  <c r="M262" i="1" s="1"/>
  <c r="J262" i="1"/>
  <c r="Z277" i="1"/>
  <c r="T277" i="1"/>
  <c r="S277" i="1"/>
  <c r="S307" i="1"/>
  <c r="AM307" i="1"/>
  <c r="V527" i="1"/>
  <c r="M527" i="1" s="1"/>
  <c r="S527" i="1"/>
  <c r="J527" i="1" s="1"/>
  <c r="U527" i="1"/>
  <c r="L527" i="1" s="1"/>
  <c r="T527" i="1"/>
  <c r="K527" i="1" s="1"/>
  <c r="K311" i="1"/>
  <c r="AC311" i="1"/>
  <c r="S448" i="1"/>
  <c r="J448" i="1" s="1"/>
  <c r="Z448" i="1"/>
  <c r="AI448" i="1" s="1"/>
  <c r="AM416" i="1"/>
  <c r="V416" i="1"/>
  <c r="U416" i="1"/>
  <c r="S416" i="1"/>
  <c r="T416" i="1"/>
  <c r="AM581" i="1"/>
  <c r="S581" i="1"/>
  <c r="S280" i="1"/>
  <c r="T280" i="1"/>
  <c r="Z280" i="1"/>
  <c r="K294" i="1"/>
  <c r="AC294" i="1"/>
  <c r="S308" i="1"/>
  <c r="AM308" i="1"/>
  <c r="L302" i="1"/>
  <c r="AD302" i="1"/>
  <c r="U326" i="1"/>
  <c r="T326" i="1"/>
  <c r="W326" i="1"/>
  <c r="V326" i="1"/>
  <c r="Y326" i="1"/>
  <c r="X326" i="1"/>
  <c r="S326" i="1"/>
  <c r="AM326" i="1"/>
  <c r="S444" i="1"/>
  <c r="J444" i="1" s="1"/>
  <c r="Z444" i="1"/>
  <c r="AI444" i="1" s="1"/>
  <c r="AM415" i="1"/>
  <c r="V415" i="1"/>
  <c r="U415" i="1"/>
  <c r="T415" i="1"/>
  <c r="S415" i="1"/>
  <c r="Z291" i="1"/>
  <c r="T291" i="1"/>
  <c r="S291" i="1"/>
  <c r="Z275" i="1"/>
  <c r="T275" i="1"/>
  <c r="S275" i="1"/>
  <c r="L311" i="1"/>
  <c r="AD311" i="1"/>
  <c r="K306" i="1"/>
  <c r="AC306" i="1"/>
  <c r="S301" i="1"/>
  <c r="AM301" i="1"/>
  <c r="V414" i="1"/>
  <c r="AM414" i="1"/>
  <c r="U414" i="1"/>
  <c r="S414" i="1"/>
  <c r="T414" i="1"/>
  <c r="L295" i="1"/>
  <c r="AD295" i="1"/>
  <c r="V320" i="1"/>
  <c r="U320" i="1"/>
  <c r="W320" i="1"/>
  <c r="T320" i="1"/>
  <c r="S320" i="1"/>
  <c r="Y320" i="1"/>
  <c r="X320" i="1"/>
  <c r="AM320" i="1"/>
  <c r="U325" i="1"/>
  <c r="Y325" i="1"/>
  <c r="W325" i="1"/>
  <c r="AM325" i="1"/>
  <c r="X325" i="1"/>
  <c r="T325" i="1"/>
  <c r="V325" i="1"/>
  <c r="S325" i="1"/>
  <c r="U345" i="1"/>
  <c r="W345" i="1"/>
  <c r="AM345" i="1"/>
  <c r="T345" i="1"/>
  <c r="Y345" i="1"/>
  <c r="V345" i="1"/>
  <c r="X345" i="1"/>
  <c r="S345" i="1"/>
  <c r="S439" i="1"/>
  <c r="J439" i="1" s="1"/>
  <c r="Z439" i="1"/>
  <c r="AI439" i="1" s="1"/>
  <c r="T490" i="1"/>
  <c r="K490" i="1" s="1"/>
  <c r="S490" i="1"/>
  <c r="J490" i="1" s="1"/>
  <c r="AD492" i="1"/>
  <c r="L492" i="1"/>
  <c r="AM540" i="1"/>
  <c r="Z540" i="1"/>
  <c r="Q540" i="1" s="1"/>
  <c r="S540" i="1"/>
  <c r="U540" i="1"/>
  <c r="T540" i="1"/>
  <c r="V540" i="1"/>
  <c r="S536" i="1"/>
  <c r="U536" i="1"/>
  <c r="T536" i="1"/>
  <c r="V536" i="1"/>
  <c r="AM536" i="1"/>
  <c r="AC369" i="1"/>
  <c r="K369" i="1"/>
  <c r="AC382" i="1"/>
  <c r="K382" i="1"/>
  <c r="AM463" i="1"/>
  <c r="Z463" i="1"/>
  <c r="S463" i="1"/>
  <c r="J463" i="1" s="1"/>
  <c r="AD505" i="1"/>
  <c r="L505" i="1"/>
  <c r="V555" i="1"/>
  <c r="AM555" i="1"/>
  <c r="S555" i="1"/>
  <c r="U555" i="1"/>
  <c r="T555" i="1"/>
  <c r="V559" i="1"/>
  <c r="T559" i="1"/>
  <c r="AM559" i="1"/>
  <c r="U559" i="1"/>
  <c r="S559" i="1"/>
  <c r="S298" i="1"/>
  <c r="AM298" i="1"/>
  <c r="S332" i="1"/>
  <c r="U332" i="1"/>
  <c r="T332" i="1"/>
  <c r="V332" i="1"/>
  <c r="W332" i="1"/>
  <c r="AM332" i="1"/>
  <c r="Y332" i="1"/>
  <c r="X332" i="1"/>
  <c r="Y347" i="1"/>
  <c r="T347" i="1"/>
  <c r="W347" i="1"/>
  <c r="AM347" i="1"/>
  <c r="V347" i="1"/>
  <c r="X347" i="1"/>
  <c r="U347" i="1"/>
  <c r="S347" i="1"/>
  <c r="Z438" i="1"/>
  <c r="AI438" i="1" s="1"/>
  <c r="S438" i="1"/>
  <c r="J438" i="1" s="1"/>
  <c r="V529" i="1"/>
  <c r="M529" i="1" s="1"/>
  <c r="T529" i="1"/>
  <c r="K529" i="1" s="1"/>
  <c r="S529" i="1"/>
  <c r="J529" i="1" s="1"/>
  <c r="U529" i="1"/>
  <c r="L529" i="1" s="1"/>
  <c r="AC372" i="1"/>
  <c r="K372" i="1"/>
  <c r="Z376" i="1"/>
  <c r="S376" i="1"/>
  <c r="AM376" i="1"/>
  <c r="Z461" i="1"/>
  <c r="S461" i="1"/>
  <c r="J461" i="1" s="1"/>
  <c r="AM461" i="1"/>
  <c r="S506" i="1"/>
  <c r="T506" i="1"/>
  <c r="AM506" i="1"/>
  <c r="U545" i="1"/>
  <c r="AM545" i="1"/>
  <c r="T545" i="1"/>
  <c r="S545" i="1"/>
  <c r="V545" i="1"/>
  <c r="L297" i="1"/>
  <c r="AD297" i="1"/>
  <c r="AM331" i="1"/>
  <c r="X331" i="1"/>
  <c r="W331" i="1"/>
  <c r="Y331" i="1"/>
  <c r="T331" i="1"/>
  <c r="S331" i="1"/>
  <c r="V331" i="1"/>
  <c r="U331" i="1"/>
  <c r="T316" i="1"/>
  <c r="AM316" i="1"/>
  <c r="X316" i="1"/>
  <c r="U316" i="1"/>
  <c r="S316" i="1"/>
  <c r="Y316" i="1"/>
  <c r="V316" i="1"/>
  <c r="W316" i="1"/>
  <c r="W342" i="1"/>
  <c r="AM342" i="1"/>
  <c r="S342" i="1"/>
  <c r="T342" i="1"/>
  <c r="U342" i="1"/>
  <c r="Y342" i="1"/>
  <c r="V342" i="1"/>
  <c r="X342" i="1"/>
  <c r="Z445" i="1"/>
  <c r="AI445" i="1" s="1"/>
  <c r="S445" i="1"/>
  <c r="J445" i="1" s="1"/>
  <c r="S495" i="1"/>
  <c r="J495" i="1" s="1"/>
  <c r="T495" i="1"/>
  <c r="K495" i="1" s="1"/>
  <c r="S485" i="1"/>
  <c r="J485" i="1" s="1"/>
  <c r="T485" i="1"/>
  <c r="K485" i="1" s="1"/>
  <c r="AC366" i="1"/>
  <c r="K366" i="1"/>
  <c r="AC374" i="1"/>
  <c r="K374" i="1"/>
  <c r="S378" i="1"/>
  <c r="Z378" i="1"/>
  <c r="AM378" i="1"/>
  <c r="AM422" i="1"/>
  <c r="T422" i="1"/>
  <c r="V422" i="1"/>
  <c r="U422" i="1"/>
  <c r="S422" i="1"/>
  <c r="Z454" i="1"/>
  <c r="S454" i="1"/>
  <c r="J454" i="1" s="1"/>
  <c r="AM454" i="1"/>
  <c r="Z466" i="1"/>
  <c r="S466" i="1"/>
  <c r="J466" i="1" s="1"/>
  <c r="AM466" i="1"/>
  <c r="S500" i="1"/>
  <c r="T500" i="1"/>
  <c r="AM500" i="1"/>
  <c r="L509" i="1"/>
  <c r="AD509" i="1"/>
  <c r="V547" i="1"/>
  <c r="T547" i="1"/>
  <c r="S547" i="1"/>
  <c r="AM547" i="1"/>
  <c r="U547" i="1"/>
  <c r="AM553" i="1"/>
  <c r="S553" i="1"/>
  <c r="T553" i="1"/>
  <c r="U553" i="1"/>
  <c r="V553" i="1"/>
  <c r="Q535" i="1"/>
  <c r="Q534" i="1"/>
  <c r="Q529" i="1"/>
  <c r="Q528" i="1"/>
  <c r="Q527" i="1"/>
  <c r="Q533" i="1"/>
  <c r="Q526" i="1"/>
  <c r="Q532" i="1"/>
  <c r="L494" i="1"/>
  <c r="L488" i="1"/>
  <c r="L484" i="1"/>
  <c r="L495" i="1"/>
  <c r="L489" i="1"/>
  <c r="L485" i="1"/>
  <c r="L497" i="1"/>
  <c r="L491" i="1"/>
  <c r="L487" i="1"/>
  <c r="L496" i="1"/>
  <c r="L490" i="1"/>
  <c r="L486" i="1"/>
  <c r="K234" i="1"/>
  <c r="K228" i="1"/>
  <c r="K225" i="1"/>
  <c r="K216" i="1"/>
  <c r="K232" i="1"/>
  <c r="K231" i="1"/>
  <c r="K236" i="1"/>
  <c r="K235" i="1"/>
  <c r="K229" i="1"/>
  <c r="K219" i="1"/>
  <c r="K218" i="1"/>
  <c r="K221" i="1"/>
  <c r="K227" i="1"/>
  <c r="AM218" i="1"/>
  <c r="AM231" i="1"/>
  <c r="AM130" i="1"/>
  <c r="AM219" i="1"/>
  <c r="AM236" i="1"/>
  <c r="AM258" i="1"/>
  <c r="AM443" i="1"/>
  <c r="AM262" i="1"/>
  <c r="AM245" i="1"/>
  <c r="AM440" i="1"/>
  <c r="AM117" i="1"/>
  <c r="AM240" i="1"/>
  <c r="AM249" i="1"/>
  <c r="AM448" i="1"/>
  <c r="AM260" i="1"/>
  <c r="AM446" i="1"/>
  <c r="AM221" i="1"/>
  <c r="AM227" i="1"/>
  <c r="AM136" i="1"/>
  <c r="AM234" i="1"/>
  <c r="K233" i="1"/>
  <c r="K220" i="1"/>
  <c r="AM232" i="1"/>
  <c r="AM229" i="1"/>
  <c r="AM121" i="1"/>
  <c r="AM138" i="1"/>
  <c r="AM216" i="1"/>
  <c r="AM235" i="1"/>
  <c r="AM256" i="1"/>
  <c r="AM450" i="1"/>
  <c r="AM228" i="1"/>
  <c r="AM225" i="1"/>
  <c r="AM128" i="1"/>
  <c r="AM220" i="1"/>
  <c r="AM233" i="1"/>
  <c r="AM264" i="1"/>
  <c r="AM247" i="1"/>
  <c r="AM437" i="1"/>
  <c r="AM254" i="1"/>
  <c r="U401" i="1"/>
  <c r="L401" i="1" s="1"/>
  <c r="V401" i="1"/>
  <c r="M401" i="1" s="1"/>
  <c r="T401" i="1"/>
  <c r="K401" i="1" s="1"/>
  <c r="S401" i="1"/>
  <c r="J401" i="1" s="1"/>
  <c r="V406" i="1"/>
  <c r="M406" i="1" s="1"/>
  <c r="S406" i="1"/>
  <c r="J406" i="1" s="1"/>
  <c r="T406" i="1"/>
  <c r="K406" i="1" s="1"/>
  <c r="U406" i="1"/>
  <c r="L406" i="1" s="1"/>
  <c r="T403" i="1"/>
  <c r="K403" i="1" s="1"/>
  <c r="S403" i="1"/>
  <c r="J403" i="1" s="1"/>
  <c r="U403" i="1"/>
  <c r="L403" i="1" s="1"/>
  <c r="V403" i="1"/>
  <c r="M403" i="1" s="1"/>
  <c r="V410" i="1"/>
  <c r="M410" i="1" s="1"/>
  <c r="S410" i="1"/>
  <c r="J410" i="1" s="1"/>
  <c r="T410" i="1"/>
  <c r="K410" i="1" s="1"/>
  <c r="U410" i="1"/>
  <c r="L410" i="1" s="1"/>
  <c r="V402" i="1"/>
  <c r="M402" i="1" s="1"/>
  <c r="S402" i="1"/>
  <c r="J402" i="1" s="1"/>
  <c r="T402" i="1"/>
  <c r="K402" i="1" s="1"/>
  <c r="U402" i="1"/>
  <c r="L402" i="1" s="1"/>
  <c r="T408" i="1"/>
  <c r="K408" i="1" s="1"/>
  <c r="U408" i="1"/>
  <c r="L408" i="1" s="1"/>
  <c r="V408" i="1"/>
  <c r="M408" i="1" s="1"/>
  <c r="S408" i="1"/>
  <c r="J408" i="1" s="1"/>
  <c r="U409" i="1"/>
  <c r="L409" i="1" s="1"/>
  <c r="V409" i="1"/>
  <c r="M409" i="1" s="1"/>
  <c r="T409" i="1"/>
  <c r="K409" i="1" s="1"/>
  <c r="S409" i="1"/>
  <c r="J409" i="1" s="1"/>
  <c r="T404" i="1"/>
  <c r="K404" i="1" s="1"/>
  <c r="U404" i="1"/>
  <c r="L404" i="1" s="1"/>
  <c r="V404" i="1"/>
  <c r="M404" i="1" s="1"/>
  <c r="S404" i="1"/>
  <c r="J404" i="1" s="1"/>
  <c r="T411" i="1"/>
  <c r="K411" i="1" s="1"/>
  <c r="S411" i="1"/>
  <c r="J411" i="1" s="1"/>
  <c r="U411" i="1"/>
  <c r="L411" i="1" s="1"/>
  <c r="V411" i="1"/>
  <c r="M411" i="1" s="1"/>
  <c r="U405" i="1"/>
  <c r="L405" i="1" s="1"/>
  <c r="V405" i="1"/>
  <c r="M405" i="1" s="1"/>
  <c r="T405" i="1"/>
  <c r="K405" i="1" s="1"/>
  <c r="S405" i="1"/>
  <c r="J405" i="1" s="1"/>
  <c r="V400" i="1"/>
  <c r="M400" i="1" s="1"/>
  <c r="U400" i="1"/>
  <c r="L400" i="1" s="1"/>
  <c r="T400" i="1"/>
  <c r="K400" i="1" s="1"/>
  <c r="S400" i="1"/>
  <c r="J400" i="1" s="1"/>
  <c r="T407" i="1"/>
  <c r="K407" i="1" s="1"/>
  <c r="S407" i="1"/>
  <c r="J407" i="1" s="1"/>
  <c r="U407" i="1"/>
  <c r="L407" i="1" s="1"/>
  <c r="V407" i="1"/>
  <c r="M407" i="1" s="1"/>
  <c r="AM438" i="1"/>
  <c r="AM451" i="1"/>
  <c r="AM444" i="1"/>
  <c r="AM535" i="1"/>
  <c r="AM533" i="1"/>
  <c r="AM530" i="1"/>
  <c r="AM582" i="1"/>
  <c r="R582" i="1"/>
  <c r="AB582" i="1"/>
  <c r="AA582" i="1" s="1"/>
  <c r="AB442" i="1" l="1"/>
  <c r="J442" i="1"/>
  <c r="Q440" i="1"/>
  <c r="I440" i="1" s="1"/>
  <c r="Q101" i="1"/>
  <c r="I101" i="1" s="1"/>
  <c r="H101" i="1" s="1"/>
  <c r="Q437" i="1"/>
  <c r="I437" i="1" s="1"/>
  <c r="R442" i="1"/>
  <c r="Q443" i="1"/>
  <c r="I443" i="1" s="1"/>
  <c r="Q446" i="1"/>
  <c r="I446" i="1" s="1"/>
  <c r="Q448" i="1"/>
  <c r="I448" i="1" s="1"/>
  <c r="I526" i="1"/>
  <c r="I527" i="1"/>
  <c r="I529" i="1"/>
  <c r="I530" i="1"/>
  <c r="I535" i="1"/>
  <c r="I254" i="1"/>
  <c r="I532" i="1"/>
  <c r="I400" i="1"/>
  <c r="I405" i="1"/>
  <c r="I404" i="1"/>
  <c r="I409" i="1"/>
  <c r="I408" i="1"/>
  <c r="I401" i="1"/>
  <c r="I258" i="1"/>
  <c r="I407" i="1"/>
  <c r="I411" i="1"/>
  <c r="I402" i="1"/>
  <c r="I410" i="1"/>
  <c r="I403" i="1"/>
  <c r="I406" i="1"/>
  <c r="I534" i="1"/>
  <c r="I533" i="1"/>
  <c r="I528" i="1"/>
  <c r="I262" i="1"/>
  <c r="AB466" i="1"/>
  <c r="R466" i="1"/>
  <c r="AB378" i="1"/>
  <c r="R378" i="1"/>
  <c r="J378" i="1"/>
  <c r="AF316" i="1"/>
  <c r="N316" i="1"/>
  <c r="AC331" i="1"/>
  <c r="K331" i="1"/>
  <c r="AD545" i="1"/>
  <c r="L545" i="1"/>
  <c r="Q347" i="1"/>
  <c r="AI347" i="1"/>
  <c r="Q332" i="1"/>
  <c r="AI332" i="1"/>
  <c r="L536" i="1"/>
  <c r="AD536" i="1"/>
  <c r="AE345" i="1"/>
  <c r="M345" i="1"/>
  <c r="AB414" i="1"/>
  <c r="J414" i="1"/>
  <c r="R414" i="1"/>
  <c r="AE415" i="1"/>
  <c r="M415" i="1"/>
  <c r="J308" i="1"/>
  <c r="AB308" i="1"/>
  <c r="AA308" i="1" s="1"/>
  <c r="R308" i="1"/>
  <c r="AC416" i="1"/>
  <c r="K416" i="1"/>
  <c r="R197" i="1"/>
  <c r="AB197" i="1"/>
  <c r="AA197" i="1" s="1"/>
  <c r="J197" i="1"/>
  <c r="AD547" i="1"/>
  <c r="L547" i="1"/>
  <c r="K500" i="1"/>
  <c r="AC500" i="1"/>
  <c r="Q466" i="1"/>
  <c r="AI466" i="1"/>
  <c r="AE316" i="1"/>
  <c r="M316" i="1"/>
  <c r="P331" i="1"/>
  <c r="AH331" i="1"/>
  <c r="AB461" i="1"/>
  <c r="R461" i="1"/>
  <c r="AC347" i="1"/>
  <c r="K347" i="1"/>
  <c r="AC332" i="1"/>
  <c r="K332" i="1"/>
  <c r="AC559" i="1"/>
  <c r="K559" i="1"/>
  <c r="J536" i="1"/>
  <c r="AB536" i="1"/>
  <c r="R536" i="1"/>
  <c r="AF345" i="1"/>
  <c r="N345" i="1"/>
  <c r="AF325" i="1"/>
  <c r="N325" i="1"/>
  <c r="K320" i="1"/>
  <c r="AC320" i="1"/>
  <c r="J301" i="1"/>
  <c r="I301" i="1" s="1"/>
  <c r="H301" i="1" s="1"/>
  <c r="AB301" i="1"/>
  <c r="AA301" i="1" s="1"/>
  <c r="R301" i="1"/>
  <c r="AB326" i="1"/>
  <c r="J326" i="1"/>
  <c r="R326" i="1"/>
  <c r="AB546" i="1"/>
  <c r="J546" i="1"/>
  <c r="R546" i="1"/>
  <c r="AB377" i="1"/>
  <c r="J377" i="1"/>
  <c r="R377" i="1"/>
  <c r="AB337" i="1"/>
  <c r="J337" i="1"/>
  <c r="R337" i="1"/>
  <c r="N338" i="1"/>
  <c r="AF338" i="1"/>
  <c r="AC544" i="1"/>
  <c r="K544" i="1"/>
  <c r="Q375" i="1"/>
  <c r="AI375" i="1"/>
  <c r="AI442" i="1"/>
  <c r="Q442" i="1"/>
  <c r="J314" i="1"/>
  <c r="AB314" i="1"/>
  <c r="R314" i="1"/>
  <c r="AB339" i="1"/>
  <c r="J339" i="1"/>
  <c r="R339" i="1"/>
  <c r="K554" i="1"/>
  <c r="AC554" i="1"/>
  <c r="K539" i="1"/>
  <c r="AC539" i="1"/>
  <c r="AB531" i="1"/>
  <c r="J531" i="1"/>
  <c r="R531" i="1"/>
  <c r="AE343" i="1"/>
  <c r="M343" i="1"/>
  <c r="AD343" i="1"/>
  <c r="L343" i="1"/>
  <c r="J329" i="1"/>
  <c r="AB329" i="1"/>
  <c r="R329" i="1"/>
  <c r="M317" i="1"/>
  <c r="AE317" i="1"/>
  <c r="AC507" i="1"/>
  <c r="K507" i="1"/>
  <c r="J310" i="1"/>
  <c r="R310" i="1"/>
  <c r="AB310" i="1"/>
  <c r="AA310" i="1" s="1"/>
  <c r="J551" i="1"/>
  <c r="AB551" i="1"/>
  <c r="R551" i="1"/>
  <c r="R504" i="1"/>
  <c r="AB504" i="1"/>
  <c r="J504" i="1"/>
  <c r="AI452" i="1"/>
  <c r="Q452" i="1"/>
  <c r="AI380" i="1"/>
  <c r="Q380" i="1"/>
  <c r="AH346" i="1"/>
  <c r="P346" i="1"/>
  <c r="K346" i="1"/>
  <c r="AC346" i="1"/>
  <c r="AC335" i="1"/>
  <c r="K335" i="1"/>
  <c r="L318" i="1"/>
  <c r="AD318" i="1"/>
  <c r="M549" i="1"/>
  <c r="AE549" i="1"/>
  <c r="O319" i="1"/>
  <c r="AG319" i="1"/>
  <c r="AB561" i="1"/>
  <c r="J561" i="1"/>
  <c r="R561" i="1"/>
  <c r="AD413" i="1"/>
  <c r="L413" i="1"/>
  <c r="M538" i="1"/>
  <c r="AE538" i="1"/>
  <c r="L542" i="1"/>
  <c r="AD542" i="1"/>
  <c r="M340" i="1"/>
  <c r="AE340" i="1"/>
  <c r="AG322" i="1"/>
  <c r="O322" i="1"/>
  <c r="AD333" i="1"/>
  <c r="L333" i="1"/>
  <c r="Q313" i="1"/>
  <c r="AI313" i="1"/>
  <c r="K493" i="1"/>
  <c r="AC493" i="1"/>
  <c r="M334" i="1"/>
  <c r="AE334" i="1"/>
  <c r="AB417" i="1"/>
  <c r="R417" i="1"/>
  <c r="J417" i="1"/>
  <c r="J302" i="1"/>
  <c r="R302" i="1"/>
  <c r="AB302" i="1"/>
  <c r="AA302" i="1" s="1"/>
  <c r="AC505" i="1"/>
  <c r="K505" i="1"/>
  <c r="L421" i="1"/>
  <c r="AD421" i="1"/>
  <c r="AB201" i="1"/>
  <c r="AA201" i="1" s="1"/>
  <c r="R201" i="1"/>
  <c r="J201" i="1"/>
  <c r="K550" i="1"/>
  <c r="AC550" i="1"/>
  <c r="AD344" i="1"/>
  <c r="L344" i="1"/>
  <c r="AG344" i="1"/>
  <c r="O344" i="1"/>
  <c r="Q327" i="1"/>
  <c r="AI327" i="1"/>
  <c r="AC499" i="1"/>
  <c r="K499" i="1"/>
  <c r="N328" i="1"/>
  <c r="AF328" i="1"/>
  <c r="AE560" i="1"/>
  <c r="M560" i="1"/>
  <c r="AC412" i="1"/>
  <c r="K412" i="1"/>
  <c r="AB537" i="1"/>
  <c r="J537" i="1"/>
  <c r="R537" i="1"/>
  <c r="AH348" i="1"/>
  <c r="P348" i="1"/>
  <c r="AG336" i="1"/>
  <c r="O336" i="1"/>
  <c r="AH341" i="1"/>
  <c r="P341" i="1"/>
  <c r="AC418" i="1"/>
  <c r="K418" i="1"/>
  <c r="Q330" i="1"/>
  <c r="AI330" i="1"/>
  <c r="AB330" i="1"/>
  <c r="J330" i="1"/>
  <c r="R330" i="1"/>
  <c r="K553" i="1"/>
  <c r="AC553" i="1"/>
  <c r="J500" i="1"/>
  <c r="AB500" i="1"/>
  <c r="R500" i="1"/>
  <c r="L422" i="1"/>
  <c r="AD422" i="1"/>
  <c r="Q342" i="1"/>
  <c r="AI342" i="1"/>
  <c r="P316" i="1"/>
  <c r="AH316" i="1"/>
  <c r="O316" i="1"/>
  <c r="AG316" i="1"/>
  <c r="M331" i="1"/>
  <c r="AE331" i="1"/>
  <c r="N331" i="1"/>
  <c r="AF331" i="1"/>
  <c r="K545" i="1"/>
  <c r="AC545" i="1"/>
  <c r="AC506" i="1"/>
  <c r="K506" i="1"/>
  <c r="AI461" i="1"/>
  <c r="Q461" i="1"/>
  <c r="J347" i="1"/>
  <c r="AB347" i="1"/>
  <c r="R347" i="1"/>
  <c r="AE347" i="1"/>
  <c r="M347" i="1"/>
  <c r="AH347" i="1"/>
  <c r="P347" i="1"/>
  <c r="N332" i="1"/>
  <c r="AF332" i="1"/>
  <c r="AD332" i="1"/>
  <c r="L332" i="1"/>
  <c r="J559" i="1"/>
  <c r="AB559" i="1"/>
  <c r="R559" i="1"/>
  <c r="M559" i="1"/>
  <c r="AE559" i="1"/>
  <c r="R463" i="1"/>
  <c r="AB463" i="1"/>
  <c r="AE536" i="1"/>
  <c r="M536" i="1"/>
  <c r="M540" i="1"/>
  <c r="AE540" i="1"/>
  <c r="J345" i="1"/>
  <c r="R345" i="1"/>
  <c r="AB345" i="1"/>
  <c r="AI345" i="1"/>
  <c r="Q345" i="1"/>
  <c r="L345" i="1"/>
  <c r="AD345" i="1"/>
  <c r="Q325" i="1"/>
  <c r="AI325" i="1"/>
  <c r="P325" i="1"/>
  <c r="AH325" i="1"/>
  <c r="P320" i="1"/>
  <c r="AH320" i="1"/>
  <c r="N320" i="1"/>
  <c r="AF320" i="1"/>
  <c r="K415" i="1"/>
  <c r="AC415" i="1"/>
  <c r="O326" i="1"/>
  <c r="AG326" i="1"/>
  <c r="Q326" i="1"/>
  <c r="AI326" i="1"/>
  <c r="R581" i="1"/>
  <c r="AB581" i="1"/>
  <c r="AA581" i="1" s="1"/>
  <c r="J581" i="1"/>
  <c r="AD416" i="1"/>
  <c r="L416" i="1"/>
  <c r="J307" i="1"/>
  <c r="R307" i="1"/>
  <c r="AB307" i="1"/>
  <c r="AA307" i="1" s="1"/>
  <c r="R190" i="1"/>
  <c r="AB190" i="1"/>
  <c r="AA190" i="1" s="1"/>
  <c r="J190" i="1"/>
  <c r="AI58" i="1"/>
  <c r="Q58" i="1"/>
  <c r="AC552" i="1"/>
  <c r="K552" i="1"/>
  <c r="AB453" i="1"/>
  <c r="R453" i="1"/>
  <c r="AB381" i="1"/>
  <c r="J381" i="1"/>
  <c r="R381" i="1"/>
  <c r="AF337" i="1"/>
  <c r="N337" i="1"/>
  <c r="O337" i="1"/>
  <c r="AG337" i="1"/>
  <c r="AD321" i="1"/>
  <c r="L321" i="1"/>
  <c r="AG321" i="1"/>
  <c r="O321" i="1"/>
  <c r="AC338" i="1"/>
  <c r="K338" i="1"/>
  <c r="O338" i="1"/>
  <c r="AG338" i="1"/>
  <c r="AD544" i="1"/>
  <c r="L544" i="1"/>
  <c r="AC503" i="1"/>
  <c r="K503" i="1"/>
  <c r="Q314" i="1"/>
  <c r="AI314" i="1"/>
  <c r="K314" i="1"/>
  <c r="AC314" i="1"/>
  <c r="AH314" i="1"/>
  <c r="P314" i="1"/>
  <c r="N339" i="1"/>
  <c r="AF339" i="1"/>
  <c r="AH339" i="1"/>
  <c r="P339" i="1"/>
  <c r="AB558" i="1"/>
  <c r="J558" i="1"/>
  <c r="R558" i="1"/>
  <c r="AE558" i="1"/>
  <c r="M558" i="1"/>
  <c r="AE554" i="1"/>
  <c r="M554" i="1"/>
  <c r="AB462" i="1"/>
  <c r="R462" i="1"/>
  <c r="AB372" i="1"/>
  <c r="J372" i="1"/>
  <c r="R372" i="1"/>
  <c r="AD539" i="1"/>
  <c r="L539" i="1"/>
  <c r="AB543" i="1"/>
  <c r="J543" i="1"/>
  <c r="R543" i="1"/>
  <c r="M531" i="1"/>
  <c r="AE531" i="1"/>
  <c r="AH343" i="1"/>
  <c r="P343" i="1"/>
  <c r="K343" i="1"/>
  <c r="AC343" i="1"/>
  <c r="Q323" i="1"/>
  <c r="AI323" i="1"/>
  <c r="J323" i="1"/>
  <c r="R323" i="1"/>
  <c r="AB323" i="1"/>
  <c r="AG323" i="1"/>
  <c r="O323" i="1"/>
  <c r="N329" i="1"/>
  <c r="AF329" i="1"/>
  <c r="AH329" i="1"/>
  <c r="P329" i="1"/>
  <c r="AB317" i="1"/>
  <c r="J317" i="1"/>
  <c r="R317" i="1"/>
  <c r="N317" i="1"/>
  <c r="AF317" i="1"/>
  <c r="J304" i="1"/>
  <c r="AB304" i="1"/>
  <c r="AA304" i="1" s="1"/>
  <c r="R304" i="1"/>
  <c r="AC492" i="1"/>
  <c r="K492" i="1"/>
  <c r="AI465" i="1"/>
  <c r="Q465" i="1"/>
  <c r="J303" i="1"/>
  <c r="AB303" i="1"/>
  <c r="AA303" i="1" s="1"/>
  <c r="R303" i="1"/>
  <c r="K551" i="1"/>
  <c r="AC551" i="1"/>
  <c r="M551" i="1"/>
  <c r="AE551" i="1"/>
  <c r="R511" i="1"/>
  <c r="J511" i="1"/>
  <c r="AB511" i="1"/>
  <c r="AI456" i="1"/>
  <c r="Q456" i="1"/>
  <c r="AI368" i="1"/>
  <c r="Q368" i="1"/>
  <c r="AD346" i="1"/>
  <c r="L346" i="1"/>
  <c r="AF346" i="1"/>
  <c r="N346" i="1"/>
  <c r="AH335" i="1"/>
  <c r="P335" i="1"/>
  <c r="Q335" i="1"/>
  <c r="AI335" i="1"/>
  <c r="O318" i="1"/>
  <c r="AG318" i="1"/>
  <c r="AB318" i="1"/>
  <c r="J318" i="1"/>
  <c r="R318" i="1"/>
  <c r="J549" i="1"/>
  <c r="R549" i="1"/>
  <c r="AB549" i="1"/>
  <c r="AB509" i="1"/>
  <c r="J509" i="1"/>
  <c r="R509" i="1"/>
  <c r="R459" i="1"/>
  <c r="AB459" i="1"/>
  <c r="AI374" i="1"/>
  <c r="Q374" i="1"/>
  <c r="M319" i="1"/>
  <c r="AE319" i="1"/>
  <c r="AH319" i="1"/>
  <c r="P319" i="1"/>
  <c r="K561" i="1"/>
  <c r="AC561" i="1"/>
  <c r="M557" i="1"/>
  <c r="AE557" i="1"/>
  <c r="AD557" i="1"/>
  <c r="L557" i="1"/>
  <c r="K508" i="1"/>
  <c r="AC508" i="1"/>
  <c r="AI371" i="1"/>
  <c r="Q371" i="1"/>
  <c r="AD538" i="1"/>
  <c r="L538" i="1"/>
  <c r="J542" i="1"/>
  <c r="R542" i="1"/>
  <c r="AB542" i="1"/>
  <c r="AH340" i="1"/>
  <c r="P340" i="1"/>
  <c r="AD340" i="1"/>
  <c r="L340" i="1"/>
  <c r="AH322" i="1"/>
  <c r="P322" i="1"/>
  <c r="AE333" i="1"/>
  <c r="M333" i="1"/>
  <c r="J333" i="1"/>
  <c r="AB333" i="1"/>
  <c r="R333" i="1"/>
  <c r="AH313" i="1"/>
  <c r="P313" i="1"/>
  <c r="M313" i="1"/>
  <c r="AE313" i="1"/>
  <c r="J369" i="1"/>
  <c r="AB369" i="1"/>
  <c r="R369" i="1"/>
  <c r="AB501" i="1"/>
  <c r="J501" i="1"/>
  <c r="R501" i="1"/>
  <c r="J493" i="1"/>
  <c r="R493" i="1"/>
  <c r="AB493" i="1"/>
  <c r="O334" i="1"/>
  <c r="AG334" i="1"/>
  <c r="N334" i="1"/>
  <c r="AF334" i="1"/>
  <c r="AD417" i="1"/>
  <c r="L417" i="1"/>
  <c r="AE420" i="1"/>
  <c r="M420" i="1"/>
  <c r="AB505" i="1"/>
  <c r="J505" i="1"/>
  <c r="R505" i="1"/>
  <c r="K421" i="1"/>
  <c r="AC421" i="1"/>
  <c r="AB382" i="1"/>
  <c r="J382" i="1"/>
  <c r="R382" i="1"/>
  <c r="M550" i="1"/>
  <c r="AE550" i="1"/>
  <c r="AB455" i="1"/>
  <c r="R455" i="1"/>
  <c r="AE423" i="1"/>
  <c r="M423" i="1"/>
  <c r="AI379" i="1"/>
  <c r="Q379" i="1"/>
  <c r="AE344" i="1"/>
  <c r="M344" i="1"/>
  <c r="AB344" i="1"/>
  <c r="J344" i="1"/>
  <c r="R344" i="1"/>
  <c r="AC324" i="1"/>
  <c r="K324" i="1"/>
  <c r="Q324" i="1"/>
  <c r="AI324" i="1"/>
  <c r="M327" i="1"/>
  <c r="AE327" i="1"/>
  <c r="K548" i="1"/>
  <c r="AC548" i="1"/>
  <c r="AB458" i="1"/>
  <c r="R458" i="1"/>
  <c r="AC328" i="1"/>
  <c r="K328" i="1"/>
  <c r="O328" i="1"/>
  <c r="AG328" i="1"/>
  <c r="M328" i="1"/>
  <c r="AE328" i="1"/>
  <c r="AD560" i="1"/>
  <c r="L560" i="1"/>
  <c r="AB556" i="1"/>
  <c r="J556" i="1"/>
  <c r="R556" i="1"/>
  <c r="AD556" i="1"/>
  <c r="L556" i="1"/>
  <c r="R464" i="1"/>
  <c r="AB464" i="1"/>
  <c r="K541" i="1"/>
  <c r="AC541" i="1"/>
  <c r="AB348" i="1"/>
  <c r="J348" i="1"/>
  <c r="R348" i="1"/>
  <c r="AH336" i="1"/>
  <c r="P336" i="1"/>
  <c r="AF336" i="1"/>
  <c r="N336" i="1"/>
  <c r="O315" i="1"/>
  <c r="AG315" i="1"/>
  <c r="AB315" i="1"/>
  <c r="J315" i="1"/>
  <c r="R315" i="1"/>
  <c r="J341" i="1"/>
  <c r="AB341" i="1"/>
  <c r="R341" i="1"/>
  <c r="AC341" i="1"/>
  <c r="K341" i="1"/>
  <c r="L418" i="1"/>
  <c r="AD418" i="1"/>
  <c r="L419" i="1"/>
  <c r="AD419" i="1"/>
  <c r="AH330" i="1"/>
  <c r="P330" i="1"/>
  <c r="O330" i="1"/>
  <c r="AG330" i="1"/>
  <c r="K547" i="1"/>
  <c r="AC547" i="1"/>
  <c r="K422" i="1"/>
  <c r="AC422" i="1"/>
  <c r="AC342" i="1"/>
  <c r="K342" i="1"/>
  <c r="AC316" i="1"/>
  <c r="K316" i="1"/>
  <c r="M545" i="1"/>
  <c r="AE545" i="1"/>
  <c r="AF347" i="1"/>
  <c r="N347" i="1"/>
  <c r="L555" i="1"/>
  <c r="AD555" i="1"/>
  <c r="AE325" i="1"/>
  <c r="M325" i="1"/>
  <c r="AB320" i="1"/>
  <c r="J320" i="1"/>
  <c r="R320" i="1"/>
  <c r="M326" i="1"/>
  <c r="AE326" i="1"/>
  <c r="AD553" i="1"/>
  <c r="L553" i="1"/>
  <c r="M547" i="1"/>
  <c r="AE547" i="1"/>
  <c r="AB422" i="1"/>
  <c r="R422" i="1"/>
  <c r="J422" i="1"/>
  <c r="AH342" i="1"/>
  <c r="P342" i="1"/>
  <c r="J342" i="1"/>
  <c r="AB342" i="1"/>
  <c r="R342" i="1"/>
  <c r="Q316" i="1"/>
  <c r="AI316" i="1"/>
  <c r="L331" i="1"/>
  <c r="AD331" i="1"/>
  <c r="J545" i="1"/>
  <c r="R545" i="1"/>
  <c r="AB545" i="1"/>
  <c r="AI376" i="1"/>
  <c r="Q376" i="1"/>
  <c r="AG347" i="1"/>
  <c r="O347" i="1"/>
  <c r="J298" i="1"/>
  <c r="AB298" i="1"/>
  <c r="AA298" i="1" s="1"/>
  <c r="R298" i="1"/>
  <c r="J555" i="1"/>
  <c r="AB555" i="1"/>
  <c r="R555" i="1"/>
  <c r="J540" i="1"/>
  <c r="R540" i="1"/>
  <c r="AB540" i="1"/>
  <c r="AH345" i="1"/>
  <c r="P345" i="1"/>
  <c r="AC325" i="1"/>
  <c r="K325" i="1"/>
  <c r="O320" i="1"/>
  <c r="AG320" i="1"/>
  <c r="L414" i="1"/>
  <c r="AD414" i="1"/>
  <c r="AB415" i="1"/>
  <c r="R415" i="1"/>
  <c r="J415" i="1"/>
  <c r="N326" i="1"/>
  <c r="AF326" i="1"/>
  <c r="AB416" i="1"/>
  <c r="R416" i="1"/>
  <c r="J416" i="1"/>
  <c r="R370" i="1"/>
  <c r="AI370" i="1"/>
  <c r="Q370" i="1"/>
  <c r="M546" i="1"/>
  <c r="AE546" i="1"/>
  <c r="AE337" i="1"/>
  <c r="M337" i="1"/>
  <c r="Q321" i="1"/>
  <c r="AI321" i="1"/>
  <c r="J338" i="1"/>
  <c r="AB338" i="1"/>
  <c r="R338" i="1"/>
  <c r="L338" i="1"/>
  <c r="AD338" i="1"/>
  <c r="AI460" i="1"/>
  <c r="Q460" i="1"/>
  <c r="O314" i="1"/>
  <c r="AG314" i="1"/>
  <c r="O339" i="1"/>
  <c r="AG339" i="1"/>
  <c r="AD558" i="1"/>
  <c r="L558" i="1"/>
  <c r="AI502" i="1"/>
  <c r="Q502" i="1"/>
  <c r="M543" i="1"/>
  <c r="AE543" i="1"/>
  <c r="J343" i="1"/>
  <c r="R343" i="1"/>
  <c r="AB343" i="1"/>
  <c r="P323" i="1"/>
  <c r="AH323" i="1"/>
  <c r="Q329" i="1"/>
  <c r="AI329" i="1"/>
  <c r="J297" i="1"/>
  <c r="AB297" i="1"/>
  <c r="AA297" i="1" s="1"/>
  <c r="R297" i="1"/>
  <c r="AH317" i="1"/>
  <c r="P317" i="1"/>
  <c r="AI511" i="1"/>
  <c r="Q511" i="1"/>
  <c r="AB456" i="1"/>
  <c r="R456" i="1"/>
  <c r="AB368" i="1"/>
  <c r="J368" i="1"/>
  <c r="R368" i="1"/>
  <c r="AF335" i="1"/>
  <c r="N335" i="1"/>
  <c r="N318" i="1"/>
  <c r="AF318" i="1"/>
  <c r="Q318" i="1"/>
  <c r="AI318" i="1"/>
  <c r="AI366" i="1"/>
  <c r="Q366" i="1"/>
  <c r="J319" i="1"/>
  <c r="AB319" i="1"/>
  <c r="R319" i="1"/>
  <c r="R557" i="1"/>
  <c r="AB557" i="1"/>
  <c r="J557" i="1"/>
  <c r="AE413" i="1"/>
  <c r="M413" i="1"/>
  <c r="AF340" i="1"/>
  <c r="N340" i="1"/>
  <c r="J322" i="1"/>
  <c r="R322" i="1"/>
  <c r="AB322" i="1"/>
  <c r="L322" i="1"/>
  <c r="AD322" i="1"/>
  <c r="O333" i="1"/>
  <c r="AG333" i="1"/>
  <c r="AC501" i="1"/>
  <c r="K501" i="1"/>
  <c r="AB334" i="1"/>
  <c r="J334" i="1"/>
  <c r="R334" i="1"/>
  <c r="AC420" i="1"/>
  <c r="K420" i="1"/>
  <c r="R510" i="1"/>
  <c r="AB510" i="1"/>
  <c r="J510" i="1"/>
  <c r="J423" i="1"/>
  <c r="AB423" i="1"/>
  <c r="R423" i="1"/>
  <c r="J367" i="1"/>
  <c r="AB367" i="1"/>
  <c r="R367" i="1"/>
  <c r="P324" i="1"/>
  <c r="AH324" i="1"/>
  <c r="AD324" i="1"/>
  <c r="L324" i="1"/>
  <c r="AH327" i="1"/>
  <c r="P327" i="1"/>
  <c r="AI373" i="1"/>
  <c r="Q373" i="1"/>
  <c r="Q328" i="1"/>
  <c r="AI328" i="1"/>
  <c r="AC560" i="1"/>
  <c r="K560" i="1"/>
  <c r="K556" i="1"/>
  <c r="AC556" i="1"/>
  <c r="AE412" i="1"/>
  <c r="M412" i="1"/>
  <c r="J541" i="1"/>
  <c r="AB541" i="1"/>
  <c r="R541" i="1"/>
  <c r="AG348" i="1"/>
  <c r="O348" i="1"/>
  <c r="AH315" i="1"/>
  <c r="P315" i="1"/>
  <c r="K315" i="1"/>
  <c r="AC315" i="1"/>
  <c r="N341" i="1"/>
  <c r="AF341" i="1"/>
  <c r="AC419" i="1"/>
  <c r="K419" i="1"/>
  <c r="Q450" i="1"/>
  <c r="I450" i="1" s="1"/>
  <c r="AB553" i="1"/>
  <c r="J553" i="1"/>
  <c r="R553" i="1"/>
  <c r="AB547" i="1"/>
  <c r="J547" i="1"/>
  <c r="R547" i="1"/>
  <c r="AB454" i="1"/>
  <c r="R454" i="1"/>
  <c r="M422" i="1"/>
  <c r="AE422" i="1"/>
  <c r="Q378" i="1"/>
  <c r="AI378" i="1"/>
  <c r="O342" i="1"/>
  <c r="AG342" i="1"/>
  <c r="AD342" i="1"/>
  <c r="L342" i="1"/>
  <c r="AF342" i="1"/>
  <c r="N342" i="1"/>
  <c r="J316" i="1"/>
  <c r="AB316" i="1"/>
  <c r="R316" i="1"/>
  <c r="AB331" i="1"/>
  <c r="J331" i="1"/>
  <c r="R331" i="1"/>
  <c r="O331" i="1"/>
  <c r="AG331" i="1"/>
  <c r="J506" i="1"/>
  <c r="AB506" i="1"/>
  <c r="R506" i="1"/>
  <c r="AD347" i="1"/>
  <c r="L347" i="1"/>
  <c r="O332" i="1"/>
  <c r="AG332" i="1"/>
  <c r="M332" i="1"/>
  <c r="AE332" i="1"/>
  <c r="AB332" i="1"/>
  <c r="J332" i="1"/>
  <c r="R332" i="1"/>
  <c r="AD559" i="1"/>
  <c r="L559" i="1"/>
  <c r="K555" i="1"/>
  <c r="AC555" i="1"/>
  <c r="AE555" i="1"/>
  <c r="M555" i="1"/>
  <c r="AI463" i="1"/>
  <c r="Q463" i="1"/>
  <c r="K536" i="1"/>
  <c r="AC536" i="1"/>
  <c r="K540" i="1"/>
  <c r="AC540" i="1"/>
  <c r="AG345" i="1"/>
  <c r="O345" i="1"/>
  <c r="K345" i="1"/>
  <c r="AC345" i="1"/>
  <c r="J325" i="1"/>
  <c r="AB325" i="1"/>
  <c r="R325" i="1"/>
  <c r="AG325" i="1"/>
  <c r="O325" i="1"/>
  <c r="AD325" i="1"/>
  <c r="L325" i="1"/>
  <c r="Q320" i="1"/>
  <c r="AI320" i="1"/>
  <c r="L320" i="1"/>
  <c r="AD320" i="1"/>
  <c r="AC414" i="1"/>
  <c r="K414" i="1"/>
  <c r="M414" i="1"/>
  <c r="AE414" i="1"/>
  <c r="L415" i="1"/>
  <c r="AD415" i="1"/>
  <c r="AH326" i="1"/>
  <c r="P326" i="1"/>
  <c r="K326" i="1"/>
  <c r="AC326" i="1"/>
  <c r="AE416" i="1"/>
  <c r="M416" i="1"/>
  <c r="J370" i="1"/>
  <c r="AB370" i="1"/>
  <c r="AB311" i="1"/>
  <c r="AA311" i="1" s="1"/>
  <c r="J311" i="1"/>
  <c r="R311" i="1"/>
  <c r="R58" i="1"/>
  <c r="AB58" i="1"/>
  <c r="J58" i="1"/>
  <c r="AD552" i="1"/>
  <c r="L552" i="1"/>
  <c r="AD546" i="1"/>
  <c r="L546" i="1"/>
  <c r="R457" i="1"/>
  <c r="AB457" i="1"/>
  <c r="AI453" i="1"/>
  <c r="Q453" i="1"/>
  <c r="P337" i="1"/>
  <c r="AH337" i="1"/>
  <c r="Q337" i="1"/>
  <c r="AI337" i="1"/>
  <c r="AE321" i="1"/>
  <c r="M321" i="1"/>
  <c r="AF321" i="1"/>
  <c r="N321" i="1"/>
  <c r="AH338" i="1"/>
  <c r="P338" i="1"/>
  <c r="Q338" i="1"/>
  <c r="AI338" i="1"/>
  <c r="J299" i="1"/>
  <c r="AB299" i="1"/>
  <c r="AA299" i="1" s="1"/>
  <c r="R299" i="1"/>
  <c r="AE544" i="1"/>
  <c r="M544" i="1"/>
  <c r="AB503" i="1"/>
  <c r="J503" i="1"/>
  <c r="R503" i="1"/>
  <c r="R375" i="1"/>
  <c r="AB375" i="1"/>
  <c r="J375" i="1"/>
  <c r="AD314" i="1"/>
  <c r="L314" i="1"/>
  <c r="Q339" i="1"/>
  <c r="AI339" i="1"/>
  <c r="AC339" i="1"/>
  <c r="K339" i="1"/>
  <c r="K558" i="1"/>
  <c r="AC558" i="1"/>
  <c r="AC502" i="1"/>
  <c r="K502" i="1"/>
  <c r="Q462" i="1"/>
  <c r="AI462" i="1"/>
  <c r="M539" i="1"/>
  <c r="AE539" i="1"/>
  <c r="K543" i="1"/>
  <c r="AC543" i="1"/>
  <c r="L531" i="1"/>
  <c r="AD531" i="1"/>
  <c r="AG343" i="1"/>
  <c r="O343" i="1"/>
  <c r="AF323" i="1"/>
  <c r="N323" i="1"/>
  <c r="AC323" i="1"/>
  <c r="K323" i="1"/>
  <c r="L329" i="1"/>
  <c r="AD329" i="1"/>
  <c r="K329" i="1"/>
  <c r="AC329" i="1"/>
  <c r="K317" i="1"/>
  <c r="AC317" i="1"/>
  <c r="O317" i="1"/>
  <c r="AG317" i="1"/>
  <c r="Q507" i="1"/>
  <c r="AI507" i="1"/>
  <c r="J492" i="1"/>
  <c r="R492" i="1"/>
  <c r="AB492" i="1"/>
  <c r="AC511" i="1"/>
  <c r="K511" i="1"/>
  <c r="J498" i="1"/>
  <c r="R498" i="1"/>
  <c r="AB498" i="1"/>
  <c r="AG346" i="1"/>
  <c r="O346" i="1"/>
  <c r="AE346" i="1"/>
  <c r="M346" i="1"/>
  <c r="AB346" i="1"/>
  <c r="J346" i="1"/>
  <c r="R346" i="1"/>
  <c r="R335" i="1"/>
  <c r="AB335" i="1"/>
  <c r="J335" i="1"/>
  <c r="AC318" i="1"/>
  <c r="K318" i="1"/>
  <c r="J295" i="1"/>
  <c r="I295" i="1" s="1"/>
  <c r="H295" i="1" s="1"/>
  <c r="AB295" i="1"/>
  <c r="AA295" i="1" s="1"/>
  <c r="K549" i="1"/>
  <c r="AC549" i="1"/>
  <c r="K509" i="1"/>
  <c r="AC509" i="1"/>
  <c r="AI459" i="1"/>
  <c r="Q459" i="1"/>
  <c r="AB374" i="1"/>
  <c r="J374" i="1"/>
  <c r="R374" i="1"/>
  <c r="AC319" i="1"/>
  <c r="K319" i="1"/>
  <c r="Q319" i="1"/>
  <c r="AI319" i="1"/>
  <c r="M561" i="1"/>
  <c r="AE561" i="1"/>
  <c r="K557" i="1"/>
  <c r="AC557" i="1"/>
  <c r="J413" i="1"/>
  <c r="AB413" i="1"/>
  <c r="R413" i="1"/>
  <c r="AC538" i="1"/>
  <c r="K538" i="1"/>
  <c r="K542" i="1"/>
  <c r="AC542" i="1"/>
  <c r="Q340" i="1"/>
  <c r="AI340" i="1"/>
  <c r="Q322" i="1"/>
  <c r="AI322" i="1"/>
  <c r="K322" i="1"/>
  <c r="AC322" i="1"/>
  <c r="N333" i="1"/>
  <c r="AF333" i="1"/>
  <c r="AC333" i="1"/>
  <c r="K333" i="1"/>
  <c r="AB313" i="1"/>
  <c r="J313" i="1"/>
  <c r="R313" i="1"/>
  <c r="AC313" i="1"/>
  <c r="K313" i="1"/>
  <c r="L313" i="1"/>
  <c r="AD313" i="1"/>
  <c r="J309" i="1"/>
  <c r="AB309" i="1"/>
  <c r="AA309" i="1" s="1"/>
  <c r="R309" i="1"/>
  <c r="Q493" i="1"/>
  <c r="AI493" i="1"/>
  <c r="AH334" i="1"/>
  <c r="P334" i="1"/>
  <c r="L334" i="1"/>
  <c r="AD334" i="1"/>
  <c r="AC417" i="1"/>
  <c r="K417" i="1"/>
  <c r="L420" i="1"/>
  <c r="AD420" i="1"/>
  <c r="R421" i="1"/>
  <c r="J421" i="1"/>
  <c r="AB421" i="1"/>
  <c r="Q510" i="1"/>
  <c r="AI510" i="1"/>
  <c r="AB467" i="1"/>
  <c r="R467" i="1"/>
  <c r="AI455" i="1"/>
  <c r="Q455" i="1"/>
  <c r="L423" i="1"/>
  <c r="AD423" i="1"/>
  <c r="AH344" i="1"/>
  <c r="P344" i="1"/>
  <c r="AC344" i="1"/>
  <c r="K344" i="1"/>
  <c r="AF324" i="1"/>
  <c r="N324" i="1"/>
  <c r="J324" i="1"/>
  <c r="R324" i="1"/>
  <c r="AB324" i="1"/>
  <c r="AB327" i="1"/>
  <c r="J327" i="1"/>
  <c r="R327" i="1"/>
  <c r="N327" i="1"/>
  <c r="AF327" i="1"/>
  <c r="AD548" i="1"/>
  <c r="L548" i="1"/>
  <c r="AB373" i="1"/>
  <c r="J373" i="1"/>
  <c r="R373" i="1"/>
  <c r="AD328" i="1"/>
  <c r="L328" i="1"/>
  <c r="AH328" i="1"/>
  <c r="P328" i="1"/>
  <c r="AI464" i="1"/>
  <c r="Q464" i="1"/>
  <c r="AD412" i="1"/>
  <c r="L412" i="1"/>
  <c r="K537" i="1"/>
  <c r="AC537" i="1"/>
  <c r="M541" i="1"/>
  <c r="AE541" i="1"/>
  <c r="Q348" i="1"/>
  <c r="AI348" i="1"/>
  <c r="M348" i="1"/>
  <c r="AE348" i="1"/>
  <c r="AF348" i="1"/>
  <c r="N348" i="1"/>
  <c r="J336" i="1"/>
  <c r="AB336" i="1"/>
  <c r="R336" i="1"/>
  <c r="AC336" i="1"/>
  <c r="K336" i="1"/>
  <c r="AD315" i="1"/>
  <c r="L315" i="1"/>
  <c r="Q315" i="1"/>
  <c r="AI315" i="1"/>
  <c r="AD341" i="1"/>
  <c r="L341" i="1"/>
  <c r="Q341" i="1"/>
  <c r="AI341" i="1"/>
  <c r="R418" i="1"/>
  <c r="M418" i="1"/>
  <c r="AE418" i="1"/>
  <c r="AB305" i="1"/>
  <c r="AA305" i="1" s="1"/>
  <c r="J305" i="1"/>
  <c r="R305" i="1"/>
  <c r="J419" i="1"/>
  <c r="AB419" i="1"/>
  <c r="R419" i="1"/>
  <c r="M330" i="1"/>
  <c r="AE330" i="1"/>
  <c r="L330" i="1"/>
  <c r="AD330" i="1"/>
  <c r="M553" i="1"/>
  <c r="AE553" i="1"/>
  <c r="AI454" i="1"/>
  <c r="Q454" i="1"/>
  <c r="AE342" i="1"/>
  <c r="M342" i="1"/>
  <c r="AD316" i="1"/>
  <c r="L316" i="1"/>
  <c r="Q331" i="1"/>
  <c r="AI331" i="1"/>
  <c r="J376" i="1"/>
  <c r="R376" i="1"/>
  <c r="AB376" i="1"/>
  <c r="AH332" i="1"/>
  <c r="P332" i="1"/>
  <c r="L540" i="1"/>
  <c r="AD540" i="1"/>
  <c r="M320" i="1"/>
  <c r="AE320" i="1"/>
  <c r="L326" i="1"/>
  <c r="AD326" i="1"/>
  <c r="AE552" i="1"/>
  <c r="M552" i="1"/>
  <c r="AB552" i="1"/>
  <c r="J552" i="1"/>
  <c r="R552" i="1"/>
  <c r="AC546" i="1"/>
  <c r="K546" i="1"/>
  <c r="AI457" i="1"/>
  <c r="Q457" i="1"/>
  <c r="AI381" i="1"/>
  <c r="Q381" i="1"/>
  <c r="AI377" i="1"/>
  <c r="Q377" i="1"/>
  <c r="AC337" i="1"/>
  <c r="K337" i="1"/>
  <c r="AD337" i="1"/>
  <c r="L337" i="1"/>
  <c r="J321" i="1"/>
  <c r="R321" i="1"/>
  <c r="AB321" i="1"/>
  <c r="AH321" i="1"/>
  <c r="P321" i="1"/>
  <c r="AC321" i="1"/>
  <c r="K321" i="1"/>
  <c r="M338" i="1"/>
  <c r="AE338" i="1"/>
  <c r="AB544" i="1"/>
  <c r="R544" i="1"/>
  <c r="J544" i="1"/>
  <c r="AB460" i="1"/>
  <c r="R460" i="1"/>
  <c r="M314" i="1"/>
  <c r="AE314" i="1"/>
  <c r="N314" i="1"/>
  <c r="AF314" i="1"/>
  <c r="M339" i="1"/>
  <c r="AE339" i="1"/>
  <c r="AD339" i="1"/>
  <c r="L339" i="1"/>
  <c r="AD554" i="1"/>
  <c r="L554" i="1"/>
  <c r="J554" i="1"/>
  <c r="R554" i="1"/>
  <c r="AB554" i="1"/>
  <c r="AB502" i="1"/>
  <c r="J502" i="1"/>
  <c r="R502" i="1"/>
  <c r="AI372" i="1"/>
  <c r="Q372" i="1"/>
  <c r="AB539" i="1"/>
  <c r="J539" i="1"/>
  <c r="R539" i="1"/>
  <c r="L543" i="1"/>
  <c r="AD543" i="1"/>
  <c r="K531" i="1"/>
  <c r="AC531" i="1"/>
  <c r="Q343" i="1"/>
  <c r="AI343" i="1"/>
  <c r="AF343" i="1"/>
  <c r="N343" i="1"/>
  <c r="AE323" i="1"/>
  <c r="M323" i="1"/>
  <c r="AD323" i="1"/>
  <c r="L323" i="1"/>
  <c r="O329" i="1"/>
  <c r="AG329" i="1"/>
  <c r="M329" i="1"/>
  <c r="AE329" i="1"/>
  <c r="Q317" i="1"/>
  <c r="AI317" i="1"/>
  <c r="L317" i="1"/>
  <c r="AD317" i="1"/>
  <c r="J296" i="1"/>
  <c r="AB296" i="1"/>
  <c r="AA296" i="1" s="1"/>
  <c r="R296" i="1"/>
  <c r="AB199" i="1"/>
  <c r="AA199" i="1" s="1"/>
  <c r="R199" i="1"/>
  <c r="J199" i="1"/>
  <c r="AB507" i="1"/>
  <c r="J507" i="1"/>
  <c r="R507" i="1"/>
  <c r="AB465" i="1"/>
  <c r="R465" i="1"/>
  <c r="J294" i="1"/>
  <c r="AB294" i="1"/>
  <c r="AA294" i="1" s="1"/>
  <c r="R294" i="1"/>
  <c r="L551" i="1"/>
  <c r="AD551" i="1"/>
  <c r="AC504" i="1"/>
  <c r="K504" i="1"/>
  <c r="AC498" i="1"/>
  <c r="K498" i="1"/>
  <c r="AB452" i="1"/>
  <c r="R452" i="1"/>
  <c r="AB380" i="1"/>
  <c r="J380" i="1"/>
  <c r="R380" i="1"/>
  <c r="Q346" i="1"/>
  <c r="AI346" i="1"/>
  <c r="AE335" i="1"/>
  <c r="M335" i="1"/>
  <c r="AG335" i="1"/>
  <c r="O335" i="1"/>
  <c r="L335" i="1"/>
  <c r="AD335" i="1"/>
  <c r="M318" i="1"/>
  <c r="AE318" i="1"/>
  <c r="P318" i="1"/>
  <c r="AH318" i="1"/>
  <c r="L549" i="1"/>
  <c r="AD549" i="1"/>
  <c r="AB366" i="1"/>
  <c r="J366" i="1"/>
  <c r="R366" i="1"/>
  <c r="AD319" i="1"/>
  <c r="L319" i="1"/>
  <c r="N319" i="1"/>
  <c r="AF319" i="1"/>
  <c r="L561" i="1"/>
  <c r="AD561" i="1"/>
  <c r="J508" i="1"/>
  <c r="R508" i="1"/>
  <c r="AB508" i="1"/>
  <c r="AC413" i="1"/>
  <c r="K413" i="1"/>
  <c r="AB371" i="1"/>
  <c r="J371" i="1"/>
  <c r="R371" i="1"/>
  <c r="AB538" i="1"/>
  <c r="J538" i="1"/>
  <c r="R538" i="1"/>
  <c r="M542" i="1"/>
  <c r="AE542" i="1"/>
  <c r="AC340" i="1"/>
  <c r="K340" i="1"/>
  <c r="J340" i="1"/>
  <c r="R340" i="1"/>
  <c r="AB340" i="1"/>
  <c r="AG340" i="1"/>
  <c r="O340" i="1"/>
  <c r="AE322" i="1"/>
  <c r="M322" i="1"/>
  <c r="AF322" i="1"/>
  <c r="N322" i="1"/>
  <c r="Q333" i="1"/>
  <c r="AI333" i="1"/>
  <c r="P333" i="1"/>
  <c r="AH333" i="1"/>
  <c r="O313" i="1"/>
  <c r="AG313" i="1"/>
  <c r="N313" i="1"/>
  <c r="AF313" i="1"/>
  <c r="AB202" i="1"/>
  <c r="AA202" i="1" s="1"/>
  <c r="R202" i="1"/>
  <c r="J202" i="1"/>
  <c r="Q369" i="1"/>
  <c r="AI369" i="1"/>
  <c r="J300" i="1"/>
  <c r="AB300" i="1"/>
  <c r="AA300" i="1" s="1"/>
  <c r="R300" i="1"/>
  <c r="K334" i="1"/>
  <c r="AC334" i="1"/>
  <c r="Q334" i="1"/>
  <c r="AI334" i="1"/>
  <c r="AE417" i="1"/>
  <c r="M417" i="1"/>
  <c r="AB420" i="1"/>
  <c r="J420" i="1"/>
  <c r="R420" i="1"/>
  <c r="M421" i="1"/>
  <c r="AE421" i="1"/>
  <c r="Q382" i="1"/>
  <c r="AI382" i="1"/>
  <c r="AD550" i="1"/>
  <c r="L550" i="1"/>
  <c r="J550" i="1"/>
  <c r="R550" i="1"/>
  <c r="AB550" i="1"/>
  <c r="AC510" i="1"/>
  <c r="K510" i="1"/>
  <c r="AI467" i="1"/>
  <c r="Q467" i="1"/>
  <c r="K423" i="1"/>
  <c r="AC423" i="1"/>
  <c r="AB379" i="1"/>
  <c r="J379" i="1"/>
  <c r="R379" i="1"/>
  <c r="AI367" i="1"/>
  <c r="Q367" i="1"/>
  <c r="Q344" i="1"/>
  <c r="AI344" i="1"/>
  <c r="AF344" i="1"/>
  <c r="N344" i="1"/>
  <c r="AE324" i="1"/>
  <c r="M324" i="1"/>
  <c r="AG324" i="1"/>
  <c r="O324" i="1"/>
  <c r="L327" i="1"/>
  <c r="AD327" i="1"/>
  <c r="AC327" i="1"/>
  <c r="K327" i="1"/>
  <c r="O327" i="1"/>
  <c r="AG327" i="1"/>
  <c r="AB548" i="1"/>
  <c r="R548" i="1"/>
  <c r="J548" i="1"/>
  <c r="M548" i="1"/>
  <c r="AE548" i="1"/>
  <c r="AB499" i="1"/>
  <c r="R499" i="1"/>
  <c r="J499" i="1"/>
  <c r="Q458" i="1"/>
  <c r="AI458" i="1"/>
  <c r="AB328" i="1"/>
  <c r="J328" i="1"/>
  <c r="R328" i="1"/>
  <c r="AB560" i="1"/>
  <c r="R560" i="1"/>
  <c r="J560" i="1"/>
  <c r="M556" i="1"/>
  <c r="AE556" i="1"/>
  <c r="R412" i="1"/>
  <c r="J412" i="1"/>
  <c r="AB412" i="1"/>
  <c r="L537" i="1"/>
  <c r="AD537" i="1"/>
  <c r="M537" i="1"/>
  <c r="AE537" i="1"/>
  <c r="L541" i="1"/>
  <c r="AD541" i="1"/>
  <c r="K348" i="1"/>
  <c r="AC348" i="1"/>
  <c r="AD348" i="1"/>
  <c r="L348" i="1"/>
  <c r="M336" i="1"/>
  <c r="AE336" i="1"/>
  <c r="L336" i="1"/>
  <c r="AD336" i="1"/>
  <c r="Q336" i="1"/>
  <c r="AI336" i="1"/>
  <c r="AE315" i="1"/>
  <c r="M315" i="1"/>
  <c r="N315" i="1"/>
  <c r="AF315" i="1"/>
  <c r="AE341" i="1"/>
  <c r="M341" i="1"/>
  <c r="O341" i="1"/>
  <c r="AG341" i="1"/>
  <c r="AB418" i="1"/>
  <c r="J418" i="1"/>
  <c r="AB198" i="1"/>
  <c r="AA198" i="1" s="1"/>
  <c r="R198" i="1"/>
  <c r="J198" i="1"/>
  <c r="AE419" i="1"/>
  <c r="M419" i="1"/>
  <c r="J312" i="1"/>
  <c r="AB312" i="1"/>
  <c r="AA312" i="1" s="1"/>
  <c r="R312" i="1"/>
  <c r="J306" i="1"/>
  <c r="R306" i="1"/>
  <c r="AB306" i="1"/>
  <c r="AA306" i="1" s="1"/>
  <c r="N330" i="1"/>
  <c r="AF330" i="1"/>
  <c r="K330" i="1"/>
  <c r="AC330" i="1"/>
  <c r="AB101" i="1"/>
  <c r="AA101" i="1" s="1"/>
  <c r="R101" i="1"/>
  <c r="R437" i="1"/>
  <c r="AB437" i="1"/>
  <c r="AA437" i="1" s="1"/>
  <c r="R225" i="1"/>
  <c r="AB225" i="1"/>
  <c r="AA225" i="1" s="1"/>
  <c r="J225" i="1"/>
  <c r="I225" i="1" s="1"/>
  <c r="AI138" i="1"/>
  <c r="Q138" i="1"/>
  <c r="AB221" i="1"/>
  <c r="AA221" i="1" s="1"/>
  <c r="R221" i="1"/>
  <c r="J221" i="1"/>
  <c r="I221" i="1" s="1"/>
  <c r="R446" i="1"/>
  <c r="AB446" i="1"/>
  <c r="AA446" i="1" s="1"/>
  <c r="R249" i="1"/>
  <c r="AB249" i="1"/>
  <c r="AA249" i="1" s="1"/>
  <c r="H249" i="1"/>
  <c r="H245" i="1"/>
  <c r="R245" i="1"/>
  <c r="AB245" i="1"/>
  <c r="AA245" i="1" s="1"/>
  <c r="R218" i="1"/>
  <c r="AB218" i="1"/>
  <c r="AA218" i="1" s="1"/>
  <c r="J218" i="1"/>
  <c r="I218" i="1" s="1"/>
  <c r="R247" i="1"/>
  <c r="AB247" i="1"/>
  <c r="AA247" i="1" s="1"/>
  <c r="H247" i="1"/>
  <c r="R233" i="1"/>
  <c r="J233" i="1"/>
  <c r="I233" i="1" s="1"/>
  <c r="AB233" i="1"/>
  <c r="AA233" i="1" s="1"/>
  <c r="AB128" i="1"/>
  <c r="T128" i="1"/>
  <c r="J128" i="1"/>
  <c r="AB450" i="1"/>
  <c r="AA450" i="1" s="1"/>
  <c r="R450" i="1"/>
  <c r="AB256" i="1"/>
  <c r="AA256" i="1" s="1"/>
  <c r="H256" i="1"/>
  <c r="R256" i="1"/>
  <c r="R216" i="1"/>
  <c r="AB216" i="1"/>
  <c r="AA216" i="1" s="1"/>
  <c r="J216" i="1"/>
  <c r="I216" i="1" s="1"/>
  <c r="R229" i="1"/>
  <c r="AB229" i="1"/>
  <c r="AA229" i="1" s="1"/>
  <c r="J229" i="1"/>
  <c r="I229" i="1" s="1"/>
  <c r="AB234" i="1"/>
  <c r="AA234" i="1" s="1"/>
  <c r="J234" i="1"/>
  <c r="I234" i="1" s="1"/>
  <c r="R234" i="1"/>
  <c r="AI136" i="1"/>
  <c r="Q136" i="1"/>
  <c r="R440" i="1"/>
  <c r="AB440" i="1"/>
  <c r="AA440" i="1" s="1"/>
  <c r="AB258" i="1"/>
  <c r="AA258" i="1" s="1"/>
  <c r="AB219" i="1"/>
  <c r="AA219" i="1" s="1"/>
  <c r="R219" i="1"/>
  <c r="J219" i="1"/>
  <c r="I219" i="1" s="1"/>
  <c r="AB130" i="1"/>
  <c r="T130" i="1"/>
  <c r="J130" i="1"/>
  <c r="AB254" i="1"/>
  <c r="AA254" i="1" s="1"/>
  <c r="AI128" i="1"/>
  <c r="Q128" i="1"/>
  <c r="R228" i="1"/>
  <c r="AB228" i="1"/>
  <c r="AA228" i="1" s="1"/>
  <c r="J228" i="1"/>
  <c r="I228" i="1" s="1"/>
  <c r="AI121" i="1"/>
  <c r="Q121" i="1"/>
  <c r="AB227" i="1"/>
  <c r="AA227" i="1" s="1"/>
  <c r="R227" i="1"/>
  <c r="J227" i="1"/>
  <c r="I227" i="1" s="1"/>
  <c r="AB448" i="1"/>
  <c r="AA448" i="1" s="1"/>
  <c r="R448" i="1"/>
  <c r="R240" i="1"/>
  <c r="H240" i="1"/>
  <c r="AB240" i="1"/>
  <c r="AA240" i="1" s="1"/>
  <c r="T117" i="1"/>
  <c r="AB117" i="1"/>
  <c r="J117" i="1"/>
  <c r="AB262" i="1"/>
  <c r="AA262" i="1" s="1"/>
  <c r="AB443" i="1"/>
  <c r="AA443" i="1" s="1"/>
  <c r="R443" i="1"/>
  <c r="AI130" i="1"/>
  <c r="Q130" i="1"/>
  <c r="R231" i="1"/>
  <c r="J231" i="1"/>
  <c r="I231" i="1" s="1"/>
  <c r="AB231" i="1"/>
  <c r="AA231" i="1" s="1"/>
  <c r="AB264" i="1"/>
  <c r="AA264" i="1" s="1"/>
  <c r="H264" i="1"/>
  <c r="R264" i="1"/>
  <c r="R220" i="1"/>
  <c r="J220" i="1"/>
  <c r="I220" i="1" s="1"/>
  <c r="AB220" i="1"/>
  <c r="AA220" i="1" s="1"/>
  <c r="R235" i="1"/>
  <c r="J235" i="1"/>
  <c r="I235" i="1" s="1"/>
  <c r="AB235" i="1"/>
  <c r="AA235" i="1" s="1"/>
  <c r="T138" i="1"/>
  <c r="AB138" i="1"/>
  <c r="J138" i="1"/>
  <c r="AB121" i="1"/>
  <c r="T121" i="1"/>
  <c r="J121" i="1"/>
  <c r="AB232" i="1"/>
  <c r="AA232" i="1" s="1"/>
  <c r="R232" i="1"/>
  <c r="J232" i="1"/>
  <c r="I232" i="1" s="1"/>
  <c r="AB136" i="1"/>
  <c r="T136" i="1"/>
  <c r="J136" i="1"/>
  <c r="R260" i="1"/>
  <c r="H260" i="1"/>
  <c r="AB260" i="1"/>
  <c r="AA260" i="1" s="1"/>
  <c r="AI117" i="1"/>
  <c r="Q117" i="1"/>
  <c r="R236" i="1"/>
  <c r="AB236" i="1"/>
  <c r="AA236" i="1" s="1"/>
  <c r="J236" i="1"/>
  <c r="I236" i="1" s="1"/>
  <c r="AB439" i="1"/>
  <c r="AA439" i="1" s="1"/>
  <c r="AB447" i="1"/>
  <c r="AA447" i="1" s="1"/>
  <c r="AD403" i="1"/>
  <c r="AC401" i="1"/>
  <c r="AE411" i="1"/>
  <c r="AD409" i="1"/>
  <c r="AC400" i="1"/>
  <c r="AD408" i="1"/>
  <c r="AE402" i="1"/>
  <c r="AC410" i="1"/>
  <c r="AE403" i="1"/>
  <c r="AD406" i="1"/>
  <c r="AC411" i="1"/>
  <c r="AC409" i="1"/>
  <c r="AC405" i="1"/>
  <c r="AC404" i="1"/>
  <c r="AE410" i="1"/>
  <c r="AC407" i="1"/>
  <c r="AE404" i="1"/>
  <c r="AC408" i="1"/>
  <c r="AD410" i="1"/>
  <c r="AC406" i="1"/>
  <c r="AD401" i="1"/>
  <c r="AD411" i="1"/>
  <c r="AE409" i="1"/>
  <c r="AE407" i="1"/>
  <c r="AD400" i="1"/>
  <c r="AE405" i="1"/>
  <c r="AD404" i="1"/>
  <c r="AD402" i="1"/>
  <c r="AD405" i="1"/>
  <c r="AE408" i="1"/>
  <c r="AC402" i="1"/>
  <c r="AC403" i="1"/>
  <c r="AE406" i="1"/>
  <c r="AE401" i="1"/>
  <c r="AD407" i="1"/>
  <c r="AE400" i="1"/>
  <c r="AM532" i="1"/>
  <c r="AM534" i="1"/>
  <c r="R439" i="1"/>
  <c r="AM447" i="1"/>
  <c r="AM529" i="1"/>
  <c r="AB438" i="1"/>
  <c r="AA438" i="1" s="1"/>
  <c r="AM439" i="1"/>
  <c r="AM580" i="1"/>
  <c r="AB445" i="1"/>
  <c r="AA445" i="1" s="1"/>
  <c r="R447" i="1"/>
  <c r="AB444" i="1"/>
  <c r="AA444" i="1" s="1"/>
  <c r="R436" i="1"/>
  <c r="AM445" i="1"/>
  <c r="AB449" i="1"/>
  <c r="AA449" i="1" s="1"/>
  <c r="AM449" i="1"/>
  <c r="AB451" i="1"/>
  <c r="AA451" i="1" s="1"/>
  <c r="AM436" i="1"/>
  <c r="AB441" i="1"/>
  <c r="AA441" i="1" s="1"/>
  <c r="AM441" i="1"/>
  <c r="AB580" i="1"/>
  <c r="AA580" i="1" s="1"/>
  <c r="R580" i="1"/>
  <c r="AB436" i="1"/>
  <c r="AA436" i="1" s="1"/>
  <c r="AA442" i="1" l="1"/>
  <c r="AA452" i="1"/>
  <c r="AA373" i="1"/>
  <c r="AA381" i="1"/>
  <c r="H446" i="1"/>
  <c r="J478" i="1" s="1" a="1"/>
  <c r="J478" i="1" s="1"/>
  <c r="H443" i="1"/>
  <c r="J475" i="1" s="1" a="1"/>
  <c r="J475" i="1" s="1"/>
  <c r="H440" i="1"/>
  <c r="J472" i="1" s="1" a="1"/>
  <c r="J472" i="1" s="1"/>
  <c r="H448" i="1"/>
  <c r="J480" i="1" s="1" a="1"/>
  <c r="J480" i="1" s="1"/>
  <c r="H437" i="1"/>
  <c r="J469" i="1" s="1" a="1"/>
  <c r="J469" i="1" s="1"/>
  <c r="I499" i="1"/>
  <c r="H499" i="1" s="1"/>
  <c r="K513" i="1" s="1" a="1"/>
  <c r="K513" i="1" s="1"/>
  <c r="I375" i="1"/>
  <c r="H375" i="1" s="1"/>
  <c r="K392" i="1" s="1" a="1"/>
  <c r="K392" i="1" s="1"/>
  <c r="AA378" i="1"/>
  <c r="I373" i="1"/>
  <c r="H373" i="1" s="1"/>
  <c r="K390" i="1" s="1" a="1"/>
  <c r="K390" i="1" s="1"/>
  <c r="I376" i="1"/>
  <c r="H376" i="1" s="1"/>
  <c r="K393" i="1" s="1" a="1"/>
  <c r="K393" i="1" s="1"/>
  <c r="I560" i="1"/>
  <c r="H560" i="1" s="1"/>
  <c r="K578" i="1" s="1" a="1"/>
  <c r="K578" i="1" s="1"/>
  <c r="AA508" i="1"/>
  <c r="I379" i="1"/>
  <c r="H379" i="1" s="1"/>
  <c r="K396" i="1" s="1" a="1"/>
  <c r="K396" i="1" s="1"/>
  <c r="I508" i="1"/>
  <c r="H508" i="1" s="1"/>
  <c r="K522" i="1" s="1" a="1"/>
  <c r="K522" i="1" s="1"/>
  <c r="AA550" i="1"/>
  <c r="AA366" i="1"/>
  <c r="I380" i="1"/>
  <c r="H380" i="1" s="1"/>
  <c r="K397" i="1" s="1" a="1"/>
  <c r="K397" i="1" s="1"/>
  <c r="AA492" i="1"/>
  <c r="AA505" i="1"/>
  <c r="I418" i="1"/>
  <c r="H418" i="1" s="1"/>
  <c r="K430" i="1" s="1" a="1"/>
  <c r="K430" i="1" s="1"/>
  <c r="AA499" i="1"/>
  <c r="I506" i="1"/>
  <c r="H506" i="1" s="1"/>
  <c r="K520" i="1" s="1" a="1"/>
  <c r="K520" i="1" s="1"/>
  <c r="AA380" i="1"/>
  <c r="I420" i="1"/>
  <c r="H420" i="1" s="1"/>
  <c r="K432" i="1" s="1" a="1"/>
  <c r="K432" i="1" s="1"/>
  <c r="I465" i="1"/>
  <c r="H465" i="1" s="1"/>
  <c r="K481" i="1" s="1" a="1"/>
  <c r="K481" i="1" s="1"/>
  <c r="AA501" i="1"/>
  <c r="I366" i="1"/>
  <c r="H366" i="1" s="1"/>
  <c r="K383" i="1" s="1" a="1"/>
  <c r="K383" i="1" s="1"/>
  <c r="I456" i="1"/>
  <c r="H456" i="1" s="1"/>
  <c r="K472" i="1" s="1" a="1"/>
  <c r="K472" i="1" s="1"/>
  <c r="I492" i="1"/>
  <c r="AA375" i="1"/>
  <c r="AA503" i="1"/>
  <c r="AA376" i="1"/>
  <c r="I460" i="1"/>
  <c r="H460" i="1" s="1"/>
  <c r="K476" i="1" s="1" a="1"/>
  <c r="K476" i="1" s="1"/>
  <c r="I374" i="1"/>
  <c r="H374" i="1" s="1"/>
  <c r="K391" i="1" s="1" a="1"/>
  <c r="K391" i="1" s="1"/>
  <c r="I368" i="1"/>
  <c r="H368" i="1" s="1"/>
  <c r="K385" i="1" s="1" a="1"/>
  <c r="K385" i="1" s="1"/>
  <c r="AA460" i="1"/>
  <c r="I370" i="1"/>
  <c r="H370" i="1" s="1"/>
  <c r="K387" i="1" s="1" a="1"/>
  <c r="K387" i="1" s="1"/>
  <c r="I505" i="1"/>
  <c r="H505" i="1" s="1"/>
  <c r="K519" i="1" s="1" a="1"/>
  <c r="K519" i="1" s="1"/>
  <c r="AA465" i="1"/>
  <c r="AA506" i="1"/>
  <c r="I547" i="1"/>
  <c r="H547" i="1" s="1"/>
  <c r="K565" i="1" s="1" a="1"/>
  <c r="K565" i="1" s="1"/>
  <c r="AA456" i="1"/>
  <c r="I412" i="1"/>
  <c r="H412" i="1" s="1"/>
  <c r="K424" i="1" s="1" a="1"/>
  <c r="K424" i="1" s="1"/>
  <c r="AA539" i="1"/>
  <c r="I502" i="1"/>
  <c r="H502" i="1" s="1"/>
  <c r="K516" i="1" s="1" a="1"/>
  <c r="K516" i="1" s="1"/>
  <c r="AA382" i="1"/>
  <c r="I538" i="1"/>
  <c r="I452" i="1"/>
  <c r="H452" i="1" s="1"/>
  <c r="K468" i="1" s="1" a="1"/>
  <c r="K468" i="1" s="1"/>
  <c r="AA554" i="1"/>
  <c r="I503" i="1"/>
  <c r="H503" i="1" s="1"/>
  <c r="K517" i="1" s="1" a="1"/>
  <c r="K517" i="1" s="1"/>
  <c r="I548" i="1"/>
  <c r="H548" i="1" s="1"/>
  <c r="K566" i="1" s="1" a="1"/>
  <c r="K566" i="1" s="1"/>
  <c r="I371" i="1"/>
  <c r="H371" i="1" s="1"/>
  <c r="K388" i="1" s="1" a="1"/>
  <c r="K388" i="1" s="1"/>
  <c r="I545" i="1"/>
  <c r="H545" i="1" s="1"/>
  <c r="K563" i="1" s="1" a="1"/>
  <c r="K563" i="1" s="1"/>
  <c r="I507" i="1"/>
  <c r="H507" i="1" s="1"/>
  <c r="K521" i="1" s="1" a="1"/>
  <c r="K521" i="1" s="1"/>
  <c r="I544" i="1"/>
  <c r="H544" i="1" s="1"/>
  <c r="K562" i="1" s="1" a="1"/>
  <c r="K562" i="1" s="1"/>
  <c r="I500" i="1"/>
  <c r="H500" i="1" s="1"/>
  <c r="K514" i="1" s="1" a="1"/>
  <c r="K514" i="1" s="1"/>
  <c r="I539" i="1"/>
  <c r="I552" i="1"/>
  <c r="H552" i="1" s="1"/>
  <c r="K570" i="1" s="1" a="1"/>
  <c r="K570" i="1" s="1"/>
  <c r="I550" i="1"/>
  <c r="H550" i="1" s="1"/>
  <c r="K568" i="1" s="1" a="1"/>
  <c r="K568" i="1" s="1"/>
  <c r="I467" i="1"/>
  <c r="H467" i="1" s="1"/>
  <c r="K483" i="1" s="1" a="1"/>
  <c r="K483" i="1" s="1"/>
  <c r="I413" i="1"/>
  <c r="H413" i="1" s="1"/>
  <c r="K425" i="1" s="1" a="1"/>
  <c r="K425" i="1" s="1"/>
  <c r="I423" i="1"/>
  <c r="H423" i="1" s="1"/>
  <c r="K435" i="1" s="1" a="1"/>
  <c r="K435" i="1" s="1"/>
  <c r="I540" i="1"/>
  <c r="I555" i="1"/>
  <c r="H555" i="1" s="1"/>
  <c r="K573" i="1" s="1" a="1"/>
  <c r="K573" i="1" s="1"/>
  <c r="I422" i="1"/>
  <c r="H422" i="1" s="1"/>
  <c r="K434" i="1" s="1" a="1"/>
  <c r="K434" i="1" s="1"/>
  <c r="I464" i="1"/>
  <c r="H464" i="1" s="1"/>
  <c r="K480" i="1" s="1" a="1"/>
  <c r="K480" i="1" s="1"/>
  <c r="I501" i="1"/>
  <c r="H501" i="1" s="1"/>
  <c r="K515" i="1" s="1" a="1"/>
  <c r="K515" i="1" s="1"/>
  <c r="I369" i="1"/>
  <c r="H369" i="1" s="1"/>
  <c r="K386" i="1" s="1" a="1"/>
  <c r="K386" i="1" s="1"/>
  <c r="I511" i="1"/>
  <c r="H511" i="1" s="1"/>
  <c r="K525" i="1" s="1" a="1"/>
  <c r="K525" i="1" s="1"/>
  <c r="I372" i="1"/>
  <c r="H372" i="1" s="1"/>
  <c r="K389" i="1" s="1" a="1"/>
  <c r="K389" i="1" s="1"/>
  <c r="I537" i="1"/>
  <c r="I417" i="1"/>
  <c r="H417" i="1" s="1"/>
  <c r="K429" i="1" s="1" a="1"/>
  <c r="K429" i="1" s="1"/>
  <c r="I504" i="1"/>
  <c r="H504" i="1" s="1"/>
  <c r="K518" i="1" s="1" a="1"/>
  <c r="K518" i="1" s="1"/>
  <c r="I546" i="1"/>
  <c r="H546" i="1" s="1"/>
  <c r="K564" i="1" s="1" a="1"/>
  <c r="K564" i="1" s="1"/>
  <c r="I536" i="1"/>
  <c r="I461" i="1"/>
  <c r="H461" i="1" s="1"/>
  <c r="K477" i="1" s="1" a="1"/>
  <c r="K477" i="1" s="1"/>
  <c r="I554" i="1"/>
  <c r="H554" i="1" s="1"/>
  <c r="K572" i="1" s="1" a="1"/>
  <c r="K572" i="1" s="1"/>
  <c r="I454" i="1"/>
  <c r="H454" i="1" s="1"/>
  <c r="K470" i="1" s="1" a="1"/>
  <c r="K470" i="1" s="1"/>
  <c r="I367" i="1"/>
  <c r="H367" i="1" s="1"/>
  <c r="K384" i="1" s="1" a="1"/>
  <c r="K384" i="1" s="1"/>
  <c r="I510" i="1"/>
  <c r="H510" i="1" s="1"/>
  <c r="K524" i="1" s="1" a="1"/>
  <c r="K524" i="1" s="1"/>
  <c r="I556" i="1"/>
  <c r="H556" i="1" s="1"/>
  <c r="K574" i="1" s="1" a="1"/>
  <c r="K574" i="1" s="1"/>
  <c r="I455" i="1"/>
  <c r="H455" i="1" s="1"/>
  <c r="K471" i="1" s="1" a="1"/>
  <c r="K471" i="1" s="1"/>
  <c r="I382" i="1"/>
  <c r="H382" i="1" s="1"/>
  <c r="K399" i="1" s="1" a="1"/>
  <c r="K399" i="1" s="1"/>
  <c r="I509" i="1"/>
  <c r="H509" i="1" s="1"/>
  <c r="K523" i="1" s="1" a="1"/>
  <c r="K523" i="1" s="1"/>
  <c r="I549" i="1"/>
  <c r="H549" i="1" s="1"/>
  <c r="K567" i="1" s="1" a="1"/>
  <c r="K567" i="1" s="1"/>
  <c r="I463" i="1"/>
  <c r="H463" i="1" s="1"/>
  <c r="K479" i="1" s="1" a="1"/>
  <c r="K479" i="1" s="1"/>
  <c r="I551" i="1"/>
  <c r="H551" i="1" s="1"/>
  <c r="K569" i="1" s="1" a="1"/>
  <c r="K569" i="1" s="1"/>
  <c r="I531" i="1"/>
  <c r="I377" i="1"/>
  <c r="H377" i="1" s="1"/>
  <c r="K394" i="1" s="1" a="1"/>
  <c r="K394" i="1" s="1"/>
  <c r="I421" i="1"/>
  <c r="H421" i="1" s="1"/>
  <c r="K433" i="1" s="1" a="1"/>
  <c r="K433" i="1" s="1"/>
  <c r="I457" i="1"/>
  <c r="H457" i="1" s="1"/>
  <c r="K473" i="1" s="1" a="1"/>
  <c r="K473" i="1" s="1"/>
  <c r="I541" i="1"/>
  <c r="I557" i="1"/>
  <c r="H557" i="1" s="1"/>
  <c r="K575" i="1" s="1" a="1"/>
  <c r="K575" i="1" s="1"/>
  <c r="I416" i="1"/>
  <c r="H416" i="1" s="1"/>
  <c r="K428" i="1" s="1" a="1"/>
  <c r="K428" i="1" s="1"/>
  <c r="I493" i="1"/>
  <c r="I542" i="1"/>
  <c r="I459" i="1"/>
  <c r="H459" i="1" s="1"/>
  <c r="K475" i="1" s="1" a="1"/>
  <c r="K475" i="1" s="1"/>
  <c r="I462" i="1"/>
  <c r="H462" i="1" s="1"/>
  <c r="K478" i="1" s="1" a="1"/>
  <c r="K478" i="1" s="1"/>
  <c r="I558" i="1"/>
  <c r="H558" i="1" s="1"/>
  <c r="K576" i="1" s="1" a="1"/>
  <c r="K576" i="1" s="1"/>
  <c r="I561" i="1"/>
  <c r="H561" i="1" s="1"/>
  <c r="K579" i="1" s="1" a="1"/>
  <c r="K579" i="1" s="1"/>
  <c r="I442" i="1"/>
  <c r="I419" i="1"/>
  <c r="H419" i="1" s="1"/>
  <c r="K431" i="1" s="1" a="1"/>
  <c r="K431" i="1" s="1"/>
  <c r="I498" i="1"/>
  <c r="H498" i="1" s="1"/>
  <c r="K512" i="1" s="1" a="1"/>
  <c r="K512" i="1" s="1"/>
  <c r="I553" i="1"/>
  <c r="H553" i="1" s="1"/>
  <c r="K571" i="1" s="1" a="1"/>
  <c r="K571" i="1" s="1"/>
  <c r="I415" i="1"/>
  <c r="H415" i="1" s="1"/>
  <c r="K427" i="1" s="1" a="1"/>
  <c r="K427" i="1" s="1"/>
  <c r="I458" i="1"/>
  <c r="H458" i="1" s="1"/>
  <c r="K474" i="1" s="1" a="1"/>
  <c r="K474" i="1" s="1"/>
  <c r="I543" i="1"/>
  <c r="I381" i="1"/>
  <c r="H381" i="1" s="1"/>
  <c r="K398" i="1" s="1" a="1"/>
  <c r="K398" i="1" s="1"/>
  <c r="I453" i="1"/>
  <c r="H453" i="1" s="1"/>
  <c r="K469" i="1" s="1" a="1"/>
  <c r="K469" i="1" s="1"/>
  <c r="I559" i="1"/>
  <c r="H559" i="1" s="1"/>
  <c r="K577" i="1" s="1" a="1"/>
  <c r="K577" i="1" s="1"/>
  <c r="I414" i="1"/>
  <c r="H414" i="1" s="1"/>
  <c r="K426" i="1" s="1" a="1"/>
  <c r="K426" i="1" s="1"/>
  <c r="I378" i="1"/>
  <c r="H378" i="1" s="1"/>
  <c r="K395" i="1" s="1" a="1"/>
  <c r="K395" i="1" s="1"/>
  <c r="I466" i="1"/>
  <c r="H466" i="1" s="1"/>
  <c r="K482" i="1" s="1" a="1"/>
  <c r="K482" i="1" s="1"/>
  <c r="I58" i="1"/>
  <c r="H58" i="1" s="1"/>
  <c r="I312" i="1"/>
  <c r="H312" i="1" s="1"/>
  <c r="I300" i="1"/>
  <c r="H300" i="1" s="1"/>
  <c r="I320" i="1"/>
  <c r="H320" i="1" s="1"/>
  <c r="I315" i="1"/>
  <c r="H315" i="1" s="1"/>
  <c r="I347" i="1"/>
  <c r="H347" i="1" s="1"/>
  <c r="I337" i="1"/>
  <c r="H337" i="1" s="1"/>
  <c r="I306" i="1"/>
  <c r="H306" i="1" s="1"/>
  <c r="I309" i="1"/>
  <c r="H309" i="1" s="1"/>
  <c r="I335" i="1"/>
  <c r="H335" i="1" s="1"/>
  <c r="I346" i="1"/>
  <c r="H346" i="1" s="1"/>
  <c r="I311" i="1"/>
  <c r="H311" i="1" s="1"/>
  <c r="I332" i="1"/>
  <c r="H332" i="1" s="1"/>
  <c r="I334" i="1"/>
  <c r="H334" i="1" s="1"/>
  <c r="I319" i="1"/>
  <c r="H319" i="1" s="1"/>
  <c r="I343" i="1"/>
  <c r="H343" i="1" s="1"/>
  <c r="I298" i="1"/>
  <c r="H298" i="1" s="1"/>
  <c r="I348" i="1"/>
  <c r="H348" i="1" s="1"/>
  <c r="I344" i="1"/>
  <c r="H344" i="1" s="1"/>
  <c r="I333" i="1"/>
  <c r="H333" i="1" s="1"/>
  <c r="I318" i="1"/>
  <c r="H318" i="1" s="1"/>
  <c r="I304" i="1"/>
  <c r="H304" i="1" s="1"/>
  <c r="I317" i="1"/>
  <c r="H317" i="1" s="1"/>
  <c r="I345" i="1"/>
  <c r="H345" i="1" s="1"/>
  <c r="I330" i="1"/>
  <c r="H330" i="1" s="1"/>
  <c r="I302" i="1"/>
  <c r="H302" i="1" s="1"/>
  <c r="I329" i="1"/>
  <c r="H329" i="1" s="1"/>
  <c r="I326" i="1"/>
  <c r="H326" i="1" s="1"/>
  <c r="I308" i="1"/>
  <c r="H308" i="1" s="1"/>
  <c r="I328" i="1"/>
  <c r="H328" i="1" s="1"/>
  <c r="I340" i="1"/>
  <c r="H340" i="1" s="1"/>
  <c r="I305" i="1"/>
  <c r="H305" i="1" s="1"/>
  <c r="I327" i="1"/>
  <c r="H327" i="1" s="1"/>
  <c r="I324" i="1"/>
  <c r="H324" i="1" s="1"/>
  <c r="I297" i="1"/>
  <c r="H297" i="1" s="1"/>
  <c r="I338" i="1"/>
  <c r="H338" i="1" s="1"/>
  <c r="I341" i="1"/>
  <c r="H341" i="1" s="1"/>
  <c r="I303" i="1"/>
  <c r="H303" i="1" s="1"/>
  <c r="I310" i="1"/>
  <c r="H310" i="1" s="1"/>
  <c r="I339" i="1"/>
  <c r="H339" i="1" s="1"/>
  <c r="I314" i="1"/>
  <c r="H314" i="1" s="1"/>
  <c r="I294" i="1"/>
  <c r="H294" i="1" s="1"/>
  <c r="I296" i="1"/>
  <c r="H296" i="1" s="1"/>
  <c r="I321" i="1"/>
  <c r="H321" i="1" s="1"/>
  <c r="I336" i="1"/>
  <c r="H336" i="1" s="1"/>
  <c r="I313" i="1"/>
  <c r="H313" i="1" s="1"/>
  <c r="I299" i="1"/>
  <c r="H299" i="1" s="1"/>
  <c r="I325" i="1"/>
  <c r="H325" i="1" s="1"/>
  <c r="I331" i="1"/>
  <c r="H331" i="1" s="1"/>
  <c r="I316" i="1"/>
  <c r="H316" i="1" s="1"/>
  <c r="I322" i="1"/>
  <c r="H322" i="1" s="1"/>
  <c r="I342" i="1"/>
  <c r="H342" i="1" s="1"/>
  <c r="I323" i="1"/>
  <c r="H323" i="1" s="1"/>
  <c r="I307" i="1"/>
  <c r="H307" i="1" s="1"/>
  <c r="I199" i="1"/>
  <c r="H199" i="1" s="1"/>
  <c r="I202" i="1"/>
  <c r="H202" i="1" s="1"/>
  <c r="H450" i="1"/>
  <c r="J482" i="1" s="1" a="1"/>
  <c r="J482" i="1" s="1"/>
  <c r="I190" i="1"/>
  <c r="H190" i="1" s="1"/>
  <c r="I581" i="1"/>
  <c r="H581" i="1" s="1"/>
  <c r="I197" i="1"/>
  <c r="H197" i="1" s="1"/>
  <c r="I198" i="1"/>
  <c r="H198" i="1" s="1"/>
  <c r="I201" i="1"/>
  <c r="H201" i="1" s="1"/>
  <c r="AA417" i="1"/>
  <c r="AA556" i="1"/>
  <c r="AA455" i="1"/>
  <c r="AA542" i="1"/>
  <c r="AA374" i="1"/>
  <c r="AA551" i="1"/>
  <c r="AA414" i="1"/>
  <c r="AA420" i="1"/>
  <c r="AA502" i="1"/>
  <c r="AA552" i="1"/>
  <c r="AA336" i="1"/>
  <c r="AA541" i="1"/>
  <c r="AA421" i="1"/>
  <c r="AA335" i="1"/>
  <c r="AA346" i="1"/>
  <c r="AA317" i="1"/>
  <c r="AA555" i="1"/>
  <c r="AA331" i="1"/>
  <c r="AA454" i="1"/>
  <c r="AA319" i="1"/>
  <c r="AA368" i="1"/>
  <c r="AA540" i="1"/>
  <c r="AA422" i="1"/>
  <c r="AA458" i="1"/>
  <c r="AA459" i="1"/>
  <c r="AA318" i="1"/>
  <c r="AA543" i="1"/>
  <c r="AA462" i="1"/>
  <c r="AA463" i="1"/>
  <c r="AA330" i="1"/>
  <c r="AA561" i="1"/>
  <c r="AA314" i="1"/>
  <c r="AA337" i="1"/>
  <c r="AA536" i="1"/>
  <c r="AA343" i="1"/>
  <c r="AA415" i="1"/>
  <c r="AA344" i="1"/>
  <c r="AA323" i="1"/>
  <c r="AA558" i="1"/>
  <c r="AA329" i="1"/>
  <c r="AA559" i="1"/>
  <c r="AA560" i="1"/>
  <c r="AA379" i="1"/>
  <c r="AA313" i="1"/>
  <c r="AA340" i="1"/>
  <c r="AA419" i="1"/>
  <c r="AA327" i="1"/>
  <c r="AA467" i="1"/>
  <c r="AA498" i="1"/>
  <c r="AA457" i="1"/>
  <c r="AA58" i="1"/>
  <c r="AA423" i="1"/>
  <c r="AA333" i="1"/>
  <c r="AA322" i="1"/>
  <c r="AA557" i="1"/>
  <c r="AA547" i="1"/>
  <c r="AA548" i="1"/>
  <c r="AA371" i="1"/>
  <c r="AA509" i="1"/>
  <c r="AA372" i="1"/>
  <c r="AA345" i="1"/>
  <c r="AA347" i="1"/>
  <c r="AA326" i="1"/>
  <c r="AA500" i="1"/>
  <c r="AA466" i="1"/>
  <c r="AA315" i="1"/>
  <c r="AA348" i="1"/>
  <c r="AA493" i="1"/>
  <c r="AA544" i="1"/>
  <c r="AA341" i="1"/>
  <c r="AA412" i="1"/>
  <c r="AA538" i="1"/>
  <c r="AA321" i="1"/>
  <c r="AA377" i="1"/>
  <c r="AA418" i="1"/>
  <c r="AA537" i="1"/>
  <c r="AA324" i="1"/>
  <c r="AA510" i="1"/>
  <c r="AA413" i="1"/>
  <c r="AA507" i="1"/>
  <c r="AA531" i="1"/>
  <c r="AA325" i="1"/>
  <c r="AA332" i="1"/>
  <c r="AA316" i="1"/>
  <c r="AA553" i="1"/>
  <c r="AA367" i="1"/>
  <c r="AA334" i="1"/>
  <c r="AA370" i="1"/>
  <c r="AA416" i="1"/>
  <c r="AA320" i="1"/>
  <c r="AA545" i="1"/>
  <c r="AA342" i="1"/>
  <c r="AA464" i="1"/>
  <c r="AA328" i="1"/>
  <c r="AA369" i="1"/>
  <c r="AA549" i="1"/>
  <c r="AA511" i="1"/>
  <c r="AA338" i="1"/>
  <c r="AA453" i="1"/>
  <c r="AA504" i="1"/>
  <c r="AA339" i="1"/>
  <c r="AA546" i="1"/>
  <c r="AA461" i="1"/>
  <c r="H232" i="1"/>
  <c r="H227" i="1"/>
  <c r="H234" i="1"/>
  <c r="H225" i="1"/>
  <c r="H236" i="1"/>
  <c r="H220" i="1"/>
  <c r="H228" i="1"/>
  <c r="H216" i="1"/>
  <c r="H235" i="1"/>
  <c r="H219" i="1"/>
  <c r="H229" i="1"/>
  <c r="H233" i="1"/>
  <c r="H231" i="1"/>
  <c r="H218" i="1"/>
  <c r="H221" i="1"/>
  <c r="R258" i="1"/>
  <c r="U136" i="1"/>
  <c r="AC136" i="1"/>
  <c r="K136" i="1"/>
  <c r="AC121" i="1"/>
  <c r="U121" i="1"/>
  <c r="K121" i="1"/>
  <c r="R254" i="1"/>
  <c r="AC138" i="1"/>
  <c r="U138" i="1"/>
  <c r="K138" i="1"/>
  <c r="AC117" i="1"/>
  <c r="U117" i="1"/>
  <c r="K117" i="1"/>
  <c r="H254" i="1"/>
  <c r="U130" i="1"/>
  <c r="AC130" i="1"/>
  <c r="K130" i="1"/>
  <c r="U128" i="1"/>
  <c r="AC128" i="1"/>
  <c r="K128" i="1"/>
  <c r="R262" i="1"/>
  <c r="H262" i="1"/>
  <c r="H258" i="1"/>
  <c r="R438" i="1"/>
  <c r="R445" i="1"/>
  <c r="R449" i="1"/>
  <c r="R444" i="1"/>
  <c r="R441" i="1"/>
  <c r="R451" i="1"/>
  <c r="H482" i="1" l="1"/>
  <c r="H469" i="1"/>
  <c r="H478" i="1"/>
  <c r="H480" i="1"/>
  <c r="H472" i="1"/>
  <c r="H475" i="1"/>
  <c r="H542" i="1"/>
  <c r="J578" i="1" s="1" a="1"/>
  <c r="J578" i="1" s="1"/>
  <c r="H578" i="1" s="1"/>
  <c r="H531" i="1"/>
  <c r="J567" i="1" s="1" a="1"/>
  <c r="J567" i="1" s="1"/>
  <c r="H567" i="1" s="1"/>
  <c r="H543" i="1"/>
  <c r="H541" i="1"/>
  <c r="J577" i="1" s="1" a="1"/>
  <c r="J577" i="1" s="1"/>
  <c r="H577" i="1" s="1"/>
  <c r="H536" i="1"/>
  <c r="J572" i="1" s="1" a="1"/>
  <c r="J572" i="1" s="1"/>
  <c r="H572" i="1" s="1"/>
  <c r="H537" i="1"/>
  <c r="J573" i="1" s="1" a="1"/>
  <c r="J573" i="1" s="1"/>
  <c r="H573" i="1" s="1"/>
  <c r="H540" i="1"/>
  <c r="J576" i="1" s="1" a="1"/>
  <c r="J576" i="1" s="1"/>
  <c r="H576" i="1" s="1"/>
  <c r="H538" i="1"/>
  <c r="J574" i="1" s="1" a="1"/>
  <c r="J574" i="1" s="1"/>
  <c r="H574" i="1" s="1"/>
  <c r="H539" i="1"/>
  <c r="J575" i="1" s="1" a="1"/>
  <c r="J575" i="1" s="1"/>
  <c r="H575" i="1" s="1"/>
  <c r="H493" i="1"/>
  <c r="J521" i="1" s="1" a="1"/>
  <c r="J521" i="1" s="1"/>
  <c r="H521" i="1" s="1"/>
  <c r="H492" i="1"/>
  <c r="J520" i="1" s="1" a="1"/>
  <c r="J520" i="1" s="1"/>
  <c r="H520" i="1" s="1"/>
  <c r="H442" i="1"/>
  <c r="J474" i="1" s="1" a="1"/>
  <c r="J474" i="1" s="1"/>
  <c r="H474" i="1" s="1"/>
  <c r="K257" i="1"/>
  <c r="L257" i="1"/>
  <c r="M257" i="1"/>
  <c r="J257" i="1"/>
  <c r="M243" i="1"/>
  <c r="J243" i="1"/>
  <c r="L243" i="1"/>
  <c r="K243" i="1"/>
  <c r="K263" i="1"/>
  <c r="M263" i="1"/>
  <c r="J263" i="1"/>
  <c r="L263" i="1"/>
  <c r="M246" i="1"/>
  <c r="J246" i="1"/>
  <c r="K246" i="1"/>
  <c r="L246" i="1"/>
  <c r="L241" i="1"/>
  <c r="J241" i="1"/>
  <c r="K241" i="1"/>
  <c r="M241" i="1"/>
  <c r="M259" i="1"/>
  <c r="L259" i="1"/>
  <c r="K259" i="1"/>
  <c r="J259" i="1"/>
  <c r="M252" i="1"/>
  <c r="K252" i="1"/>
  <c r="L252" i="1"/>
  <c r="J252" i="1"/>
  <c r="M244" i="1"/>
  <c r="L244" i="1"/>
  <c r="K244" i="1"/>
  <c r="J244" i="1"/>
  <c r="M251" i="1"/>
  <c r="L251" i="1"/>
  <c r="J251" i="1"/>
  <c r="K251" i="1"/>
  <c r="M255" i="1"/>
  <c r="J255" i="1"/>
  <c r="L255" i="1"/>
  <c r="K255" i="1"/>
  <c r="M239" i="1"/>
  <c r="L239" i="1"/>
  <c r="K239" i="1"/>
  <c r="J239" i="1"/>
  <c r="J250" i="1"/>
  <c r="K250" i="1"/>
  <c r="M250" i="1"/>
  <c r="L250" i="1"/>
  <c r="J238" i="1"/>
  <c r="M238" i="1"/>
  <c r="K238" i="1"/>
  <c r="L238" i="1"/>
  <c r="L248" i="1"/>
  <c r="K248" i="1"/>
  <c r="M248" i="1"/>
  <c r="J248" i="1"/>
  <c r="M242" i="1"/>
  <c r="L242" i="1"/>
  <c r="J242" i="1"/>
  <c r="K242" i="1"/>
  <c r="J237" i="1"/>
  <c r="L237" i="1"/>
  <c r="M237" i="1"/>
  <c r="K237" i="1"/>
  <c r="M261" i="1"/>
  <c r="J261" i="1"/>
  <c r="L261" i="1"/>
  <c r="K261" i="1"/>
  <c r="K253" i="1"/>
  <c r="M253" i="1"/>
  <c r="L253" i="1"/>
  <c r="J253" i="1"/>
  <c r="V128" i="1"/>
  <c r="R128" i="1" s="1"/>
  <c r="AD128" i="1"/>
  <c r="L128" i="1"/>
  <c r="AD121" i="1"/>
  <c r="V121" i="1"/>
  <c r="R121" i="1" s="1"/>
  <c r="L121" i="1"/>
  <c r="V117" i="1"/>
  <c r="R117" i="1" s="1"/>
  <c r="AD117" i="1"/>
  <c r="L117" i="1"/>
  <c r="AD138" i="1"/>
  <c r="V138" i="1"/>
  <c r="R138" i="1" s="1"/>
  <c r="L138" i="1"/>
  <c r="AD136" i="1"/>
  <c r="V136" i="1"/>
  <c r="R136" i="1" s="1"/>
  <c r="L136" i="1"/>
  <c r="V130" i="1"/>
  <c r="R130" i="1" s="1"/>
  <c r="AD130" i="1"/>
  <c r="L130" i="1"/>
  <c r="AM353" i="1"/>
  <c r="AM363" i="1"/>
  <c r="AM358" i="1"/>
  <c r="AM362" i="1"/>
  <c r="AM402" i="1"/>
  <c r="AM410" i="1"/>
  <c r="AM408" i="1"/>
  <c r="AM496" i="1"/>
  <c r="AM403" i="1"/>
  <c r="AM491" i="1"/>
  <c r="AM527" i="1"/>
  <c r="AM485" i="1"/>
  <c r="AM365" i="1"/>
  <c r="AM355" i="1"/>
  <c r="AM352" i="1"/>
  <c r="AM490" i="1"/>
  <c r="AM356" i="1"/>
  <c r="AM404" i="1"/>
  <c r="AM489" i="1"/>
  <c r="AM484" i="1"/>
  <c r="AM488" i="1"/>
  <c r="AM409" i="1"/>
  <c r="AM497" i="1"/>
  <c r="AM357" i="1"/>
  <c r="AM359" i="1"/>
  <c r="AM350" i="1"/>
  <c r="AM360" i="1"/>
  <c r="AM528" i="1"/>
  <c r="AM486" i="1"/>
  <c r="AM411" i="1"/>
  <c r="AM526" i="1"/>
  <c r="AM405" i="1"/>
  <c r="AM494" i="1"/>
  <c r="AM349" i="1"/>
  <c r="AM361" i="1"/>
  <c r="AM351" i="1"/>
  <c r="AM364" i="1"/>
  <c r="AM406" i="1"/>
  <c r="AM495" i="1"/>
  <c r="AM354" i="1"/>
  <c r="AM400" i="1"/>
  <c r="AM407" i="1"/>
  <c r="AM401" i="1"/>
  <c r="AM487" i="1"/>
  <c r="AM293" i="1"/>
  <c r="AM289" i="1"/>
  <c r="AM285" i="1"/>
  <c r="AM281" i="1"/>
  <c r="AM277" i="1"/>
  <c r="AM273" i="1"/>
  <c r="AM269" i="1"/>
  <c r="AM292" i="1"/>
  <c r="AM288" i="1"/>
  <c r="AM284" i="1"/>
  <c r="AM280" i="1"/>
  <c r="AM276" i="1"/>
  <c r="AM272" i="1"/>
  <c r="AM268" i="1"/>
  <c r="AM291" i="1"/>
  <c r="AM287" i="1"/>
  <c r="AM283" i="1"/>
  <c r="AM279" i="1"/>
  <c r="AM275" i="1"/>
  <c r="AM271" i="1"/>
  <c r="AM267" i="1"/>
  <c r="AM290" i="1"/>
  <c r="AM286" i="1"/>
  <c r="AM282" i="1"/>
  <c r="AM278" i="1"/>
  <c r="AM274" i="1"/>
  <c r="AM270" i="1"/>
  <c r="AM266" i="1"/>
  <c r="I253" i="1" l="1"/>
  <c r="I248" i="1"/>
  <c r="I239" i="1"/>
  <c r="I244" i="1"/>
  <c r="I252" i="1"/>
  <c r="I259" i="1"/>
  <c r="I257" i="1"/>
  <c r="I242" i="1"/>
  <c r="I251" i="1"/>
  <c r="I263" i="1"/>
  <c r="I261" i="1"/>
  <c r="I255" i="1"/>
  <c r="I241" i="1"/>
  <c r="I246" i="1"/>
  <c r="I243" i="1"/>
  <c r="I237" i="1"/>
  <c r="I238" i="1"/>
  <c r="I250" i="1"/>
  <c r="AE136" i="1"/>
  <c r="AA136" i="1" s="1"/>
  <c r="M136" i="1"/>
  <c r="AE138" i="1"/>
  <c r="AA138" i="1" s="1"/>
  <c r="M138" i="1"/>
  <c r="AE121" i="1"/>
  <c r="AA121" i="1" s="1"/>
  <c r="M121" i="1"/>
  <c r="I121" i="1" s="1"/>
  <c r="AE128" i="1"/>
  <c r="AA128" i="1" s="1"/>
  <c r="M128" i="1"/>
  <c r="AE130" i="1"/>
  <c r="AA130" i="1" s="1"/>
  <c r="M130" i="1"/>
  <c r="AE117" i="1"/>
  <c r="AA117" i="1" s="1"/>
  <c r="M117" i="1"/>
  <c r="I117" i="1" s="1"/>
  <c r="AC265" i="1"/>
  <c r="AI265" i="1"/>
  <c r="AC272" i="1"/>
  <c r="AI276" i="1"/>
  <c r="AC288" i="1"/>
  <c r="AI292" i="1"/>
  <c r="AC268" i="1"/>
  <c r="AI272" i="1"/>
  <c r="AC284" i="1"/>
  <c r="AI288" i="1"/>
  <c r="AC273" i="1"/>
  <c r="AI277" i="1"/>
  <c r="AC289" i="1"/>
  <c r="AI293" i="1"/>
  <c r="AC270" i="1"/>
  <c r="AI274" i="1"/>
  <c r="AC286" i="1"/>
  <c r="AI290" i="1"/>
  <c r="AC267" i="1"/>
  <c r="AI271" i="1"/>
  <c r="AC283" i="1"/>
  <c r="AI287" i="1"/>
  <c r="AC277" i="1"/>
  <c r="AI281" i="1"/>
  <c r="AC293" i="1"/>
  <c r="AI291" i="1"/>
  <c r="AI268" i="1"/>
  <c r="AC280" i="1"/>
  <c r="AI284" i="1"/>
  <c r="AC269" i="1"/>
  <c r="AI273" i="1"/>
  <c r="AC285" i="1"/>
  <c r="AI289" i="1"/>
  <c r="AC266" i="1"/>
  <c r="AI270" i="1"/>
  <c r="AC282" i="1"/>
  <c r="AI286" i="1"/>
  <c r="AI267" i="1"/>
  <c r="AC279" i="1"/>
  <c r="AI283" i="1"/>
  <c r="AC274" i="1"/>
  <c r="AI278" i="1"/>
  <c r="AC290" i="1"/>
  <c r="AC271" i="1"/>
  <c r="AI275" i="1"/>
  <c r="AC287" i="1"/>
  <c r="AC276" i="1"/>
  <c r="AI280" i="1"/>
  <c r="AC292" i="1"/>
  <c r="AI269" i="1"/>
  <c r="AC281" i="1"/>
  <c r="AI285" i="1"/>
  <c r="AI266" i="1"/>
  <c r="AC278" i="1"/>
  <c r="AI282" i="1"/>
  <c r="AC275" i="1"/>
  <c r="AI279" i="1"/>
  <c r="AC291" i="1"/>
  <c r="H117" i="1" l="1"/>
  <c r="H121" i="1"/>
  <c r="I130" i="1"/>
  <c r="H130" i="1" s="1"/>
  <c r="I138" i="1"/>
  <c r="H138" i="1" s="1"/>
  <c r="I128" i="1"/>
  <c r="H128" i="1" s="1"/>
  <c r="I136" i="1"/>
  <c r="H136" i="1" s="1"/>
  <c r="AJ19" i="2"/>
  <c r="AI19" i="2"/>
  <c r="B20" i="2"/>
  <c r="B21" i="2"/>
  <c r="B22" i="2"/>
  <c r="B19" i="2"/>
  <c r="AJ436" i="1" l="1"/>
  <c r="AJ529" i="1"/>
  <c r="AJ532" i="1"/>
  <c r="AJ534" i="1"/>
  <c r="AJ439" i="1"/>
  <c r="AJ444" i="1"/>
  <c r="AJ447" i="1"/>
  <c r="AJ451" i="1"/>
  <c r="AJ582" i="1"/>
  <c r="AJ535" i="1"/>
  <c r="AJ530" i="1"/>
  <c r="AJ533" i="1"/>
  <c r="AJ438" i="1"/>
  <c r="AJ441" i="1"/>
  <c r="AJ445" i="1"/>
  <c r="AJ449" i="1"/>
  <c r="AJ580" i="1"/>
  <c r="J582" i="1"/>
  <c r="I582" i="1" s="1"/>
  <c r="J580" i="1"/>
  <c r="I580" i="1" s="1"/>
  <c r="Z353" i="1"/>
  <c r="S363" i="1"/>
  <c r="J363" i="1" s="1"/>
  <c r="S362" i="1"/>
  <c r="J362" i="1" s="1"/>
  <c r="T365" i="1"/>
  <c r="Z355" i="1"/>
  <c r="T352" i="1"/>
  <c r="Z352" i="1"/>
  <c r="T356" i="1"/>
  <c r="S357" i="1"/>
  <c r="J357" i="1" s="1"/>
  <c r="S359" i="1"/>
  <c r="J359" i="1" s="1"/>
  <c r="S358" i="1"/>
  <c r="J358" i="1" s="1"/>
  <c r="T353" i="1"/>
  <c r="S361" i="1"/>
  <c r="J361" i="1" s="1"/>
  <c r="Z364" i="1"/>
  <c r="T359" i="1"/>
  <c r="T354" i="1"/>
  <c r="S353" i="1"/>
  <c r="J353" i="1" s="1"/>
  <c r="Z362" i="1"/>
  <c r="T357" i="1"/>
  <c r="Z365" i="1"/>
  <c r="S355" i="1"/>
  <c r="J355" i="1" s="1"/>
  <c r="S360" i="1"/>
  <c r="J360" i="1" s="1"/>
  <c r="T363" i="1"/>
  <c r="Z349" i="1"/>
  <c r="Z358" i="1"/>
  <c r="S356" i="1"/>
  <c r="J356" i="1" s="1"/>
  <c r="T351" i="1"/>
  <c r="S354" i="1"/>
  <c r="J354" i="1" s="1"/>
  <c r="S365" i="1"/>
  <c r="J365" i="1" s="1"/>
  <c r="Z360" i="1"/>
  <c r="T355" i="1"/>
  <c r="S349" i="1"/>
  <c r="J349" i="1" s="1"/>
  <c r="Z359" i="1"/>
  <c r="S350" i="1"/>
  <c r="J350" i="1" s="1"/>
  <c r="T350" i="1"/>
  <c r="Z351" i="1"/>
  <c r="T364" i="1"/>
  <c r="Z356" i="1"/>
  <c r="Z363" i="1"/>
  <c r="T358" i="1"/>
  <c r="Z354" i="1"/>
  <c r="T362" i="1"/>
  <c r="S352" i="1"/>
  <c r="J352" i="1" s="1"/>
  <c r="Z357" i="1"/>
  <c r="T349" i="1"/>
  <c r="Z350" i="1"/>
  <c r="T361" i="1"/>
  <c r="T360" i="1"/>
  <c r="Z361" i="1"/>
  <c r="S351" i="1"/>
  <c r="J351" i="1" s="1"/>
  <c r="S364" i="1"/>
  <c r="J364" i="1" s="1"/>
  <c r="AJ497" i="1"/>
  <c r="AJ526" i="1"/>
  <c r="AJ486" i="1"/>
  <c r="AJ490" i="1"/>
  <c r="AJ496" i="1"/>
  <c r="AJ528" i="1"/>
  <c r="AJ400" i="1"/>
  <c r="AJ404" i="1"/>
  <c r="AJ408" i="1"/>
  <c r="AJ485" i="1"/>
  <c r="AJ488" i="1"/>
  <c r="AJ494" i="1"/>
  <c r="AJ402" i="1"/>
  <c r="AJ406" i="1"/>
  <c r="AJ410" i="1"/>
  <c r="AJ527" i="1"/>
  <c r="AJ484" i="1"/>
  <c r="AJ487" i="1"/>
  <c r="AJ491" i="1"/>
  <c r="AJ401" i="1"/>
  <c r="AJ405" i="1"/>
  <c r="AJ409" i="1"/>
  <c r="AJ489" i="1"/>
  <c r="AJ495" i="1"/>
  <c r="AJ407" i="1"/>
  <c r="AJ403" i="1"/>
  <c r="AJ411" i="1"/>
  <c r="AJ365" i="1"/>
  <c r="AJ188" i="1"/>
  <c r="AJ193" i="1"/>
  <c r="AJ200" i="1"/>
  <c r="AJ205" i="1"/>
  <c r="AJ209" i="1"/>
  <c r="AJ177" i="1"/>
  <c r="AJ181" i="1"/>
  <c r="AJ184" i="1"/>
  <c r="AJ159" i="1"/>
  <c r="AJ163" i="1"/>
  <c r="AJ167" i="1"/>
  <c r="AJ171" i="1"/>
  <c r="AJ175" i="1"/>
  <c r="AJ49" i="1"/>
  <c r="AJ45" i="1"/>
  <c r="AJ41" i="1"/>
  <c r="AJ37" i="1"/>
  <c r="AJ35" i="1"/>
  <c r="AJ141" i="1"/>
  <c r="AJ145" i="1"/>
  <c r="AJ149" i="1"/>
  <c r="AJ153" i="1"/>
  <c r="AJ157" i="1"/>
  <c r="AJ189" i="1"/>
  <c r="AJ194" i="1"/>
  <c r="AJ203" i="1"/>
  <c r="AJ206" i="1"/>
  <c r="AJ210" i="1"/>
  <c r="AJ187" i="1"/>
  <c r="AJ176" i="1"/>
  <c r="AJ180" i="1"/>
  <c r="AJ183" i="1"/>
  <c r="AJ158" i="1"/>
  <c r="AJ162" i="1"/>
  <c r="AJ166" i="1"/>
  <c r="AJ170" i="1"/>
  <c r="AJ174" i="1"/>
  <c r="AJ48" i="1"/>
  <c r="AJ44" i="1"/>
  <c r="AJ34" i="1"/>
  <c r="AJ140" i="1"/>
  <c r="AJ144" i="1"/>
  <c r="AJ148" i="1"/>
  <c r="AJ152" i="1"/>
  <c r="AJ156" i="1"/>
  <c r="AJ191" i="1"/>
  <c r="AJ195" i="1"/>
  <c r="AJ207" i="1"/>
  <c r="AJ211" i="1"/>
  <c r="AJ179" i="1"/>
  <c r="AJ186" i="1"/>
  <c r="AJ161" i="1"/>
  <c r="AJ165" i="1"/>
  <c r="AJ169" i="1"/>
  <c r="AJ173" i="1"/>
  <c r="AJ51" i="1"/>
  <c r="AJ47" i="1"/>
  <c r="AJ43" i="1"/>
  <c r="AJ40" i="1"/>
  <c r="AJ39" i="1"/>
  <c r="AJ36" i="1"/>
  <c r="AJ139" i="1"/>
  <c r="AJ143" i="1"/>
  <c r="AJ147" i="1"/>
  <c r="AJ151" i="1"/>
  <c r="AJ155" i="1"/>
  <c r="AJ192" i="1"/>
  <c r="AJ196" i="1"/>
  <c r="AJ204" i="1"/>
  <c r="AJ208" i="1"/>
  <c r="AJ178" i="1"/>
  <c r="AJ182" i="1"/>
  <c r="AJ185" i="1"/>
  <c r="AJ160" i="1"/>
  <c r="AJ164" i="1"/>
  <c r="AJ168" i="1"/>
  <c r="AJ172" i="1"/>
  <c r="AJ50" i="1"/>
  <c r="AJ46" i="1"/>
  <c r="AJ42" i="1"/>
  <c r="AJ38" i="1"/>
  <c r="AJ142" i="1"/>
  <c r="AJ146" i="1"/>
  <c r="AJ150" i="1"/>
  <c r="AJ154" i="1"/>
  <c r="AM265" i="1"/>
  <c r="J187" i="1"/>
  <c r="I187" i="1" s="1"/>
  <c r="J189" i="1"/>
  <c r="I189" i="1" s="1"/>
  <c r="J192" i="1"/>
  <c r="I192" i="1" s="1"/>
  <c r="J194" i="1"/>
  <c r="I194" i="1" s="1"/>
  <c r="J196" i="1"/>
  <c r="I196" i="1" s="1"/>
  <c r="J203" i="1"/>
  <c r="I203" i="1" s="1"/>
  <c r="J204" i="1"/>
  <c r="I204" i="1" s="1"/>
  <c r="J206" i="1"/>
  <c r="I206" i="1" s="1"/>
  <c r="J208" i="1"/>
  <c r="I208" i="1" s="1"/>
  <c r="J210" i="1"/>
  <c r="I210" i="1" s="1"/>
  <c r="J188" i="1"/>
  <c r="I188" i="1" s="1"/>
  <c r="J191" i="1"/>
  <c r="I191" i="1" s="1"/>
  <c r="J193" i="1"/>
  <c r="I193" i="1" s="1"/>
  <c r="J195" i="1"/>
  <c r="I195" i="1" s="1"/>
  <c r="J200" i="1"/>
  <c r="I200" i="1" s="1"/>
  <c r="J205" i="1"/>
  <c r="I205" i="1" s="1"/>
  <c r="J207" i="1"/>
  <c r="I207" i="1" s="1"/>
  <c r="J209" i="1"/>
  <c r="I209" i="1" s="1"/>
  <c r="J211" i="1"/>
  <c r="I211" i="1" s="1"/>
  <c r="AJ113" i="1"/>
  <c r="AJ118" i="1"/>
  <c r="AJ123" i="1"/>
  <c r="AJ127" i="1"/>
  <c r="AJ133" i="1"/>
  <c r="AJ112" i="1"/>
  <c r="AJ116" i="1"/>
  <c r="AJ122" i="1"/>
  <c r="AJ126" i="1"/>
  <c r="AJ132" i="1"/>
  <c r="AJ137" i="1"/>
  <c r="AJ111" i="1"/>
  <c r="AJ115" i="1"/>
  <c r="AJ120" i="1"/>
  <c r="AJ125" i="1"/>
  <c r="AJ131" i="1"/>
  <c r="AJ135" i="1"/>
  <c r="AJ119" i="1"/>
  <c r="AJ85" i="1"/>
  <c r="AJ89" i="1"/>
  <c r="AJ93" i="1"/>
  <c r="AJ97" i="1"/>
  <c r="AJ74" i="1"/>
  <c r="AJ78" i="1"/>
  <c r="AJ82" i="1"/>
  <c r="AJ90" i="1"/>
  <c r="AJ75" i="1"/>
  <c r="AJ114" i="1"/>
  <c r="AJ134" i="1"/>
  <c r="AJ84" i="1"/>
  <c r="AJ88" i="1"/>
  <c r="AJ92" i="1"/>
  <c r="AJ96" i="1"/>
  <c r="AJ73" i="1"/>
  <c r="AJ77" i="1"/>
  <c r="AJ81" i="1"/>
  <c r="AJ124" i="1"/>
  <c r="AJ94" i="1"/>
  <c r="AJ129" i="1"/>
  <c r="AJ98" i="1"/>
  <c r="AJ83" i="1"/>
  <c r="AJ87" i="1"/>
  <c r="AJ91" i="1"/>
  <c r="AJ95" i="1"/>
  <c r="AJ72" i="1"/>
  <c r="AJ76" i="1"/>
  <c r="AJ80" i="1"/>
  <c r="AJ86" i="1"/>
  <c r="AJ71" i="1"/>
  <c r="AJ79" i="1"/>
  <c r="J68" i="1"/>
  <c r="J70" i="1"/>
  <c r="J69" i="1"/>
  <c r="AJ21" i="1"/>
  <c r="AJ22" i="1"/>
  <c r="AJ23" i="1"/>
  <c r="AJ29" i="1"/>
  <c r="AJ30" i="1"/>
  <c r="AJ31" i="1"/>
  <c r="AJ32" i="1"/>
  <c r="AJ24" i="1"/>
  <c r="AJ33" i="1"/>
  <c r="AJ17" i="1"/>
  <c r="AJ18" i="1"/>
  <c r="AJ19" i="1"/>
  <c r="AJ25" i="1"/>
  <c r="AJ26" i="1"/>
  <c r="AJ27" i="1"/>
  <c r="AJ20" i="1"/>
  <c r="AJ28" i="1"/>
  <c r="J53" i="1"/>
  <c r="J57" i="1"/>
  <c r="J62" i="1"/>
  <c r="J66" i="1"/>
  <c r="J54" i="1"/>
  <c r="J59" i="1"/>
  <c r="J63" i="1"/>
  <c r="J67" i="1"/>
  <c r="J55" i="1"/>
  <c r="J60" i="1"/>
  <c r="J64" i="1"/>
  <c r="J52" i="1"/>
  <c r="J56" i="1"/>
  <c r="J61" i="1"/>
  <c r="J65" i="1"/>
  <c r="AJ16" i="1"/>
  <c r="K185" i="1" l="1"/>
  <c r="J185" i="1"/>
  <c r="M185" i="1"/>
  <c r="L185" i="1"/>
  <c r="L179" i="1"/>
  <c r="K179" i="1"/>
  <c r="J179" i="1"/>
  <c r="M179" i="1"/>
  <c r="J183" i="1"/>
  <c r="M183" i="1"/>
  <c r="K183" i="1"/>
  <c r="L183" i="1"/>
  <c r="M184" i="1"/>
  <c r="L184" i="1"/>
  <c r="J184" i="1"/>
  <c r="K184" i="1"/>
  <c r="K182" i="1"/>
  <c r="J182" i="1"/>
  <c r="M182" i="1"/>
  <c r="L182" i="1"/>
  <c r="M180" i="1"/>
  <c r="J180" i="1"/>
  <c r="L180" i="1"/>
  <c r="K180" i="1"/>
  <c r="L181" i="1"/>
  <c r="K181" i="1"/>
  <c r="J181" i="1"/>
  <c r="M181" i="1"/>
  <c r="J178" i="1"/>
  <c r="M178" i="1"/>
  <c r="L178" i="1"/>
  <c r="K178" i="1"/>
  <c r="K176" i="1"/>
  <c r="M176" i="1"/>
  <c r="L176" i="1"/>
  <c r="J176" i="1"/>
  <c r="K177" i="1"/>
  <c r="J177" i="1"/>
  <c r="M177" i="1"/>
  <c r="L177" i="1"/>
  <c r="M186" i="1"/>
  <c r="K186" i="1"/>
  <c r="J186" i="1"/>
  <c r="L186" i="1"/>
  <c r="Q61" i="1"/>
  <c r="I61" i="1" s="1"/>
  <c r="Q66" i="1"/>
  <c r="I66" i="1" s="1"/>
  <c r="Q65" i="1"/>
  <c r="I65" i="1" s="1"/>
  <c r="Q63" i="1"/>
  <c r="I63" i="1" s="1"/>
  <c r="Q53" i="1"/>
  <c r="I53" i="1" s="1"/>
  <c r="Q56" i="1"/>
  <c r="I56" i="1" s="1"/>
  <c r="Q60" i="1"/>
  <c r="I60" i="1" s="1"/>
  <c r="Q54" i="1"/>
  <c r="I54" i="1" s="1"/>
  <c r="Q62" i="1"/>
  <c r="I62" i="1" s="1"/>
  <c r="Q64" i="1"/>
  <c r="I64" i="1" s="1"/>
  <c r="Q59" i="1"/>
  <c r="I59" i="1" s="1"/>
  <c r="Q68" i="1"/>
  <c r="I68" i="1" s="1"/>
  <c r="Q52" i="1"/>
  <c r="I52" i="1" s="1"/>
  <c r="Q55" i="1"/>
  <c r="I55" i="1" s="1"/>
  <c r="Q67" i="1"/>
  <c r="I67" i="1" s="1"/>
  <c r="Q57" i="1"/>
  <c r="I57" i="1" s="1"/>
  <c r="Q69" i="1"/>
  <c r="I69" i="1" s="1"/>
  <c r="Q70" i="1"/>
  <c r="I70" i="1" s="1"/>
  <c r="Q51" i="1"/>
  <c r="Q39" i="1"/>
  <c r="Q46" i="1"/>
  <c r="Q44" i="1"/>
  <c r="Q37" i="1"/>
  <c r="Q34" i="1"/>
  <c r="Q47" i="1"/>
  <c r="Q36" i="1"/>
  <c r="Q42" i="1"/>
  <c r="Q49" i="1"/>
  <c r="Q35" i="1"/>
  <c r="Q43" i="1"/>
  <c r="Q38" i="1"/>
  <c r="Q45" i="1"/>
  <c r="Q40" i="1"/>
  <c r="Q48" i="1"/>
  <c r="Q50" i="1"/>
  <c r="Q41" i="1"/>
  <c r="P111" i="1"/>
  <c r="N111" i="1"/>
  <c r="O111" i="1"/>
  <c r="N122" i="1"/>
  <c r="P122" i="1"/>
  <c r="O122" i="1"/>
  <c r="P127" i="1"/>
  <c r="N127" i="1"/>
  <c r="O127" i="1"/>
  <c r="O129" i="1"/>
  <c r="N129" i="1"/>
  <c r="P129" i="1"/>
  <c r="J120" i="1"/>
  <c r="Q129" i="1"/>
  <c r="J129" i="1"/>
  <c r="J137" i="1"/>
  <c r="Q111" i="1"/>
  <c r="J111" i="1"/>
  <c r="J118" i="1"/>
  <c r="N135" i="1"/>
  <c r="P135" i="1"/>
  <c r="O135" i="1"/>
  <c r="O137" i="1"/>
  <c r="P137" i="1"/>
  <c r="N137" i="1"/>
  <c r="P116" i="1"/>
  <c r="O116" i="1"/>
  <c r="N116" i="1"/>
  <c r="P123" i="1"/>
  <c r="O123" i="1"/>
  <c r="N123" i="1"/>
  <c r="O124" i="1"/>
  <c r="P124" i="1"/>
  <c r="N124" i="1"/>
  <c r="Q135" i="1"/>
  <c r="J135" i="1"/>
  <c r="Q115" i="1"/>
  <c r="J115" i="1"/>
  <c r="Q126" i="1"/>
  <c r="J126" i="1"/>
  <c r="Q124" i="1"/>
  <c r="J124" i="1"/>
  <c r="Q122" i="1"/>
  <c r="J122" i="1"/>
  <c r="Q133" i="1"/>
  <c r="J133" i="1"/>
  <c r="Q113" i="1"/>
  <c r="J113" i="1"/>
  <c r="P131" i="1"/>
  <c r="N131" i="1"/>
  <c r="O131" i="1"/>
  <c r="O132" i="1"/>
  <c r="N132" i="1"/>
  <c r="P132" i="1"/>
  <c r="O112" i="1"/>
  <c r="P112" i="1"/>
  <c r="N112" i="1"/>
  <c r="O118" i="1"/>
  <c r="N118" i="1"/>
  <c r="P118" i="1"/>
  <c r="Q132" i="1"/>
  <c r="J132" i="1"/>
  <c r="Q131" i="1"/>
  <c r="J131" i="1"/>
  <c r="Q112" i="1"/>
  <c r="J112" i="1"/>
  <c r="Q119" i="1"/>
  <c r="J119" i="1"/>
  <c r="Q127" i="1"/>
  <c r="J127" i="1"/>
  <c r="O120" i="1"/>
  <c r="N120" i="1"/>
  <c r="P120" i="1"/>
  <c r="N113" i="1"/>
  <c r="O113" i="1"/>
  <c r="P113" i="1"/>
  <c r="P114" i="1"/>
  <c r="N114" i="1"/>
  <c r="O114" i="1"/>
  <c r="Q116" i="1"/>
  <c r="J116" i="1"/>
  <c r="J125" i="1"/>
  <c r="Q134" i="1"/>
  <c r="J134" i="1"/>
  <c r="Q114" i="1"/>
  <c r="J114" i="1"/>
  <c r="Q123" i="1"/>
  <c r="J123" i="1"/>
  <c r="X115" i="1"/>
  <c r="Q486" i="1"/>
  <c r="I486" i="1" s="1"/>
  <c r="Q497" i="1"/>
  <c r="I497" i="1" s="1"/>
  <c r="Q494" i="1"/>
  <c r="I494" i="1" s="1"/>
  <c r="Q495" i="1"/>
  <c r="I495" i="1" s="1"/>
  <c r="Q487" i="1"/>
  <c r="I487" i="1" s="1"/>
  <c r="Q488" i="1"/>
  <c r="I488" i="1" s="1"/>
  <c r="Q489" i="1"/>
  <c r="I489" i="1" s="1"/>
  <c r="Q496" i="1"/>
  <c r="I496" i="1" s="1"/>
  <c r="Q490" i="1"/>
  <c r="I490" i="1" s="1"/>
  <c r="Q485" i="1"/>
  <c r="I485" i="1" s="1"/>
  <c r="Q491" i="1"/>
  <c r="I491" i="1" s="1"/>
  <c r="J151" i="1"/>
  <c r="J146" i="1"/>
  <c r="J157" i="1"/>
  <c r="J141" i="1"/>
  <c r="J148" i="1"/>
  <c r="J139" i="1"/>
  <c r="J142" i="1"/>
  <c r="J153" i="1"/>
  <c r="J144" i="1"/>
  <c r="J154" i="1"/>
  <c r="J147" i="1"/>
  <c r="J149" i="1"/>
  <c r="J155" i="1"/>
  <c r="J156" i="1"/>
  <c r="J140" i="1"/>
  <c r="J150" i="1"/>
  <c r="J145" i="1"/>
  <c r="J143" i="1"/>
  <c r="J152" i="1"/>
  <c r="J85" i="1"/>
  <c r="I85" i="1" s="1"/>
  <c r="J96" i="1"/>
  <c r="I96" i="1" s="1"/>
  <c r="J77" i="1"/>
  <c r="I77" i="1" s="1"/>
  <c r="J98" i="1"/>
  <c r="I98" i="1" s="1"/>
  <c r="J97" i="1"/>
  <c r="I97" i="1" s="1"/>
  <c r="J72" i="1"/>
  <c r="I72" i="1" s="1"/>
  <c r="J84" i="1"/>
  <c r="I84" i="1" s="1"/>
  <c r="J95" i="1"/>
  <c r="I95" i="1" s="1"/>
  <c r="J74" i="1"/>
  <c r="I74" i="1" s="1"/>
  <c r="J86" i="1"/>
  <c r="I86" i="1" s="1"/>
  <c r="J79" i="1"/>
  <c r="I79" i="1" s="1"/>
  <c r="J82" i="1"/>
  <c r="I82" i="1" s="1"/>
  <c r="J80" i="1"/>
  <c r="I80" i="1" s="1"/>
  <c r="J92" i="1"/>
  <c r="I92" i="1" s="1"/>
  <c r="J93" i="1"/>
  <c r="I93" i="1" s="1"/>
  <c r="J75" i="1"/>
  <c r="I75" i="1" s="1"/>
  <c r="J87" i="1"/>
  <c r="I87" i="1" s="1"/>
  <c r="J73" i="1"/>
  <c r="I73" i="1" s="1"/>
  <c r="J94" i="1"/>
  <c r="I94" i="1" s="1"/>
  <c r="J91" i="1"/>
  <c r="I91" i="1" s="1"/>
  <c r="J71" i="1"/>
  <c r="I71" i="1" s="1"/>
  <c r="J76" i="1"/>
  <c r="I76" i="1" s="1"/>
  <c r="J88" i="1"/>
  <c r="I88" i="1" s="1"/>
  <c r="J81" i="1"/>
  <c r="I81" i="1" s="1"/>
  <c r="J83" i="1"/>
  <c r="I83" i="1" s="1"/>
  <c r="J89" i="1"/>
  <c r="I89" i="1" s="1"/>
  <c r="J78" i="1"/>
  <c r="I78" i="1" s="1"/>
  <c r="J90" i="1"/>
  <c r="I90" i="1" s="1"/>
  <c r="H582" i="1"/>
  <c r="H580" i="1"/>
  <c r="J16" i="1"/>
  <c r="N16" i="1"/>
  <c r="N27" i="1"/>
  <c r="N22" i="1"/>
  <c r="N20" i="1"/>
  <c r="N29" i="1"/>
  <c r="N23" i="1"/>
  <c r="N25" i="1"/>
  <c r="N19" i="1"/>
  <c r="N30" i="1"/>
  <c r="N21" i="1"/>
  <c r="N28" i="1"/>
  <c r="N18" i="1"/>
  <c r="N31" i="1"/>
  <c r="N24" i="1"/>
  <c r="N26" i="1"/>
  <c r="N32" i="1"/>
  <c r="N33" i="1"/>
  <c r="N17" i="1"/>
  <c r="Q438" i="1"/>
  <c r="I438" i="1" s="1"/>
  <c r="Q451" i="1"/>
  <c r="I451" i="1" s="1"/>
  <c r="R532" i="1"/>
  <c r="AB532" i="1"/>
  <c r="AB530" i="1"/>
  <c r="R530" i="1"/>
  <c r="AD534" i="1"/>
  <c r="AD528" i="1"/>
  <c r="AC526" i="1"/>
  <c r="AB527" i="1"/>
  <c r="R527" i="1"/>
  <c r="AC527" i="1"/>
  <c r="AC530" i="1"/>
  <c r="AE527" i="1"/>
  <c r="AE533" i="1"/>
  <c r="Q449" i="1"/>
  <c r="I449" i="1" s="1"/>
  <c r="Q445" i="1"/>
  <c r="I445" i="1" s="1"/>
  <c r="Q444" i="1"/>
  <c r="I444" i="1" s="1"/>
  <c r="AC535" i="1"/>
  <c r="AD526" i="1"/>
  <c r="AD535" i="1"/>
  <c r="AB529" i="1"/>
  <c r="R529" i="1"/>
  <c r="AE530" i="1"/>
  <c r="R526" i="1"/>
  <c r="AB526" i="1"/>
  <c r="AD530" i="1"/>
  <c r="AC533" i="1"/>
  <c r="AE534" i="1"/>
  <c r="AC532" i="1"/>
  <c r="Q441" i="1"/>
  <c r="I441" i="1" s="1"/>
  <c r="Q447" i="1"/>
  <c r="I447" i="1" s="1"/>
  <c r="Q436" i="1"/>
  <c r="I436" i="1" s="1"/>
  <c r="AB535" i="1"/>
  <c r="R535" i="1"/>
  <c r="AD527" i="1"/>
  <c r="AD532" i="1"/>
  <c r="AE529" i="1"/>
  <c r="AE532" i="1"/>
  <c r="AD529" i="1"/>
  <c r="AD533" i="1"/>
  <c r="Q439" i="1"/>
  <c r="I439" i="1" s="1"/>
  <c r="AB528" i="1"/>
  <c r="R528" i="1"/>
  <c r="AE528" i="1"/>
  <c r="AC534" i="1"/>
  <c r="AB533" i="1"/>
  <c r="R533" i="1"/>
  <c r="AB534" i="1"/>
  <c r="R534" i="1"/>
  <c r="AE535" i="1"/>
  <c r="AC529" i="1"/>
  <c r="AC528" i="1"/>
  <c r="AE526" i="1"/>
  <c r="J104" i="1"/>
  <c r="Q139" i="1"/>
  <c r="AB66" i="1"/>
  <c r="R66" i="1"/>
  <c r="AB80" i="1"/>
  <c r="AA80" i="1" s="1"/>
  <c r="R80" i="1"/>
  <c r="AB92" i="1"/>
  <c r="AA92" i="1" s="1"/>
  <c r="R92" i="1"/>
  <c r="J107" i="1"/>
  <c r="AB139" i="1"/>
  <c r="AB142" i="1"/>
  <c r="Q145" i="1"/>
  <c r="K166" i="1"/>
  <c r="L166" i="1"/>
  <c r="J166" i="1"/>
  <c r="AB67" i="1"/>
  <c r="R67" i="1"/>
  <c r="AB93" i="1"/>
  <c r="AA93" i="1" s="1"/>
  <c r="R93" i="1"/>
  <c r="L167" i="1"/>
  <c r="J167" i="1"/>
  <c r="K167" i="1"/>
  <c r="AB61" i="1"/>
  <c r="R61" i="1"/>
  <c r="AB75" i="1"/>
  <c r="AA75" i="1" s="1"/>
  <c r="R75" i="1"/>
  <c r="AB87" i="1"/>
  <c r="AA87" i="1" s="1"/>
  <c r="R87" i="1"/>
  <c r="AB153" i="1"/>
  <c r="Q156" i="1"/>
  <c r="AI140" i="1"/>
  <c r="K161" i="1"/>
  <c r="L161" i="1"/>
  <c r="AB73" i="1"/>
  <c r="AA73" i="1" s="1"/>
  <c r="R73" i="1"/>
  <c r="K175" i="1"/>
  <c r="L175" i="1"/>
  <c r="J175" i="1"/>
  <c r="AB41" i="1"/>
  <c r="AB68" i="1"/>
  <c r="R68" i="1"/>
  <c r="R94" i="1"/>
  <c r="AB94" i="1"/>
  <c r="AA94" i="1" s="1"/>
  <c r="AB109" i="1"/>
  <c r="AB144" i="1"/>
  <c r="J168" i="1"/>
  <c r="K168" i="1"/>
  <c r="L168" i="1"/>
  <c r="AB409" i="1"/>
  <c r="AA409" i="1" s="1"/>
  <c r="R409" i="1"/>
  <c r="R402" i="1"/>
  <c r="AB402" i="1"/>
  <c r="AA402" i="1" s="1"/>
  <c r="R400" i="1"/>
  <c r="AB400" i="1"/>
  <c r="AA400" i="1" s="1"/>
  <c r="R491" i="1"/>
  <c r="AB491" i="1"/>
  <c r="R354" i="1"/>
  <c r="AB354" i="1"/>
  <c r="R497" i="1"/>
  <c r="AB497" i="1"/>
  <c r="AB405" i="1"/>
  <c r="AA405" i="1" s="1"/>
  <c r="R405" i="1"/>
  <c r="R358" i="1"/>
  <c r="AB358" i="1"/>
  <c r="R362" i="1"/>
  <c r="AB362" i="1"/>
  <c r="R277" i="1"/>
  <c r="AB277" i="1"/>
  <c r="AA277" i="1" s="1"/>
  <c r="AB282" i="1"/>
  <c r="AA282" i="1" s="1"/>
  <c r="R282" i="1"/>
  <c r="R275" i="1"/>
  <c r="AB275" i="1"/>
  <c r="AA275" i="1" s="1"/>
  <c r="AB268" i="1"/>
  <c r="AA268" i="1" s="1"/>
  <c r="R268" i="1"/>
  <c r="R281" i="1"/>
  <c r="AB281" i="1"/>
  <c r="AA281" i="1" s="1"/>
  <c r="AB288" i="1"/>
  <c r="AA288" i="1" s="1"/>
  <c r="R288" i="1"/>
  <c r="R285" i="1"/>
  <c r="AB285" i="1"/>
  <c r="AA285" i="1" s="1"/>
  <c r="AB71" i="1"/>
  <c r="AA71" i="1" s="1"/>
  <c r="R71" i="1"/>
  <c r="Q146" i="1"/>
  <c r="AB62" i="1"/>
  <c r="R62" i="1"/>
  <c r="AB76" i="1"/>
  <c r="AA76" i="1" s="1"/>
  <c r="R76" i="1"/>
  <c r="AB88" i="1"/>
  <c r="AA88" i="1" s="1"/>
  <c r="R88" i="1"/>
  <c r="Q125" i="1"/>
  <c r="AB154" i="1"/>
  <c r="Q157" i="1"/>
  <c r="Q141" i="1"/>
  <c r="K162" i="1"/>
  <c r="L162" i="1"/>
  <c r="AB54" i="1"/>
  <c r="R54" i="1"/>
  <c r="J99" i="1"/>
  <c r="AB147" i="1"/>
  <c r="AB56" i="1"/>
  <c r="R56" i="1"/>
  <c r="AB81" i="1"/>
  <c r="AA81" i="1" s="1"/>
  <c r="R81" i="1"/>
  <c r="AB83" i="1"/>
  <c r="AA83" i="1" s="1"/>
  <c r="R83" i="1"/>
  <c r="J100" i="1"/>
  <c r="AB149" i="1"/>
  <c r="Q152" i="1"/>
  <c r="K173" i="1"/>
  <c r="L173" i="1"/>
  <c r="AB63" i="1"/>
  <c r="R63" i="1"/>
  <c r="AB89" i="1"/>
  <c r="AA89" i="1" s="1"/>
  <c r="R89" i="1"/>
  <c r="AB155" i="1"/>
  <c r="L163" i="1"/>
  <c r="J163" i="1"/>
  <c r="K163" i="1"/>
  <c r="R64" i="1"/>
  <c r="AB64" i="1"/>
  <c r="AB78" i="1"/>
  <c r="AA78" i="1" s="1"/>
  <c r="R78" i="1"/>
  <c r="R90" i="1"/>
  <c r="AB90" i="1"/>
  <c r="AA90" i="1" s="1"/>
  <c r="AB105" i="1"/>
  <c r="AB156" i="1"/>
  <c r="AB140" i="1"/>
  <c r="Q143" i="1"/>
  <c r="J164" i="1"/>
  <c r="K164" i="1"/>
  <c r="L164" i="1"/>
  <c r="R364" i="1"/>
  <c r="AB364" i="1"/>
  <c r="AB411" i="1"/>
  <c r="AA411" i="1" s="1"/>
  <c r="R411" i="1"/>
  <c r="R352" i="1"/>
  <c r="AB352" i="1"/>
  <c r="AB401" i="1"/>
  <c r="AA401" i="1" s="1"/>
  <c r="R401" i="1"/>
  <c r="R495" i="1"/>
  <c r="AB495" i="1"/>
  <c r="R350" i="1"/>
  <c r="AB350" i="1"/>
  <c r="AB484" i="1"/>
  <c r="AB365" i="1"/>
  <c r="R365" i="1"/>
  <c r="AB403" i="1"/>
  <c r="AA403" i="1" s="1"/>
  <c r="R403" i="1"/>
  <c r="R487" i="1"/>
  <c r="AB487" i="1"/>
  <c r="R360" i="1"/>
  <c r="AB360" i="1"/>
  <c r="AB496" i="1"/>
  <c r="R496" i="1"/>
  <c r="AB407" i="1"/>
  <c r="AA407" i="1" s="1"/>
  <c r="R407" i="1"/>
  <c r="R406" i="1"/>
  <c r="AB406" i="1"/>
  <c r="AA406" i="1" s="1"/>
  <c r="AB486" i="1"/>
  <c r="R486" i="1"/>
  <c r="AB359" i="1"/>
  <c r="R359" i="1"/>
  <c r="R489" i="1"/>
  <c r="AB489" i="1"/>
  <c r="AB363" i="1"/>
  <c r="R363" i="1"/>
  <c r="AB276" i="1"/>
  <c r="AA276" i="1" s="1"/>
  <c r="R276" i="1"/>
  <c r="R289" i="1"/>
  <c r="AB289" i="1"/>
  <c r="AA289" i="1" s="1"/>
  <c r="AB292" i="1"/>
  <c r="AA292" i="1" s="1"/>
  <c r="R292" i="1"/>
  <c r="AB272" i="1"/>
  <c r="AA272" i="1" s="1"/>
  <c r="R272" i="1"/>
  <c r="R291" i="1"/>
  <c r="AB291" i="1"/>
  <c r="AA291" i="1" s="1"/>
  <c r="AB290" i="1"/>
  <c r="AA290" i="1" s="1"/>
  <c r="R290" i="1"/>
  <c r="AB266" i="1"/>
  <c r="AA266" i="1" s="1"/>
  <c r="R266" i="1"/>
  <c r="AB52" i="1"/>
  <c r="R52" i="1"/>
  <c r="AB97" i="1"/>
  <c r="AA97" i="1" s="1"/>
  <c r="R97" i="1"/>
  <c r="L171" i="1"/>
  <c r="J171" i="1"/>
  <c r="K171" i="1"/>
  <c r="AB57" i="1"/>
  <c r="R57" i="1"/>
  <c r="AB72" i="1"/>
  <c r="AA72" i="1" s="1"/>
  <c r="R72" i="1"/>
  <c r="AB84" i="1"/>
  <c r="AA84" i="1" s="1"/>
  <c r="R84" i="1"/>
  <c r="Q120" i="1"/>
  <c r="AB150" i="1"/>
  <c r="Q153" i="1"/>
  <c r="J174" i="1"/>
  <c r="K174" i="1"/>
  <c r="L174" i="1"/>
  <c r="J102" i="1"/>
  <c r="Q154" i="1"/>
  <c r="AB69" i="1"/>
  <c r="R69" i="1"/>
  <c r="AB95" i="1"/>
  <c r="AA95" i="1" s="1"/>
  <c r="R95" i="1"/>
  <c r="J110" i="1"/>
  <c r="AB145" i="1"/>
  <c r="Q148" i="1"/>
  <c r="K169" i="1"/>
  <c r="L169" i="1"/>
  <c r="J108" i="1"/>
  <c r="AB143" i="1"/>
  <c r="AB49" i="1"/>
  <c r="AB37" i="1"/>
  <c r="AB60" i="1"/>
  <c r="R60" i="1"/>
  <c r="AB74" i="1"/>
  <c r="AA74" i="1" s="1"/>
  <c r="R74" i="1"/>
  <c r="R86" i="1"/>
  <c r="AB86" i="1"/>
  <c r="AA86" i="1" s="1"/>
  <c r="AB103" i="1"/>
  <c r="AB152" i="1"/>
  <c r="Q155" i="1"/>
  <c r="J158" i="1"/>
  <c r="L158" i="1"/>
  <c r="K158" i="1"/>
  <c r="J160" i="1"/>
  <c r="K160" i="1"/>
  <c r="L160" i="1"/>
  <c r="AB351" i="1"/>
  <c r="R351" i="1"/>
  <c r="AB485" i="1"/>
  <c r="R485" i="1"/>
  <c r="R356" i="1"/>
  <c r="AB356" i="1"/>
  <c r="AB488" i="1"/>
  <c r="R488" i="1"/>
  <c r="AB355" i="1"/>
  <c r="R355" i="1"/>
  <c r="AB353" i="1"/>
  <c r="R353" i="1"/>
  <c r="AB357" i="1"/>
  <c r="R357" i="1"/>
  <c r="R404" i="1"/>
  <c r="AB404" i="1"/>
  <c r="AA404" i="1" s="1"/>
  <c r="R265" i="1"/>
  <c r="AB265" i="1"/>
  <c r="AA265" i="1" s="1"/>
  <c r="AB286" i="1"/>
  <c r="AA286" i="1" s="1"/>
  <c r="R286" i="1"/>
  <c r="AB278" i="1"/>
  <c r="AA278" i="1" s="1"/>
  <c r="R278" i="1"/>
  <c r="R271" i="1"/>
  <c r="AB271" i="1"/>
  <c r="AA271" i="1" s="1"/>
  <c r="R269" i="1"/>
  <c r="AB269" i="1"/>
  <c r="AA269" i="1" s="1"/>
  <c r="R267" i="1"/>
  <c r="AB267" i="1"/>
  <c r="AA267" i="1" s="1"/>
  <c r="R273" i="1"/>
  <c r="AB273" i="1"/>
  <c r="AA273" i="1" s="1"/>
  <c r="AB59" i="1"/>
  <c r="R59" i="1"/>
  <c r="AB85" i="1"/>
  <c r="AA85" i="1" s="1"/>
  <c r="R85" i="1"/>
  <c r="AB151" i="1"/>
  <c r="L159" i="1"/>
  <c r="J159" i="1"/>
  <c r="K159" i="1"/>
  <c r="AB70" i="1"/>
  <c r="R70" i="1"/>
  <c r="AB53" i="1"/>
  <c r="R53" i="1"/>
  <c r="AB96" i="1"/>
  <c r="AA96" i="1" s="1"/>
  <c r="R96" i="1"/>
  <c r="AB146" i="1"/>
  <c r="Q149" i="1"/>
  <c r="K170" i="1"/>
  <c r="L170" i="1"/>
  <c r="AB77" i="1"/>
  <c r="AA77" i="1" s="1"/>
  <c r="R77" i="1"/>
  <c r="Q142" i="1"/>
  <c r="AB65" i="1"/>
  <c r="R65" i="1"/>
  <c r="AB79" i="1"/>
  <c r="AA79" i="1" s="1"/>
  <c r="R79" i="1"/>
  <c r="AB91" i="1"/>
  <c r="AA91" i="1" s="1"/>
  <c r="R91" i="1"/>
  <c r="J106" i="1"/>
  <c r="AB157" i="1"/>
  <c r="AB141" i="1"/>
  <c r="Q144" i="1"/>
  <c r="K165" i="1"/>
  <c r="L165" i="1"/>
  <c r="Q137" i="1"/>
  <c r="Q150" i="1"/>
  <c r="AB45" i="1"/>
  <c r="AB35" i="1"/>
  <c r="AB55" i="1"/>
  <c r="R55" i="1"/>
  <c r="R98" i="1"/>
  <c r="AB98" i="1"/>
  <c r="AA98" i="1" s="1"/>
  <c r="R82" i="1"/>
  <c r="AB82" i="1"/>
  <c r="AA82" i="1" s="1"/>
  <c r="Q118" i="1"/>
  <c r="AB148" i="1"/>
  <c r="Q151" i="1"/>
  <c r="J172" i="1"/>
  <c r="K172" i="1"/>
  <c r="L172" i="1"/>
  <c r="R408" i="1"/>
  <c r="AB408" i="1"/>
  <c r="AA408" i="1" s="1"/>
  <c r="AB349" i="1"/>
  <c r="R349" i="1"/>
  <c r="AB490" i="1"/>
  <c r="R490" i="1"/>
  <c r="AB494" i="1"/>
  <c r="R494" i="1"/>
  <c r="R410" i="1"/>
  <c r="AB410" i="1"/>
  <c r="AA410" i="1" s="1"/>
  <c r="AB361" i="1"/>
  <c r="R361" i="1"/>
  <c r="AB270" i="1"/>
  <c r="AA270" i="1" s="1"/>
  <c r="R270" i="1"/>
  <c r="R283" i="1"/>
  <c r="AB283" i="1"/>
  <c r="AA283" i="1" s="1"/>
  <c r="R293" i="1"/>
  <c r="AB293" i="1"/>
  <c r="AA293" i="1" s="1"/>
  <c r="AB280" i="1"/>
  <c r="AA280" i="1" s="1"/>
  <c r="R280" i="1"/>
  <c r="AB274" i="1"/>
  <c r="AA274" i="1" s="1"/>
  <c r="R274" i="1"/>
  <c r="AB284" i="1"/>
  <c r="AA284" i="1" s="1"/>
  <c r="R284" i="1"/>
  <c r="R279" i="1"/>
  <c r="AB279" i="1"/>
  <c r="AA279" i="1" s="1"/>
  <c r="R287" i="1"/>
  <c r="AB287" i="1"/>
  <c r="AA287" i="1" s="1"/>
  <c r="K265" i="1"/>
  <c r="Q265" i="1"/>
  <c r="Q286" i="1"/>
  <c r="K286" i="1"/>
  <c r="Q270" i="1"/>
  <c r="K270" i="1"/>
  <c r="Q287" i="1"/>
  <c r="K287" i="1"/>
  <c r="Q271" i="1"/>
  <c r="K271" i="1"/>
  <c r="K288" i="1"/>
  <c r="Q288" i="1"/>
  <c r="K272" i="1"/>
  <c r="Q272" i="1"/>
  <c r="Q285" i="1"/>
  <c r="K285" i="1"/>
  <c r="Q269" i="1"/>
  <c r="K269" i="1"/>
  <c r="Q361" i="1"/>
  <c r="AI361" i="1"/>
  <c r="AC360" i="1"/>
  <c r="K360" i="1"/>
  <c r="Q357" i="1"/>
  <c r="AI357" i="1"/>
  <c r="K358" i="1"/>
  <c r="AC358" i="1"/>
  <c r="Q356" i="1"/>
  <c r="AI356" i="1"/>
  <c r="AD489" i="1"/>
  <c r="AD496" i="1"/>
  <c r="Q358" i="1"/>
  <c r="AI358" i="1"/>
  <c r="AI349" i="1"/>
  <c r="Q349" i="1"/>
  <c r="K359" i="1"/>
  <c r="AC359" i="1"/>
  <c r="AD484" i="1"/>
  <c r="AC356" i="1"/>
  <c r="K356" i="1"/>
  <c r="AD485" i="1"/>
  <c r="AC365" i="1"/>
  <c r="K365" i="1"/>
  <c r="Q282" i="1"/>
  <c r="K282" i="1"/>
  <c r="Q266" i="1"/>
  <c r="K266" i="1"/>
  <c r="K283" i="1"/>
  <c r="Q283" i="1"/>
  <c r="K267" i="1"/>
  <c r="Q267" i="1"/>
  <c r="K284" i="1"/>
  <c r="Q284" i="1"/>
  <c r="K268" i="1"/>
  <c r="Q268" i="1"/>
  <c r="K281" i="1"/>
  <c r="Q281" i="1"/>
  <c r="AD494" i="1"/>
  <c r="K361" i="1"/>
  <c r="AC361" i="1"/>
  <c r="AD490" i="1"/>
  <c r="AI363" i="1"/>
  <c r="Q363" i="1"/>
  <c r="K364" i="1"/>
  <c r="AC364" i="1"/>
  <c r="Q362" i="1"/>
  <c r="AI362" i="1"/>
  <c r="AI352" i="1"/>
  <c r="Q352" i="1"/>
  <c r="Q278" i="1"/>
  <c r="K278" i="1"/>
  <c r="K279" i="1"/>
  <c r="Q279" i="1"/>
  <c r="K280" i="1"/>
  <c r="Q280" i="1"/>
  <c r="K293" i="1"/>
  <c r="Q293" i="1"/>
  <c r="K277" i="1"/>
  <c r="Q277" i="1"/>
  <c r="Q350" i="1"/>
  <c r="AI350" i="1"/>
  <c r="AD488" i="1"/>
  <c r="AC362" i="1"/>
  <c r="K362" i="1"/>
  <c r="Q351" i="1"/>
  <c r="AI351" i="1"/>
  <c r="K350" i="1"/>
  <c r="AC350" i="1"/>
  <c r="Q359" i="1"/>
  <c r="AI359" i="1"/>
  <c r="AI360" i="1"/>
  <c r="Q360" i="1"/>
  <c r="K363" i="1"/>
  <c r="AC363" i="1"/>
  <c r="Q365" i="1"/>
  <c r="AI365" i="1"/>
  <c r="Q364" i="1"/>
  <c r="AI364" i="1"/>
  <c r="AC352" i="1"/>
  <c r="K352" i="1"/>
  <c r="K290" i="1"/>
  <c r="Q290" i="1"/>
  <c r="K274" i="1"/>
  <c r="Q274" i="1"/>
  <c r="Q291" i="1"/>
  <c r="K291" i="1"/>
  <c r="Q275" i="1"/>
  <c r="K275" i="1"/>
  <c r="K292" i="1"/>
  <c r="Q292" i="1"/>
  <c r="K276" i="1"/>
  <c r="Q276" i="1"/>
  <c r="Q289" i="1"/>
  <c r="K289" i="1"/>
  <c r="Q273" i="1"/>
  <c r="K273" i="1"/>
  <c r="AD486" i="1"/>
  <c r="K349" i="1"/>
  <c r="AC349" i="1"/>
  <c r="AD491" i="1"/>
  <c r="Q354" i="1"/>
  <c r="AI354" i="1"/>
  <c r="AD495" i="1"/>
  <c r="AC355" i="1"/>
  <c r="K355" i="1"/>
  <c r="K351" i="1"/>
  <c r="AC351" i="1"/>
  <c r="K357" i="1"/>
  <c r="I357" i="1" s="1"/>
  <c r="AC357" i="1"/>
  <c r="AD487" i="1"/>
  <c r="K354" i="1"/>
  <c r="AC354" i="1"/>
  <c r="K353" i="1"/>
  <c r="AC353" i="1"/>
  <c r="AD497" i="1"/>
  <c r="Q355" i="1"/>
  <c r="AI355" i="1"/>
  <c r="Q353" i="1"/>
  <c r="AI353" i="1"/>
  <c r="J288" i="1"/>
  <c r="J287" i="1"/>
  <c r="J276" i="1"/>
  <c r="J278" i="1"/>
  <c r="J280" i="1"/>
  <c r="J285" i="1"/>
  <c r="J282" i="1"/>
  <c r="J279" i="1"/>
  <c r="J272" i="1"/>
  <c r="J277" i="1"/>
  <c r="J274" i="1"/>
  <c r="J271" i="1"/>
  <c r="J284" i="1"/>
  <c r="J289" i="1"/>
  <c r="J286" i="1"/>
  <c r="J283" i="1"/>
  <c r="J293" i="1"/>
  <c r="J290" i="1"/>
  <c r="J281" i="1"/>
  <c r="J275" i="1"/>
  <c r="J269" i="1"/>
  <c r="J266" i="1"/>
  <c r="J292" i="1"/>
  <c r="J291" i="1"/>
  <c r="J268" i="1"/>
  <c r="J273" i="1"/>
  <c r="J270" i="1"/>
  <c r="J267" i="1"/>
  <c r="J265" i="1"/>
  <c r="AM177" i="1"/>
  <c r="AM139" i="1"/>
  <c r="AM166" i="1"/>
  <c r="AM167" i="1"/>
  <c r="AM161" i="1"/>
  <c r="AM238" i="1"/>
  <c r="AM175" i="1"/>
  <c r="AM144" i="1"/>
  <c r="AM168" i="1"/>
  <c r="AM226" i="1"/>
  <c r="AM214" i="1"/>
  <c r="AD259" i="1"/>
  <c r="K230" i="1"/>
  <c r="AC230" i="1"/>
  <c r="AD241" i="1"/>
  <c r="AM194" i="1"/>
  <c r="AD242" i="1"/>
  <c r="AD243" i="1"/>
  <c r="AD244" i="1"/>
  <c r="AC238" i="1"/>
  <c r="AM154" i="1"/>
  <c r="AM162" i="1"/>
  <c r="AM187" i="1"/>
  <c r="K223" i="1"/>
  <c r="AC223" i="1"/>
  <c r="AM147" i="1"/>
  <c r="AM181" i="1"/>
  <c r="AM149" i="1"/>
  <c r="AM173" i="1"/>
  <c r="AM186" i="1"/>
  <c r="AM208" i="1"/>
  <c r="AM155" i="1"/>
  <c r="AM163" i="1"/>
  <c r="AM156" i="1"/>
  <c r="AM140" i="1"/>
  <c r="AM164" i="1"/>
  <c r="AM178" i="1"/>
  <c r="K215" i="1"/>
  <c r="AC215" i="1"/>
  <c r="AM192" i="1"/>
  <c r="AM223" i="1"/>
  <c r="AC251" i="1"/>
  <c r="AM195" i="1"/>
  <c r="K224" i="1"/>
  <c r="AC224" i="1"/>
  <c r="AC213" i="1"/>
  <c r="K213" i="1"/>
  <c r="AM189" i="1"/>
  <c r="AM217" i="1"/>
  <c r="AD246" i="1"/>
  <c r="AM257" i="1"/>
  <c r="AD248" i="1"/>
  <c r="AC241" i="1"/>
  <c r="AC237" i="1"/>
  <c r="AM259" i="1"/>
  <c r="AD250" i="1"/>
  <c r="AC242" i="1"/>
  <c r="AM261" i="1"/>
  <c r="AD251" i="1"/>
  <c r="AC243" i="1"/>
  <c r="AM142" i="1"/>
  <c r="AM180" i="1"/>
  <c r="AM182" i="1"/>
  <c r="AM196" i="1"/>
  <c r="AM222" i="1"/>
  <c r="AM255" i="1"/>
  <c r="AM237" i="1"/>
  <c r="AC259" i="1"/>
  <c r="AM251" i="1"/>
  <c r="AC261" i="1"/>
  <c r="AM252" i="1"/>
  <c r="AC263" i="1"/>
  <c r="AM253" i="1"/>
  <c r="AM171" i="1"/>
  <c r="AM150" i="1"/>
  <c r="AM174" i="1"/>
  <c r="AM176" i="1"/>
  <c r="AM209" i="1"/>
  <c r="AM200" i="1"/>
  <c r="AD252" i="1"/>
  <c r="AM145" i="1"/>
  <c r="AM169" i="1"/>
  <c r="AM188" i="1"/>
  <c r="AM143" i="1"/>
  <c r="AM184" i="1"/>
  <c r="AM152" i="1"/>
  <c r="AM158" i="1"/>
  <c r="AM160" i="1"/>
  <c r="AM211" i="1"/>
  <c r="AM263" i="1"/>
  <c r="AM243" i="1"/>
  <c r="AM191" i="1"/>
  <c r="AC222" i="1"/>
  <c r="K222" i="1"/>
  <c r="AC257" i="1"/>
  <c r="AM206" i="1"/>
  <c r="AM230" i="1"/>
  <c r="AC239" i="1"/>
  <c r="AD253" i="1"/>
  <c r="AC246" i="1"/>
  <c r="AM239" i="1"/>
  <c r="AD255" i="1"/>
  <c r="AC248" i="1"/>
  <c r="AM241" i="1"/>
  <c r="AD237" i="1"/>
  <c r="AD257" i="1"/>
  <c r="AC250" i="1"/>
  <c r="AM242" i="1"/>
  <c r="K226" i="1"/>
  <c r="AC226" i="1"/>
  <c r="AM153" i="1"/>
  <c r="AM151" i="1"/>
  <c r="AM159" i="1"/>
  <c r="AM212" i="1"/>
  <c r="AM146" i="1"/>
  <c r="AM170" i="1"/>
  <c r="AM183" i="1"/>
  <c r="AM193" i="1"/>
  <c r="AC244" i="1"/>
  <c r="AM157" i="1"/>
  <c r="AM141" i="1"/>
  <c r="AM165" i="1"/>
  <c r="AM179" i="1"/>
  <c r="AM210" i="1"/>
  <c r="K214" i="1"/>
  <c r="AC214" i="1"/>
  <c r="AM148" i="1"/>
  <c r="AM172" i="1"/>
  <c r="AM185" i="1"/>
  <c r="AM205" i="1"/>
  <c r="AM204" i="1"/>
  <c r="K212" i="1"/>
  <c r="AC212" i="1"/>
  <c r="AM215" i="1"/>
  <c r="AM207" i="1"/>
  <c r="AC217" i="1"/>
  <c r="K217" i="1"/>
  <c r="AM250" i="1"/>
  <c r="AM203" i="1"/>
  <c r="AM224" i="1"/>
  <c r="AM213" i="1"/>
  <c r="AD261" i="1"/>
  <c r="AC252" i="1"/>
  <c r="AM244" i="1"/>
  <c r="AD263" i="1"/>
  <c r="AC253" i="1"/>
  <c r="AM246" i="1"/>
  <c r="AD238" i="1"/>
  <c r="AC255" i="1"/>
  <c r="AM248" i="1"/>
  <c r="AD239" i="1"/>
  <c r="AM65" i="1"/>
  <c r="AM56" i="1"/>
  <c r="AM61" i="1"/>
  <c r="AM60" i="1"/>
  <c r="AM125" i="1"/>
  <c r="AM105" i="1"/>
  <c r="AM129" i="1"/>
  <c r="AM97" i="1"/>
  <c r="AM72" i="1"/>
  <c r="AM95" i="1"/>
  <c r="AM99" i="1"/>
  <c r="AM107" i="1"/>
  <c r="AM132" i="1"/>
  <c r="AM112" i="1"/>
  <c r="AM16" i="1"/>
  <c r="AM94" i="1"/>
  <c r="AM68" i="1"/>
  <c r="AM71" i="1"/>
  <c r="AM93" i="1"/>
  <c r="AM102" i="1"/>
  <c r="AM90" i="1"/>
  <c r="AM96" i="1"/>
  <c r="AM98" i="1"/>
  <c r="AM113" i="1"/>
  <c r="AM70" i="1"/>
  <c r="AM91" i="1"/>
  <c r="AM104" i="1"/>
  <c r="AM126" i="1"/>
  <c r="AM111" i="1"/>
  <c r="AM120" i="1"/>
  <c r="AM103" i="1"/>
  <c r="AM124" i="1"/>
  <c r="AM108" i="1"/>
  <c r="AM133" i="1"/>
  <c r="AM82" i="1"/>
  <c r="AM77" i="1"/>
  <c r="AM89" i="1"/>
  <c r="AM80" i="1"/>
  <c r="AM92" i="1"/>
  <c r="AM106" i="1"/>
  <c r="AM74" i="1"/>
  <c r="AM79" i="1"/>
  <c r="AM87" i="1"/>
  <c r="AM127" i="1"/>
  <c r="AM122" i="1"/>
  <c r="AM135" i="1"/>
  <c r="AM115" i="1"/>
  <c r="AM119" i="1"/>
  <c r="AM78" i="1"/>
  <c r="AM81" i="1"/>
  <c r="AM84" i="1"/>
  <c r="AM69" i="1"/>
  <c r="AM110" i="1"/>
  <c r="AM73" i="1"/>
  <c r="AM85" i="1"/>
  <c r="AM118" i="1"/>
  <c r="AM123" i="1"/>
  <c r="AM76" i="1"/>
  <c r="AM88" i="1"/>
  <c r="AM100" i="1"/>
  <c r="AM86" i="1"/>
  <c r="AM75" i="1"/>
  <c r="AM83" i="1"/>
  <c r="AM137" i="1"/>
  <c r="AM116" i="1"/>
  <c r="AM131" i="1"/>
  <c r="AM109" i="1"/>
  <c r="AM134" i="1"/>
  <c r="AM114" i="1"/>
  <c r="AM52" i="1"/>
  <c r="AM54" i="1"/>
  <c r="AM39" i="1"/>
  <c r="AM41" i="1"/>
  <c r="AM51" i="1"/>
  <c r="AM53" i="1"/>
  <c r="AM30" i="1"/>
  <c r="AM21" i="1"/>
  <c r="AM29" i="1"/>
  <c r="AM26" i="1"/>
  <c r="AM18" i="1"/>
  <c r="AM33" i="1"/>
  <c r="AM50" i="1"/>
  <c r="AM46" i="1"/>
  <c r="AM55" i="1"/>
  <c r="AM67" i="1"/>
  <c r="AM66" i="1"/>
  <c r="AM27" i="1"/>
  <c r="AM40" i="1"/>
  <c r="AM35" i="1"/>
  <c r="AM28" i="1"/>
  <c r="AM42" i="1"/>
  <c r="AM17" i="1"/>
  <c r="AM45" i="1"/>
  <c r="AM22" i="1"/>
  <c r="AM19" i="1"/>
  <c r="AM47" i="1"/>
  <c r="AM38" i="1"/>
  <c r="AM20" i="1"/>
  <c r="AM25" i="1"/>
  <c r="AM32" i="1"/>
  <c r="AM49" i="1"/>
  <c r="AM62" i="1"/>
  <c r="AM23" i="1"/>
  <c r="AM43" i="1"/>
  <c r="AM36" i="1"/>
  <c r="AM24" i="1"/>
  <c r="AM34" i="1"/>
  <c r="AM31" i="1"/>
  <c r="AM48" i="1"/>
  <c r="AM44" i="1"/>
  <c r="AM64" i="1"/>
  <c r="AM63" i="1"/>
  <c r="AM37" i="1"/>
  <c r="AM59" i="1"/>
  <c r="AM57" i="1"/>
  <c r="I356" i="1" l="1"/>
  <c r="H356" i="1" s="1"/>
  <c r="J390" i="1" s="1" a="1"/>
  <c r="J390" i="1" s="1"/>
  <c r="H390" i="1" s="1"/>
  <c r="I350" i="1"/>
  <c r="I361" i="1"/>
  <c r="I362" i="1"/>
  <c r="I354" i="1"/>
  <c r="I351" i="1"/>
  <c r="I352" i="1"/>
  <c r="I349" i="1"/>
  <c r="I353" i="1"/>
  <c r="I365" i="1"/>
  <c r="I360" i="1"/>
  <c r="I358" i="1"/>
  <c r="I355" i="1"/>
  <c r="I363" i="1"/>
  <c r="I364" i="1"/>
  <c r="I359" i="1"/>
  <c r="I292" i="1"/>
  <c r="H292" i="1" s="1"/>
  <c r="I293" i="1"/>
  <c r="H293" i="1" s="1"/>
  <c r="I284" i="1"/>
  <c r="H284" i="1" s="1"/>
  <c r="I288" i="1"/>
  <c r="H288" i="1" s="1"/>
  <c r="I270" i="1"/>
  <c r="H270" i="1" s="1"/>
  <c r="I265" i="1"/>
  <c r="H265" i="1" s="1"/>
  <c r="I268" i="1"/>
  <c r="H268" i="1" s="1"/>
  <c r="I269" i="1"/>
  <c r="H269" i="1" s="1"/>
  <c r="I272" i="1"/>
  <c r="H272" i="1" s="1"/>
  <c r="I280" i="1"/>
  <c r="H280" i="1" s="1"/>
  <c r="I267" i="1"/>
  <c r="H267" i="1" s="1"/>
  <c r="I291" i="1"/>
  <c r="H291" i="1" s="1"/>
  <c r="I275" i="1"/>
  <c r="H275" i="1" s="1"/>
  <c r="I283" i="1"/>
  <c r="H283" i="1" s="1"/>
  <c r="I271" i="1"/>
  <c r="H271" i="1" s="1"/>
  <c r="I279" i="1"/>
  <c r="H279" i="1" s="1"/>
  <c r="I278" i="1"/>
  <c r="H278" i="1" s="1"/>
  <c r="I281" i="1"/>
  <c r="H281" i="1" s="1"/>
  <c r="I286" i="1"/>
  <c r="H286" i="1" s="1"/>
  <c r="I274" i="1"/>
  <c r="H274" i="1" s="1"/>
  <c r="I282" i="1"/>
  <c r="H282" i="1" s="1"/>
  <c r="I276" i="1"/>
  <c r="H276" i="1" s="1"/>
  <c r="I273" i="1"/>
  <c r="H273" i="1" s="1"/>
  <c r="I266" i="1"/>
  <c r="H266" i="1" s="1"/>
  <c r="I290" i="1"/>
  <c r="H290" i="1" s="1"/>
  <c r="I289" i="1"/>
  <c r="H289" i="1" s="1"/>
  <c r="I277" i="1"/>
  <c r="H277" i="1" s="1"/>
  <c r="I285" i="1"/>
  <c r="H285" i="1" s="1"/>
  <c r="I287" i="1"/>
  <c r="I167" i="1"/>
  <c r="I160" i="1"/>
  <c r="I166" i="1"/>
  <c r="I178" i="1"/>
  <c r="I183" i="1"/>
  <c r="I172" i="1"/>
  <c r="I159" i="1"/>
  <c r="I171" i="1"/>
  <c r="I168" i="1"/>
  <c r="I175" i="1"/>
  <c r="I176" i="1"/>
  <c r="I174" i="1"/>
  <c r="I164" i="1"/>
  <c r="I163" i="1"/>
  <c r="I186" i="1"/>
  <c r="I181" i="1"/>
  <c r="I184" i="1"/>
  <c r="I179" i="1"/>
  <c r="I158" i="1"/>
  <c r="I177" i="1"/>
  <c r="I180" i="1"/>
  <c r="I182" i="1"/>
  <c r="I185" i="1"/>
  <c r="X119" i="1"/>
  <c r="O119" i="1" s="1"/>
  <c r="Y133" i="1"/>
  <c r="P133" i="1" s="1"/>
  <c r="Y125" i="1"/>
  <c r="AH125" i="1" s="1"/>
  <c r="X125" i="1"/>
  <c r="O125" i="1" s="1"/>
  <c r="Y134" i="1"/>
  <c r="AH134" i="1" s="1"/>
  <c r="W125" i="1"/>
  <c r="N125" i="1" s="1"/>
  <c r="X133" i="1"/>
  <c r="AG133" i="1" s="1"/>
  <c r="Y115" i="1"/>
  <c r="P115" i="1" s="1"/>
  <c r="W133" i="1"/>
  <c r="N133" i="1" s="1"/>
  <c r="W115" i="1"/>
  <c r="N115" i="1" s="1"/>
  <c r="Y119" i="1"/>
  <c r="AH119" i="1" s="1"/>
  <c r="W126" i="1"/>
  <c r="N126" i="1" s="1"/>
  <c r="W119" i="1"/>
  <c r="N119" i="1" s="1"/>
  <c r="Y126" i="1"/>
  <c r="AH126" i="1" s="1"/>
  <c r="X126" i="1"/>
  <c r="AG126" i="1" s="1"/>
  <c r="W134" i="1"/>
  <c r="AF134" i="1" s="1"/>
  <c r="X134" i="1"/>
  <c r="AG134" i="1" s="1"/>
  <c r="AH133" i="1"/>
  <c r="AG115" i="1"/>
  <c r="O115" i="1"/>
  <c r="H66" i="1"/>
  <c r="H401" i="1"/>
  <c r="J425" i="1" s="1" a="1"/>
  <c r="J425" i="1" s="1"/>
  <c r="H425" i="1" s="1"/>
  <c r="H400" i="1"/>
  <c r="J424" i="1" s="1" a="1"/>
  <c r="J424" i="1" s="1"/>
  <c r="H424" i="1" s="1"/>
  <c r="H406" i="1"/>
  <c r="J430" i="1" s="1" a="1"/>
  <c r="J430" i="1" s="1"/>
  <c r="H430" i="1" s="1"/>
  <c r="H405" i="1"/>
  <c r="J429" i="1" s="1" a="1"/>
  <c r="J429" i="1" s="1"/>
  <c r="H429" i="1" s="1"/>
  <c r="H402" i="1"/>
  <c r="J426" i="1" s="1" a="1"/>
  <c r="J426" i="1" s="1"/>
  <c r="H426" i="1" s="1"/>
  <c r="H411" i="1"/>
  <c r="J435" i="1" s="1" a="1"/>
  <c r="J435" i="1" s="1"/>
  <c r="H435" i="1" s="1"/>
  <c r="H409" i="1"/>
  <c r="J433" i="1" s="1" a="1"/>
  <c r="J433" i="1" s="1"/>
  <c r="H433" i="1" s="1"/>
  <c r="H404" i="1"/>
  <c r="J428" i="1" s="1" a="1"/>
  <c r="J428" i="1" s="1"/>
  <c r="H428" i="1" s="1"/>
  <c r="H403" i="1"/>
  <c r="J427" i="1" s="1" a="1"/>
  <c r="J427" i="1" s="1"/>
  <c r="H427" i="1" s="1"/>
  <c r="H407" i="1"/>
  <c r="J431" i="1" s="1" a="1"/>
  <c r="J431" i="1" s="1"/>
  <c r="H431" i="1" s="1"/>
  <c r="H408" i="1"/>
  <c r="J432" i="1" s="1" a="1"/>
  <c r="J432" i="1" s="1"/>
  <c r="H432" i="1" s="1"/>
  <c r="H410" i="1"/>
  <c r="J434" i="1" s="1" a="1"/>
  <c r="J434" i="1" s="1"/>
  <c r="H434" i="1" s="1"/>
  <c r="AB208" i="1"/>
  <c r="AB196" i="1"/>
  <c r="AB192" i="1"/>
  <c r="AB204" i="1"/>
  <c r="AB169" i="1"/>
  <c r="J169" i="1"/>
  <c r="I169" i="1" s="1"/>
  <c r="AB161" i="1"/>
  <c r="J161" i="1"/>
  <c r="I161" i="1" s="1"/>
  <c r="AB173" i="1"/>
  <c r="J173" i="1"/>
  <c r="I173" i="1" s="1"/>
  <c r="AB162" i="1"/>
  <c r="J162" i="1"/>
  <c r="I162" i="1" s="1"/>
  <c r="AB165" i="1"/>
  <c r="J165" i="1"/>
  <c r="I165" i="1" s="1"/>
  <c r="AB170" i="1"/>
  <c r="J170" i="1"/>
  <c r="I170" i="1" s="1"/>
  <c r="AB111" i="1"/>
  <c r="AB112" i="1"/>
  <c r="AB118" i="1"/>
  <c r="AB129" i="1"/>
  <c r="AB123" i="1"/>
  <c r="AB114" i="1"/>
  <c r="AB116" i="1"/>
  <c r="AB132" i="1"/>
  <c r="AB122" i="1"/>
  <c r="AB134" i="1"/>
  <c r="AB131" i="1"/>
  <c r="AB126" i="1"/>
  <c r="AB115" i="1"/>
  <c r="AB120" i="1"/>
  <c r="AB127" i="1"/>
  <c r="AB133" i="1"/>
  <c r="AB119" i="1"/>
  <c r="AB125" i="1"/>
  <c r="AB137" i="1"/>
  <c r="AB135" i="1"/>
  <c r="AB113" i="1"/>
  <c r="AB124" i="1"/>
  <c r="H63" i="1"/>
  <c r="H59" i="1"/>
  <c r="J109" i="1"/>
  <c r="J103" i="1"/>
  <c r="J105" i="1"/>
  <c r="H56" i="1"/>
  <c r="H67" i="1"/>
  <c r="H53" i="1"/>
  <c r="H438" i="1"/>
  <c r="J470" i="1" s="1" a="1"/>
  <c r="J470" i="1" s="1"/>
  <c r="H470" i="1" s="1"/>
  <c r="H439" i="1"/>
  <c r="J471" i="1" s="1" a="1"/>
  <c r="J471" i="1" s="1"/>
  <c r="H471" i="1" s="1"/>
  <c r="H444" i="1"/>
  <c r="J476" i="1" s="1" a="1"/>
  <c r="J476" i="1" s="1"/>
  <c r="H476" i="1" s="1"/>
  <c r="H61" i="1"/>
  <c r="H52" i="1"/>
  <c r="H55" i="1"/>
  <c r="H533" i="1"/>
  <c r="J569" i="1" s="1" a="1"/>
  <c r="J569" i="1" s="1"/>
  <c r="H569" i="1" s="1"/>
  <c r="H449" i="1"/>
  <c r="J481" i="1" s="1" a="1"/>
  <c r="J481" i="1" s="1"/>
  <c r="H481" i="1" s="1"/>
  <c r="H487" i="1"/>
  <c r="J515" i="1" s="1" a="1"/>
  <c r="J515" i="1" s="1"/>
  <c r="H515" i="1" s="1"/>
  <c r="H447" i="1"/>
  <c r="J479" i="1" s="1" a="1"/>
  <c r="J479" i="1" s="1"/>
  <c r="H479" i="1" s="1"/>
  <c r="H445" i="1"/>
  <c r="J477" i="1" s="1" a="1"/>
  <c r="J477" i="1" s="1"/>
  <c r="H477" i="1" s="1"/>
  <c r="H62" i="1"/>
  <c r="H57" i="1"/>
  <c r="H357" i="1"/>
  <c r="J391" i="1" s="1" a="1"/>
  <c r="J391" i="1" s="1"/>
  <c r="H391" i="1" s="1"/>
  <c r="H489" i="1"/>
  <c r="J517" i="1" s="1" a="1"/>
  <c r="J517" i="1" s="1"/>
  <c r="H517" i="1" s="1"/>
  <c r="H494" i="1"/>
  <c r="J522" i="1" s="1" a="1"/>
  <c r="J522" i="1" s="1"/>
  <c r="H522" i="1" s="1"/>
  <c r="H490" i="1"/>
  <c r="J518" i="1" s="1" a="1"/>
  <c r="J518" i="1" s="1"/>
  <c r="H518" i="1" s="1"/>
  <c r="H526" i="1"/>
  <c r="J562" i="1" s="1" a="1"/>
  <c r="J562" i="1" s="1"/>
  <c r="H562" i="1" s="1"/>
  <c r="H64" i="1"/>
  <c r="H485" i="1"/>
  <c r="J513" i="1" s="1" a="1"/>
  <c r="J513" i="1" s="1"/>
  <c r="H513" i="1" s="1"/>
  <c r="H534" i="1"/>
  <c r="J570" i="1" s="1" a="1"/>
  <c r="J570" i="1" s="1"/>
  <c r="H570" i="1" s="1"/>
  <c r="H535" i="1"/>
  <c r="J571" i="1" s="1" a="1"/>
  <c r="J571" i="1" s="1"/>
  <c r="H571" i="1" s="1"/>
  <c r="H530" i="1"/>
  <c r="J566" i="1" s="1" a="1"/>
  <c r="J566" i="1" s="1"/>
  <c r="H566" i="1" s="1"/>
  <c r="H60" i="1"/>
  <c r="H54" i="1"/>
  <c r="H65" i="1"/>
  <c r="H497" i="1"/>
  <c r="J525" i="1" s="1" a="1"/>
  <c r="J525" i="1" s="1"/>
  <c r="H525" i="1" s="1"/>
  <c r="H491" i="1"/>
  <c r="J519" i="1" s="1" a="1"/>
  <c r="J519" i="1" s="1"/>
  <c r="H519" i="1" s="1"/>
  <c r="H495" i="1"/>
  <c r="J523" i="1" s="1" a="1"/>
  <c r="J523" i="1" s="1"/>
  <c r="H523" i="1" s="1"/>
  <c r="H486" i="1"/>
  <c r="J514" i="1" s="1" a="1"/>
  <c r="J514" i="1" s="1"/>
  <c r="H514" i="1" s="1"/>
  <c r="H488" i="1"/>
  <c r="J516" i="1" s="1" a="1"/>
  <c r="J516" i="1" s="1"/>
  <c r="H516" i="1" s="1"/>
  <c r="H496" i="1"/>
  <c r="J524" i="1" s="1" a="1"/>
  <c r="J524" i="1" s="1"/>
  <c r="H524" i="1" s="1"/>
  <c r="H527" i="1"/>
  <c r="J563" i="1" s="1" a="1"/>
  <c r="J563" i="1" s="1"/>
  <c r="H563" i="1" s="1"/>
  <c r="H532" i="1"/>
  <c r="J568" i="1" s="1" a="1"/>
  <c r="J568" i="1" s="1"/>
  <c r="H568" i="1" s="1"/>
  <c r="H528" i="1"/>
  <c r="J564" i="1" s="1" a="1"/>
  <c r="J564" i="1" s="1"/>
  <c r="H564" i="1" s="1"/>
  <c r="H436" i="1"/>
  <c r="J468" i="1" s="1" a="1"/>
  <c r="J468" i="1" s="1"/>
  <c r="H468" i="1" s="1"/>
  <c r="H441" i="1"/>
  <c r="J473" i="1" s="1" a="1"/>
  <c r="J473" i="1" s="1"/>
  <c r="H473" i="1" s="1"/>
  <c r="H529" i="1"/>
  <c r="J565" i="1" s="1" a="1"/>
  <c r="J565" i="1" s="1"/>
  <c r="H565" i="1" s="1"/>
  <c r="H451" i="1"/>
  <c r="J483" i="1" s="1" a="1"/>
  <c r="J483" i="1" s="1"/>
  <c r="H483" i="1" s="1"/>
  <c r="AA533" i="1"/>
  <c r="AA535" i="1"/>
  <c r="AA534" i="1"/>
  <c r="AA532" i="1"/>
  <c r="AA528" i="1"/>
  <c r="AA526" i="1"/>
  <c r="AA530" i="1"/>
  <c r="AA529" i="1"/>
  <c r="AA527" i="1"/>
  <c r="AA64" i="1"/>
  <c r="AA54" i="1"/>
  <c r="AA61" i="1"/>
  <c r="AB18" i="1"/>
  <c r="AB28" i="1"/>
  <c r="AB20" i="1"/>
  <c r="AB27" i="1"/>
  <c r="AB33" i="1"/>
  <c r="AB26" i="1"/>
  <c r="AB31" i="1"/>
  <c r="AB30" i="1"/>
  <c r="AB25" i="1"/>
  <c r="AB23" i="1"/>
  <c r="AB29" i="1"/>
  <c r="AB22" i="1"/>
  <c r="AB17" i="1"/>
  <c r="AB32" i="1"/>
  <c r="AB24" i="1"/>
  <c r="AB21" i="1"/>
  <c r="AB19" i="1"/>
  <c r="R141" i="1"/>
  <c r="AA56" i="1"/>
  <c r="AA57" i="1"/>
  <c r="R196" i="1"/>
  <c r="AA63" i="1"/>
  <c r="Q140" i="1"/>
  <c r="AA69" i="1"/>
  <c r="R147" i="1"/>
  <c r="AA52" i="1"/>
  <c r="AB16" i="1"/>
  <c r="AC16" i="1" s="1"/>
  <c r="AD16" i="1" s="1"/>
  <c r="AE16" i="1" s="1"/>
  <c r="AF16" i="1" s="1"/>
  <c r="AA62" i="1"/>
  <c r="AA70" i="1"/>
  <c r="R41" i="1"/>
  <c r="AA55" i="1"/>
  <c r="R152" i="1"/>
  <c r="R156" i="1"/>
  <c r="Q147" i="1"/>
  <c r="R143" i="1"/>
  <c r="R140" i="1"/>
  <c r="R139" i="1"/>
  <c r="R155" i="1"/>
  <c r="R145" i="1"/>
  <c r="R49" i="1"/>
  <c r="R148" i="1"/>
  <c r="R208" i="1"/>
  <c r="AA60" i="1"/>
  <c r="AA67" i="1"/>
  <c r="R142" i="1"/>
  <c r="AA65" i="1"/>
  <c r="AA53" i="1"/>
  <c r="AA66" i="1"/>
  <c r="R157" i="1"/>
  <c r="AA59" i="1"/>
  <c r="AA68" i="1"/>
  <c r="R149" i="1"/>
  <c r="R144" i="1"/>
  <c r="R146" i="1"/>
  <c r="R153" i="1"/>
  <c r="R154" i="1"/>
  <c r="R109" i="1"/>
  <c r="R151" i="1"/>
  <c r="R45" i="1"/>
  <c r="R150" i="1"/>
  <c r="R37" i="1"/>
  <c r="R170" i="1"/>
  <c r="R162" i="1"/>
  <c r="R204" i="1"/>
  <c r="R165" i="1"/>
  <c r="R169" i="1"/>
  <c r="L16" i="1"/>
  <c r="K16" i="1"/>
  <c r="AB224" i="1"/>
  <c r="AA224" i="1" s="1"/>
  <c r="R224" i="1"/>
  <c r="AB241" i="1"/>
  <c r="AA241" i="1" s="1"/>
  <c r="R241" i="1"/>
  <c r="AB253" i="1"/>
  <c r="AA253" i="1" s="1"/>
  <c r="AB252" i="1"/>
  <c r="AA252" i="1" s="1"/>
  <c r="R252" i="1"/>
  <c r="AB237" i="1"/>
  <c r="AA237" i="1" s="1"/>
  <c r="R237" i="1"/>
  <c r="AB217" i="1"/>
  <c r="AA217" i="1" s="1"/>
  <c r="R217" i="1"/>
  <c r="AB185" i="1"/>
  <c r="R185" i="1"/>
  <c r="AA353" i="1"/>
  <c r="R206" i="1"/>
  <c r="AB206" i="1"/>
  <c r="AB211" i="1"/>
  <c r="R211" i="1"/>
  <c r="AB110" i="1"/>
  <c r="R110" i="1"/>
  <c r="R102" i="1"/>
  <c r="AB102" i="1"/>
  <c r="R47" i="1"/>
  <c r="AB47" i="1"/>
  <c r="AB195" i="1"/>
  <c r="R195" i="1"/>
  <c r="AB164" i="1"/>
  <c r="R164" i="1"/>
  <c r="AB163" i="1"/>
  <c r="R163" i="1"/>
  <c r="AB46" i="1"/>
  <c r="R46" i="1"/>
  <c r="R181" i="1"/>
  <c r="AB181" i="1"/>
  <c r="AB51" i="1"/>
  <c r="R51" i="1"/>
  <c r="AA362" i="1"/>
  <c r="AB175" i="1"/>
  <c r="R175" i="1"/>
  <c r="R161" i="1"/>
  <c r="AB104" i="1"/>
  <c r="R104" i="1"/>
  <c r="AB248" i="1"/>
  <c r="AA248" i="1" s="1"/>
  <c r="R248" i="1"/>
  <c r="AB215" i="1"/>
  <c r="AA215" i="1" s="1"/>
  <c r="R215" i="1"/>
  <c r="AB230" i="1"/>
  <c r="AA230" i="1" s="1"/>
  <c r="R230" i="1"/>
  <c r="AB255" i="1"/>
  <c r="AA255" i="1" s="1"/>
  <c r="R255" i="1"/>
  <c r="AB261" i="1"/>
  <c r="AA261" i="1" s="1"/>
  <c r="AB259" i="1"/>
  <c r="AA259" i="1" s="1"/>
  <c r="R259" i="1"/>
  <c r="AB223" i="1"/>
  <c r="AA223" i="1" s="1"/>
  <c r="R223" i="1"/>
  <c r="R226" i="1"/>
  <c r="AB226" i="1"/>
  <c r="AA226" i="1" s="1"/>
  <c r="R203" i="1"/>
  <c r="AB203" i="1"/>
  <c r="AB172" i="1"/>
  <c r="R172" i="1"/>
  <c r="R35" i="1"/>
  <c r="R210" i="1"/>
  <c r="AB210" i="1"/>
  <c r="AB179" i="1"/>
  <c r="R179" i="1"/>
  <c r="AB159" i="1"/>
  <c r="R159" i="1"/>
  <c r="R103" i="1"/>
  <c r="AB188" i="1"/>
  <c r="R188" i="1"/>
  <c r="AB200" i="1"/>
  <c r="R200" i="1"/>
  <c r="R209" i="1"/>
  <c r="AB209" i="1"/>
  <c r="AA350" i="1"/>
  <c r="R192" i="1"/>
  <c r="R105" i="1"/>
  <c r="AB187" i="1"/>
  <c r="R187" i="1"/>
  <c r="R194" i="1"/>
  <c r="AB194" i="1"/>
  <c r="AB50" i="1"/>
  <c r="R50" i="1"/>
  <c r="AB180" i="1"/>
  <c r="R180" i="1"/>
  <c r="AB107" i="1"/>
  <c r="R107" i="1"/>
  <c r="AB40" i="1"/>
  <c r="R40" i="1"/>
  <c r="R177" i="1"/>
  <c r="AB177" i="1"/>
  <c r="AB213" i="1"/>
  <c r="AA213" i="1" s="1"/>
  <c r="R213" i="1"/>
  <c r="AB250" i="1"/>
  <c r="AA250" i="1" s="1"/>
  <c r="R250" i="1"/>
  <c r="AB212" i="1"/>
  <c r="AA212" i="1" s="1"/>
  <c r="R212" i="1"/>
  <c r="AB242" i="1"/>
  <c r="AA242" i="1" s="1"/>
  <c r="R242" i="1"/>
  <c r="R239" i="1"/>
  <c r="AB239" i="1"/>
  <c r="AA239" i="1" s="1"/>
  <c r="AB243" i="1"/>
  <c r="AA243" i="1" s="1"/>
  <c r="R243" i="1"/>
  <c r="AB263" i="1"/>
  <c r="AA263" i="1" s="1"/>
  <c r="R263" i="1"/>
  <c r="AB251" i="1"/>
  <c r="AA251" i="1" s="1"/>
  <c r="AB238" i="1"/>
  <c r="AA238" i="1" s="1"/>
  <c r="R238" i="1"/>
  <c r="AB44" i="1"/>
  <c r="R44" i="1"/>
  <c r="AB106" i="1"/>
  <c r="R106" i="1"/>
  <c r="AB183" i="1"/>
  <c r="R183" i="1"/>
  <c r="AB43" i="1"/>
  <c r="R43" i="1"/>
  <c r="AA357" i="1"/>
  <c r="AA355" i="1"/>
  <c r="AA351" i="1"/>
  <c r="AB191" i="1"/>
  <c r="R191" i="1"/>
  <c r="AB158" i="1"/>
  <c r="R158" i="1"/>
  <c r="AB108" i="1"/>
  <c r="R108" i="1"/>
  <c r="AB42" i="1"/>
  <c r="R42" i="1"/>
  <c r="AB48" i="1"/>
  <c r="R48" i="1"/>
  <c r="AB176" i="1"/>
  <c r="R176" i="1"/>
  <c r="R36" i="1"/>
  <c r="AB36" i="1"/>
  <c r="AA363" i="1"/>
  <c r="AA359" i="1"/>
  <c r="AA365" i="1"/>
  <c r="R189" i="1"/>
  <c r="AB189" i="1"/>
  <c r="R173" i="1"/>
  <c r="AB100" i="1"/>
  <c r="R100" i="1"/>
  <c r="AB39" i="1"/>
  <c r="R39" i="1"/>
  <c r="AA358" i="1"/>
  <c r="AA354" i="1"/>
  <c r="AB182" i="1"/>
  <c r="R182" i="1"/>
  <c r="AB166" i="1"/>
  <c r="R166" i="1"/>
  <c r="R34" i="1"/>
  <c r="AB34" i="1"/>
  <c r="AB246" i="1"/>
  <c r="AA246" i="1" s="1"/>
  <c r="R246" i="1"/>
  <c r="AB244" i="1"/>
  <c r="AA244" i="1" s="1"/>
  <c r="R244" i="1"/>
  <c r="AB222" i="1"/>
  <c r="AA222" i="1" s="1"/>
  <c r="R222" i="1"/>
  <c r="AB257" i="1"/>
  <c r="AA257" i="1" s="1"/>
  <c r="AB214" i="1"/>
  <c r="AA214" i="1" s="1"/>
  <c r="R214" i="1"/>
  <c r="AA361" i="1"/>
  <c r="AA349" i="1"/>
  <c r="AB207" i="1"/>
  <c r="R207" i="1"/>
  <c r="AB205" i="1"/>
  <c r="R205" i="1"/>
  <c r="AB193" i="1"/>
  <c r="R193" i="1"/>
  <c r="AA356" i="1"/>
  <c r="AB160" i="1"/>
  <c r="R160" i="1"/>
  <c r="R184" i="1"/>
  <c r="AB184" i="1"/>
  <c r="AB174" i="1"/>
  <c r="R174" i="1"/>
  <c r="AB171" i="1"/>
  <c r="R171" i="1"/>
  <c r="AA360" i="1"/>
  <c r="AA352" i="1"/>
  <c r="AA364" i="1"/>
  <c r="AB178" i="1"/>
  <c r="R178" i="1"/>
  <c r="AB186" i="1"/>
  <c r="R186" i="1"/>
  <c r="AB99" i="1"/>
  <c r="R99" i="1"/>
  <c r="AB168" i="1"/>
  <c r="R168" i="1"/>
  <c r="AB38" i="1"/>
  <c r="R38" i="1"/>
  <c r="AB167" i="1"/>
  <c r="R167" i="1"/>
  <c r="AC185" i="1"/>
  <c r="AC151" i="1"/>
  <c r="K151" i="1"/>
  <c r="I151" i="1" s="1"/>
  <c r="K144" i="1"/>
  <c r="I144" i="1" s="1"/>
  <c r="AC144" i="1"/>
  <c r="AC142" i="1"/>
  <c r="K142" i="1"/>
  <c r="I142" i="1" s="1"/>
  <c r="AC183" i="1"/>
  <c r="AC170" i="1"/>
  <c r="AD159" i="1"/>
  <c r="AD160" i="1"/>
  <c r="AI155" i="1"/>
  <c r="AC154" i="1"/>
  <c r="K154" i="1"/>
  <c r="I154" i="1" s="1"/>
  <c r="AI147" i="1"/>
  <c r="J223" i="1"/>
  <c r="I223" i="1" s="1"/>
  <c r="AI143" i="1"/>
  <c r="AC186" i="1"/>
  <c r="AI152" i="1"/>
  <c r="AD162" i="1"/>
  <c r="K157" i="1"/>
  <c r="I157" i="1" s="1"/>
  <c r="AC157" i="1"/>
  <c r="AI146" i="1"/>
  <c r="J226" i="1"/>
  <c r="I226" i="1" s="1"/>
  <c r="AD168" i="1"/>
  <c r="AD175" i="1"/>
  <c r="AD161" i="1"/>
  <c r="AD167" i="1"/>
  <c r="AD166" i="1"/>
  <c r="J224" i="1"/>
  <c r="I224" i="1" s="1"/>
  <c r="AD172" i="1"/>
  <c r="AI151" i="1"/>
  <c r="AI150" i="1"/>
  <c r="AC179" i="1"/>
  <c r="AD158" i="1"/>
  <c r="AC184" i="1"/>
  <c r="AC169" i="1"/>
  <c r="AI139" i="1"/>
  <c r="AD163" i="1"/>
  <c r="AD173" i="1"/>
  <c r="K152" i="1"/>
  <c r="I152" i="1" s="1"/>
  <c r="AC152" i="1"/>
  <c r="AI157" i="1"/>
  <c r="AC146" i="1"/>
  <c r="K146" i="1"/>
  <c r="I146" i="1" s="1"/>
  <c r="AC161" i="1"/>
  <c r="AC167" i="1"/>
  <c r="J215" i="1"/>
  <c r="I215" i="1" s="1"/>
  <c r="AC150" i="1"/>
  <c r="K150" i="1"/>
  <c r="I150" i="1" s="1"/>
  <c r="AC165" i="1"/>
  <c r="AD170" i="1"/>
  <c r="K149" i="1"/>
  <c r="I149" i="1" s="1"/>
  <c r="AC149" i="1"/>
  <c r="AC159" i="1"/>
  <c r="K145" i="1"/>
  <c r="I145" i="1" s="1"/>
  <c r="AC145" i="1"/>
  <c r="J230" i="1"/>
  <c r="I230" i="1" s="1"/>
  <c r="AC160" i="1"/>
  <c r="AC158" i="1"/>
  <c r="AD169" i="1"/>
  <c r="AI148" i="1"/>
  <c r="AD176" i="1"/>
  <c r="AC174" i="1"/>
  <c r="K153" i="1"/>
  <c r="I153" i="1" s="1"/>
  <c r="AC153" i="1"/>
  <c r="AC171" i="1"/>
  <c r="J222" i="1"/>
  <c r="I222" i="1" s="1"/>
  <c r="AC140" i="1"/>
  <c r="AA140" i="1" s="1"/>
  <c r="K140" i="1"/>
  <c r="I140" i="1" s="1"/>
  <c r="AC180" i="1"/>
  <c r="K139" i="1"/>
  <c r="I139" i="1" s="1"/>
  <c r="AC139" i="1"/>
  <c r="AC178" i="1"/>
  <c r="AC164" i="1"/>
  <c r="AC181" i="1"/>
  <c r="AC162" i="1"/>
  <c r="K141" i="1"/>
  <c r="I141" i="1" s="1"/>
  <c r="AC141" i="1"/>
  <c r="J214" i="1"/>
  <c r="I214" i="1" s="1"/>
  <c r="AC168" i="1"/>
  <c r="AI156" i="1"/>
  <c r="AC166" i="1"/>
  <c r="J213" i="1"/>
  <c r="I213" i="1" s="1"/>
  <c r="AC172" i="1"/>
  <c r="AD165" i="1"/>
  <c r="AI144" i="1"/>
  <c r="AI142" i="1"/>
  <c r="AI149" i="1"/>
  <c r="J212" i="1"/>
  <c r="I212" i="1" s="1"/>
  <c r="AI145" i="1"/>
  <c r="K155" i="1"/>
  <c r="I155" i="1" s="1"/>
  <c r="AC155" i="1"/>
  <c r="K148" i="1"/>
  <c r="I148" i="1" s="1"/>
  <c r="AC148" i="1"/>
  <c r="AI154" i="1"/>
  <c r="AC176" i="1"/>
  <c r="AD174" i="1"/>
  <c r="AI153" i="1"/>
  <c r="AD171" i="1"/>
  <c r="AC182" i="1"/>
  <c r="AC147" i="1"/>
  <c r="K147" i="1"/>
  <c r="J217" i="1"/>
  <c r="I217" i="1" s="1"/>
  <c r="AD164" i="1"/>
  <c r="K143" i="1"/>
  <c r="I143" i="1" s="1"/>
  <c r="AC143" i="1"/>
  <c r="AC163" i="1"/>
  <c r="AC173" i="1"/>
  <c r="AI141" i="1"/>
  <c r="AC175" i="1"/>
  <c r="AC156" i="1"/>
  <c r="K156" i="1"/>
  <c r="I156" i="1" s="1"/>
  <c r="AC177" i="1"/>
  <c r="AI114" i="1"/>
  <c r="AI115" i="1"/>
  <c r="AI135" i="1"/>
  <c r="AI122" i="1"/>
  <c r="T129" i="1"/>
  <c r="K129" i="1" s="1"/>
  <c r="Q105" i="1"/>
  <c r="AI105" i="1"/>
  <c r="AA105" i="1" s="1"/>
  <c r="T131" i="1"/>
  <c r="K131" i="1" s="1"/>
  <c r="AI116" i="1"/>
  <c r="Q100" i="1"/>
  <c r="I100" i="1" s="1"/>
  <c r="AI100" i="1"/>
  <c r="Q110" i="1"/>
  <c r="I110" i="1" s="1"/>
  <c r="AI110" i="1"/>
  <c r="T119" i="1"/>
  <c r="K119" i="1" s="1"/>
  <c r="T115" i="1"/>
  <c r="K115" i="1" s="1"/>
  <c r="T135" i="1"/>
  <c r="K135" i="1" s="1"/>
  <c r="T127" i="1"/>
  <c r="K127" i="1" s="1"/>
  <c r="Q106" i="1"/>
  <c r="I106" i="1" s="1"/>
  <c r="AI106" i="1"/>
  <c r="T133" i="1"/>
  <c r="K133" i="1" s="1"/>
  <c r="Q108" i="1"/>
  <c r="I108" i="1" s="1"/>
  <c r="AI108" i="1"/>
  <c r="AI120" i="1"/>
  <c r="AI111" i="1"/>
  <c r="T113" i="1"/>
  <c r="K113" i="1" s="1"/>
  <c r="T112" i="1"/>
  <c r="K112" i="1" s="1"/>
  <c r="T132" i="1"/>
  <c r="K132" i="1" s="1"/>
  <c r="AI129" i="1"/>
  <c r="AI131" i="1"/>
  <c r="AI137" i="1"/>
  <c r="AI118" i="1"/>
  <c r="T111" i="1"/>
  <c r="K111" i="1" s="1"/>
  <c r="AI126" i="1"/>
  <c r="AI119" i="1"/>
  <c r="AI127" i="1"/>
  <c r="AI133" i="1"/>
  <c r="T120" i="1"/>
  <c r="K120" i="1" s="1"/>
  <c r="Q104" i="1"/>
  <c r="I104" i="1" s="1"/>
  <c r="AI104" i="1"/>
  <c r="AI113" i="1"/>
  <c r="Q102" i="1"/>
  <c r="I102" i="1" s="1"/>
  <c r="AI102" i="1"/>
  <c r="AI132" i="1"/>
  <c r="AI125" i="1"/>
  <c r="AI134" i="1"/>
  <c r="AI123" i="1"/>
  <c r="AI124" i="1"/>
  <c r="T114" i="1"/>
  <c r="K114" i="1" s="1"/>
  <c r="T134" i="1"/>
  <c r="K134" i="1" s="1"/>
  <c r="Q109" i="1"/>
  <c r="AI109" i="1"/>
  <c r="AA109" i="1" s="1"/>
  <c r="T116" i="1"/>
  <c r="K116" i="1" s="1"/>
  <c r="T137" i="1"/>
  <c r="K137" i="1" s="1"/>
  <c r="T123" i="1"/>
  <c r="K123" i="1" s="1"/>
  <c r="T118" i="1"/>
  <c r="K118" i="1" s="1"/>
  <c r="T122" i="1"/>
  <c r="K122" i="1" s="1"/>
  <c r="T124" i="1"/>
  <c r="K124" i="1" s="1"/>
  <c r="Q103" i="1"/>
  <c r="AI103" i="1"/>
  <c r="AA103" i="1" s="1"/>
  <c r="T126" i="1"/>
  <c r="K126" i="1" s="1"/>
  <c r="AI112" i="1"/>
  <c r="Q107" i="1"/>
  <c r="I107" i="1" s="1"/>
  <c r="AI107" i="1"/>
  <c r="Q99" i="1"/>
  <c r="I99" i="1" s="1"/>
  <c r="AI99" i="1"/>
  <c r="T125" i="1"/>
  <c r="K125" i="1" s="1"/>
  <c r="J37" i="1"/>
  <c r="I37" i="1" s="1"/>
  <c r="J48" i="1"/>
  <c r="I48" i="1" s="1"/>
  <c r="J31" i="1"/>
  <c r="AI49" i="1"/>
  <c r="AA49" i="1" s="1"/>
  <c r="J25" i="1"/>
  <c r="AI38" i="1"/>
  <c r="J47" i="1"/>
  <c r="I47" i="1" s="1"/>
  <c r="J22" i="1"/>
  <c r="J35" i="1"/>
  <c r="I35" i="1" s="1"/>
  <c r="J46" i="1"/>
  <c r="I46" i="1" s="1"/>
  <c r="AI50" i="1"/>
  <c r="J51" i="1"/>
  <c r="I51" i="1" s="1"/>
  <c r="AI41" i="1"/>
  <c r="AA41" i="1" s="1"/>
  <c r="J44" i="1"/>
  <c r="I44" i="1" s="1"/>
  <c r="AI48" i="1"/>
  <c r="J24" i="1"/>
  <c r="J43" i="1"/>
  <c r="I43" i="1" s="1"/>
  <c r="J23" i="1"/>
  <c r="J45" i="1"/>
  <c r="I45" i="1" s="1"/>
  <c r="J17" i="1"/>
  <c r="AI35" i="1"/>
  <c r="AA35" i="1" s="1"/>
  <c r="AI46" i="1"/>
  <c r="J18" i="1"/>
  <c r="J29" i="1"/>
  <c r="J30" i="1"/>
  <c r="AI51" i="1"/>
  <c r="J39" i="1"/>
  <c r="I39" i="1" s="1"/>
  <c r="AI34" i="1"/>
  <c r="J36" i="1"/>
  <c r="I36" i="1" s="1"/>
  <c r="AI43" i="1"/>
  <c r="J32" i="1"/>
  <c r="J20" i="1"/>
  <c r="J19" i="1"/>
  <c r="AI45" i="1"/>
  <c r="AA45" i="1" s="1"/>
  <c r="J42" i="1"/>
  <c r="I42" i="1" s="1"/>
  <c r="J28" i="1"/>
  <c r="J40" i="1"/>
  <c r="I40" i="1" s="1"/>
  <c r="J27" i="1"/>
  <c r="AI39" i="1"/>
  <c r="AI44" i="1"/>
  <c r="AI37" i="1"/>
  <c r="AA37" i="1" s="1"/>
  <c r="J34" i="1"/>
  <c r="I34" i="1" s="1"/>
  <c r="AI36" i="1"/>
  <c r="J49" i="1"/>
  <c r="I49" i="1" s="1"/>
  <c r="J38" i="1"/>
  <c r="I38" i="1" s="1"/>
  <c r="AI47" i="1"/>
  <c r="AI42" i="1"/>
  <c r="AI40" i="1"/>
  <c r="J50" i="1"/>
  <c r="I50" i="1" s="1"/>
  <c r="J33" i="1"/>
  <c r="J26" i="1"/>
  <c r="J21" i="1"/>
  <c r="J41" i="1"/>
  <c r="I41" i="1" s="1"/>
  <c r="H355" i="1" l="1"/>
  <c r="J389" i="1" s="1" a="1"/>
  <c r="J389" i="1" s="1"/>
  <c r="H389" i="1" s="1"/>
  <c r="H353" i="1"/>
  <c r="J387" i="1" s="1" a="1"/>
  <c r="J387" i="1" s="1"/>
  <c r="H387" i="1" s="1"/>
  <c r="H354" i="1"/>
  <c r="J388" i="1" s="1" a="1"/>
  <c r="J388" i="1" s="1"/>
  <c r="H388" i="1" s="1"/>
  <c r="H359" i="1"/>
  <c r="J393" i="1" s="1" a="1"/>
  <c r="J393" i="1" s="1"/>
  <c r="H393" i="1" s="1"/>
  <c r="H358" i="1"/>
  <c r="J392" i="1" s="1" a="1"/>
  <c r="J392" i="1" s="1"/>
  <c r="H392" i="1" s="1"/>
  <c r="H349" i="1"/>
  <c r="J383" i="1" s="1" a="1"/>
  <c r="J383" i="1" s="1"/>
  <c r="H383" i="1" s="1"/>
  <c r="H362" i="1"/>
  <c r="J396" i="1" s="1" a="1"/>
  <c r="J396" i="1" s="1"/>
  <c r="H396" i="1" s="1"/>
  <c r="H364" i="1"/>
  <c r="J398" i="1" s="1" a="1"/>
  <c r="J398" i="1" s="1"/>
  <c r="H398" i="1" s="1"/>
  <c r="H360" i="1"/>
  <c r="J394" i="1" s="1" a="1"/>
  <c r="J394" i="1" s="1"/>
  <c r="H394" i="1" s="1"/>
  <c r="H352" i="1"/>
  <c r="J386" i="1" s="1" a="1"/>
  <c r="J386" i="1" s="1"/>
  <c r="H386" i="1" s="1"/>
  <c r="H361" i="1"/>
  <c r="J395" i="1" s="1" a="1"/>
  <c r="J395" i="1" s="1"/>
  <c r="H395" i="1" s="1"/>
  <c r="H363" i="1"/>
  <c r="J397" i="1" s="1" a="1"/>
  <c r="J397" i="1" s="1"/>
  <c r="H397" i="1" s="1"/>
  <c r="H365" i="1"/>
  <c r="J399" i="1" s="1" a="1"/>
  <c r="J399" i="1" s="1"/>
  <c r="H399" i="1" s="1"/>
  <c r="H351" i="1"/>
  <c r="J385" i="1" s="1" a="1"/>
  <c r="J385" i="1" s="1"/>
  <c r="H385" i="1" s="1"/>
  <c r="H350" i="1"/>
  <c r="J384" i="1" s="1" a="1"/>
  <c r="J384" i="1" s="1"/>
  <c r="H384" i="1" s="1"/>
  <c r="I147" i="1"/>
  <c r="I109" i="1"/>
  <c r="H109" i="1" s="1"/>
  <c r="I105" i="1"/>
  <c r="H105" i="1" s="1"/>
  <c r="I103" i="1"/>
  <c r="AG119" i="1"/>
  <c r="AF126" i="1"/>
  <c r="AH115" i="1"/>
  <c r="P125" i="1"/>
  <c r="AG125" i="1"/>
  <c r="AA157" i="1"/>
  <c r="P126" i="1"/>
  <c r="AF115" i="1"/>
  <c r="AF125" i="1"/>
  <c r="O133" i="1"/>
  <c r="O126" i="1"/>
  <c r="P119" i="1"/>
  <c r="AA139" i="1"/>
  <c r="AF133" i="1"/>
  <c r="AF119" i="1"/>
  <c r="P134" i="1"/>
  <c r="O134" i="1"/>
  <c r="N134" i="1"/>
  <c r="H41" i="1"/>
  <c r="H49" i="1"/>
  <c r="AA192" i="1"/>
  <c r="AA204" i="1"/>
  <c r="AA208" i="1"/>
  <c r="AA142" i="1"/>
  <c r="AA196" i="1"/>
  <c r="AA162" i="1"/>
  <c r="AA161" i="1"/>
  <c r="H208" i="1"/>
  <c r="H144" i="1"/>
  <c r="H142" i="1"/>
  <c r="H160" i="1"/>
  <c r="H108" i="1"/>
  <c r="H161" i="1"/>
  <c r="H253" i="1"/>
  <c r="H38" i="1"/>
  <c r="H188" i="1"/>
  <c r="H158" i="1"/>
  <c r="H34" i="1"/>
  <c r="H184" i="1"/>
  <c r="H152" i="1"/>
  <c r="H207" i="1"/>
  <c r="H50" i="1"/>
  <c r="H192" i="1"/>
  <c r="H110" i="1"/>
  <c r="H100" i="1"/>
  <c r="H139" i="1"/>
  <c r="H154" i="1"/>
  <c r="H149" i="1"/>
  <c r="H167" i="1"/>
  <c r="H195" i="1"/>
  <c r="H45" i="1"/>
  <c r="H46" i="1"/>
  <c r="H48" i="1"/>
  <c r="H182" i="1"/>
  <c r="H186" i="1"/>
  <c r="H251" i="1"/>
  <c r="H40" i="1"/>
  <c r="H51" i="1"/>
  <c r="H35" i="1"/>
  <c r="H99" i="1"/>
  <c r="H147" i="1"/>
  <c r="H257" i="1"/>
  <c r="H203" i="1"/>
  <c r="H166" i="1"/>
  <c r="H168" i="1"/>
  <c r="H194" i="1"/>
  <c r="H164" i="1"/>
  <c r="H174" i="1"/>
  <c r="H145" i="1"/>
  <c r="H146" i="1"/>
  <c r="H169" i="1"/>
  <c r="H157" i="1"/>
  <c r="H179" i="1"/>
  <c r="H43" i="1"/>
  <c r="H44" i="1"/>
  <c r="H107" i="1"/>
  <c r="H102" i="1"/>
  <c r="H153" i="1"/>
  <c r="H178" i="1"/>
  <c r="H180" i="1"/>
  <c r="H170" i="1"/>
  <c r="H141" i="1"/>
  <c r="H187" i="1"/>
  <c r="H173" i="1"/>
  <c r="H163" i="1"/>
  <c r="H196" i="1"/>
  <c r="H171" i="1"/>
  <c r="H193" i="1"/>
  <c r="H172" i="1"/>
  <c r="H204" i="1"/>
  <c r="H42" i="1"/>
  <c r="H36" i="1"/>
  <c r="H39" i="1"/>
  <c r="H47" i="1"/>
  <c r="H37" i="1"/>
  <c r="H103" i="1"/>
  <c r="H104" i="1"/>
  <c r="H155" i="1"/>
  <c r="H159" i="1"/>
  <c r="H148" i="1"/>
  <c r="H175" i="1"/>
  <c r="H261" i="1"/>
  <c r="H143" i="1"/>
  <c r="H162" i="1"/>
  <c r="H206" i="1"/>
  <c r="H183" i="1"/>
  <c r="H185" i="1"/>
  <c r="H156" i="1"/>
  <c r="H176" i="1"/>
  <c r="H177" i="1"/>
  <c r="H150" i="1"/>
  <c r="H191" i="1"/>
  <c r="H205" i="1"/>
  <c r="H181" i="1"/>
  <c r="H200" i="1"/>
  <c r="H165" i="1"/>
  <c r="H287" i="1"/>
  <c r="AA16" i="1"/>
  <c r="AA42" i="1"/>
  <c r="AA200" i="1"/>
  <c r="AA50" i="1"/>
  <c r="AA100" i="1"/>
  <c r="M16" i="1"/>
  <c r="I16" i="1" s="1"/>
  <c r="AA102" i="1"/>
  <c r="AA106" i="1"/>
  <c r="AA104" i="1"/>
  <c r="AA40" i="1"/>
  <c r="AA153" i="1"/>
  <c r="AA145" i="1"/>
  <c r="AA194" i="1"/>
  <c r="AA159" i="1"/>
  <c r="AA51" i="1"/>
  <c r="AA108" i="1"/>
  <c r="AA195" i="1"/>
  <c r="AA188" i="1"/>
  <c r="AA44" i="1"/>
  <c r="AA38" i="1"/>
  <c r="AA99" i="1"/>
  <c r="AA206" i="1"/>
  <c r="AA47" i="1"/>
  <c r="AA36" i="1"/>
  <c r="AA34" i="1"/>
  <c r="H210" i="1"/>
  <c r="AA178" i="1"/>
  <c r="AA46" i="1"/>
  <c r="AA39" i="1"/>
  <c r="AA43" i="1"/>
  <c r="AA107" i="1"/>
  <c r="H106" i="1"/>
  <c r="AA110" i="1"/>
  <c r="AA175" i="1"/>
  <c r="AA141" i="1"/>
  <c r="AA163" i="1"/>
  <c r="AA205" i="1"/>
  <c r="AA168" i="1"/>
  <c r="AA160" i="1"/>
  <c r="AA167" i="1"/>
  <c r="AA210" i="1"/>
  <c r="AA189" i="1"/>
  <c r="AA48" i="1"/>
  <c r="AA177" i="1"/>
  <c r="H189" i="1"/>
  <c r="AA182" i="1"/>
  <c r="AA191" i="1"/>
  <c r="AA149" i="1"/>
  <c r="AA144" i="1"/>
  <c r="AA172" i="1"/>
  <c r="AA193" i="1"/>
  <c r="AA151" i="1"/>
  <c r="AA173" i="1"/>
  <c r="AA184" i="1"/>
  <c r="AA207" i="1"/>
  <c r="AA211" i="1"/>
  <c r="AA176" i="1"/>
  <c r="AA154" i="1"/>
  <c r="AA187" i="1"/>
  <c r="H209" i="1"/>
  <c r="AA203" i="1"/>
  <c r="AA166" i="1"/>
  <c r="AA158" i="1"/>
  <c r="AA209" i="1"/>
  <c r="AA181" i="1"/>
  <c r="H263" i="1"/>
  <c r="H246" i="1"/>
  <c r="H250" i="1"/>
  <c r="H224" i="1"/>
  <c r="H223" i="1"/>
  <c r="H248" i="1"/>
  <c r="R253" i="1"/>
  <c r="H239" i="1"/>
  <c r="H213" i="1"/>
  <c r="H222" i="1"/>
  <c r="H230" i="1"/>
  <c r="R251" i="1"/>
  <c r="H237" i="1"/>
  <c r="H243" i="1"/>
  <c r="H212" i="1"/>
  <c r="H215" i="1"/>
  <c r="H252" i="1"/>
  <c r="H241" i="1"/>
  <c r="H238" i="1"/>
  <c r="R257" i="1"/>
  <c r="R261" i="1"/>
  <c r="H217" i="1"/>
  <c r="H242" i="1"/>
  <c r="H214" i="1"/>
  <c r="H226" i="1"/>
  <c r="H255" i="1"/>
  <c r="H244" i="1"/>
  <c r="AA170" i="1"/>
  <c r="AA164" i="1"/>
  <c r="AA174" i="1"/>
  <c r="AA169" i="1"/>
  <c r="AA185" i="1"/>
  <c r="AA180" i="1"/>
  <c r="AA165" i="1"/>
  <c r="AA179" i="1"/>
  <c r="AA186" i="1"/>
  <c r="AA183" i="1"/>
  <c r="AA171" i="1"/>
  <c r="AA146" i="1"/>
  <c r="AA152" i="1"/>
  <c r="AA147" i="1"/>
  <c r="AA155" i="1"/>
  <c r="AA150" i="1"/>
  <c r="AA156" i="1"/>
  <c r="AA148" i="1"/>
  <c r="AA143" i="1"/>
  <c r="H90" i="1"/>
  <c r="H92" i="1"/>
  <c r="H85" i="1"/>
  <c r="H82" i="1"/>
  <c r="H98" i="1"/>
  <c r="H96" i="1"/>
  <c r="H86" i="1"/>
  <c r="H87" i="1"/>
  <c r="H94" i="1"/>
  <c r="H89" i="1"/>
  <c r="H93" i="1"/>
  <c r="H88" i="1"/>
  <c r="H97" i="1"/>
  <c r="H95" i="1"/>
  <c r="H84" i="1"/>
  <c r="H83" i="1"/>
  <c r="H91" i="1"/>
  <c r="H81" i="1"/>
  <c r="H80" i="1"/>
  <c r="H74" i="1"/>
  <c r="H76" i="1"/>
  <c r="H78" i="1"/>
  <c r="H75" i="1"/>
  <c r="H77" i="1"/>
  <c r="H79" i="1"/>
  <c r="H72" i="1"/>
  <c r="H73" i="1"/>
  <c r="H71" i="1"/>
  <c r="H69" i="1"/>
  <c r="H68" i="1"/>
  <c r="H70" i="1"/>
  <c r="H151" i="1"/>
  <c r="H211" i="1"/>
  <c r="U126" i="1"/>
  <c r="L126" i="1" s="1"/>
  <c r="AC126" i="1"/>
  <c r="U124" i="1"/>
  <c r="L124" i="1" s="1"/>
  <c r="AC124" i="1"/>
  <c r="U123" i="1"/>
  <c r="L123" i="1" s="1"/>
  <c r="AC123" i="1"/>
  <c r="U116" i="1"/>
  <c r="L116" i="1" s="1"/>
  <c r="AC116" i="1"/>
  <c r="U114" i="1"/>
  <c r="L114" i="1" s="1"/>
  <c r="AC114" i="1"/>
  <c r="U127" i="1"/>
  <c r="L127" i="1" s="1"/>
  <c r="AC127" i="1"/>
  <c r="U135" i="1"/>
  <c r="L135" i="1" s="1"/>
  <c r="AC135" i="1"/>
  <c r="U119" i="1"/>
  <c r="L119" i="1" s="1"/>
  <c r="AC119" i="1"/>
  <c r="U131" i="1"/>
  <c r="L131" i="1" s="1"/>
  <c r="AC131" i="1"/>
  <c r="U129" i="1"/>
  <c r="L129" i="1" s="1"/>
  <c r="AC129" i="1"/>
  <c r="U125" i="1"/>
  <c r="L125" i="1" s="1"/>
  <c r="AC125" i="1"/>
  <c r="U134" i="1"/>
  <c r="L134" i="1" s="1"/>
  <c r="AC134" i="1"/>
  <c r="U120" i="1"/>
  <c r="L120" i="1" s="1"/>
  <c r="AC120" i="1"/>
  <c r="U115" i="1"/>
  <c r="L115" i="1" s="1"/>
  <c r="AC115" i="1"/>
  <c r="U118" i="1"/>
  <c r="L118" i="1" s="1"/>
  <c r="AC118" i="1"/>
  <c r="U137" i="1"/>
  <c r="L137" i="1" s="1"/>
  <c r="AC137" i="1"/>
  <c r="U132" i="1"/>
  <c r="L132" i="1" s="1"/>
  <c r="AC132" i="1"/>
  <c r="U133" i="1"/>
  <c r="L133" i="1" s="1"/>
  <c r="AC133" i="1"/>
  <c r="U122" i="1"/>
  <c r="L122" i="1" s="1"/>
  <c r="AC122" i="1"/>
  <c r="U112" i="1"/>
  <c r="L112" i="1" s="1"/>
  <c r="AC112" i="1"/>
  <c r="U113" i="1"/>
  <c r="L113" i="1" s="1"/>
  <c r="AC113" i="1"/>
  <c r="U111" i="1"/>
  <c r="L111" i="1" s="1"/>
  <c r="AC111" i="1"/>
  <c r="AC33" i="1"/>
  <c r="AC30" i="1"/>
  <c r="AC18" i="1"/>
  <c r="AC24" i="1"/>
  <c r="K22" i="1"/>
  <c r="AC21" i="1"/>
  <c r="AC27" i="1"/>
  <c r="K28" i="1"/>
  <c r="K21" i="1"/>
  <c r="AC26" i="1"/>
  <c r="K33" i="1"/>
  <c r="AC28" i="1"/>
  <c r="K30" i="1"/>
  <c r="AC29" i="1"/>
  <c r="K18" i="1"/>
  <c r="AC23" i="1"/>
  <c r="K25" i="1"/>
  <c r="K27" i="1"/>
  <c r="AC19" i="1"/>
  <c r="K20" i="1"/>
  <c r="AC32" i="1"/>
  <c r="K17" i="1"/>
  <c r="K23" i="1"/>
  <c r="AC22" i="1"/>
  <c r="AC31" i="1"/>
  <c r="K26" i="1"/>
  <c r="K19" i="1"/>
  <c r="AC20" i="1"/>
  <c r="K32" i="1"/>
  <c r="K29" i="1"/>
  <c r="AC17" i="1"/>
  <c r="K24" i="1"/>
  <c r="AC25" i="1"/>
  <c r="K31" i="1"/>
  <c r="H16" i="1" l="1"/>
  <c r="H259" i="1"/>
  <c r="R16" i="1"/>
  <c r="AD20" i="1"/>
  <c r="AE20" i="1" s="1"/>
  <c r="AF20" i="1" s="1"/>
  <c r="AD22" i="1"/>
  <c r="AE22" i="1" s="1"/>
  <c r="AF22" i="1" s="1"/>
  <c r="AD21" i="1"/>
  <c r="AE21" i="1" s="1"/>
  <c r="AF21" i="1" s="1"/>
  <c r="AD30" i="1"/>
  <c r="AE30" i="1" s="1"/>
  <c r="AF30" i="1" s="1"/>
  <c r="AD17" i="1"/>
  <c r="AE17" i="1" s="1"/>
  <c r="AF17" i="1" s="1"/>
  <c r="AD19" i="1"/>
  <c r="AE19" i="1" s="1"/>
  <c r="AF19" i="1" s="1"/>
  <c r="AD23" i="1"/>
  <c r="AE23" i="1" s="1"/>
  <c r="AF23" i="1" s="1"/>
  <c r="AD24" i="1"/>
  <c r="AE24" i="1" s="1"/>
  <c r="AF24" i="1" s="1"/>
  <c r="AD31" i="1"/>
  <c r="AE31" i="1" s="1"/>
  <c r="AF31" i="1" s="1"/>
  <c r="AD32" i="1"/>
  <c r="AE32" i="1" s="1"/>
  <c r="AF32" i="1" s="1"/>
  <c r="AD29" i="1"/>
  <c r="AE29" i="1" s="1"/>
  <c r="AF29" i="1" s="1"/>
  <c r="AD26" i="1"/>
  <c r="AE26" i="1" s="1"/>
  <c r="AF26" i="1" s="1"/>
  <c r="AD33" i="1"/>
  <c r="AE33" i="1" s="1"/>
  <c r="AF33" i="1" s="1"/>
  <c r="AD25" i="1"/>
  <c r="AE25" i="1" s="1"/>
  <c r="AF25" i="1" s="1"/>
  <c r="AD28" i="1"/>
  <c r="AE28" i="1" s="1"/>
  <c r="AF28" i="1" s="1"/>
  <c r="AD27" i="1"/>
  <c r="AE27" i="1" s="1"/>
  <c r="AF27" i="1" s="1"/>
  <c r="AD18" i="1"/>
  <c r="AE18" i="1" s="1"/>
  <c r="AF18" i="1" s="1"/>
  <c r="V120" i="1"/>
  <c r="AD120" i="1"/>
  <c r="V123" i="1"/>
  <c r="M123" i="1" s="1"/>
  <c r="I123" i="1" s="1"/>
  <c r="AD123" i="1"/>
  <c r="V124" i="1"/>
  <c r="AD124" i="1"/>
  <c r="V133" i="1"/>
  <c r="M133" i="1" s="1"/>
  <c r="I133" i="1" s="1"/>
  <c r="AD133" i="1"/>
  <c r="V115" i="1"/>
  <c r="AD115" i="1"/>
  <c r="V131" i="1"/>
  <c r="M131" i="1" s="1"/>
  <c r="I131" i="1" s="1"/>
  <c r="AD131" i="1"/>
  <c r="V116" i="1"/>
  <c r="AD116" i="1"/>
  <c r="V113" i="1"/>
  <c r="AD113" i="1"/>
  <c r="V132" i="1"/>
  <c r="AD132" i="1"/>
  <c r="V119" i="1"/>
  <c r="AD119" i="1"/>
  <c r="V122" i="1"/>
  <c r="AD122" i="1"/>
  <c r="V118" i="1"/>
  <c r="AD118" i="1"/>
  <c r="V129" i="1"/>
  <c r="AD129" i="1"/>
  <c r="V127" i="1"/>
  <c r="M127" i="1" s="1"/>
  <c r="I127" i="1" s="1"/>
  <c r="AD127" i="1"/>
  <c r="V114" i="1"/>
  <c r="AD114" i="1"/>
  <c r="V112" i="1"/>
  <c r="AD112" i="1"/>
  <c r="V137" i="1"/>
  <c r="M137" i="1" s="1"/>
  <c r="I137" i="1" s="1"/>
  <c r="AD137" i="1"/>
  <c r="V134" i="1"/>
  <c r="AD134" i="1"/>
  <c r="V125" i="1"/>
  <c r="M125" i="1" s="1"/>
  <c r="I125" i="1" s="1"/>
  <c r="AD125" i="1"/>
  <c r="V135" i="1"/>
  <c r="M135" i="1" s="1"/>
  <c r="I135" i="1" s="1"/>
  <c r="AD135" i="1"/>
  <c r="V126" i="1"/>
  <c r="AD126" i="1"/>
  <c r="V111" i="1"/>
  <c r="M111" i="1" s="1"/>
  <c r="I111" i="1" s="1"/>
  <c r="AD111" i="1"/>
  <c r="M31" i="1"/>
  <c r="L31" i="1"/>
  <c r="M24" i="1"/>
  <c r="L24" i="1"/>
  <c r="M17" i="1"/>
  <c r="L17" i="1"/>
  <c r="R27" i="1"/>
  <c r="L27" i="1"/>
  <c r="R28" i="1"/>
  <c r="L28" i="1"/>
  <c r="M32" i="1"/>
  <c r="L32" i="1"/>
  <c r="M19" i="1"/>
  <c r="L19" i="1"/>
  <c r="M23" i="1"/>
  <c r="L23" i="1"/>
  <c r="M29" i="1"/>
  <c r="L29" i="1"/>
  <c r="M26" i="1"/>
  <c r="L26" i="1"/>
  <c r="M20" i="1"/>
  <c r="L20" i="1"/>
  <c r="M33" i="1"/>
  <c r="L33" i="1"/>
  <c r="M21" i="1"/>
  <c r="L21" i="1"/>
  <c r="R22" i="1"/>
  <c r="L22" i="1"/>
  <c r="M25" i="1"/>
  <c r="L25" i="1"/>
  <c r="R18" i="1"/>
  <c r="L18" i="1"/>
  <c r="R30" i="1"/>
  <c r="L30" i="1"/>
  <c r="I24" i="1" l="1"/>
  <c r="H24" i="1" s="1"/>
  <c r="I23" i="1"/>
  <c r="H23" i="1" s="1"/>
  <c r="I25" i="1"/>
  <c r="H25" i="1" s="1"/>
  <c r="I21" i="1"/>
  <c r="H21" i="1" s="1"/>
  <c r="I20" i="1"/>
  <c r="H20" i="1" s="1"/>
  <c r="I29" i="1"/>
  <c r="H29" i="1" s="1"/>
  <c r="I19" i="1"/>
  <c r="H19" i="1" s="1"/>
  <c r="I17" i="1"/>
  <c r="H17" i="1" s="1"/>
  <c r="I31" i="1"/>
  <c r="H31" i="1" s="1"/>
  <c r="I33" i="1"/>
  <c r="H33" i="1" s="1"/>
  <c r="I26" i="1"/>
  <c r="H26" i="1" s="1"/>
  <c r="I32" i="1"/>
  <c r="H32" i="1" s="1"/>
  <c r="AE114" i="1"/>
  <c r="AA114" i="1" s="1"/>
  <c r="M114" i="1"/>
  <c r="I114" i="1" s="1"/>
  <c r="AE129" i="1"/>
  <c r="AA129" i="1" s="1"/>
  <c r="M129" i="1"/>
  <c r="AE122" i="1"/>
  <c r="AA122" i="1" s="1"/>
  <c r="M122" i="1"/>
  <c r="AE132" i="1"/>
  <c r="AA132" i="1" s="1"/>
  <c r="M132" i="1"/>
  <c r="I132" i="1" s="1"/>
  <c r="AE116" i="1"/>
  <c r="AA116" i="1" s="1"/>
  <c r="M116" i="1"/>
  <c r="AE115" i="1"/>
  <c r="AA115" i="1" s="1"/>
  <c r="M115" i="1"/>
  <c r="I115" i="1" s="1"/>
  <c r="H115" i="1" s="1"/>
  <c r="AE124" i="1"/>
  <c r="AA124" i="1" s="1"/>
  <c r="M124" i="1"/>
  <c r="I124" i="1" s="1"/>
  <c r="AE120" i="1"/>
  <c r="AA120" i="1" s="1"/>
  <c r="M120" i="1"/>
  <c r="AE134" i="1"/>
  <c r="AA134" i="1" s="1"/>
  <c r="M134" i="1"/>
  <c r="I134" i="1" s="1"/>
  <c r="AE112" i="1"/>
  <c r="AA112" i="1" s="1"/>
  <c r="M112" i="1"/>
  <c r="AE118" i="1"/>
  <c r="AA118" i="1" s="1"/>
  <c r="M118" i="1"/>
  <c r="AE119" i="1"/>
  <c r="AA119" i="1" s="1"/>
  <c r="M119" i="1"/>
  <c r="I119" i="1" s="1"/>
  <c r="AE113" i="1"/>
  <c r="AA113" i="1" s="1"/>
  <c r="M113" i="1"/>
  <c r="AE126" i="1"/>
  <c r="AA126" i="1" s="1"/>
  <c r="M126" i="1"/>
  <c r="AE137" i="1"/>
  <c r="AA137" i="1" s="1"/>
  <c r="AE125" i="1"/>
  <c r="AE135" i="1"/>
  <c r="AE127" i="1"/>
  <c r="AE131" i="1"/>
  <c r="AE133" i="1"/>
  <c r="AE123" i="1"/>
  <c r="H111" i="1"/>
  <c r="R114" i="1"/>
  <c r="R132" i="1"/>
  <c r="R124" i="1"/>
  <c r="R119" i="1"/>
  <c r="R134" i="1"/>
  <c r="AA22" i="1"/>
  <c r="AA31" i="1"/>
  <c r="AA30" i="1"/>
  <c r="AA20" i="1"/>
  <c r="AA33" i="1"/>
  <c r="AA28" i="1"/>
  <c r="AA18" i="1"/>
  <c r="AA29" i="1"/>
  <c r="AA23" i="1"/>
  <c r="AA27" i="1"/>
  <c r="AA25" i="1"/>
  <c r="AA26" i="1"/>
  <c r="AA32" i="1"/>
  <c r="AA24" i="1"/>
  <c r="AA19" i="1"/>
  <c r="AA21" i="1"/>
  <c r="AA17" i="1"/>
  <c r="R118" i="1"/>
  <c r="R116" i="1"/>
  <c r="R112" i="1"/>
  <c r="R113" i="1"/>
  <c r="R137" i="1"/>
  <c r="R115" i="1"/>
  <c r="R126" i="1"/>
  <c r="R129" i="1"/>
  <c r="R120" i="1"/>
  <c r="R122" i="1"/>
  <c r="R111" i="1"/>
  <c r="R26" i="1"/>
  <c r="R33" i="1"/>
  <c r="R32" i="1"/>
  <c r="R20" i="1"/>
  <c r="R29" i="1"/>
  <c r="R25" i="1"/>
  <c r="R31" i="1"/>
  <c r="R19" i="1"/>
  <c r="R23" i="1"/>
  <c r="R17" i="1"/>
  <c r="R21" i="1"/>
  <c r="R24" i="1"/>
  <c r="H140" i="1"/>
  <c r="AE111" i="1"/>
  <c r="AA111" i="1" s="1"/>
  <c r="M30" i="1"/>
  <c r="I30" i="1" s="1"/>
  <c r="M22" i="1"/>
  <c r="I22" i="1" s="1"/>
  <c r="M27" i="1"/>
  <c r="I27" i="1" s="1"/>
  <c r="M28" i="1"/>
  <c r="I28" i="1" s="1"/>
  <c r="M18" i="1"/>
  <c r="I18" i="1" s="1"/>
  <c r="I120" i="1" l="1"/>
  <c r="H120" i="1" s="1"/>
  <c r="I129" i="1"/>
  <c r="H129" i="1" s="1"/>
  <c r="I113" i="1"/>
  <c r="H113" i="1" s="1"/>
  <c r="I126" i="1"/>
  <c r="H126" i="1" s="1"/>
  <c r="I112" i="1"/>
  <c r="H112" i="1" s="1"/>
  <c r="I118" i="1"/>
  <c r="H118" i="1" s="1"/>
  <c r="I116" i="1"/>
  <c r="H116" i="1" s="1"/>
  <c r="I122" i="1"/>
  <c r="H122" i="1" s="1"/>
  <c r="H137" i="1"/>
  <c r="H134" i="1"/>
  <c r="H124" i="1"/>
  <c r="H132" i="1"/>
  <c r="H114" i="1"/>
  <c r="H119" i="1"/>
  <c r="H30" i="1"/>
  <c r="H18" i="1"/>
  <c r="H28" i="1"/>
  <c r="H27" i="1"/>
  <c r="H22" i="1"/>
  <c r="H131" i="1" l="1"/>
  <c r="R125" i="1"/>
  <c r="R123" i="1"/>
  <c r="H127" i="1"/>
  <c r="H135" i="1"/>
  <c r="H133" i="1"/>
  <c r="R127" i="1"/>
  <c r="R135" i="1"/>
  <c r="R133" i="1"/>
  <c r="R131" i="1"/>
  <c r="AA135" i="1"/>
  <c r="AA125" i="1"/>
  <c r="AA127" i="1"/>
  <c r="AA123" i="1"/>
  <c r="AA131" i="1"/>
  <c r="AA133" i="1"/>
  <c r="AC496" i="1"/>
  <c r="AC497" i="1"/>
  <c r="AC491" i="1"/>
  <c r="AC488" i="1"/>
  <c r="AC484" i="1"/>
  <c r="AC489" i="1"/>
  <c r="AA489" i="1" s="1"/>
  <c r="AC486" i="1"/>
  <c r="AC487" i="1"/>
  <c r="AC490" i="1"/>
  <c r="AA490" i="1" s="1"/>
  <c r="AC495" i="1"/>
  <c r="AC494" i="1"/>
  <c r="AC485" i="1"/>
  <c r="AA491" i="1" l="1"/>
  <c r="AA488" i="1"/>
  <c r="AA484" i="1"/>
  <c r="AA495" i="1"/>
  <c r="AA497" i="1"/>
  <c r="AA487" i="1"/>
  <c r="AA485" i="1"/>
  <c r="AA494" i="1"/>
  <c r="AA486" i="1"/>
  <c r="AA496" i="1"/>
  <c r="H123" i="1"/>
  <c r="H125" i="1"/>
  <c r="R484" i="1"/>
  <c r="Q484" i="1"/>
  <c r="I484" i="1" s="1"/>
  <c r="H484" i="1" l="1"/>
  <c r="J512" i="1" s="1" a="1"/>
  <c r="J512" i="1" s="1"/>
  <c r="H512" i="1" s="1"/>
  <c r="J579" i="1" a="1"/>
  <c r="J579" i="1" s="1"/>
  <c r="H579" i="1" s="1"/>
</calcChain>
</file>

<file path=xl/sharedStrings.xml><?xml version="1.0" encoding="utf-8"?>
<sst xmlns="http://schemas.openxmlformats.org/spreadsheetml/2006/main" count="1727" uniqueCount="435">
  <si>
    <t>공격력</t>
  </si>
  <si>
    <t>류탄</t>
  </si>
  <si>
    <t>스파이럴 플레임</t>
  </si>
  <si>
    <t>심판의 시간</t>
  </si>
  <si>
    <t>대재앙</t>
  </si>
  <si>
    <t>데스파이어</t>
  </si>
  <si>
    <t>샷건 연사</t>
  </si>
  <si>
    <t>민첩한 사격</t>
  </si>
  <si>
    <t>최후의 만찬</t>
  </si>
  <si>
    <t>퍼펙트 샷</t>
  </si>
  <si>
    <t>나선</t>
    <phoneticPr fontId="4" type="noConversion"/>
  </si>
  <si>
    <t>플라즈마</t>
    <phoneticPr fontId="4" type="noConversion"/>
  </si>
  <si>
    <t>메테오</t>
    <phoneticPr fontId="4" type="noConversion"/>
  </si>
  <si>
    <t>썸머솔트</t>
    <phoneticPr fontId="4" type="noConversion"/>
  </si>
  <si>
    <t>이퀄</t>
    <phoneticPr fontId="4" type="noConversion"/>
  </si>
  <si>
    <t>치명</t>
    <phoneticPr fontId="4" type="noConversion"/>
  </si>
  <si>
    <t>특화</t>
    <phoneticPr fontId="4" type="noConversion"/>
  </si>
  <si>
    <t>신속</t>
    <phoneticPr fontId="4" type="noConversion"/>
  </si>
  <si>
    <t>기습의 대가</t>
    <phoneticPr fontId="4" type="noConversion"/>
  </si>
  <si>
    <t>무기 공격력</t>
    <phoneticPr fontId="4" type="noConversion"/>
  </si>
  <si>
    <t>치명확률</t>
    <phoneticPr fontId="4" type="noConversion"/>
  </si>
  <si>
    <t>공격속도(신속)</t>
    <phoneticPr fontId="4" type="noConversion"/>
  </si>
  <si>
    <t>쿨타임(신속)</t>
    <phoneticPr fontId="4" type="noConversion"/>
  </si>
  <si>
    <t>핸드건 치피</t>
    <phoneticPr fontId="4" type="noConversion"/>
  </si>
  <si>
    <t>라이플 증뎀</t>
    <phoneticPr fontId="4" type="noConversion"/>
  </si>
  <si>
    <t>각성 증뎀</t>
    <phoneticPr fontId="4" type="noConversion"/>
  </si>
  <si>
    <t>감소율</t>
    <phoneticPr fontId="4" type="noConversion"/>
  </si>
  <si>
    <t>쿨타임</t>
    <phoneticPr fontId="4" type="noConversion"/>
  </si>
  <si>
    <t>류탄</t>
    <phoneticPr fontId="4" type="noConversion"/>
  </si>
  <si>
    <t>데스파이어</t>
    <phoneticPr fontId="4" type="noConversion"/>
  </si>
  <si>
    <t>민첩한 사격</t>
    <phoneticPr fontId="4" type="noConversion"/>
  </si>
  <si>
    <t>심판의 시간</t>
    <phoneticPr fontId="4" type="noConversion"/>
  </si>
  <si>
    <t>샷건 연사</t>
    <phoneticPr fontId="4" type="noConversion"/>
  </si>
  <si>
    <t>최후의 만찬</t>
    <phoneticPr fontId="4" type="noConversion"/>
  </si>
  <si>
    <t>스파이럴</t>
    <phoneticPr fontId="4" type="noConversion"/>
  </si>
  <si>
    <t>대재앙</t>
    <phoneticPr fontId="4" type="noConversion"/>
  </si>
  <si>
    <t>퍼펙트 샷</t>
    <phoneticPr fontId="4" type="noConversion"/>
  </si>
  <si>
    <t>트라이포드</t>
    <phoneticPr fontId="4" type="noConversion"/>
  </si>
  <si>
    <t>백어택증뎀</t>
    <phoneticPr fontId="4" type="noConversion"/>
  </si>
  <si>
    <t>백어택치명</t>
    <phoneticPr fontId="4" type="noConversion"/>
  </si>
  <si>
    <t>1트포</t>
    <phoneticPr fontId="4" type="noConversion"/>
  </si>
  <si>
    <t>2트포</t>
    <phoneticPr fontId="4" type="noConversion"/>
  </si>
  <si>
    <t>3트포</t>
    <phoneticPr fontId="4" type="noConversion"/>
  </si>
  <si>
    <t>백어택</t>
    <phoneticPr fontId="4" type="noConversion"/>
  </si>
  <si>
    <t>번호</t>
    <phoneticPr fontId="4" type="noConversion"/>
  </si>
  <si>
    <t>레벨</t>
    <phoneticPr fontId="4" type="noConversion"/>
  </si>
  <si>
    <t>스킬이름</t>
    <phoneticPr fontId="4" type="noConversion"/>
  </si>
  <si>
    <t>기타</t>
    <phoneticPr fontId="4" type="noConversion"/>
  </si>
  <si>
    <t>DPS</t>
    <phoneticPr fontId="4" type="noConversion"/>
  </si>
  <si>
    <t>2타</t>
    <phoneticPr fontId="4" type="noConversion"/>
  </si>
  <si>
    <t>1타</t>
    <phoneticPr fontId="4" type="noConversion"/>
  </si>
  <si>
    <t>3타</t>
    <phoneticPr fontId="4" type="noConversion"/>
  </si>
  <si>
    <t>4타</t>
    <phoneticPr fontId="4" type="noConversion"/>
  </si>
  <si>
    <t>합계</t>
    <phoneticPr fontId="4" type="noConversion"/>
  </si>
  <si>
    <t>최종 데미지</t>
    <phoneticPr fontId="4" type="noConversion"/>
  </si>
  <si>
    <t>기본 쿨타임</t>
    <phoneticPr fontId="4" type="noConversion"/>
  </si>
  <si>
    <t>나선의 추적자</t>
    <phoneticPr fontId="4" type="noConversion"/>
  </si>
  <si>
    <t>0/0/0</t>
    <phoneticPr fontId="4" type="noConversion"/>
  </si>
  <si>
    <t>2/0/0</t>
    <phoneticPr fontId="4" type="noConversion"/>
  </si>
  <si>
    <t>0/2/0</t>
    <phoneticPr fontId="4" type="noConversion"/>
  </si>
  <si>
    <t>0/3/0</t>
    <phoneticPr fontId="4" type="noConversion"/>
  </si>
  <si>
    <t>2/2/0</t>
    <phoneticPr fontId="4" type="noConversion"/>
  </si>
  <si>
    <t>2/3/0</t>
    <phoneticPr fontId="4" type="noConversion"/>
  </si>
  <si>
    <t>중심</t>
    <phoneticPr fontId="4" type="noConversion"/>
  </si>
  <si>
    <t>기본 합계</t>
    <phoneticPr fontId="4" type="noConversion"/>
  </si>
  <si>
    <t>기본 1타</t>
    <phoneticPr fontId="4" type="noConversion"/>
  </si>
  <si>
    <t>기본 2타</t>
    <phoneticPr fontId="4" type="noConversion"/>
  </si>
  <si>
    <t>기본 3타</t>
    <phoneticPr fontId="4" type="noConversion"/>
  </si>
  <si>
    <t>기본 치피</t>
    <phoneticPr fontId="4" type="noConversion"/>
  </si>
  <si>
    <t>계산 치명률</t>
    <phoneticPr fontId="4" type="noConversion"/>
  </si>
  <si>
    <t>계산 치피</t>
    <phoneticPr fontId="4" type="noConversion"/>
  </si>
  <si>
    <t>계산 쿨타임</t>
    <phoneticPr fontId="4" type="noConversion"/>
  </si>
  <si>
    <t>민첩</t>
    <phoneticPr fontId="4" type="noConversion"/>
  </si>
  <si>
    <t>AT02 유탄</t>
  </si>
  <si>
    <t>AT02 유탄</t>
    <phoneticPr fontId="4" type="noConversion"/>
  </si>
  <si>
    <t>0/0/0</t>
    <phoneticPr fontId="4" type="noConversion"/>
  </si>
  <si>
    <t>3/0/0</t>
    <phoneticPr fontId="4" type="noConversion"/>
  </si>
  <si>
    <t>0/1/0</t>
    <phoneticPr fontId="4" type="noConversion"/>
  </si>
  <si>
    <t>0/2/0</t>
    <phoneticPr fontId="4" type="noConversion"/>
  </si>
  <si>
    <t>0/3/0</t>
    <phoneticPr fontId="4" type="noConversion"/>
  </si>
  <si>
    <t>3/1/0</t>
    <phoneticPr fontId="4" type="noConversion"/>
  </si>
  <si>
    <t>2/2/1</t>
    <phoneticPr fontId="4" type="noConversion"/>
  </si>
  <si>
    <t>2/2/2</t>
    <phoneticPr fontId="4" type="noConversion"/>
  </si>
  <si>
    <t>나선의 추적자</t>
    <phoneticPr fontId="4" type="noConversion"/>
  </si>
  <si>
    <t>2/3/1</t>
    <phoneticPr fontId="4" type="noConversion"/>
  </si>
  <si>
    <t>2/3/2</t>
    <phoneticPr fontId="4" type="noConversion"/>
  </si>
  <si>
    <t>2/0/0</t>
    <phoneticPr fontId="4" type="noConversion"/>
  </si>
  <si>
    <t>중심</t>
    <phoneticPr fontId="4" type="noConversion"/>
  </si>
  <si>
    <t>중심</t>
    <phoneticPr fontId="4" type="noConversion"/>
  </si>
  <si>
    <t>3/2/0</t>
    <phoneticPr fontId="4" type="noConversion"/>
  </si>
  <si>
    <t>3/3/0</t>
    <phoneticPr fontId="4" type="noConversion"/>
  </si>
  <si>
    <t>3/0/1</t>
    <phoneticPr fontId="4" type="noConversion"/>
  </si>
  <si>
    <t>3/0/2</t>
    <phoneticPr fontId="4" type="noConversion"/>
  </si>
  <si>
    <t>3/1/1</t>
    <phoneticPr fontId="4" type="noConversion"/>
  </si>
  <si>
    <t>3/1/2</t>
    <phoneticPr fontId="4" type="noConversion"/>
  </si>
  <si>
    <t>3/2/1</t>
    <phoneticPr fontId="4" type="noConversion"/>
  </si>
  <si>
    <t>3/2/2</t>
    <phoneticPr fontId="4" type="noConversion"/>
  </si>
  <si>
    <t>3/3/1</t>
    <phoneticPr fontId="4" type="noConversion"/>
  </si>
  <si>
    <t>3/3/2</t>
    <phoneticPr fontId="4" type="noConversion"/>
  </si>
  <si>
    <t>급소 노출</t>
    <phoneticPr fontId="4" type="noConversion"/>
  </si>
  <si>
    <t>0/0/1</t>
    <phoneticPr fontId="4" type="noConversion"/>
  </si>
  <si>
    <t>0/0/2</t>
    <phoneticPr fontId="4" type="noConversion"/>
  </si>
  <si>
    <t>0/3/1</t>
    <phoneticPr fontId="4" type="noConversion"/>
  </si>
  <si>
    <t>0/3/2</t>
    <phoneticPr fontId="4" type="noConversion"/>
  </si>
  <si>
    <t>치명률 반영 기대 데미지</t>
    <phoneticPr fontId="4" type="noConversion"/>
  </si>
  <si>
    <t>플라즈마 불릿</t>
    <phoneticPr fontId="4" type="noConversion"/>
  </si>
  <si>
    <t>18히트</t>
    <phoneticPr fontId="4" type="noConversion"/>
  </si>
  <si>
    <t>10히트</t>
    <phoneticPr fontId="4" type="noConversion"/>
  </si>
  <si>
    <t>(실측)</t>
    <phoneticPr fontId="4" type="noConversion"/>
  </si>
  <si>
    <t>메테오 스트림</t>
    <phoneticPr fontId="4" type="noConversion"/>
  </si>
  <si>
    <t>3/2/1</t>
    <phoneticPr fontId="4" type="noConversion"/>
  </si>
  <si>
    <t>3/2/2</t>
    <phoneticPr fontId="4" type="noConversion"/>
  </si>
  <si>
    <t>피격이상 면역</t>
    <phoneticPr fontId="4" type="noConversion"/>
  </si>
  <si>
    <t>피격이상 중</t>
    <phoneticPr fontId="4" type="noConversion"/>
  </si>
  <si>
    <t>썸머솔트샷</t>
    <phoneticPr fontId="4" type="noConversion"/>
  </si>
  <si>
    <t>2/2/0</t>
    <phoneticPr fontId="4" type="noConversion"/>
  </si>
  <si>
    <t>0/2/1</t>
    <phoneticPr fontId="4" type="noConversion"/>
  </si>
  <si>
    <t>2/0/1</t>
    <phoneticPr fontId="4" type="noConversion"/>
  </si>
  <si>
    <t>이퀄리브리엄</t>
    <phoneticPr fontId="4" type="noConversion"/>
  </si>
  <si>
    <t>2/0/0</t>
    <phoneticPr fontId="4" type="noConversion"/>
  </si>
  <si>
    <t>2/1/0</t>
    <phoneticPr fontId="4" type="noConversion"/>
  </si>
  <si>
    <t>0/1/1</t>
    <phoneticPr fontId="4" type="noConversion"/>
  </si>
  <si>
    <t>0/1/2</t>
    <phoneticPr fontId="4" type="noConversion"/>
  </si>
  <si>
    <t>0/2/2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</si>
  <si>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</si>
  <si>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</si>
  <si>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</si>
  <si>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</si>
  <si>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5타</t>
    <phoneticPr fontId="4" type="noConversion"/>
  </si>
  <si>
    <t>6타</t>
    <phoneticPr fontId="4" type="noConversion"/>
  </si>
  <si>
    <t>7타</t>
    <phoneticPr fontId="4" type="noConversion"/>
  </si>
  <si>
    <t>치명 X</t>
    <phoneticPr fontId="4" type="noConversion"/>
  </si>
  <si>
    <t>치명 O</t>
    <phoneticPr fontId="4" type="noConversion"/>
  </si>
  <si>
    <t>데스파이어</t>
    <phoneticPr fontId="4" type="noConversion"/>
  </si>
  <si>
    <t>데스파이어</t>
    <phoneticPr fontId="4" type="noConversion"/>
  </si>
  <si>
    <t>0/1/0</t>
    <phoneticPr fontId="4" type="noConversion"/>
  </si>
  <si>
    <t>0/0/0</t>
    <phoneticPr fontId="4" type="noConversion"/>
  </si>
  <si>
    <t>0/0/2</t>
    <phoneticPr fontId="4" type="noConversion"/>
  </si>
  <si>
    <t>0/1/0</t>
    <phoneticPr fontId="4" type="noConversion"/>
  </si>
  <si>
    <t>0/1/2</t>
    <phoneticPr fontId="4" type="noConversion"/>
  </si>
  <si>
    <t>3/0/0</t>
    <phoneticPr fontId="4" type="noConversion"/>
  </si>
  <si>
    <t>3/1/0</t>
    <phoneticPr fontId="4" type="noConversion"/>
  </si>
  <si>
    <t>3/1/2</t>
    <phoneticPr fontId="4" type="noConversion"/>
  </si>
  <si>
    <t>민첩한 사격</t>
    <phoneticPr fontId="4" type="noConversion"/>
  </si>
  <si>
    <t>헤드어택</t>
    <phoneticPr fontId="4" type="noConversion"/>
  </si>
  <si>
    <t>1/0/0</t>
    <phoneticPr fontId="4" type="noConversion"/>
  </si>
  <si>
    <t>1/1/0</t>
    <phoneticPr fontId="4" type="noConversion"/>
  </si>
  <si>
    <t>1/1/1</t>
    <phoneticPr fontId="4" type="noConversion"/>
  </si>
  <si>
    <t>1/1/2</t>
    <phoneticPr fontId="4" type="noConversion"/>
  </si>
  <si>
    <t>1/2/1</t>
    <phoneticPr fontId="4" type="noConversion"/>
  </si>
  <si>
    <t>1/2/2</t>
    <phoneticPr fontId="4" type="noConversion"/>
  </si>
  <si>
    <t>헤드어택증뎀</t>
    <phoneticPr fontId="4" type="noConversion"/>
  </si>
  <si>
    <t>0/0/0</t>
    <phoneticPr fontId="4" type="noConversion"/>
  </si>
  <si>
    <t>1/0/0</t>
    <phoneticPr fontId="4" type="noConversion"/>
  </si>
  <si>
    <t>0/1/0</t>
    <phoneticPr fontId="4" type="noConversion"/>
  </si>
  <si>
    <t>1/1/0</t>
    <phoneticPr fontId="4" type="noConversion"/>
  </si>
  <si>
    <t>1/3/0</t>
    <phoneticPr fontId="4" type="noConversion"/>
  </si>
  <si>
    <t>0/0/1</t>
    <phoneticPr fontId="4" type="noConversion"/>
  </si>
  <si>
    <t>0/1/2</t>
    <phoneticPr fontId="4" type="noConversion"/>
  </si>
  <si>
    <t>0/3/1</t>
    <phoneticPr fontId="4" type="noConversion"/>
  </si>
  <si>
    <t>0/3/2</t>
    <phoneticPr fontId="4" type="noConversion"/>
  </si>
  <si>
    <t>1/1/1</t>
    <phoneticPr fontId="4" type="noConversion"/>
  </si>
  <si>
    <t>1/1/2</t>
    <phoneticPr fontId="4" type="noConversion"/>
  </si>
  <si>
    <t>1/3/1</t>
    <phoneticPr fontId="4" type="noConversion"/>
  </si>
  <si>
    <t>1/3/2</t>
    <phoneticPr fontId="4" type="noConversion"/>
  </si>
  <si>
    <t>심판의 시간</t>
    <phoneticPr fontId="4" type="noConversion"/>
  </si>
  <si>
    <t>2/0/0</t>
    <phoneticPr fontId="4" type="noConversion"/>
  </si>
  <si>
    <t>1/2/0</t>
    <phoneticPr fontId="4" type="noConversion"/>
  </si>
  <si>
    <t>2/2/0</t>
    <phoneticPr fontId="4" type="noConversion"/>
  </si>
  <si>
    <t>0/0/2</t>
    <phoneticPr fontId="4" type="noConversion"/>
  </si>
  <si>
    <t>1/0/2</t>
    <phoneticPr fontId="4" type="noConversion"/>
  </si>
  <si>
    <t>1/2/1</t>
    <phoneticPr fontId="4" type="noConversion"/>
  </si>
  <si>
    <t>2/2/2</t>
    <phoneticPr fontId="4" type="noConversion"/>
  </si>
  <si>
    <t>샷건 연사</t>
    <phoneticPr fontId="4" type="noConversion"/>
  </si>
  <si>
    <t>0/3/0</t>
    <phoneticPr fontId="4" type="noConversion"/>
  </si>
  <si>
    <t>1/0/1</t>
    <phoneticPr fontId="4" type="noConversion"/>
  </si>
  <si>
    <t>시드 이하</t>
    <phoneticPr fontId="4" type="noConversion"/>
  </si>
  <si>
    <t>시드 이하</t>
    <phoneticPr fontId="4" type="noConversion"/>
  </si>
  <si>
    <t>0/2/0</t>
    <phoneticPr fontId="4" type="noConversion"/>
  </si>
  <si>
    <t>화상</t>
  </si>
  <si>
    <t>화상</t>
    <phoneticPr fontId="4" type="noConversion"/>
  </si>
  <si>
    <t>피격이상 면역</t>
    <phoneticPr fontId="4" type="noConversion"/>
  </si>
  <si>
    <t>1/2/2</t>
    <phoneticPr fontId="4" type="noConversion"/>
  </si>
  <si>
    <t>최후의 만찬</t>
    <phoneticPr fontId="4" type="noConversion"/>
  </si>
  <si>
    <t>2/1/0</t>
    <phoneticPr fontId="4" type="noConversion"/>
  </si>
  <si>
    <t>2/3/0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</si>
  <si>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</si>
  <si>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</si>
  <si>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</si>
  <si>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2/3/1</t>
    <phoneticPr fontId="4" type="noConversion"/>
  </si>
  <si>
    <t>2/3/2</t>
    <phoneticPr fontId="4" type="noConversion"/>
  </si>
  <si>
    <t>특이사항</t>
    <phoneticPr fontId="4" type="noConversion"/>
  </si>
  <si>
    <t>무력화</t>
    <phoneticPr fontId="4" type="noConversion"/>
  </si>
  <si>
    <t>화상, 무력화</t>
    <phoneticPr fontId="4" type="noConversion"/>
  </si>
  <si>
    <t>스파이럴 플레임</t>
    <phoneticPr fontId="4" type="noConversion"/>
  </si>
  <si>
    <t>0/0/0</t>
    <phoneticPr fontId="4" type="noConversion"/>
  </si>
  <si>
    <t>0/0/0</t>
    <phoneticPr fontId="4" type="noConversion"/>
  </si>
  <si>
    <t>0/2/0</t>
    <phoneticPr fontId="4" type="noConversion"/>
  </si>
  <si>
    <t>0/1/0</t>
    <phoneticPr fontId="4" type="noConversion"/>
  </si>
  <si>
    <t>0/3/0</t>
    <phoneticPr fontId="4" type="noConversion"/>
  </si>
  <si>
    <t>2/0/0</t>
    <phoneticPr fontId="4" type="noConversion"/>
  </si>
  <si>
    <t>2/1/0</t>
    <phoneticPr fontId="4" type="noConversion"/>
  </si>
  <si>
    <t>2/3/0</t>
    <phoneticPr fontId="4" type="noConversion"/>
  </si>
  <si>
    <t>0/0/1</t>
    <phoneticPr fontId="4" type="noConversion"/>
  </si>
  <si>
    <t>0/0/2</t>
    <phoneticPr fontId="4" type="noConversion"/>
  </si>
  <si>
    <t>2/0/1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</si>
  <si>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</si>
  <si>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</si>
  <si>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</si>
  <si>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2/3/1</t>
    <phoneticPr fontId="4" type="noConversion"/>
  </si>
  <si>
    <t>2/3/2</t>
    <phoneticPr fontId="4" type="noConversion"/>
  </si>
  <si>
    <t>대재앙</t>
    <phoneticPr fontId="4" type="noConversion"/>
  </si>
  <si>
    <t>0/1/1</t>
    <phoneticPr fontId="4" type="noConversion"/>
  </si>
  <si>
    <t>0/1/2</t>
    <phoneticPr fontId="4" type="noConversion"/>
  </si>
  <si>
    <t>0/2/1</t>
    <phoneticPr fontId="4" type="noConversion"/>
  </si>
  <si>
    <t>0/2/2</t>
    <phoneticPr fontId="4" type="noConversion"/>
  </si>
  <si>
    <t>피격이상 중</t>
    <phoneticPr fontId="4" type="noConversion"/>
  </si>
  <si>
    <t>퍼펙트 샷</t>
    <phoneticPr fontId="4" type="noConversion"/>
  </si>
  <si>
    <t>0/3/0</t>
    <phoneticPr fontId="4" type="noConversion"/>
  </si>
  <si>
    <t>0/3/2</t>
    <phoneticPr fontId="4" type="noConversion"/>
  </si>
  <si>
    <t>캐릭터 정보 입력란</t>
    <phoneticPr fontId="4" type="noConversion"/>
  </si>
  <si>
    <t>계산으로 산출되는 캐릭터 스펙</t>
    <phoneticPr fontId="4" type="noConversion"/>
  </si>
  <si>
    <t>트라이포드 입력란</t>
    <phoneticPr fontId="4" type="noConversion"/>
  </si>
  <si>
    <t>나선의 추적자</t>
    <phoneticPr fontId="4" type="noConversion"/>
  </si>
  <si>
    <t>성장 탄환</t>
    <phoneticPr fontId="4" type="noConversion"/>
  </si>
  <si>
    <t>집중 사격</t>
    <phoneticPr fontId="4" type="noConversion"/>
  </si>
  <si>
    <t>핸드건</t>
    <phoneticPr fontId="4" type="noConversion"/>
  </si>
  <si>
    <t>샷건</t>
    <phoneticPr fontId="4" type="noConversion"/>
  </si>
  <si>
    <t>라이플</t>
    <phoneticPr fontId="4" type="noConversion"/>
  </si>
  <si>
    <t>AT02 유탄</t>
    <phoneticPr fontId="4" type="noConversion"/>
  </si>
  <si>
    <t>강화 수류탄</t>
    <phoneticPr fontId="4" type="noConversion"/>
  </si>
  <si>
    <t>세열 수류탄</t>
    <phoneticPr fontId="4" type="noConversion"/>
  </si>
  <si>
    <t>빙결 수류탄</t>
    <phoneticPr fontId="4" type="noConversion"/>
  </si>
  <si>
    <t>불꽃놀이</t>
    <phoneticPr fontId="4" type="noConversion"/>
  </si>
  <si>
    <t>내부발화</t>
    <phoneticPr fontId="4" type="noConversion"/>
  </si>
  <si>
    <t>플라즈마 불릿</t>
    <phoneticPr fontId="4" type="noConversion"/>
  </si>
  <si>
    <t>급소 사격</t>
    <phoneticPr fontId="4" type="noConversion"/>
  </si>
  <si>
    <t>초전하 지대</t>
    <phoneticPr fontId="4" type="noConversion"/>
  </si>
  <si>
    <t>플라즈마 분열</t>
    <phoneticPr fontId="4" type="noConversion"/>
  </si>
  <si>
    <t>메테오 스트림</t>
    <phoneticPr fontId="4" type="noConversion"/>
  </si>
  <si>
    <t>약점포착</t>
    <phoneticPr fontId="4" type="noConversion"/>
  </si>
  <si>
    <t>비열한 공격</t>
    <phoneticPr fontId="4" type="noConversion"/>
  </si>
  <si>
    <t>꿰뚫는 폭발</t>
    <phoneticPr fontId="4" type="noConversion"/>
  </si>
  <si>
    <t>폭격 지원</t>
    <phoneticPr fontId="4" type="noConversion"/>
  </si>
  <si>
    <t>혜성 낙하</t>
    <phoneticPr fontId="4" type="noConversion"/>
  </si>
  <si>
    <t>썸머쏠트 샷</t>
    <phoneticPr fontId="4" type="noConversion"/>
  </si>
  <si>
    <t>원한</t>
    <phoneticPr fontId="4" type="noConversion"/>
  </si>
  <si>
    <t>저주받은 인형</t>
    <phoneticPr fontId="4" type="noConversion"/>
  </si>
  <si>
    <t>예리한 둔기</t>
    <phoneticPr fontId="4" type="noConversion"/>
  </si>
  <si>
    <t>화상 효과</t>
    <phoneticPr fontId="4" type="noConversion"/>
  </si>
  <si>
    <t>슈퍼 아머</t>
    <phoneticPr fontId="4" type="noConversion"/>
  </si>
  <si>
    <t>이퀄리브리엄</t>
    <phoneticPr fontId="4" type="noConversion"/>
  </si>
  <si>
    <t>데스파이어</t>
    <phoneticPr fontId="4" type="noConversion"/>
  </si>
  <si>
    <t>예리한 일격</t>
    <phoneticPr fontId="4" type="noConversion"/>
  </si>
  <si>
    <t>화염 폭탄</t>
    <phoneticPr fontId="4" type="noConversion"/>
  </si>
  <si>
    <t>무한 섬멸</t>
    <phoneticPr fontId="4" type="noConversion"/>
  </si>
  <si>
    <t>민첩한 사격</t>
    <phoneticPr fontId="4" type="noConversion"/>
  </si>
  <si>
    <t>급소 공격</t>
    <phoneticPr fontId="4" type="noConversion"/>
  </si>
  <si>
    <t>근접 사격</t>
    <phoneticPr fontId="4" type="noConversion"/>
  </si>
  <si>
    <t>빠른 준비</t>
    <phoneticPr fontId="4" type="noConversion"/>
  </si>
  <si>
    <t>강화된 사격</t>
    <phoneticPr fontId="4" type="noConversion"/>
  </si>
  <si>
    <t>연장 사격</t>
    <phoneticPr fontId="4" type="noConversion"/>
  </si>
  <si>
    <t>특수 탄환</t>
    <phoneticPr fontId="4" type="noConversion"/>
  </si>
  <si>
    <t>화염탄</t>
    <phoneticPr fontId="4" type="noConversion"/>
  </si>
  <si>
    <t>뜨거운 열기</t>
    <phoneticPr fontId="4" type="noConversion"/>
  </si>
  <si>
    <t>강한 폭발</t>
    <phoneticPr fontId="4" type="noConversion"/>
  </si>
  <si>
    <t>집행</t>
    <phoneticPr fontId="4" type="noConversion"/>
  </si>
  <si>
    <t>연발 사격</t>
    <phoneticPr fontId="4" type="noConversion"/>
  </si>
  <si>
    <t>스파이럴 플레임</t>
    <phoneticPr fontId="4" type="noConversion"/>
  </si>
  <si>
    <t>맹렬한 불꽃</t>
    <phoneticPr fontId="4" type="noConversion"/>
  </si>
  <si>
    <t>성장 탄환</t>
    <phoneticPr fontId="4" type="noConversion"/>
  </si>
  <si>
    <t>마무리 사격</t>
    <phoneticPr fontId="4" type="noConversion"/>
  </si>
  <si>
    <t>총열 강화</t>
    <phoneticPr fontId="4" type="noConversion"/>
  </si>
  <si>
    <t>후폭풍</t>
    <phoneticPr fontId="4" type="noConversion"/>
  </si>
  <si>
    <t>대재앙</t>
    <phoneticPr fontId="4" type="noConversion"/>
  </si>
  <si>
    <t>무방비 표적</t>
    <phoneticPr fontId="4" type="noConversion"/>
  </si>
  <si>
    <t>영원한 재앙</t>
    <phoneticPr fontId="4" type="noConversion"/>
  </si>
  <si>
    <t>최종 공격력</t>
    <phoneticPr fontId="4" type="noConversion"/>
  </si>
  <si>
    <t>기본 공격력</t>
    <phoneticPr fontId="4" type="noConversion"/>
  </si>
  <si>
    <t>저받인 공격력</t>
    <phoneticPr fontId="4" type="noConversion"/>
  </si>
  <si>
    <t>저주받은 인형</t>
    <phoneticPr fontId="4" type="noConversion"/>
  </si>
  <si>
    <t>원한</t>
    <phoneticPr fontId="4" type="noConversion"/>
  </si>
  <si>
    <t>예리한 둔기</t>
    <phoneticPr fontId="4" type="noConversion"/>
  </si>
  <si>
    <t>썸머쏠트 샷 - 화상 효과</t>
    <phoneticPr fontId="4" type="noConversion"/>
  </si>
  <si>
    <t>데스파이어 - 화염 폭탄</t>
    <phoneticPr fontId="4" type="noConversion"/>
  </si>
  <si>
    <t>이퀄리브리엄 - 화상 효과</t>
    <phoneticPr fontId="4" type="noConversion"/>
  </si>
  <si>
    <t>최후의 만찬 - 화염탄</t>
    <phoneticPr fontId="4" type="noConversion"/>
  </si>
  <si>
    <t>트리플 익스플로전 - 불꽃 탄환</t>
    <phoneticPr fontId="4" type="noConversion"/>
  </si>
  <si>
    <t>퍼펙트 샷 - 출혈 효과</t>
    <phoneticPr fontId="4" type="noConversion"/>
  </si>
  <si>
    <t>최후의 만찬 - 뜨거운 열기</t>
    <phoneticPr fontId="4" type="noConversion"/>
  </si>
  <si>
    <t>1/0/0</t>
    <phoneticPr fontId="4" type="noConversion"/>
  </si>
  <si>
    <t>0/2/0</t>
    <phoneticPr fontId="4" type="noConversion"/>
  </si>
  <si>
    <t>0/0/0</t>
    <phoneticPr fontId="4" type="noConversion"/>
  </si>
  <si>
    <t>0/1/0</t>
    <phoneticPr fontId="4" type="noConversion"/>
  </si>
  <si>
    <t>0/2/1</t>
    <phoneticPr fontId="4" type="noConversion"/>
  </si>
  <si>
    <t>0/1/2</t>
    <phoneticPr fontId="4" type="noConversion"/>
  </si>
  <si>
    <t>0/2/2</t>
    <phoneticPr fontId="4" type="noConversion"/>
  </si>
  <si>
    <t>섬멸 사격</t>
    <phoneticPr fontId="4" type="noConversion"/>
  </si>
  <si>
    <t>적 소탕</t>
    <phoneticPr fontId="4" type="noConversion"/>
  </si>
  <si>
    <t>원거리 사격</t>
    <phoneticPr fontId="4" type="noConversion"/>
  </si>
  <si>
    <t>화상 효과</t>
    <phoneticPr fontId="4" type="noConversion"/>
  </si>
  <si>
    <t>급소 사격</t>
    <phoneticPr fontId="4" type="noConversion"/>
  </si>
  <si>
    <t>화상</t>
    <phoneticPr fontId="4" type="noConversion"/>
  </si>
  <si>
    <t>0/3/0</t>
    <phoneticPr fontId="4" type="noConversion"/>
  </si>
  <si>
    <t>2/3/0</t>
    <phoneticPr fontId="4" type="noConversion"/>
  </si>
  <si>
    <t>시드 이하</t>
    <phoneticPr fontId="4" type="noConversion"/>
  </si>
  <si>
    <t>시드 이하, 화상</t>
    <phoneticPr fontId="4" type="noConversion"/>
  </si>
  <si>
    <t>2/0/0</t>
    <phoneticPr fontId="4" type="noConversion"/>
  </si>
  <si>
    <t>2/1/0</t>
    <phoneticPr fontId="4" type="noConversion"/>
  </si>
  <si>
    <t>징역 선고</t>
    <phoneticPr fontId="4" type="noConversion"/>
  </si>
  <si>
    <t>최종 판결</t>
    <phoneticPr fontId="4" type="noConversion"/>
  </si>
  <si>
    <t>확산 파편</t>
    <phoneticPr fontId="4" type="noConversion"/>
  </si>
  <si>
    <t>강화 파편</t>
    <phoneticPr fontId="4" type="noConversion"/>
  </si>
  <si>
    <t>1/1/0</t>
    <phoneticPr fontId="4" type="noConversion"/>
  </si>
  <si>
    <t>1/2/0</t>
    <phoneticPr fontId="4" type="noConversion"/>
  </si>
  <si>
    <t>1/3/0</t>
    <phoneticPr fontId="4" type="noConversion"/>
  </si>
  <si>
    <t>0/1/1</t>
    <phoneticPr fontId="4" type="noConversion"/>
  </si>
  <si>
    <t>0/3/1</t>
    <phoneticPr fontId="4" type="noConversion"/>
  </si>
  <si>
    <t>0/3/2</t>
    <phoneticPr fontId="4" type="noConversion"/>
  </si>
  <si>
    <t>2/0/1</t>
    <phoneticPr fontId="4" type="noConversion"/>
  </si>
  <si>
    <t>2/0/2</t>
    <phoneticPr fontId="4" type="noConversion"/>
  </si>
  <si>
    <t>1/0/2</t>
    <phoneticPr fontId="4" type="noConversion"/>
  </si>
  <si>
    <t>출혈 효과</t>
    <phoneticPr fontId="4" type="noConversion"/>
  </si>
  <si>
    <t>정밀 사격</t>
    <phoneticPr fontId="4" type="noConversion"/>
  </si>
  <si>
    <t>퀵 스텝</t>
    <phoneticPr fontId="4" type="noConversion"/>
  </si>
  <si>
    <t>피스키퍼</t>
    <phoneticPr fontId="4" type="noConversion"/>
  </si>
  <si>
    <t>레인</t>
    <phoneticPr fontId="4" type="noConversion"/>
  </si>
  <si>
    <t>절멸의 탄환</t>
    <phoneticPr fontId="4" type="noConversion"/>
  </si>
  <si>
    <t>마탄의 사수</t>
    <phoneticPr fontId="4" type="noConversion"/>
  </si>
  <si>
    <t>포커스 샷</t>
    <phoneticPr fontId="4" type="noConversion"/>
  </si>
  <si>
    <t>타겟 다운</t>
    <phoneticPr fontId="4" type="noConversion"/>
  </si>
  <si>
    <t>황혼의 눈</t>
    <phoneticPr fontId="4" type="noConversion"/>
  </si>
  <si>
    <t>대구경</t>
    <phoneticPr fontId="4" type="noConversion"/>
  </si>
  <si>
    <t>샷건 방관</t>
    <phoneticPr fontId="4" type="noConversion"/>
  </si>
  <si>
    <t>샷건 증뎀</t>
    <phoneticPr fontId="4" type="noConversion"/>
  </si>
  <si>
    <t>피스메이커</t>
    <phoneticPr fontId="4" type="noConversion"/>
  </si>
  <si>
    <t>사냥의 시간</t>
    <phoneticPr fontId="4" type="noConversion"/>
  </si>
  <si>
    <t>0/1/0</t>
    <phoneticPr fontId="4" type="noConversion"/>
  </si>
  <si>
    <t>0/2/0</t>
    <phoneticPr fontId="4" type="noConversion"/>
  </si>
  <si>
    <t>0/3/0</t>
    <phoneticPr fontId="4" type="noConversion"/>
  </si>
  <si>
    <t>0/0/1</t>
    <phoneticPr fontId="4" type="noConversion"/>
  </si>
  <si>
    <t>0/0/2</t>
    <phoneticPr fontId="4" type="noConversion"/>
  </si>
  <si>
    <t>퀵 스텝</t>
    <phoneticPr fontId="4" type="noConversion"/>
  </si>
  <si>
    <t>3/0/0</t>
    <phoneticPr fontId="4" type="noConversion"/>
  </si>
  <si>
    <t>3/1/0</t>
    <phoneticPr fontId="4" type="noConversion"/>
  </si>
  <si>
    <t>3/2/0</t>
    <phoneticPr fontId="4" type="noConversion"/>
  </si>
  <si>
    <t>빠른 준비</t>
    <phoneticPr fontId="4" type="noConversion"/>
  </si>
  <si>
    <t>연사</t>
    <phoneticPr fontId="4" type="noConversion"/>
  </si>
  <si>
    <t>환영 사격</t>
    <phoneticPr fontId="4" type="noConversion"/>
  </si>
  <si>
    <t>급소 사격</t>
    <phoneticPr fontId="4" type="noConversion"/>
  </si>
  <si>
    <t>단일</t>
    <phoneticPr fontId="4" type="noConversion"/>
  </si>
  <si>
    <t>피격이상 중</t>
    <phoneticPr fontId="4" type="noConversion"/>
  </si>
  <si>
    <t>피격이상 중</t>
    <phoneticPr fontId="4" type="noConversion"/>
  </si>
  <si>
    <t>*트라이포드 2레벨 이상 미구현 목록(상태이상류)</t>
    <phoneticPr fontId="4" type="noConversion"/>
  </si>
  <si>
    <t>피스키퍼</t>
    <phoneticPr fontId="4" type="noConversion"/>
  </si>
  <si>
    <t>기본 4타</t>
    <phoneticPr fontId="4" type="noConversion"/>
  </si>
  <si>
    <t>대공 사격</t>
    <phoneticPr fontId="4" type="noConversion"/>
  </si>
  <si>
    <t>케나인 CQC</t>
    <phoneticPr fontId="4" type="noConversion"/>
  </si>
  <si>
    <t>정화 의식</t>
    <phoneticPr fontId="4" type="noConversion"/>
  </si>
  <si>
    <t>레인 오브 불릿</t>
    <phoneticPr fontId="4" type="noConversion"/>
  </si>
  <si>
    <t>기습</t>
    <phoneticPr fontId="4" type="noConversion"/>
  </si>
  <si>
    <t>원거리 사격</t>
    <phoneticPr fontId="4" type="noConversion"/>
  </si>
  <si>
    <t>속사</t>
    <phoneticPr fontId="4" type="noConversion"/>
  </si>
  <si>
    <t>제보 부탁드립니다</t>
    <phoneticPr fontId="4" type="noConversion"/>
  </si>
  <si>
    <t>화염 사격</t>
    <phoneticPr fontId="4" type="noConversion"/>
  </si>
  <si>
    <t>1/3/0</t>
    <phoneticPr fontId="4" type="noConversion"/>
  </si>
  <si>
    <t>3/3/0</t>
    <phoneticPr fontId="4" type="noConversion"/>
  </si>
  <si>
    <t>1/0/0</t>
    <phoneticPr fontId="4" type="noConversion"/>
  </si>
  <si>
    <t>1/1/1</t>
    <phoneticPr fontId="4" type="noConversion"/>
  </si>
  <si>
    <t>1/3/1</t>
    <phoneticPr fontId="4" type="noConversion"/>
  </si>
  <si>
    <t>3/3/1</t>
    <phoneticPr fontId="4" type="noConversion"/>
  </si>
  <si>
    <t>시드 이하</t>
    <phoneticPr fontId="4" type="noConversion"/>
  </si>
  <si>
    <t>사면초가</t>
    <phoneticPr fontId="4" type="noConversion"/>
  </si>
  <si>
    <t>더블 샷</t>
    <phoneticPr fontId="4" type="noConversion"/>
  </si>
  <si>
    <t>절멸의 탄환</t>
    <phoneticPr fontId="4" type="noConversion"/>
  </si>
  <si>
    <t>절멸의 탄환</t>
    <phoneticPr fontId="4" type="noConversion"/>
  </si>
  <si>
    <t>사면초가</t>
    <phoneticPr fontId="4" type="noConversion"/>
  </si>
  <si>
    <t>강화 사격</t>
    <phoneticPr fontId="4" type="noConversion"/>
  </si>
  <si>
    <t>최후의 일격</t>
    <phoneticPr fontId="4" type="noConversion"/>
  </si>
  <si>
    <t>반동 회피</t>
    <phoneticPr fontId="4" type="noConversion"/>
  </si>
  <si>
    <t>마탄의 사수</t>
    <phoneticPr fontId="4" type="noConversion"/>
  </si>
  <si>
    <t>1/1/0</t>
    <phoneticPr fontId="4" type="noConversion"/>
  </si>
  <si>
    <t>1/2/0</t>
    <phoneticPr fontId="4" type="noConversion"/>
  </si>
  <si>
    <t>1/0/1</t>
    <phoneticPr fontId="4" type="noConversion"/>
  </si>
  <si>
    <t>1/2/1</t>
    <phoneticPr fontId="4" type="noConversion"/>
  </si>
  <si>
    <t>마탄의 사수</t>
    <phoneticPr fontId="4" type="noConversion"/>
  </si>
  <si>
    <t>영혼의 일발</t>
    <phoneticPr fontId="4" type="noConversion"/>
  </si>
  <si>
    <t>가디언의 숨결</t>
    <phoneticPr fontId="4" type="noConversion"/>
  </si>
  <si>
    <t>혹한의 안식처</t>
    <phoneticPr fontId="4" type="noConversion"/>
  </si>
  <si>
    <t>3히트</t>
    <phoneticPr fontId="4" type="noConversion"/>
  </si>
  <si>
    <t>0/1/1</t>
    <phoneticPr fontId="4" type="noConversion"/>
  </si>
  <si>
    <t>0/1/2</t>
    <phoneticPr fontId="4" type="noConversion"/>
  </si>
  <si>
    <t>화상</t>
    <phoneticPr fontId="4" type="noConversion"/>
  </si>
  <si>
    <t>동결</t>
    <phoneticPr fontId="4" type="noConversion"/>
  </si>
  <si>
    <t>포커스 샷</t>
    <phoneticPr fontId="4" type="noConversion"/>
  </si>
  <si>
    <t>타겟 다운</t>
    <phoneticPr fontId="4" type="noConversion"/>
  </si>
  <si>
    <t>강화 탄환</t>
    <phoneticPr fontId="4" type="noConversion"/>
  </si>
  <si>
    <t>더블탭</t>
    <phoneticPr fontId="4" type="noConversion"/>
  </si>
  <si>
    <t>빠른 마무리</t>
    <phoneticPr fontId="4" type="noConversion"/>
  </si>
  <si>
    <t>0/1/1</t>
    <phoneticPr fontId="4" type="noConversion"/>
  </si>
  <si>
    <t>0/3/1</t>
    <phoneticPr fontId="4" type="noConversion"/>
  </si>
  <si>
    <t>0/3/2</t>
    <phoneticPr fontId="4" type="noConversion"/>
  </si>
  <si>
    <t>0/1/0</t>
    <phoneticPr fontId="4" type="noConversion"/>
  </si>
  <si>
    <t>생명50%이하</t>
  </si>
  <si>
    <t>중앙</t>
    <phoneticPr fontId="4" type="noConversion"/>
  </si>
  <si>
    <t>타겟 다운</t>
    <phoneticPr fontId="4" type="noConversion"/>
  </si>
  <si>
    <t>대용량 탄창</t>
    <phoneticPr fontId="4" type="noConversion"/>
  </si>
  <si>
    <t>작렬철강탄</t>
    <phoneticPr fontId="4" type="noConversion"/>
  </si>
  <si>
    <t>반자동 라이플</t>
    <phoneticPr fontId="4" type="noConversion"/>
  </si>
  <si>
    <t>정조준</t>
    <phoneticPr fontId="4" type="noConversion"/>
  </si>
  <si>
    <t>천국의 계단</t>
    <phoneticPr fontId="4" type="noConversion"/>
  </si>
  <si>
    <t>0/2/2</t>
    <phoneticPr fontId="4" type="noConversion"/>
  </si>
  <si>
    <t>출혈</t>
    <phoneticPr fontId="4" type="noConversion"/>
  </si>
  <si>
    <t>출혈, 중앙</t>
    <phoneticPr fontId="4" type="noConversion"/>
  </si>
  <si>
    <t>생명50%이하</t>
    <phoneticPr fontId="4" type="noConversion"/>
  </si>
  <si>
    <t>중앙</t>
    <phoneticPr fontId="4" type="noConversion"/>
  </si>
  <si>
    <t>황혼의 눈</t>
    <phoneticPr fontId="4" type="noConversion"/>
  </si>
  <si>
    <t>대구경 폭발 탄환</t>
    <phoneticPr fontId="4" type="noConversion"/>
  </si>
  <si>
    <t>황혼의 눈(디버프)</t>
    <phoneticPr fontId="4" type="noConversion"/>
  </si>
  <si>
    <t>사냥의 시간</t>
    <phoneticPr fontId="4" type="noConversion"/>
  </si>
  <si>
    <t>피스메이커</t>
    <phoneticPr fontId="4" type="noConversion"/>
  </si>
  <si>
    <t>10-10</t>
    <phoneticPr fontId="4" type="noConversion"/>
  </si>
  <si>
    <t>10-20</t>
    <phoneticPr fontId="4" type="noConversion"/>
  </si>
  <si>
    <t>10-30</t>
    <phoneticPr fontId="4" type="noConversion"/>
  </si>
  <si>
    <t>방어구 세트</t>
    <phoneticPr fontId="4" type="noConversion"/>
  </si>
  <si>
    <t>*업뎃예정</t>
    <phoneticPr fontId="4" type="noConversion"/>
  </si>
  <si>
    <t>예정2</t>
    <phoneticPr fontId="4" type="noConversion"/>
  </si>
  <si>
    <t>예정5</t>
    <phoneticPr fontId="4" type="noConversion"/>
  </si>
  <si>
    <t>사멸2</t>
    <phoneticPr fontId="4" type="noConversion"/>
  </si>
  <si>
    <t>사멸4</t>
    <phoneticPr fontId="4" type="noConversion"/>
  </si>
  <si>
    <t>평균</t>
    <phoneticPr fontId="4" type="noConversion"/>
  </si>
  <si>
    <t>지배2</t>
    <phoneticPr fontId="4" type="noConversion"/>
  </si>
  <si>
    <t>지배4</t>
    <phoneticPr fontId="4" type="noConversion"/>
  </si>
  <si>
    <t>평균</t>
    <phoneticPr fontId="4" type="noConversion"/>
  </si>
  <si>
    <t>조합여부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</si>
</sst>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_ "/>
  </numFmts>
  <fonts count="1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9" tint="-0.249977111117893"/>
      <name val="맑은 고딕"/>
      <family val="2"/>
      <charset val="129"/>
      <scheme val="minor"/>
    </font>
    <font>
      <sz val="9"/>
      <color theme="9" tint="-0.249977111117893"/>
      <name val="맑은 고딕"/>
      <family val="3"/>
      <charset val="129"/>
      <scheme val="minor"/>
    </font>
    <font>
      <sz val="9"/>
      <color rgb="FF00B0F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7030A0"/>
      <name val="맑은 고딕"/>
      <family val="2"/>
      <charset val="129"/>
      <scheme val="minor"/>
    </font>
    <font>
      <sz val="9"/>
      <color rgb="FF00B0F0"/>
      <name val="맑은 고딕"/>
      <family val="3"/>
      <charset val="129"/>
      <scheme val="minor"/>
    </font>
    <font>
      <sz val="9"/>
      <color rgb="FF7030A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9FF9B"/>
        <bgColor indexed="64"/>
      </patternFill>
    </fill>
    <fill>
      <patternFill patternType="solid">
        <fgColor rgb="FFFFE137"/>
        <bgColor indexed="64"/>
      </patternFill>
    </fill>
    <fill>
      <patternFill patternType="solid">
        <fgColor rgb="FF96E1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7" xfId="0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2" fillId="0" borderId="7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7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49" fontId="6" fillId="0" borderId="0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14" fontId="8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6" fillId="4" borderId="6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176" fontId="6" fillId="4" borderId="17" xfId="0" applyNumberFormat="1" applyFont="1" applyFill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7" xfId="0" applyFont="1" applyFill="1" applyBorder="1">
      <alignment vertical="center"/>
    </xf>
    <xf numFmtId="0" fontId="1" fillId="3" borderId="9" xfId="0" applyFont="1" applyFill="1" applyBorder="1">
      <alignment vertical="center"/>
    </xf>
    <xf numFmtId="177" fontId="1" fillId="2" borderId="5" xfId="0" applyNumberFormat="1" applyFont="1" applyFill="1" applyBorder="1">
      <alignment vertical="center"/>
    </xf>
    <xf numFmtId="177" fontId="1" fillId="0" borderId="7" xfId="0" applyNumberFormat="1" applyFont="1" applyBorder="1">
      <alignment vertical="center"/>
    </xf>
    <xf numFmtId="177" fontId="1" fillId="2" borderId="7" xfId="0" applyNumberFormat="1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3" xfId="0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7" xfId="0" applyNumberFormat="1" applyFont="1" applyFill="1" applyBorder="1">
      <alignment vertical="center"/>
    </xf>
    <xf numFmtId="176" fontId="1" fillId="0" borderId="9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6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5" fillId="0" borderId="6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1" xfId="0" applyFont="1" applyBorder="1">
      <alignment vertical="center"/>
    </xf>
    <xf numFmtId="49" fontId="1" fillId="0" borderId="0" xfId="0" applyNumberFormat="1" applyFo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FFE137"/>
      <color rgb="FFB9FF9B"/>
      <color rgb="FFE1FF9B"/>
      <color rgb="FF96E1FF"/>
      <color rgb="FF37C8FF"/>
      <color rgb="FF4C98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3"/>
  <sheetViews>
    <sheetView tabSelected="1" workbookViewId="0"/>
  </sheetViews>
  <sheetFormatPr defaultColWidth="11.875" defaultRowHeight="13.5" customHeight="1" x14ac:dyDescent="0.3"/>
  <cols>
    <col min="1" max="1" width="6.25" style="1" customWidth="1"/>
    <col min="2" max="3" width="11.875" style="1"/>
    <col min="4" max="4" width="6.25" style="1" customWidth="1"/>
    <col min="5" max="6" width="11.875" style="1" customWidth="1"/>
    <col min="7" max="7" width="4.375" style="1" customWidth="1"/>
    <col min="8" max="9" width="11.875" style="1" customWidth="1"/>
    <col min="10" max="10" width="4.375" style="1" customWidth="1"/>
    <col min="11" max="12" width="11.875" style="1" customWidth="1"/>
    <col min="13" max="13" width="4.375" style="1" customWidth="1"/>
    <col min="14" max="16384" width="11.875" style="1"/>
  </cols>
  <sheetData>
    <row r="2" spans="2:16" ht="13.5" customHeight="1" thickBot="1" x14ac:dyDescent="0.35">
      <c r="B2" s="113" t="s">
        <v>220</v>
      </c>
      <c r="C2" s="113"/>
      <c r="E2" s="113" t="s">
        <v>222</v>
      </c>
      <c r="F2" s="113"/>
      <c r="G2" s="113"/>
      <c r="H2" s="113"/>
      <c r="I2" s="113"/>
      <c r="J2" s="113"/>
      <c r="K2" s="113"/>
      <c r="L2" s="113"/>
      <c r="M2" s="113"/>
      <c r="O2" s="1" t="s">
        <v>424</v>
      </c>
      <c r="P2" s="1" t="s">
        <v>425</v>
      </c>
    </row>
    <row r="3" spans="2:16" ht="13.5" customHeight="1" thickBot="1" x14ac:dyDescent="0.35">
      <c r="B3" s="11" t="s">
        <v>15</v>
      </c>
      <c r="C3" s="56">
        <v>625</v>
      </c>
      <c r="E3" s="114" t="s">
        <v>226</v>
      </c>
      <c r="F3" s="115"/>
      <c r="G3" s="115"/>
      <c r="H3" s="114" t="s">
        <v>227</v>
      </c>
      <c r="I3" s="115"/>
      <c r="J3" s="116"/>
      <c r="K3" s="115" t="s">
        <v>228</v>
      </c>
      <c r="L3" s="115"/>
      <c r="M3" s="116"/>
    </row>
    <row r="4" spans="2:16" ht="13.5" customHeight="1" x14ac:dyDescent="0.3">
      <c r="B4" s="11" t="s">
        <v>16</v>
      </c>
      <c r="C4" s="56">
        <v>891</v>
      </c>
      <c r="E4" s="117" t="s">
        <v>223</v>
      </c>
      <c r="F4" s="71" t="s">
        <v>224</v>
      </c>
      <c r="G4" s="39">
        <v>1</v>
      </c>
      <c r="H4" s="107" t="s">
        <v>31</v>
      </c>
      <c r="I4" s="75" t="s">
        <v>259</v>
      </c>
      <c r="J4" s="63">
        <v>1</v>
      </c>
      <c r="K4" s="112" t="s">
        <v>268</v>
      </c>
      <c r="L4" s="77" t="s">
        <v>269</v>
      </c>
      <c r="M4" s="69">
        <v>1</v>
      </c>
      <c r="O4" s="1" t="s">
        <v>426</v>
      </c>
      <c r="P4" s="1">
        <v>0</v>
      </c>
    </row>
    <row r="5" spans="2:16" ht="13.5" customHeight="1" x14ac:dyDescent="0.3">
      <c r="B5" s="11" t="s">
        <v>17</v>
      </c>
      <c r="C5" s="56">
        <v>197</v>
      </c>
      <c r="E5" s="111"/>
      <c r="F5" s="72" t="s">
        <v>225</v>
      </c>
      <c r="G5" s="70">
        <v>1</v>
      </c>
      <c r="H5" s="108"/>
      <c r="I5" s="71" t="s">
        <v>309</v>
      </c>
      <c r="J5" s="63">
        <v>1</v>
      </c>
      <c r="K5" s="102"/>
      <c r="L5" s="71" t="s">
        <v>270</v>
      </c>
      <c r="M5" s="63">
        <v>1</v>
      </c>
      <c r="O5" s="1" t="s">
        <v>427</v>
      </c>
      <c r="P5" s="1">
        <v>0</v>
      </c>
    </row>
    <row r="6" spans="2:16" ht="13.5" customHeight="1" x14ac:dyDescent="0.3">
      <c r="B6" s="11" t="s">
        <v>19</v>
      </c>
      <c r="C6" s="56">
        <v>20201</v>
      </c>
      <c r="E6" s="104" t="s">
        <v>229</v>
      </c>
      <c r="F6" s="71" t="s">
        <v>230</v>
      </c>
      <c r="G6" s="39">
        <v>1</v>
      </c>
      <c r="H6" s="108"/>
      <c r="I6" s="71" t="s">
        <v>310</v>
      </c>
      <c r="J6" s="63">
        <v>1</v>
      </c>
      <c r="K6" s="102"/>
      <c r="L6" s="71" t="s">
        <v>271</v>
      </c>
      <c r="M6" s="63">
        <v>1</v>
      </c>
      <c r="O6" s="1" t="s">
        <v>428</v>
      </c>
      <c r="P6" s="1">
        <v>0</v>
      </c>
    </row>
    <row r="7" spans="2:16" ht="13.5" customHeight="1" x14ac:dyDescent="0.3">
      <c r="B7" s="11" t="s">
        <v>72</v>
      </c>
      <c r="C7" s="56">
        <v>86069</v>
      </c>
      <c r="E7" s="105"/>
      <c r="F7" s="71" t="s">
        <v>231</v>
      </c>
      <c r="G7" s="39">
        <v>1</v>
      </c>
      <c r="H7" s="108"/>
      <c r="I7" s="73" t="s">
        <v>312</v>
      </c>
      <c r="J7" s="63">
        <v>1</v>
      </c>
      <c r="K7" s="102"/>
      <c r="L7" s="73" t="s">
        <v>272</v>
      </c>
      <c r="M7" s="63">
        <v>1</v>
      </c>
      <c r="O7" s="1" t="s">
        <v>429</v>
      </c>
      <c r="P7" s="1">
        <v>0</v>
      </c>
    </row>
    <row r="8" spans="2:16" ht="13.5" customHeight="1" x14ac:dyDescent="0.3">
      <c r="B8" s="11"/>
      <c r="C8" s="12"/>
      <c r="E8" s="105"/>
      <c r="F8" s="71" t="s">
        <v>232</v>
      </c>
      <c r="G8" s="39">
        <v>1</v>
      </c>
      <c r="H8" s="109"/>
      <c r="I8" s="74" t="s">
        <v>311</v>
      </c>
      <c r="J8" s="70">
        <v>1</v>
      </c>
      <c r="K8" s="103"/>
      <c r="L8" s="74" t="s">
        <v>273</v>
      </c>
      <c r="M8" s="70">
        <v>1</v>
      </c>
      <c r="O8" s="1" t="s">
        <v>431</v>
      </c>
      <c r="P8" s="1">
        <v>0</v>
      </c>
    </row>
    <row r="9" spans="2:16" ht="13.5" customHeight="1" x14ac:dyDescent="0.3">
      <c r="B9" s="11" t="s">
        <v>43</v>
      </c>
      <c r="C9" s="56">
        <v>0</v>
      </c>
      <c r="E9" s="105"/>
      <c r="F9" s="73" t="s">
        <v>233</v>
      </c>
      <c r="G9" s="39">
        <v>1</v>
      </c>
      <c r="H9" s="110" t="s">
        <v>32</v>
      </c>
      <c r="I9" s="75" t="s">
        <v>360</v>
      </c>
      <c r="J9" s="63">
        <v>1</v>
      </c>
      <c r="K9" s="101" t="s">
        <v>274</v>
      </c>
      <c r="L9" s="71" t="s">
        <v>271</v>
      </c>
      <c r="M9" s="63">
        <v>1</v>
      </c>
      <c r="O9" s="1" t="s">
        <v>432</v>
      </c>
      <c r="P9" s="1">
        <v>0</v>
      </c>
    </row>
    <row r="10" spans="2:16" ht="13.5" customHeight="1" x14ac:dyDescent="0.3">
      <c r="B10" s="11" t="s">
        <v>144</v>
      </c>
      <c r="C10" s="56">
        <v>0</v>
      </c>
      <c r="E10" s="111"/>
      <c r="F10" s="74" t="s">
        <v>234</v>
      </c>
      <c r="G10" s="70">
        <v>1</v>
      </c>
      <c r="H10" s="108"/>
      <c r="I10" s="75" t="s">
        <v>372</v>
      </c>
      <c r="J10" s="63">
        <v>1</v>
      </c>
      <c r="K10" s="102"/>
      <c r="L10" s="71" t="s">
        <v>275</v>
      </c>
      <c r="M10" s="63">
        <v>1</v>
      </c>
      <c r="O10" s="1" t="s">
        <v>434</v>
      </c>
    </row>
    <row r="11" spans="2:16" ht="13.5" customHeight="1" x14ac:dyDescent="0.3">
      <c r="B11" s="11"/>
      <c r="C11" s="12"/>
      <c r="E11" s="104" t="s">
        <v>342</v>
      </c>
      <c r="F11" s="75" t="s">
        <v>346</v>
      </c>
      <c r="G11" s="39">
        <v>1</v>
      </c>
      <c r="H11" s="108"/>
      <c r="I11" s="71" t="s">
        <v>260</v>
      </c>
      <c r="J11" s="63">
        <v>1</v>
      </c>
      <c r="K11" s="103"/>
      <c r="L11" s="74" t="s">
        <v>276</v>
      </c>
      <c r="M11" s="70">
        <v>1</v>
      </c>
    </row>
    <row r="12" spans="2:16" ht="13.5" customHeight="1" x14ac:dyDescent="0.3">
      <c r="B12" s="11" t="s">
        <v>335</v>
      </c>
      <c r="C12" s="56">
        <v>0</v>
      </c>
      <c r="E12" s="105"/>
      <c r="F12" s="71" t="s">
        <v>347</v>
      </c>
      <c r="G12" s="39">
        <v>1</v>
      </c>
      <c r="H12" s="108"/>
      <c r="I12" s="71" t="s">
        <v>259</v>
      </c>
      <c r="J12" s="63">
        <v>1</v>
      </c>
      <c r="K12" s="101" t="s">
        <v>36</v>
      </c>
      <c r="L12" s="78" t="s">
        <v>322</v>
      </c>
      <c r="M12" s="68">
        <v>1</v>
      </c>
    </row>
    <row r="13" spans="2:16" ht="13.5" customHeight="1" x14ac:dyDescent="0.3">
      <c r="B13" s="11" t="s">
        <v>336</v>
      </c>
      <c r="C13" s="56">
        <v>0</v>
      </c>
      <c r="E13" s="105"/>
      <c r="F13" s="73" t="s">
        <v>348</v>
      </c>
      <c r="G13" s="39">
        <v>1</v>
      </c>
      <c r="H13" s="108"/>
      <c r="I13" s="73" t="s">
        <v>261</v>
      </c>
      <c r="J13" s="63">
        <v>1</v>
      </c>
      <c r="K13" s="102"/>
      <c r="L13" s="75" t="s">
        <v>323</v>
      </c>
      <c r="M13" s="63">
        <v>1</v>
      </c>
    </row>
    <row r="14" spans="2:16" ht="13.5" customHeight="1" x14ac:dyDescent="0.3">
      <c r="B14" s="11" t="s">
        <v>18</v>
      </c>
      <c r="C14" s="56">
        <v>0</v>
      </c>
      <c r="E14" s="111"/>
      <c r="F14" s="74" t="s">
        <v>349</v>
      </c>
      <c r="G14" s="70">
        <v>1</v>
      </c>
      <c r="H14" s="109"/>
      <c r="I14" s="74" t="s">
        <v>262</v>
      </c>
      <c r="J14" s="70">
        <v>1</v>
      </c>
      <c r="K14" s="102"/>
      <c r="L14" s="75" t="s">
        <v>271</v>
      </c>
      <c r="M14" s="63">
        <v>1</v>
      </c>
    </row>
    <row r="15" spans="2:16" ht="13.5" customHeight="1" x14ac:dyDescent="0.3">
      <c r="B15" s="11" t="s">
        <v>246</v>
      </c>
      <c r="C15" s="56">
        <v>0</v>
      </c>
      <c r="E15" s="104" t="s">
        <v>235</v>
      </c>
      <c r="F15" s="71" t="s">
        <v>236</v>
      </c>
      <c r="G15" s="39">
        <v>1</v>
      </c>
      <c r="H15" s="110" t="s">
        <v>33</v>
      </c>
      <c r="I15" s="96" t="s">
        <v>259</v>
      </c>
      <c r="J15" s="68">
        <v>1</v>
      </c>
      <c r="K15" s="103"/>
      <c r="L15" s="74" t="s">
        <v>260</v>
      </c>
      <c r="M15" s="70">
        <v>1</v>
      </c>
    </row>
    <row r="16" spans="2:16" ht="13.5" customHeight="1" x14ac:dyDescent="0.3">
      <c r="B16" s="11" t="s">
        <v>247</v>
      </c>
      <c r="C16" s="56">
        <v>0</v>
      </c>
      <c r="E16" s="105"/>
      <c r="F16" s="73" t="s">
        <v>237</v>
      </c>
      <c r="G16" s="39">
        <v>1</v>
      </c>
      <c r="H16" s="108"/>
      <c r="I16" s="75" t="s">
        <v>263</v>
      </c>
      <c r="J16" s="63">
        <v>1</v>
      </c>
      <c r="K16" s="101" t="s">
        <v>394</v>
      </c>
      <c r="L16" s="78" t="s">
        <v>396</v>
      </c>
      <c r="M16" s="68">
        <v>1</v>
      </c>
    </row>
    <row r="17" spans="2:13" ht="13.5" customHeight="1" x14ac:dyDescent="0.3">
      <c r="B17" s="11" t="s">
        <v>248</v>
      </c>
      <c r="C17" s="56">
        <v>0</v>
      </c>
      <c r="D17" s="2"/>
      <c r="E17" s="111"/>
      <c r="F17" s="74" t="s">
        <v>238</v>
      </c>
      <c r="G17" s="70">
        <v>1</v>
      </c>
      <c r="H17" s="108"/>
      <c r="I17" s="71" t="s">
        <v>264</v>
      </c>
      <c r="J17" s="63">
        <v>1</v>
      </c>
      <c r="K17" s="102"/>
      <c r="L17" s="71" t="s">
        <v>397</v>
      </c>
      <c r="M17" s="63">
        <v>1</v>
      </c>
    </row>
    <row r="18" spans="2:13" ht="13.5" customHeight="1" x14ac:dyDescent="0.3">
      <c r="B18" s="11"/>
      <c r="C18" s="12"/>
      <c r="E18" s="104" t="s">
        <v>239</v>
      </c>
      <c r="F18" s="75" t="s">
        <v>240</v>
      </c>
      <c r="G18" s="39">
        <v>1</v>
      </c>
      <c r="H18" s="108"/>
      <c r="I18" s="71" t="s">
        <v>265</v>
      </c>
      <c r="J18" s="63">
        <v>1</v>
      </c>
      <c r="K18" s="102"/>
      <c r="L18" s="73" t="s">
        <v>398</v>
      </c>
      <c r="M18" s="63">
        <v>1</v>
      </c>
    </row>
    <row r="19" spans="2:13" ht="13.5" customHeight="1" thickBot="1" x14ac:dyDescent="0.35">
      <c r="B19" s="13" t="s">
        <v>99</v>
      </c>
      <c r="C19" s="57">
        <v>0</v>
      </c>
      <c r="E19" s="105"/>
      <c r="F19" s="71" t="s">
        <v>241</v>
      </c>
      <c r="G19" s="39">
        <v>1</v>
      </c>
      <c r="H19" s="108"/>
      <c r="I19" s="71" t="s">
        <v>266</v>
      </c>
      <c r="J19" s="63">
        <v>1</v>
      </c>
      <c r="K19" s="103"/>
      <c r="L19" s="74" t="s">
        <v>378</v>
      </c>
      <c r="M19" s="70">
        <v>1</v>
      </c>
    </row>
    <row r="20" spans="2:13" ht="13.5" customHeight="1" x14ac:dyDescent="0.3">
      <c r="E20" s="105"/>
      <c r="F20" s="71" t="s">
        <v>242</v>
      </c>
      <c r="G20" s="39">
        <v>1</v>
      </c>
      <c r="H20" s="108"/>
      <c r="I20" s="73" t="s">
        <v>373</v>
      </c>
      <c r="J20" s="63">
        <v>1</v>
      </c>
      <c r="K20" s="101" t="s">
        <v>395</v>
      </c>
      <c r="L20" s="71" t="s">
        <v>406</v>
      </c>
      <c r="M20" s="63">
        <v>1</v>
      </c>
    </row>
    <row r="21" spans="2:13" ht="13.5" customHeight="1" x14ac:dyDescent="0.3">
      <c r="E21" s="105"/>
      <c r="F21" s="73" t="s">
        <v>243</v>
      </c>
      <c r="G21" s="39">
        <v>1</v>
      </c>
      <c r="H21" s="109"/>
      <c r="I21" s="74" t="s">
        <v>267</v>
      </c>
      <c r="J21" s="70">
        <v>1</v>
      </c>
      <c r="K21" s="102"/>
      <c r="L21" s="71" t="s">
        <v>407</v>
      </c>
      <c r="M21" s="63">
        <v>1</v>
      </c>
    </row>
    <row r="22" spans="2:13" ht="13.5" customHeight="1" thickBot="1" x14ac:dyDescent="0.35">
      <c r="B22" s="113" t="s">
        <v>221</v>
      </c>
      <c r="C22" s="113"/>
      <c r="E22" s="111"/>
      <c r="F22" s="74" t="s">
        <v>244</v>
      </c>
      <c r="G22" s="70">
        <v>1</v>
      </c>
      <c r="H22" s="110" t="s">
        <v>375</v>
      </c>
      <c r="I22" s="75" t="s">
        <v>376</v>
      </c>
      <c r="J22" s="63">
        <v>1</v>
      </c>
      <c r="K22" s="102"/>
      <c r="L22" s="71" t="s">
        <v>408</v>
      </c>
      <c r="M22" s="63">
        <v>1</v>
      </c>
    </row>
    <row r="23" spans="2:13" ht="13.5" customHeight="1" x14ac:dyDescent="0.3">
      <c r="B23" s="10" t="s">
        <v>277</v>
      </c>
      <c r="C23" s="58">
        <f>SUM(C24:C25)</f>
        <v>17077.040464345777</v>
      </c>
      <c r="E23" s="104" t="s">
        <v>245</v>
      </c>
      <c r="F23" s="71" t="s">
        <v>249</v>
      </c>
      <c r="G23" s="39">
        <v>1</v>
      </c>
      <c r="H23" s="108"/>
      <c r="I23" s="71" t="s">
        <v>377</v>
      </c>
      <c r="J23" s="63">
        <v>1</v>
      </c>
      <c r="K23" s="102"/>
      <c r="L23" s="73" t="s">
        <v>409</v>
      </c>
      <c r="M23" s="63">
        <v>1</v>
      </c>
    </row>
    <row r="24" spans="2:13" ht="13.5" customHeight="1" x14ac:dyDescent="0.3">
      <c r="B24" s="11" t="s">
        <v>278</v>
      </c>
      <c r="C24" s="60">
        <f>SQRT(입력란!C6)*SQRT(입력란!C7)*0.4095461</f>
        <v>17077.040464345777</v>
      </c>
      <c r="E24" s="105"/>
      <c r="F24" s="71" t="s">
        <v>236</v>
      </c>
      <c r="G24" s="39">
        <v>1</v>
      </c>
      <c r="H24" s="108"/>
      <c r="I24" s="73" t="s">
        <v>378</v>
      </c>
      <c r="J24" s="63">
        <v>1</v>
      </c>
      <c r="K24" s="102"/>
      <c r="L24" s="73" t="s">
        <v>410</v>
      </c>
      <c r="M24" s="63">
        <v>1</v>
      </c>
    </row>
    <row r="25" spans="2:13" ht="13.5" customHeight="1" x14ac:dyDescent="0.3">
      <c r="B25" s="11" t="s">
        <v>279</v>
      </c>
      <c r="C25" s="60">
        <f>IF(C16=1,C24*0.03,IF(C16=2,C24*0.08,IF(C16=3,C24*0.16,0)))</f>
        <v>0</v>
      </c>
      <c r="E25" s="111"/>
      <c r="F25" s="74" t="s">
        <v>250</v>
      </c>
      <c r="G25" s="70">
        <v>1</v>
      </c>
      <c r="H25" s="108"/>
      <c r="I25" s="94" t="s">
        <v>379</v>
      </c>
      <c r="J25" s="63">
        <v>1</v>
      </c>
      <c r="K25" s="67"/>
      <c r="L25" s="39"/>
      <c r="M25" s="63"/>
    </row>
    <row r="26" spans="2:13" ht="13.5" customHeight="1" x14ac:dyDescent="0.3">
      <c r="B26" s="11"/>
      <c r="C26" s="59"/>
      <c r="E26" s="104" t="s">
        <v>251</v>
      </c>
      <c r="F26" s="71" t="s">
        <v>297</v>
      </c>
      <c r="G26" s="39">
        <v>1</v>
      </c>
      <c r="H26" s="110" t="s">
        <v>380</v>
      </c>
      <c r="I26" s="78" t="s">
        <v>376</v>
      </c>
      <c r="J26" s="68">
        <v>1</v>
      </c>
      <c r="K26" s="67"/>
      <c r="L26" s="39"/>
      <c r="M26" s="63"/>
    </row>
    <row r="27" spans="2:13" ht="13.5" customHeight="1" x14ac:dyDescent="0.3">
      <c r="B27" s="11" t="s">
        <v>20</v>
      </c>
      <c r="C27" s="60">
        <f>입력란!C3*0.03577694</f>
        <v>22.360587500000001</v>
      </c>
      <c r="E27" s="105"/>
      <c r="F27" s="71" t="s">
        <v>298</v>
      </c>
      <c r="G27" s="39">
        <v>1</v>
      </c>
      <c r="H27" s="108"/>
      <c r="I27" s="71" t="s">
        <v>386</v>
      </c>
      <c r="J27" s="63">
        <v>1</v>
      </c>
      <c r="K27" s="67"/>
      <c r="L27" s="39"/>
      <c r="M27" s="63"/>
    </row>
    <row r="28" spans="2:13" ht="13.5" customHeight="1" x14ac:dyDescent="0.3">
      <c r="B28" s="11" t="s">
        <v>21</v>
      </c>
      <c r="C28" s="60">
        <f>입력란!C5*0.017170986</f>
        <v>3.3826842419999998</v>
      </c>
      <c r="E28" s="105"/>
      <c r="F28" s="71" t="s">
        <v>299</v>
      </c>
      <c r="G28" s="39">
        <v>1</v>
      </c>
      <c r="H28" s="108"/>
      <c r="I28" s="73" t="s">
        <v>387</v>
      </c>
      <c r="J28" s="63">
        <v>1</v>
      </c>
      <c r="K28" s="67"/>
      <c r="L28" s="39"/>
      <c r="M28" s="63"/>
    </row>
    <row r="29" spans="2:13" ht="13.5" customHeight="1" x14ac:dyDescent="0.3">
      <c r="B29" s="11" t="s">
        <v>22</v>
      </c>
      <c r="C29" s="60">
        <f>입력란!C5*0.021468443</f>
        <v>4.2292832709999999</v>
      </c>
      <c r="E29" s="105"/>
      <c r="F29" s="73" t="s">
        <v>300</v>
      </c>
      <c r="G29" s="63">
        <v>1</v>
      </c>
      <c r="H29" s="108"/>
      <c r="I29" s="73" t="s">
        <v>388</v>
      </c>
      <c r="J29" s="63">
        <v>1</v>
      </c>
      <c r="K29" s="67"/>
      <c r="L29" s="39"/>
      <c r="M29" s="63"/>
    </row>
    <row r="30" spans="2:13" ht="13.5" customHeight="1" x14ac:dyDescent="0.3">
      <c r="B30" s="11"/>
      <c r="C30" s="59"/>
      <c r="E30" s="111"/>
      <c r="F30" s="74" t="s">
        <v>301</v>
      </c>
      <c r="G30" s="70">
        <v>1</v>
      </c>
      <c r="H30" s="95"/>
      <c r="I30" s="93"/>
      <c r="J30" s="63"/>
      <c r="K30" s="86"/>
      <c r="L30" s="39"/>
      <c r="M30" s="63"/>
    </row>
    <row r="31" spans="2:13" ht="13.5" customHeight="1" x14ac:dyDescent="0.3">
      <c r="B31" s="11" t="s">
        <v>23</v>
      </c>
      <c r="C31" s="60">
        <f>입력란!C4*0.1072809</f>
        <v>95.587281899999994</v>
      </c>
      <c r="E31" s="105" t="s">
        <v>252</v>
      </c>
      <c r="F31" s="75" t="s">
        <v>253</v>
      </c>
      <c r="G31" s="39">
        <v>1</v>
      </c>
      <c r="H31" s="95"/>
      <c r="I31" s="93"/>
      <c r="J31" s="63"/>
      <c r="K31" s="67"/>
      <c r="L31" s="39"/>
      <c r="M31" s="63"/>
    </row>
    <row r="32" spans="2:13" ht="13.5" customHeight="1" x14ac:dyDescent="0.3">
      <c r="B32" s="11" t="s">
        <v>333</v>
      </c>
      <c r="C32" s="60">
        <f>입력란!C4*0.035754016</f>
        <v>31.856828256</v>
      </c>
      <c r="E32" s="105"/>
      <c r="F32" s="71" t="s">
        <v>254</v>
      </c>
      <c r="G32" s="39">
        <v>1</v>
      </c>
      <c r="H32" s="95"/>
      <c r="I32" s="93"/>
      <c r="J32" s="63"/>
      <c r="K32" s="87" t="s">
        <v>353</v>
      </c>
      <c r="L32" s="39"/>
      <c r="M32" s="63"/>
    </row>
    <row r="33" spans="2:14" ht="13.5" customHeight="1" x14ac:dyDescent="0.3">
      <c r="B33" s="11" t="s">
        <v>334</v>
      </c>
      <c r="C33" s="60">
        <f>C32*6/10</f>
        <v>19.114096953600001</v>
      </c>
      <c r="E33" s="111"/>
      <c r="F33" s="74" t="s">
        <v>255</v>
      </c>
      <c r="G33" s="70">
        <v>1</v>
      </c>
      <c r="H33" s="95"/>
      <c r="I33" s="93"/>
      <c r="J33" s="63"/>
      <c r="K33" s="87"/>
      <c r="L33" s="39"/>
      <c r="M33" s="63"/>
    </row>
    <row r="34" spans="2:14" ht="13.5" customHeight="1" x14ac:dyDescent="0.3">
      <c r="B34" s="11" t="s">
        <v>24</v>
      </c>
      <c r="C34" s="60">
        <f>입력란!C4*0.035754016</f>
        <v>31.856828256</v>
      </c>
      <c r="E34" s="104" t="s">
        <v>256</v>
      </c>
      <c r="F34" s="75" t="s">
        <v>257</v>
      </c>
      <c r="G34" s="39">
        <v>1</v>
      </c>
      <c r="H34" s="65"/>
      <c r="I34" s="97"/>
      <c r="J34" s="63"/>
      <c r="K34" s="87" t="s">
        <v>283</v>
      </c>
      <c r="L34" s="39"/>
      <c r="M34" s="63"/>
    </row>
    <row r="35" spans="2:14" ht="13.5" customHeight="1" x14ac:dyDescent="0.3">
      <c r="B35" s="11" t="s">
        <v>25</v>
      </c>
      <c r="C35" s="60">
        <f>입력란!C4*0.05464642</f>
        <v>48.689960220000003</v>
      </c>
      <c r="E35" s="111"/>
      <c r="F35" s="72" t="s">
        <v>258</v>
      </c>
      <c r="G35" s="70">
        <v>1</v>
      </c>
      <c r="H35" s="65"/>
      <c r="I35" s="39"/>
      <c r="J35" s="63"/>
      <c r="K35" s="87" t="s">
        <v>285</v>
      </c>
      <c r="L35" s="39"/>
      <c r="M35" s="63"/>
    </row>
    <row r="36" spans="2:14" ht="13.5" customHeight="1" x14ac:dyDescent="0.3">
      <c r="B36" s="11"/>
      <c r="C36" s="12"/>
      <c r="E36" s="104" t="s">
        <v>354</v>
      </c>
      <c r="F36" s="71" t="s">
        <v>356</v>
      </c>
      <c r="G36" s="39">
        <v>1</v>
      </c>
      <c r="H36" s="65"/>
      <c r="I36" s="39"/>
      <c r="J36" s="63"/>
      <c r="K36" s="87" t="s">
        <v>284</v>
      </c>
      <c r="L36" s="39"/>
      <c r="M36" s="63"/>
    </row>
    <row r="37" spans="2:14" ht="13.5" customHeight="1" x14ac:dyDescent="0.3">
      <c r="B37" s="11" t="s">
        <v>68</v>
      </c>
      <c r="C37" s="12">
        <v>200</v>
      </c>
      <c r="E37" s="105"/>
      <c r="F37" s="71" t="s">
        <v>357</v>
      </c>
      <c r="G37" s="39">
        <v>1</v>
      </c>
      <c r="H37" s="65"/>
      <c r="I37" s="39"/>
      <c r="J37" s="63"/>
      <c r="K37" s="87" t="s">
        <v>286</v>
      </c>
      <c r="L37" s="39"/>
      <c r="M37" s="63"/>
    </row>
    <row r="38" spans="2:14" ht="13.5" customHeight="1" x14ac:dyDescent="0.3">
      <c r="B38" s="11" t="s">
        <v>26</v>
      </c>
      <c r="C38" s="12">
        <v>40</v>
      </c>
      <c r="E38" s="111"/>
      <c r="F38" s="74" t="s">
        <v>358</v>
      </c>
      <c r="G38" s="70">
        <v>1</v>
      </c>
      <c r="H38" s="65"/>
      <c r="I38" s="39"/>
      <c r="J38" s="63"/>
      <c r="K38" s="87" t="s">
        <v>289</v>
      </c>
      <c r="L38" s="39"/>
      <c r="M38" s="63"/>
    </row>
    <row r="39" spans="2:14" ht="13.5" customHeight="1" x14ac:dyDescent="0.3">
      <c r="B39" s="11"/>
      <c r="C39" s="12"/>
      <c r="E39" s="104" t="s">
        <v>359</v>
      </c>
      <c r="F39" s="75" t="s">
        <v>360</v>
      </c>
      <c r="G39" s="39">
        <v>1</v>
      </c>
      <c r="H39" s="65"/>
      <c r="I39" s="39"/>
      <c r="J39" s="63"/>
      <c r="K39" s="87" t="s">
        <v>287</v>
      </c>
      <c r="L39" s="39"/>
      <c r="M39" s="63"/>
    </row>
    <row r="40" spans="2:14" ht="13.5" customHeight="1" x14ac:dyDescent="0.3">
      <c r="B40" s="11" t="s">
        <v>38</v>
      </c>
      <c r="C40" s="12">
        <v>1.05</v>
      </c>
      <c r="E40" s="105"/>
      <c r="F40" s="75" t="s">
        <v>236</v>
      </c>
      <c r="G40" s="39">
        <v>1</v>
      </c>
      <c r="H40" s="65"/>
      <c r="I40" s="39"/>
      <c r="J40" s="63"/>
      <c r="K40" s="87" t="s">
        <v>288</v>
      </c>
      <c r="L40" s="39"/>
      <c r="M40" s="63"/>
    </row>
    <row r="41" spans="2:14" ht="13.5" customHeight="1" x14ac:dyDescent="0.3">
      <c r="B41" s="11" t="s">
        <v>39</v>
      </c>
      <c r="C41" s="12">
        <v>10</v>
      </c>
      <c r="E41" s="105"/>
      <c r="F41" s="71" t="s">
        <v>361</v>
      </c>
      <c r="G41" s="39">
        <v>1</v>
      </c>
      <c r="H41" s="65"/>
      <c r="I41" s="39"/>
      <c r="J41" s="63"/>
      <c r="K41" s="87"/>
      <c r="L41" s="39"/>
      <c r="M41" s="63"/>
    </row>
    <row r="42" spans="2:14" ht="13.5" customHeight="1" thickBot="1" x14ac:dyDescent="0.35">
      <c r="B42" s="13" t="s">
        <v>151</v>
      </c>
      <c r="C42" s="15">
        <v>1.2</v>
      </c>
      <c r="E42" s="105"/>
      <c r="F42" s="85" t="s">
        <v>362</v>
      </c>
      <c r="G42" s="91">
        <v>1</v>
      </c>
      <c r="H42" s="86"/>
      <c r="I42" s="91"/>
      <c r="J42" s="91"/>
      <c r="K42" s="92" t="s">
        <v>363</v>
      </c>
      <c r="L42" s="91"/>
      <c r="M42" s="91"/>
      <c r="N42" s="11"/>
    </row>
    <row r="43" spans="2:14" ht="13.5" customHeight="1" thickBot="1" x14ac:dyDescent="0.35">
      <c r="E43" s="106"/>
      <c r="F43" s="76" t="s">
        <v>364</v>
      </c>
      <c r="G43" s="62">
        <v>1</v>
      </c>
      <c r="H43" s="66"/>
      <c r="I43" s="62"/>
      <c r="J43" s="64"/>
      <c r="K43" s="88"/>
      <c r="L43" s="62"/>
      <c r="M43" s="64"/>
    </row>
  </sheetData>
  <mergeCells count="27">
    <mergeCell ref="K3:M3"/>
    <mergeCell ref="E2:M2"/>
    <mergeCell ref="E4:E5"/>
    <mergeCell ref="E6:E10"/>
    <mergeCell ref="E11:E14"/>
    <mergeCell ref="E26:E30"/>
    <mergeCell ref="B2:C2"/>
    <mergeCell ref="B22:C22"/>
    <mergeCell ref="E3:G3"/>
    <mergeCell ref="H3:J3"/>
    <mergeCell ref="E15:E17"/>
    <mergeCell ref="K16:K19"/>
    <mergeCell ref="K20:K24"/>
    <mergeCell ref="E39:E43"/>
    <mergeCell ref="H4:H8"/>
    <mergeCell ref="H9:H14"/>
    <mergeCell ref="H15:H21"/>
    <mergeCell ref="H22:H25"/>
    <mergeCell ref="H26:H29"/>
    <mergeCell ref="E36:E38"/>
    <mergeCell ref="K4:K8"/>
    <mergeCell ref="K9:K11"/>
    <mergeCell ref="K12:K15"/>
    <mergeCell ref="E23:E25"/>
    <mergeCell ref="E31:E33"/>
    <mergeCell ref="E34:E35"/>
    <mergeCell ref="E18:E22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627"/>
  <sheetViews>
    <sheetView workbookViewId="0"/>
  </sheetViews>
  <sheetFormatPr defaultColWidth="11.875" defaultRowHeight="13.5" x14ac:dyDescent="0.3"/>
  <cols>
    <col min="1" max="1" width="11.875" style="1"/>
    <col min="2" max="4" width="11.875" style="1" customWidth="1"/>
    <col min="5" max="16384" width="11.875" style="1"/>
  </cols>
  <sheetData>
    <row r="2" spans="2:44" hidden="1" x14ac:dyDescent="0.3">
      <c r="C2" s="84" t="s">
        <v>10</v>
      </c>
      <c r="D2" s="84" t="s">
        <v>1</v>
      </c>
      <c r="E2" s="84" t="s">
        <v>324</v>
      </c>
      <c r="F2" s="84" t="s">
        <v>11</v>
      </c>
      <c r="G2" s="84" t="s">
        <v>12</v>
      </c>
      <c r="H2" s="84" t="s">
        <v>13</v>
      </c>
      <c r="I2" s="84" t="s">
        <v>14</v>
      </c>
      <c r="J2" s="118" t="s">
        <v>5</v>
      </c>
      <c r="K2" s="118"/>
      <c r="L2" s="84" t="s">
        <v>7</v>
      </c>
      <c r="M2" s="118" t="s">
        <v>325</v>
      </c>
      <c r="N2" s="118"/>
      <c r="O2" s="118"/>
      <c r="P2" s="118"/>
      <c r="Q2" s="84" t="s">
        <v>326</v>
      </c>
      <c r="R2" s="118" t="s">
        <v>3</v>
      </c>
      <c r="S2" s="118"/>
      <c r="T2" s="118" t="s">
        <v>6</v>
      </c>
      <c r="U2" s="118"/>
      <c r="V2" s="118"/>
      <c r="W2" s="84" t="s">
        <v>8</v>
      </c>
      <c r="X2" s="118" t="s">
        <v>327</v>
      </c>
      <c r="Y2" s="118"/>
      <c r="Z2" s="118"/>
      <c r="AA2" s="84" t="s">
        <v>328</v>
      </c>
      <c r="AB2" s="118" t="s">
        <v>2</v>
      </c>
      <c r="AC2" s="118"/>
      <c r="AD2" s="84" t="s">
        <v>4</v>
      </c>
      <c r="AE2" s="118" t="s">
        <v>9</v>
      </c>
      <c r="AF2" s="118"/>
      <c r="AG2" s="118" t="s">
        <v>329</v>
      </c>
      <c r="AH2" s="118"/>
      <c r="AI2" s="84" t="s">
        <v>330</v>
      </c>
      <c r="AJ2" s="83" t="s">
        <v>331</v>
      </c>
      <c r="AK2" s="83" t="s">
        <v>332</v>
      </c>
    </row>
    <row r="3" spans="2:44" hidden="1" x14ac:dyDescent="0.3">
      <c r="B3" s="90" t="s">
        <v>27</v>
      </c>
      <c r="C3" s="1">
        <v>8</v>
      </c>
      <c r="D3" s="1">
        <v>6</v>
      </c>
      <c r="E3" s="6">
        <v>10</v>
      </c>
      <c r="F3" s="6">
        <v>8</v>
      </c>
      <c r="G3" s="1">
        <v>20</v>
      </c>
      <c r="H3" s="1">
        <v>9</v>
      </c>
      <c r="I3" s="1">
        <v>16</v>
      </c>
      <c r="J3" s="1">
        <v>24</v>
      </c>
      <c r="L3" s="1">
        <v>6</v>
      </c>
      <c r="M3" s="1">
        <v>12</v>
      </c>
      <c r="Q3" s="1">
        <v>22</v>
      </c>
      <c r="R3" s="1">
        <v>30</v>
      </c>
      <c r="T3" s="1">
        <v>36</v>
      </c>
      <c r="W3" s="1">
        <v>36</v>
      </c>
      <c r="X3" s="1">
        <v>30</v>
      </c>
      <c r="AA3" s="1">
        <v>30</v>
      </c>
      <c r="AB3" s="1">
        <v>27</v>
      </c>
      <c r="AD3" s="1">
        <v>24</v>
      </c>
      <c r="AE3" s="1">
        <v>30</v>
      </c>
      <c r="AG3" s="1">
        <v>27</v>
      </c>
      <c r="AI3" s="1">
        <v>36</v>
      </c>
      <c r="AJ3" s="1">
        <v>300</v>
      </c>
      <c r="AK3" s="1">
        <v>300</v>
      </c>
    </row>
    <row r="4" spans="2:44" hidden="1" x14ac:dyDescent="0.3">
      <c r="B4" s="1">
        <v>1</v>
      </c>
      <c r="C4" s="1">
        <v>233</v>
      </c>
      <c r="D4" s="1">
        <v>139</v>
      </c>
      <c r="E4" s="1">
        <v>159</v>
      </c>
      <c r="F4" s="1">
        <v>20</v>
      </c>
      <c r="G4" s="1">
        <v>456</v>
      </c>
      <c r="H4" s="1">
        <v>142</v>
      </c>
      <c r="I4" s="1">
        <v>455</v>
      </c>
      <c r="J4" s="1">
        <v>429</v>
      </c>
      <c r="K4" s="1">
        <v>244</v>
      </c>
      <c r="L4" s="1">
        <v>82</v>
      </c>
      <c r="M4" s="1">
        <v>63</v>
      </c>
      <c r="N4" s="1">
        <v>96</v>
      </c>
      <c r="O4" s="1">
        <v>32</v>
      </c>
      <c r="P4" s="1">
        <v>127</v>
      </c>
      <c r="Q4" s="1">
        <v>548</v>
      </c>
      <c r="R4" s="1">
        <v>175</v>
      </c>
      <c r="S4" s="1">
        <v>43</v>
      </c>
      <c r="T4" s="1">
        <v>281</v>
      </c>
      <c r="U4" s="1">
        <v>281</v>
      </c>
      <c r="V4" s="1">
        <v>374</v>
      </c>
      <c r="W4" s="1">
        <v>799</v>
      </c>
      <c r="X4" s="1">
        <v>250</v>
      </c>
      <c r="Y4" s="1">
        <v>250</v>
      </c>
      <c r="Z4" s="1">
        <v>501</v>
      </c>
      <c r="AA4" s="1">
        <v>1309</v>
      </c>
      <c r="AB4" s="1">
        <v>698</v>
      </c>
      <c r="AC4" s="1">
        <v>58</v>
      </c>
      <c r="AD4" s="1">
        <v>726</v>
      </c>
      <c r="AE4" s="1">
        <v>281</v>
      </c>
      <c r="AF4" s="1">
        <v>1125</v>
      </c>
      <c r="AG4" s="1">
        <v>276</v>
      </c>
      <c r="AH4" s="1">
        <v>553</v>
      </c>
      <c r="AI4" s="1">
        <v>426</v>
      </c>
      <c r="AJ4" s="1">
        <v>39306</v>
      </c>
      <c r="AK4" s="1">
        <v>32791</v>
      </c>
    </row>
    <row r="5" spans="2:44" hidden="1" x14ac:dyDescent="0.3">
      <c r="B5" s="1">
        <v>4</v>
      </c>
      <c r="C5" s="1">
        <v>610</v>
      </c>
      <c r="D5" s="1">
        <v>368</v>
      </c>
      <c r="E5" s="1">
        <v>422</v>
      </c>
      <c r="F5" s="1">
        <v>54</v>
      </c>
      <c r="G5" s="1">
        <v>1205</v>
      </c>
      <c r="H5" s="1">
        <v>377</v>
      </c>
      <c r="I5" s="1">
        <v>1203</v>
      </c>
      <c r="J5" s="1">
        <v>1140</v>
      </c>
      <c r="K5" s="1">
        <v>645</v>
      </c>
      <c r="L5" s="1">
        <v>215</v>
      </c>
      <c r="M5" s="1">
        <v>168</v>
      </c>
      <c r="N5" s="1">
        <v>253</v>
      </c>
      <c r="O5" s="1">
        <v>84</v>
      </c>
      <c r="P5" s="1">
        <v>336</v>
      </c>
      <c r="Q5" s="1">
        <v>1451</v>
      </c>
      <c r="R5" s="1">
        <v>464</v>
      </c>
      <c r="S5" s="1">
        <v>115</v>
      </c>
      <c r="T5" s="1">
        <v>742</v>
      </c>
      <c r="U5" s="1">
        <v>742</v>
      </c>
      <c r="V5" s="1">
        <v>991</v>
      </c>
      <c r="W5" s="1">
        <v>2112</v>
      </c>
      <c r="X5" s="1">
        <v>661</v>
      </c>
      <c r="Y5" s="1">
        <v>661</v>
      </c>
      <c r="Z5" s="1">
        <v>1324</v>
      </c>
      <c r="AA5" s="1">
        <v>3456</v>
      </c>
      <c r="AB5" s="1">
        <v>1847</v>
      </c>
      <c r="AC5" s="1">
        <v>153</v>
      </c>
      <c r="AD5" s="1">
        <v>1919</v>
      </c>
      <c r="AE5" s="1">
        <v>742</v>
      </c>
      <c r="AF5" s="1">
        <v>2976</v>
      </c>
      <c r="AG5" s="1">
        <v>730</v>
      </c>
      <c r="AH5" s="1">
        <v>1462</v>
      </c>
      <c r="AI5" s="1">
        <v>1129</v>
      </c>
      <c r="AJ5" s="1">
        <v>15723</v>
      </c>
    </row>
    <row r="6" spans="2:44" hidden="1" x14ac:dyDescent="0.3">
      <c r="B6" s="1">
        <v>7</v>
      </c>
      <c r="C6" s="1">
        <v>788</v>
      </c>
      <c r="D6" s="1">
        <v>475</v>
      </c>
      <c r="E6" s="1">
        <v>543</v>
      </c>
      <c r="F6" s="1">
        <v>70</v>
      </c>
      <c r="G6" s="1">
        <v>1554</v>
      </c>
      <c r="H6" s="1">
        <v>485</v>
      </c>
      <c r="I6" s="1">
        <v>1553</v>
      </c>
      <c r="J6" s="1">
        <v>1468</v>
      </c>
      <c r="K6" s="1">
        <v>831</v>
      </c>
      <c r="L6" s="1">
        <v>278</v>
      </c>
      <c r="M6" s="1">
        <v>217</v>
      </c>
      <c r="N6" s="1">
        <v>327</v>
      </c>
      <c r="O6" s="1">
        <v>109</v>
      </c>
      <c r="P6" s="1">
        <v>434</v>
      </c>
      <c r="Q6" s="1">
        <v>1871</v>
      </c>
      <c r="R6" s="1">
        <v>599</v>
      </c>
      <c r="S6" s="1">
        <v>148</v>
      </c>
      <c r="T6" s="1">
        <v>957</v>
      </c>
      <c r="U6" s="1">
        <v>957</v>
      </c>
      <c r="V6" s="1">
        <v>1277</v>
      </c>
      <c r="W6" s="1">
        <v>2723</v>
      </c>
      <c r="X6" s="1">
        <v>854</v>
      </c>
      <c r="Y6" s="1">
        <v>854</v>
      </c>
      <c r="Z6" s="1">
        <v>1706</v>
      </c>
      <c r="AA6" s="1">
        <v>4463</v>
      </c>
      <c r="AB6" s="1">
        <v>2382</v>
      </c>
      <c r="AC6" s="1">
        <v>198</v>
      </c>
      <c r="AD6" s="1">
        <v>2475</v>
      </c>
      <c r="AE6" s="1">
        <v>957</v>
      </c>
      <c r="AF6" s="1">
        <v>3836</v>
      </c>
      <c r="AG6" s="1">
        <v>942</v>
      </c>
      <c r="AH6" s="1">
        <v>1885</v>
      </c>
      <c r="AI6" s="1">
        <v>1455</v>
      </c>
    </row>
    <row r="7" spans="2:44" hidden="1" x14ac:dyDescent="0.3">
      <c r="B7" s="1">
        <v>10</v>
      </c>
      <c r="C7" s="1">
        <v>900</v>
      </c>
      <c r="D7" s="1">
        <v>543</v>
      </c>
      <c r="E7" s="1">
        <v>620</v>
      </c>
      <c r="F7" s="1">
        <v>81</v>
      </c>
      <c r="G7" s="1">
        <v>1776</v>
      </c>
      <c r="H7" s="1">
        <v>555</v>
      </c>
      <c r="I7" s="1">
        <v>1775</v>
      </c>
      <c r="J7" s="1">
        <v>1671</v>
      </c>
      <c r="K7" s="1">
        <v>950</v>
      </c>
      <c r="L7" s="1">
        <v>315</v>
      </c>
      <c r="M7" s="1">
        <v>247</v>
      </c>
      <c r="N7" s="1">
        <v>374</v>
      </c>
      <c r="O7" s="1">
        <v>124</v>
      </c>
      <c r="P7" s="1">
        <v>494</v>
      </c>
      <c r="Q7" s="1">
        <v>2137</v>
      </c>
      <c r="R7" s="1">
        <v>684</v>
      </c>
      <c r="S7" s="1">
        <v>170</v>
      </c>
      <c r="T7" s="1">
        <v>1093</v>
      </c>
      <c r="U7" s="1">
        <v>1093</v>
      </c>
      <c r="V7" s="1">
        <v>1459</v>
      </c>
      <c r="W7" s="1">
        <v>3112</v>
      </c>
      <c r="X7" s="1">
        <v>976</v>
      </c>
      <c r="Y7" s="1">
        <v>976</v>
      </c>
      <c r="Z7" s="1">
        <v>1951</v>
      </c>
      <c r="AA7" s="1">
        <v>5109</v>
      </c>
      <c r="AB7" s="1">
        <v>2723</v>
      </c>
      <c r="AC7" s="1">
        <v>227</v>
      </c>
      <c r="AD7" s="1">
        <v>2830</v>
      </c>
      <c r="AE7" s="1">
        <v>1093</v>
      </c>
      <c r="AF7" s="1">
        <v>4385</v>
      </c>
      <c r="AG7" s="1">
        <v>1076</v>
      </c>
      <c r="AH7" s="1">
        <v>2155</v>
      </c>
      <c r="AI7" s="1">
        <v>1663</v>
      </c>
    </row>
    <row r="8" spans="2:44" hidden="1" x14ac:dyDescent="0.3">
      <c r="B8" s="1">
        <v>1</v>
      </c>
      <c r="C8" s="1">
        <v>5.466042154566745</v>
      </c>
      <c r="D8" s="1">
        <v>3.2365339578454333</v>
      </c>
      <c r="E8" s="1">
        <v>3.6861826697892273</v>
      </c>
      <c r="F8" s="1">
        <v>0.46838407494145201</v>
      </c>
      <c r="G8" s="1">
        <v>10.630757220921156</v>
      </c>
      <c r="H8" s="1">
        <v>3.3005464480874318</v>
      </c>
      <c r="I8" s="1">
        <v>10.631537861046057</v>
      </c>
      <c r="J8" s="1">
        <v>10.081186572989852</v>
      </c>
      <c r="K8" s="1">
        <v>5.671350507416081</v>
      </c>
      <c r="L8" s="1">
        <v>1.8961748633879782</v>
      </c>
      <c r="M8" s="1">
        <v>1.4754098360655739</v>
      </c>
      <c r="N8" s="1">
        <v>2.212334113973458</v>
      </c>
      <c r="O8" s="1">
        <v>0.73692427790788451</v>
      </c>
      <c r="P8" s="1">
        <v>2.9500390320062451</v>
      </c>
      <c r="Q8" s="1">
        <v>12.688524590163935</v>
      </c>
      <c r="R8" s="1">
        <v>4.0702576112412174</v>
      </c>
      <c r="S8" s="1">
        <v>1.0171740827478533</v>
      </c>
      <c r="T8" s="1">
        <v>6.5269320843091334</v>
      </c>
      <c r="U8" s="1">
        <v>6.5269320843091334</v>
      </c>
      <c r="V8" s="1">
        <v>8.7025761124121779</v>
      </c>
      <c r="W8" s="1">
        <v>18.582357533177206</v>
      </c>
      <c r="X8" s="1">
        <v>5.8196721311475406</v>
      </c>
      <c r="Y8" s="1">
        <v>5.8196721311475406</v>
      </c>
      <c r="Z8" s="1">
        <v>11.637782982045277</v>
      </c>
      <c r="AA8" s="1">
        <v>30.417642466822794</v>
      </c>
      <c r="AB8" s="1">
        <v>16.255269320843091</v>
      </c>
      <c r="AC8" s="1">
        <v>1.355191256830601</v>
      </c>
      <c r="AD8" s="1">
        <v>16.889929742388759</v>
      </c>
      <c r="AE8" s="1">
        <v>6.5425448868071818</v>
      </c>
      <c r="AF8" s="1">
        <v>26.169398907103826</v>
      </c>
      <c r="AG8" s="1">
        <v>6.4254488680718191</v>
      </c>
      <c r="AH8" s="1">
        <v>12.848555815768931</v>
      </c>
      <c r="AI8" s="1">
        <v>9.9164715066354407</v>
      </c>
      <c r="AJ8" s="1">
        <v>234.56440281030444</v>
      </c>
      <c r="AK8" s="1">
        <v>195.70804059328648</v>
      </c>
    </row>
    <row r="9" spans="2:44" hidden="1" x14ac:dyDescent="0.3">
      <c r="B9" s="1">
        <v>4</v>
      </c>
      <c r="C9" s="1">
        <v>5.466042154566745</v>
      </c>
      <c r="D9" s="1">
        <v>3.2365339578454333</v>
      </c>
      <c r="E9" s="1">
        <v>3.6861826697892273</v>
      </c>
      <c r="F9" s="1">
        <v>0.46760343481654959</v>
      </c>
      <c r="G9" s="1">
        <v>10.630757220921156</v>
      </c>
      <c r="H9" s="1">
        <v>3.3005464480874318</v>
      </c>
      <c r="I9" s="1">
        <v>10.631537861046057</v>
      </c>
      <c r="J9" s="1">
        <v>10.081186572989852</v>
      </c>
      <c r="K9" s="1">
        <v>5.671350507416081</v>
      </c>
      <c r="L9" s="1">
        <v>1.8961748633879782</v>
      </c>
      <c r="M9" s="1">
        <v>1.4746291959406714</v>
      </c>
      <c r="N9" s="1">
        <v>2.212334113973458</v>
      </c>
      <c r="O9" s="1">
        <v>0.73770491803278693</v>
      </c>
      <c r="P9" s="1">
        <v>2.9500390320062451</v>
      </c>
      <c r="Q9" s="1">
        <v>12.688524590163935</v>
      </c>
      <c r="R9" s="1">
        <v>4.0702576112412174</v>
      </c>
      <c r="S9" s="1">
        <v>1.0171740827478533</v>
      </c>
      <c r="T9" s="1">
        <v>6.5269320843091334</v>
      </c>
      <c r="U9" s="1">
        <v>6.5269320843091334</v>
      </c>
      <c r="V9" s="1">
        <v>8.7017954722872748</v>
      </c>
      <c r="W9" s="1">
        <v>18.582357533177206</v>
      </c>
      <c r="X9" s="1">
        <v>5.8196721311475406</v>
      </c>
      <c r="Y9" s="1">
        <v>5.8196721311475406</v>
      </c>
      <c r="Z9" s="1">
        <v>11.637782982045277</v>
      </c>
      <c r="AA9" s="1">
        <v>30.417642466822794</v>
      </c>
      <c r="AB9" s="1">
        <v>16.255269320843091</v>
      </c>
      <c r="AC9" s="1">
        <v>1.355191256830601</v>
      </c>
      <c r="AD9" s="1">
        <v>16.889929742388759</v>
      </c>
      <c r="AE9" s="1">
        <v>6.5425448868071818</v>
      </c>
      <c r="AF9" s="1">
        <v>26.169398907103826</v>
      </c>
      <c r="AG9" s="1">
        <v>6.4246682279469161</v>
      </c>
      <c r="AH9" s="1">
        <v>12.848555815768931</v>
      </c>
      <c r="AI9" s="1">
        <v>9.9164715066354407</v>
      </c>
      <c r="AJ9" s="1">
        <v>93.827478532396569</v>
      </c>
    </row>
    <row r="10" spans="2:44" hidden="1" x14ac:dyDescent="0.3">
      <c r="B10" s="1">
        <v>7</v>
      </c>
      <c r="C10" s="1">
        <v>5.466042154566745</v>
      </c>
      <c r="D10" s="1">
        <v>3.2365339578454333</v>
      </c>
      <c r="E10" s="1">
        <v>3.6861826697892273</v>
      </c>
      <c r="F10" s="1">
        <v>0.46838407494145201</v>
      </c>
      <c r="G10" s="1">
        <v>10.630757220921156</v>
      </c>
      <c r="H10" s="1">
        <v>3.3005464480874318</v>
      </c>
      <c r="I10" s="1">
        <v>10.631537861046057</v>
      </c>
      <c r="J10" s="1">
        <v>10.081186572989852</v>
      </c>
      <c r="K10" s="1">
        <v>5.671350507416081</v>
      </c>
      <c r="L10" s="1">
        <v>1.8961748633879782</v>
      </c>
      <c r="M10" s="1">
        <v>1.4746291959406714</v>
      </c>
      <c r="N10" s="1">
        <v>2.212334113973458</v>
      </c>
      <c r="O10" s="1">
        <v>0.73692427790788451</v>
      </c>
      <c r="P10" s="1">
        <v>2.9500390320062451</v>
      </c>
      <c r="Q10" s="1">
        <v>12.688524590163935</v>
      </c>
      <c r="R10" s="1">
        <v>4.0694769711163152</v>
      </c>
      <c r="S10" s="1">
        <v>1.0171740827478533</v>
      </c>
      <c r="T10" s="1">
        <v>6.5261514441842312</v>
      </c>
      <c r="U10" s="1">
        <v>6.5261514441842312</v>
      </c>
      <c r="V10" s="1">
        <v>8.7017954722872748</v>
      </c>
      <c r="W10" s="1">
        <v>18.582357533177206</v>
      </c>
      <c r="X10" s="1">
        <v>5.8196721311475406</v>
      </c>
      <c r="Y10" s="1">
        <v>5.8196721311475406</v>
      </c>
      <c r="Z10" s="1">
        <v>11.637782982045277</v>
      </c>
      <c r="AA10" s="1">
        <v>30.417642466822794</v>
      </c>
      <c r="AB10" s="1">
        <v>16.255269320843091</v>
      </c>
      <c r="AC10" s="1">
        <v>1.355191256830601</v>
      </c>
      <c r="AD10" s="1">
        <v>16.889929742388759</v>
      </c>
      <c r="AE10" s="1">
        <v>6.5425448868071818</v>
      </c>
      <c r="AF10" s="1">
        <v>26.169398907103826</v>
      </c>
      <c r="AG10" s="1">
        <v>6.4246682279469161</v>
      </c>
      <c r="AH10" s="1">
        <v>12.848555815768931</v>
      </c>
      <c r="AI10" s="1">
        <v>9.9164715066354407</v>
      </c>
    </row>
    <row r="11" spans="2:44" hidden="1" x14ac:dyDescent="0.3">
      <c r="B11" s="1">
        <v>10</v>
      </c>
      <c r="C11" s="1">
        <v>5.466042154566745</v>
      </c>
      <c r="D11" s="1">
        <v>3.2365339578454333</v>
      </c>
      <c r="E11" s="1">
        <v>3.6861826697892273</v>
      </c>
      <c r="F11" s="1">
        <v>0.46838407494145201</v>
      </c>
      <c r="G11" s="1">
        <v>10.630757220921156</v>
      </c>
      <c r="H11" s="1">
        <v>3.3005464480874318</v>
      </c>
      <c r="I11" s="1">
        <v>10.631537861046057</v>
      </c>
      <c r="J11" s="1">
        <v>10.081186572989852</v>
      </c>
      <c r="K11" s="1">
        <v>5.671350507416081</v>
      </c>
      <c r="L11" s="1">
        <v>1.8961748633879782</v>
      </c>
      <c r="M11" s="1">
        <v>1.4746291959406714</v>
      </c>
      <c r="N11" s="1">
        <v>2.212334113973458</v>
      </c>
      <c r="O11" s="1">
        <v>0.73770491803278693</v>
      </c>
      <c r="P11" s="1">
        <v>2.9500390320062451</v>
      </c>
      <c r="Q11" s="1">
        <v>12.688524590163935</v>
      </c>
      <c r="R11" s="1">
        <v>4.0702576112412174</v>
      </c>
      <c r="S11" s="1">
        <v>1.0171740827478533</v>
      </c>
      <c r="T11" s="1">
        <v>6.5269320843091334</v>
      </c>
      <c r="U11" s="1">
        <v>6.5269320843091334</v>
      </c>
      <c r="V11" s="1">
        <v>8.7017954722872748</v>
      </c>
      <c r="W11" s="1">
        <v>18.582357533177206</v>
      </c>
      <c r="X11" s="1">
        <v>5.8196721311475406</v>
      </c>
      <c r="Y11" s="1">
        <v>5.8196721311475406</v>
      </c>
      <c r="Z11" s="1">
        <v>11.637782982045277</v>
      </c>
      <c r="AA11" s="1">
        <v>30.417642466822794</v>
      </c>
      <c r="AB11" s="1">
        <v>16.255269320843091</v>
      </c>
      <c r="AC11" s="1">
        <v>1.355191256830601</v>
      </c>
      <c r="AD11" s="1">
        <v>16.889929742388759</v>
      </c>
      <c r="AE11" s="1">
        <v>6.5425448868071818</v>
      </c>
      <c r="AF11" s="1">
        <v>26.169398907103826</v>
      </c>
      <c r="AG11" s="1">
        <v>6.4254488680718191</v>
      </c>
      <c r="AH11" s="1">
        <v>12.848555815768931</v>
      </c>
      <c r="AI11" s="1">
        <v>9.9164715066354407</v>
      </c>
    </row>
    <row r="12" spans="2:44" hidden="1" x14ac:dyDescent="0.3"/>
    <row r="13" spans="2:44" hidden="1" x14ac:dyDescent="0.3"/>
    <row r="14" spans="2:44" ht="14.25" thickBot="1" x14ac:dyDescent="0.35">
      <c r="H14" s="119" t="s">
        <v>104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 t="s">
        <v>131</v>
      </c>
      <c r="S14" s="119"/>
      <c r="T14" s="119"/>
      <c r="U14" s="119"/>
      <c r="V14" s="119"/>
      <c r="W14" s="119"/>
      <c r="X14" s="119"/>
      <c r="Y14" s="119"/>
      <c r="Z14" s="119"/>
      <c r="AA14" s="119" t="s">
        <v>132</v>
      </c>
      <c r="AB14" s="119"/>
      <c r="AC14" s="119"/>
      <c r="AD14" s="119"/>
      <c r="AE14" s="119"/>
      <c r="AF14" s="119"/>
      <c r="AG14" s="119"/>
      <c r="AH14" s="119"/>
      <c r="AI14" s="119"/>
    </row>
    <row r="15" spans="2:44" ht="14.25" thickBot="1" x14ac:dyDescent="0.35">
      <c r="B15" s="55" t="s">
        <v>44</v>
      </c>
      <c r="C15" s="31" t="s">
        <v>45</v>
      </c>
      <c r="D15" s="31" t="s">
        <v>46</v>
      </c>
      <c r="E15" s="31" t="s">
        <v>37</v>
      </c>
      <c r="F15" s="31" t="s">
        <v>191</v>
      </c>
      <c r="G15" s="31" t="s">
        <v>47</v>
      </c>
      <c r="H15" s="33" t="s">
        <v>48</v>
      </c>
      <c r="I15" s="55" t="s">
        <v>54</v>
      </c>
      <c r="J15" s="31" t="s">
        <v>50</v>
      </c>
      <c r="K15" s="31" t="s">
        <v>49</v>
      </c>
      <c r="L15" s="31" t="s">
        <v>51</v>
      </c>
      <c r="M15" s="31" t="s">
        <v>52</v>
      </c>
      <c r="N15" s="31" t="s">
        <v>128</v>
      </c>
      <c r="O15" s="31" t="s">
        <v>129</v>
      </c>
      <c r="P15" s="31" t="s">
        <v>130</v>
      </c>
      <c r="Q15" s="31" t="s">
        <v>47</v>
      </c>
      <c r="R15" s="33" t="s">
        <v>53</v>
      </c>
      <c r="S15" s="31" t="s">
        <v>50</v>
      </c>
      <c r="T15" s="31" t="s">
        <v>49</v>
      </c>
      <c r="U15" s="31" t="s">
        <v>51</v>
      </c>
      <c r="V15" s="31" t="s">
        <v>52</v>
      </c>
      <c r="W15" s="31" t="s">
        <v>128</v>
      </c>
      <c r="X15" s="31" t="s">
        <v>129</v>
      </c>
      <c r="Y15" s="31" t="s">
        <v>130</v>
      </c>
      <c r="Z15" s="32" t="s">
        <v>47</v>
      </c>
      <c r="AA15" s="31" t="s">
        <v>53</v>
      </c>
      <c r="AB15" s="31" t="s">
        <v>50</v>
      </c>
      <c r="AC15" s="31" t="s">
        <v>49</v>
      </c>
      <c r="AD15" s="31" t="s">
        <v>51</v>
      </c>
      <c r="AE15" s="31" t="s">
        <v>52</v>
      </c>
      <c r="AF15" s="31" t="s">
        <v>128</v>
      </c>
      <c r="AG15" s="31" t="s">
        <v>129</v>
      </c>
      <c r="AH15" s="31" t="s">
        <v>130</v>
      </c>
      <c r="AI15" s="32" t="s">
        <v>47</v>
      </c>
      <c r="AJ15" s="31" t="s">
        <v>71</v>
      </c>
      <c r="AK15" s="31" t="s">
        <v>69</v>
      </c>
      <c r="AL15" s="31" t="s">
        <v>70</v>
      </c>
      <c r="AM15" s="31" t="s">
        <v>64</v>
      </c>
      <c r="AN15" s="31" t="s">
        <v>65</v>
      </c>
      <c r="AO15" s="31" t="s">
        <v>66</v>
      </c>
      <c r="AP15" s="31" t="s">
        <v>67</v>
      </c>
      <c r="AQ15" s="89" t="s">
        <v>355</v>
      </c>
      <c r="AR15" s="32" t="s">
        <v>55</v>
      </c>
    </row>
    <row r="16" spans="2:44" ht="13.5" customHeight="1" x14ac:dyDescent="0.3">
      <c r="B16" s="30">
        <v>1</v>
      </c>
      <c r="C16" s="35">
        <v>1</v>
      </c>
      <c r="D16" s="36" t="s">
        <v>56</v>
      </c>
      <c r="E16" s="37" t="s">
        <v>57</v>
      </c>
      <c r="F16" s="39"/>
      <c r="G16" s="39"/>
      <c r="H16" s="51">
        <f>I16/AJ16</f>
        <v>7022.0914524773461</v>
      </c>
      <c r="I16" s="52">
        <f>SUM(J16:Q16)*IF(입력란!C$15=1,1.04,IF(입력란!C$15=2,1.1,IF(입력란!C$15=3,1.2,1)))*IF(입력란!$C$17&lt;&gt;0,0.98,1)</f>
        <v>53800.858507227211</v>
      </c>
      <c r="J16" s="29">
        <f>S16*(1+IF($AK16+IF(입력란!$C$19=1,10,0)&gt;100,100,$AK16+IF(입력란!$C$19=1,10,0))/100*($AL16/100-1))</f>
        <v>10760.171701445443</v>
      </c>
      <c r="K16" s="29">
        <f>T16*(1+IF($AK16+IF(입력란!$C$19=1,10,IF(MID($E16,1,1)="2",10,0))&gt;100,100,$AK16+IF(입력란!$C$19=1,10,IF(MID($E16,1,1)="2",10,0)))/100*($AL16/100-1))</f>
        <v>10760.171701445443</v>
      </c>
      <c r="L16" s="29">
        <f>U16*(1+IF($AK16+IF(입력란!$C$19=1,10,IF(MID($E16,1,1)="2",10,0))&gt;100,100,$AK16+IF(입력란!$C$19=1,10,IF(MID($E16,1,1)="2",10,0)))/100*($AL16/100-1))</f>
        <v>10760.171701445443</v>
      </c>
      <c r="M16" s="29">
        <f>V16*(1+IF($AK16+IF(입력란!$C$19=1,10,IF(MID($E16,1,1)="2",10,0))&gt;100,100,$AK16+IF(입력란!$C$19=1,10,IF(MID($E16,1,1)="2",10,0)))/100*($AL16/100-1))</f>
        <v>10760.171701445443</v>
      </c>
      <c r="N16" s="29">
        <f>W16*(1+IF($AK16+IF(입력란!$C$19=1,10,IF(MID($E16,1,1)="2",10,0))&gt;100,100,$AK16+IF(입력란!$C$19=1,10,IF(MID($E16,1,1)="2",10,0)))/100*($AL16/100-1))</f>
        <v>10760.171701445443</v>
      </c>
      <c r="O16" s="38"/>
      <c r="P16" s="38"/>
      <c r="Q16" s="29"/>
      <c r="R16" s="23">
        <f>SUM(S16:Z16)</f>
        <v>37430.72922134243</v>
      </c>
      <c r="S16" s="29">
        <f>AN16*IF(MID(E16,3,1)="3",트라이포드!$N$5,트라이포드!$M$5)/5</f>
        <v>7486.1458442684861</v>
      </c>
      <c r="T16" s="29">
        <f>AN16*IF(MID(E16,3,1)="2",1+트라이포드!$L$5/100,1+트라이포드!$K$5/100)*IF(MID(E16,3,1)="3",트라이포드!$N$5,트라이포드!$M$5)/5</f>
        <v>7486.1458442684861</v>
      </c>
      <c r="U16" s="29">
        <f>AN16*IF(MID(E16,3,1)="2",1+2*트라이포드!$L$5/100,1+트라이포드!$K$5/100)*IF(MID(E16,3,1)="3",트라이포드!$N$5,트라이포드!$M$5)/5</f>
        <v>7486.1458442684861</v>
      </c>
      <c r="V16" s="29">
        <f>AN16*IF(MID(E16,3,1)="2",1+3*트라이포드!$L$5/100,1+트라이포드!$K$5/100)*IF(MID(E16,3,1)="3",트라이포드!$N$5,트라이포드!$M$5)/5</f>
        <v>7486.1458442684861</v>
      </c>
      <c r="W16" s="38">
        <f>AN16*IF(MID(E16,3,1)="2",1+4*트라이포드!$L$5/100,1+트라이포드!$K$5/100)*IF(MID(E16,3,1)="3",트라이포드!$N$5,트라이포드!$M$5)/5</f>
        <v>7486.1458442684861</v>
      </c>
      <c r="X16" s="38"/>
      <c r="Y16" s="38"/>
      <c r="Z16" s="24"/>
      <c r="AA16" s="29">
        <f>SUM(AB16:AI16)</f>
        <v>74861.45844268486</v>
      </c>
      <c r="AB16" s="29">
        <f>S16*2</f>
        <v>14972.291688536972</v>
      </c>
      <c r="AC16" s="29">
        <f>AB16</f>
        <v>14972.291688536972</v>
      </c>
      <c r="AD16" s="29">
        <f>AC16</f>
        <v>14972.291688536972</v>
      </c>
      <c r="AE16" s="29">
        <f>AD16</f>
        <v>14972.291688536972</v>
      </c>
      <c r="AF16" s="29">
        <f>AE16</f>
        <v>14972.291688536972</v>
      </c>
      <c r="AG16" s="38"/>
      <c r="AH16" s="38"/>
      <c r="AI16" s="24"/>
      <c r="AJ16" s="25">
        <f>AR16*(1-입력란!$C$29/100)</f>
        <v>7.6616573383200004</v>
      </c>
      <c r="AK1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" s="25">
        <f>입력란!$C$37+입력란!$C$31+IF(입력란!$C$17=1,10,IF(입력란!$C$17=2,25,IF(입력란!$C$17=3,50,0)))</f>
        <v>295.58728189999999</v>
      </c>
      <c r="AM16" s="29">
        <f>SUM(AN16:AP16)</f>
        <v>37430.72922134243</v>
      </c>
      <c r="AN16" s="29">
        <f>(VLOOKUP(C16,$B$4:$AK$7,2,FALSE)+VLOOKUP(C16,$B$8:$AK$11,2,FALSE)*입력란!$C$23)*입력란!$C$38/100</f>
        <v>37430.72922134243</v>
      </c>
      <c r="AO16" s="29"/>
      <c r="AP16" s="29"/>
      <c r="AQ16" s="29"/>
      <c r="AR16" s="27">
        <v>8</v>
      </c>
    </row>
    <row r="17" spans="2:44" ht="13.5" customHeight="1" x14ac:dyDescent="0.3">
      <c r="B17" s="30">
        <v>2</v>
      </c>
      <c r="C17" s="35">
        <v>4</v>
      </c>
      <c r="D17" s="36" t="s">
        <v>56</v>
      </c>
      <c r="E17" s="37" t="s">
        <v>57</v>
      </c>
      <c r="F17" s="39"/>
      <c r="G17" s="39"/>
      <c r="H17" s="51">
        <f>I17/AJ17</f>
        <v>7050.3818815729628</v>
      </c>
      <c r="I17" s="52">
        <f>SUM(J17:Q17)*IF(입력란!C$15=1,1.04,IF(입력란!C$15=2,1.1,IF(입력란!C$15=3,1.2,1)))*IF(입력란!$C$17&lt;&gt;0,0.98,1)</f>
        <v>54017.610080911865</v>
      </c>
      <c r="J17" s="29">
        <f>S17*(1+IF($AK17+IF(입력란!$C$19=1,10,0)&gt;100,100,$AK17+IF(입력란!$C$19=1,10,0))/100*($AL17/100-1))</f>
        <v>10803.522016182373</v>
      </c>
      <c r="K17" s="29">
        <f>T17*(1+IF($AK17+IF(입력란!$C$19=1,10,IF(MID($E17,1,1)="2",10,0))&gt;100,100,$AK17+IF(입력란!$C$19=1,10,IF(MID($E17,1,1)="2",10,0)))/100*($AL17/100-1))</f>
        <v>10803.522016182373</v>
      </c>
      <c r="L17" s="29">
        <f>U17*(1+IF($AK17+IF(입력란!$C$19=1,10,IF(MID($E17,1,1)="2",10,0))&gt;100,100,$AK17+IF(입력란!$C$19=1,10,IF(MID($E17,1,1)="2",10,0)))/100*($AL17/100-1))</f>
        <v>10803.522016182373</v>
      </c>
      <c r="M17" s="29">
        <f>V17*(1+IF($AK17+IF(입력란!$C$19=1,10,IF(MID($E17,1,1)="2",10,0))&gt;100,100,$AK17+IF(입력란!$C$19=1,10,IF(MID($E17,1,1)="2",10,0)))/100*($AL17/100-1))</f>
        <v>10803.522016182373</v>
      </c>
      <c r="N17" s="29">
        <f>W17*(1+IF($AK17+IF(입력란!$C$19=1,10,IF(MID($E17,1,1)="2",10,0))&gt;100,100,$AK17+IF(입력란!$C$19=1,10,IF(MID($E17,1,1)="2",10,0)))/100*($AL17/100-1))</f>
        <v>10803.522016182373</v>
      </c>
      <c r="O17" s="38"/>
      <c r="P17" s="38"/>
      <c r="Q17" s="29"/>
      <c r="R17" s="23">
        <f>SUM(S17:Z17)</f>
        <v>37581.529221342433</v>
      </c>
      <c r="S17" s="29">
        <f>AN17*IF(MID(E17,3,1)="3",트라이포드!$N$5,트라이포드!$M$5)/5</f>
        <v>7516.3058442684869</v>
      </c>
      <c r="T17" s="29">
        <f>AN17*IF(MID(E17,3,1)="2",1+트라이포드!$L$5/100,1+트라이포드!$K$5/100)*IF(MID(E17,3,1)="3",트라이포드!$N$5,트라이포드!$M$5)/5</f>
        <v>7516.3058442684869</v>
      </c>
      <c r="U17" s="29">
        <f>AN17*IF(MID(E17,3,1)="2",1+2*트라이포드!$L$5/100,1+트라이포드!$K$5/100)*IF(MID(E17,3,1)="3",트라이포드!$N$5,트라이포드!$M$5)/5</f>
        <v>7516.3058442684869</v>
      </c>
      <c r="V17" s="29">
        <f>AN17*IF(MID(E17,3,1)="2",1+3*트라이포드!$L$5/100,1+트라이포드!$K$5/100)*IF(MID(E17,3,1)="3",트라이포드!$N$5,트라이포드!$M$5)/5</f>
        <v>7516.3058442684869</v>
      </c>
      <c r="W17" s="38">
        <f>AN17*IF(MID(E17,3,1)="2",1+4*트라이포드!$L$5/100,1+트라이포드!$K$5/100)*IF(MID(E17,3,1)="3",트라이포드!$N$5,트라이포드!$M$5)/5</f>
        <v>7516.3058442684869</v>
      </c>
      <c r="X17" s="38"/>
      <c r="Y17" s="38"/>
      <c r="Z17" s="24"/>
      <c r="AA17" s="29">
        <f>SUM(AB17:AI17)</f>
        <v>75163.058442684865</v>
      </c>
      <c r="AB17" s="29">
        <f>S17*2</f>
        <v>15032.611688536974</v>
      </c>
      <c r="AC17" s="29">
        <f>AB17</f>
        <v>15032.611688536974</v>
      </c>
      <c r="AD17" s="29">
        <f>AC17</f>
        <v>15032.611688536974</v>
      </c>
      <c r="AE17" s="29">
        <f>AD17</f>
        <v>15032.611688536974</v>
      </c>
      <c r="AF17" s="29">
        <f>AE17</f>
        <v>15032.611688536974</v>
      </c>
      <c r="AG17" s="38"/>
      <c r="AH17" s="38"/>
      <c r="AI17" s="24"/>
      <c r="AJ17" s="25">
        <f>AR17*(1-입력란!$C$29/100)</f>
        <v>7.6616573383200004</v>
      </c>
      <c r="AK1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" s="25">
        <f>입력란!$C$37+입력란!$C$31+IF(입력란!$C$17=1,10,IF(입력란!$C$17=2,25,IF(입력란!$C$17=3,50,0)))</f>
        <v>295.58728189999999</v>
      </c>
      <c r="AM17" s="29">
        <f>SUM(AN17:AP17)</f>
        <v>37581.529221342433</v>
      </c>
      <c r="AN17" s="29">
        <f>(VLOOKUP(C17,$B$4:$AK$7,2,FALSE)+VLOOKUP(C17,$B$8:$AK$11,2,FALSE)*입력란!$C$23)*입력란!$C$38/100</f>
        <v>37581.529221342433</v>
      </c>
      <c r="AO17" s="29"/>
      <c r="AP17" s="29"/>
      <c r="AQ17" s="29"/>
      <c r="AR17" s="27">
        <v>8</v>
      </c>
    </row>
    <row r="18" spans="2:44" ht="13.5" customHeight="1" x14ac:dyDescent="0.3">
      <c r="B18" s="30">
        <v>3</v>
      </c>
      <c r="C18" s="35">
        <v>4</v>
      </c>
      <c r="D18" s="36" t="s">
        <v>56</v>
      </c>
      <c r="E18" s="37" t="s">
        <v>58</v>
      </c>
      <c r="F18" s="39"/>
      <c r="G18" s="39"/>
      <c r="H18" s="51">
        <f>I18/AJ18</f>
        <v>7817.8888399731195</v>
      </c>
      <c r="I18" s="52">
        <f>SUM(J18:Q18)*IF(입력란!C$15=1,1.04,IF(입력란!C$15=2,1.1,IF(입력란!C$15=3,1.2,1)))*IF(입력란!$C$17&lt;&gt;0,0.98,1)</f>
        <v>59897.985400950085</v>
      </c>
      <c r="J18" s="29">
        <f>S18*(1+IF($AK18+IF(입력란!$C$19=1,10,0)&gt;100,100,$AK18+IF(입력란!$C$19=1,10,0))/100*($AL18/100-1))</f>
        <v>10803.522016182373</v>
      </c>
      <c r="K18" s="29">
        <f>T18*(1+IF($AK18+IF(입력란!$C$19=1,10,IF(MID($E18,1,1)="2",10,0))&gt;100,100,$AK18+IF(입력란!$C$19=1,10,IF(MID($E18,1,1)="2",10,0)))/100*($AL18/100-1))</f>
        <v>12273.615846191929</v>
      </c>
      <c r="L18" s="29">
        <f>U18*(1+IF($AK18+IF(입력란!$C$19=1,10,IF(MID($E18,1,1)="2",10,0))&gt;100,100,$AK18+IF(입력란!$C$19=1,10,IF(MID($E18,1,1)="2",10,0)))/100*($AL18/100-1))</f>
        <v>12273.615846191929</v>
      </c>
      <c r="M18" s="29">
        <f>V18*(1+IF($AK18+IF(입력란!$C$19=1,10,IF(MID($E18,1,1)="2",10,0))&gt;100,100,$AK18+IF(입력란!$C$19=1,10,IF(MID($E18,1,1)="2",10,0)))/100*($AL18/100-1))</f>
        <v>12273.615846191929</v>
      </c>
      <c r="N18" s="29">
        <f>W18*(1+IF($AK18+IF(입력란!$C$19=1,10,IF(MID($E18,1,1)="2",10,0))&gt;100,100,$AK18+IF(입력란!$C$19=1,10,IF(MID($E18,1,1)="2",10,0)))/100*($AL18/100-1))</f>
        <v>12273.615846191929</v>
      </c>
      <c r="O18" s="38"/>
      <c r="P18" s="38"/>
      <c r="Q18" s="29"/>
      <c r="R18" s="23">
        <f>SUM(S18:Z18)</f>
        <v>37581.529221342433</v>
      </c>
      <c r="S18" s="29">
        <f>AN18*IF(MID(E18,3,1)="3",트라이포드!$N$5,트라이포드!$M$5)/5</f>
        <v>7516.3058442684869</v>
      </c>
      <c r="T18" s="29">
        <f>AN18*IF(MID(E18,3,1)="2",1+트라이포드!$L$5/100,1+트라이포드!$K$5/100)*IF(MID(E18,3,1)="3",트라이포드!$N$5,트라이포드!$M$5)/5</f>
        <v>7516.3058442684869</v>
      </c>
      <c r="U18" s="29">
        <f>AN18*IF(MID(E18,3,1)="2",1+2*트라이포드!$L$5/100,1+트라이포드!$K$5/100)*IF(MID(E18,3,1)="3",트라이포드!$N$5,트라이포드!$M$5)/5</f>
        <v>7516.3058442684869</v>
      </c>
      <c r="V18" s="29">
        <f>AN18*IF(MID(E18,3,1)="2",1+3*트라이포드!$L$5/100,1+트라이포드!$K$5/100)*IF(MID(E18,3,1)="3",트라이포드!$N$5,트라이포드!$M$5)/5</f>
        <v>7516.3058442684869</v>
      </c>
      <c r="W18" s="38">
        <f>AN18*IF(MID(E18,3,1)="2",1+4*트라이포드!$L$5/100,1+트라이포드!$K$5/100)*IF(MID(E18,3,1)="3",트라이포드!$N$5,트라이포드!$M$5)/5</f>
        <v>7516.3058442684869</v>
      </c>
      <c r="X18" s="38"/>
      <c r="Y18" s="38"/>
      <c r="Z18" s="24"/>
      <c r="AA18" s="29">
        <f>SUM(AB18:AI18)</f>
        <v>75163.058442684865</v>
      </c>
      <c r="AB18" s="29">
        <f>S18*2</f>
        <v>15032.611688536974</v>
      </c>
      <c r="AC18" s="29">
        <f>AB18</f>
        <v>15032.611688536974</v>
      </c>
      <c r="AD18" s="29">
        <f>AC18</f>
        <v>15032.611688536974</v>
      </c>
      <c r="AE18" s="29">
        <f>AD18</f>
        <v>15032.611688536974</v>
      </c>
      <c r="AF18" s="29">
        <f>AE18</f>
        <v>15032.611688536974</v>
      </c>
      <c r="AG18" s="38"/>
      <c r="AH18" s="38"/>
      <c r="AI18" s="24"/>
      <c r="AJ18" s="25">
        <f>AR18*(1-입력란!$C$29/100)</f>
        <v>7.6616573383200004</v>
      </c>
      <c r="AK1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" s="25">
        <f>입력란!$C$37+입력란!$C$31+IF(입력란!$C$17=1,10,IF(입력란!$C$17=2,25,IF(입력란!$C$17=3,50,0)))</f>
        <v>295.58728189999999</v>
      </c>
      <c r="AM18" s="29">
        <f>SUM(AN18:AP18)</f>
        <v>37581.529221342433</v>
      </c>
      <c r="AN18" s="29">
        <f>(VLOOKUP(C18,$B$4:$AK$7,2,FALSE)+VLOOKUP(C18,$B$8:$AK$11,2,FALSE)*입력란!$C$23)*입력란!$C$38/100</f>
        <v>37581.529221342433</v>
      </c>
      <c r="AO18" s="29"/>
      <c r="AP18" s="29"/>
      <c r="AQ18" s="29"/>
      <c r="AR18" s="27">
        <v>8</v>
      </c>
    </row>
    <row r="19" spans="2:44" ht="13.5" customHeight="1" x14ac:dyDescent="0.3">
      <c r="B19" s="30">
        <v>4</v>
      </c>
      <c r="C19" s="35">
        <v>7</v>
      </c>
      <c r="D19" s="36" t="s">
        <v>56</v>
      </c>
      <c r="E19" s="37" t="s">
        <v>57</v>
      </c>
      <c r="F19" s="39"/>
      <c r="G19" s="39"/>
      <c r="H19" s="51">
        <f>I19/AJ19</f>
        <v>7063.739166397947</v>
      </c>
      <c r="I19" s="52">
        <f>SUM(J19:Q19)*IF(입력란!C$15=1,1.04,IF(입력란!C$15=2,1.1,IF(입력란!C$15=3,1.2,1)))*IF(입력란!$C$17&lt;&gt;0,0.98,1)</f>
        <v>54119.949020211236</v>
      </c>
      <c r="J19" s="29">
        <f>S19*(1+IF($AK19+IF(입력란!$C$19=1,10,0)&gt;100,100,$AK19+IF(입력란!$C$19=1,10,0))/100*($AL19/100-1))</f>
        <v>10823.989804042247</v>
      </c>
      <c r="K19" s="29">
        <f>T19*(1+IF($AK19+IF(입력란!$C$19=1,10,IF(MID($E19,1,1)="2",10,0))&gt;100,100,$AK19+IF(입력란!$C$19=1,10,IF(MID($E19,1,1)="2",10,0)))/100*($AL19/100-1))</f>
        <v>10823.989804042247</v>
      </c>
      <c r="L19" s="29">
        <f>U19*(1+IF($AK19+IF(입력란!$C$19=1,10,IF(MID($E19,1,1)="2",10,0))&gt;100,100,$AK19+IF(입력란!$C$19=1,10,IF(MID($E19,1,1)="2",10,0)))/100*($AL19/100-1))</f>
        <v>10823.989804042247</v>
      </c>
      <c r="M19" s="29">
        <f>V19*(1+IF($AK19+IF(입력란!$C$19=1,10,IF(MID($E19,1,1)="2",10,0))&gt;100,100,$AK19+IF(입력란!$C$19=1,10,IF(MID($E19,1,1)="2",10,0)))/100*($AL19/100-1))</f>
        <v>10823.989804042247</v>
      </c>
      <c r="N19" s="29">
        <f>W19*(1+IF($AK19+IF(입력란!$C$19=1,10,IF(MID($E19,1,1)="2",10,0))&gt;100,100,$AK19+IF(입력란!$C$19=1,10,IF(MID($E19,1,1)="2",10,0)))/100*($AL19/100-1))</f>
        <v>10823.989804042247</v>
      </c>
      <c r="O19" s="38"/>
      <c r="P19" s="38"/>
      <c r="Q19" s="29"/>
      <c r="R19" s="23">
        <f>SUM(S19:Z19)</f>
        <v>37652.72922134243</v>
      </c>
      <c r="S19" s="29">
        <f>AN19*IF(MID(E19,3,1)="3",트라이포드!$N$5,트라이포드!$M$5)/5</f>
        <v>7530.5458442684858</v>
      </c>
      <c r="T19" s="29">
        <f>AN19*IF(MID(E19,3,1)="2",1+트라이포드!$L$5/100,1+트라이포드!$K$5/100)*IF(MID(E19,3,1)="3",트라이포드!$N$5,트라이포드!$M$5)/5</f>
        <v>7530.5458442684858</v>
      </c>
      <c r="U19" s="29">
        <f>AN19*IF(MID(E19,3,1)="2",1+2*트라이포드!$L$5/100,1+트라이포드!$K$5/100)*IF(MID(E19,3,1)="3",트라이포드!$N$5,트라이포드!$M$5)/5</f>
        <v>7530.5458442684858</v>
      </c>
      <c r="V19" s="29">
        <f>AN19*IF(MID(E19,3,1)="2",1+3*트라이포드!$L$5/100,1+트라이포드!$K$5/100)*IF(MID(E19,3,1)="3",트라이포드!$N$5,트라이포드!$M$5)/5</f>
        <v>7530.5458442684858</v>
      </c>
      <c r="W19" s="38">
        <f>AN19*IF(MID(E19,3,1)="2",1+4*트라이포드!$L$5/100,1+트라이포드!$K$5/100)*IF(MID(E19,3,1)="3",트라이포드!$N$5,트라이포드!$M$5)/5</f>
        <v>7530.5458442684858</v>
      </c>
      <c r="X19" s="38"/>
      <c r="Y19" s="38"/>
      <c r="Z19" s="24"/>
      <c r="AA19" s="29">
        <f>SUM(AB19:AI19)</f>
        <v>75305.45844268486</v>
      </c>
      <c r="AB19" s="29">
        <f>S19*2</f>
        <v>15061.091688536972</v>
      </c>
      <c r="AC19" s="29">
        <f>AB19</f>
        <v>15061.091688536972</v>
      </c>
      <c r="AD19" s="29">
        <f>AC19</f>
        <v>15061.091688536972</v>
      </c>
      <c r="AE19" s="29">
        <f>AD19</f>
        <v>15061.091688536972</v>
      </c>
      <c r="AF19" s="29">
        <f>AE19</f>
        <v>15061.091688536972</v>
      </c>
      <c r="AG19" s="38"/>
      <c r="AH19" s="38"/>
      <c r="AI19" s="24"/>
      <c r="AJ19" s="25">
        <f>AR19*(1-입력란!$C$29/100)</f>
        <v>7.6616573383200004</v>
      </c>
      <c r="AK1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" s="25">
        <f>입력란!$C$37+입력란!$C$31+IF(입력란!$C$17=1,10,IF(입력란!$C$17=2,25,IF(입력란!$C$17=3,50,0)))</f>
        <v>295.58728189999999</v>
      </c>
      <c r="AM19" s="29">
        <f>SUM(AN19:AP19)</f>
        <v>37652.72922134243</v>
      </c>
      <c r="AN19" s="29">
        <f>(VLOOKUP(C19,$B$4:$AK$7,2,FALSE)+VLOOKUP(C19,$B$8:$AK$11,2,FALSE)*입력란!$C$23)*입력란!$C$38/100</f>
        <v>37652.72922134243</v>
      </c>
      <c r="AO19" s="29"/>
      <c r="AP19" s="29"/>
      <c r="AQ19" s="29"/>
      <c r="AR19" s="27">
        <v>8</v>
      </c>
    </row>
    <row r="20" spans="2:44" ht="13.5" customHeight="1" x14ac:dyDescent="0.3">
      <c r="B20" s="30">
        <v>5</v>
      </c>
      <c r="C20" s="35">
        <v>7</v>
      </c>
      <c r="D20" s="36" t="s">
        <v>56</v>
      </c>
      <c r="E20" s="37" t="s">
        <v>59</v>
      </c>
      <c r="F20" s="39"/>
      <c r="G20" s="39"/>
      <c r="H20" s="51">
        <f>I20/AJ20</f>
        <v>9182.8609163173314</v>
      </c>
      <c r="I20" s="52">
        <f>SUM(J20:Q20)*IF(입력란!C$15=1,1.04,IF(입력란!C$15=2,1.1,IF(입력란!C$15=3,1.2,1)))*IF(입력란!$C$17&lt;&gt;0,0.98,1)</f>
        <v>70355.933726274612</v>
      </c>
      <c r="J20" s="29">
        <f>S20*(1+IF($AK20+IF(입력란!$C$19=1,10,0)&gt;100,100,$AK20+IF(입력란!$C$19=1,10,0))/100*($AL20/100-1))</f>
        <v>10823.989804042247</v>
      </c>
      <c r="K20" s="29">
        <f>T20*(1+IF($AK20+IF(입력란!$C$19=1,10,IF(MID($E20,1,1)="2",10,0))&gt;100,100,$AK20+IF(입력란!$C$19=1,10,IF(MID($E20,1,1)="2",10,0)))/100*($AL20/100-1))</f>
        <v>12447.588274648584</v>
      </c>
      <c r="L20" s="29">
        <f>U20*(1+IF($AK20+IF(입력란!$C$19=1,10,IF(MID($E20,1,1)="2",10,0))&gt;100,100,$AK20+IF(입력란!$C$19=1,10,IF(MID($E20,1,1)="2",10,0)))/100*($AL20/100-1))</f>
        <v>14071.186745254923</v>
      </c>
      <c r="M20" s="29">
        <f>V20*(1+IF($AK20+IF(입력란!$C$19=1,10,IF(MID($E20,1,1)="2",10,0))&gt;100,100,$AK20+IF(입력란!$C$19=1,10,IF(MID($E20,1,1)="2",10,0)))/100*($AL20/100-1))</f>
        <v>15694.785215861259</v>
      </c>
      <c r="N20" s="29">
        <f>W20*(1+IF($AK20+IF(입력란!$C$19=1,10,IF(MID($E20,1,1)="2",10,0))&gt;100,100,$AK20+IF(입력란!$C$19=1,10,IF(MID($E20,1,1)="2",10,0)))/100*($AL20/100-1))</f>
        <v>17318.383686467598</v>
      </c>
      <c r="O20" s="38"/>
      <c r="P20" s="38"/>
      <c r="Q20" s="29"/>
      <c r="R20" s="23">
        <f>SUM(S20:Z20)</f>
        <v>48948.547987745158</v>
      </c>
      <c r="S20" s="29">
        <f>AN20*IF(MID(E20,3,1)="3",트라이포드!$N$5,트라이포드!$M$5)/5</f>
        <v>7530.5458442684858</v>
      </c>
      <c r="T20" s="29">
        <f>AN20*IF(MID(E20,3,1)="2",1+트라이포드!$L$5/100,1+트라이포드!$K$5/100)*IF(MID(E20,3,1)="3",트라이포드!$N$5,트라이포드!$M$5)/5</f>
        <v>8660.1277209087584</v>
      </c>
      <c r="U20" s="29">
        <f>AN20*IF(MID(E20,3,1)="2",1+2*트라이포드!$L$5/100,1+트라이포드!$K$5/100)*IF(MID(E20,3,1)="3",트라이포드!$N$5,트라이포드!$M$5)/5</f>
        <v>9789.709597549032</v>
      </c>
      <c r="V20" s="29">
        <f>AN20*IF(MID(E20,3,1)="2",1+3*트라이포드!$L$5/100,1+트라이포드!$K$5/100)*IF(MID(E20,3,1)="3",트라이포드!$N$5,트라이포드!$M$5)/5</f>
        <v>10919.291474189304</v>
      </c>
      <c r="W20" s="38">
        <f>AN20*IF(MID(E20,3,1)="2",1+4*트라이포드!$L$5/100,1+트라이포드!$K$5/100)*IF(MID(E20,3,1)="3",트라이포드!$N$5,트라이포드!$M$5)/5</f>
        <v>12048.873350829579</v>
      </c>
      <c r="X20" s="38"/>
      <c r="Y20" s="38"/>
      <c r="Z20" s="24"/>
      <c r="AA20" s="29">
        <f>SUM(AB20:AI20)</f>
        <v>75305.45844268486</v>
      </c>
      <c r="AB20" s="29">
        <f>S20*2</f>
        <v>15061.091688536972</v>
      </c>
      <c r="AC20" s="29">
        <f>AB20</f>
        <v>15061.091688536972</v>
      </c>
      <c r="AD20" s="29">
        <f>AC20</f>
        <v>15061.091688536972</v>
      </c>
      <c r="AE20" s="29">
        <f>AD20</f>
        <v>15061.091688536972</v>
      </c>
      <c r="AF20" s="29">
        <f>AE20</f>
        <v>15061.091688536972</v>
      </c>
      <c r="AG20" s="38"/>
      <c r="AH20" s="38"/>
      <c r="AI20" s="24"/>
      <c r="AJ20" s="25">
        <f>AR20*(1-입력란!$C$29/100)</f>
        <v>7.6616573383200004</v>
      </c>
      <c r="AK2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" s="25">
        <f>입력란!$C$37+입력란!$C$31+IF(입력란!$C$17=1,10,IF(입력란!$C$17=2,25,IF(입력란!$C$17=3,50,0)))</f>
        <v>295.58728189999999</v>
      </c>
      <c r="AM20" s="29">
        <f>SUM(AN20:AP20)</f>
        <v>37652.72922134243</v>
      </c>
      <c r="AN20" s="29">
        <f>(VLOOKUP(C20,$B$4:$AK$7,2,FALSE)+VLOOKUP(C20,$B$8:$AK$11,2,FALSE)*입력란!$C$23)*입력란!$C$38/100</f>
        <v>37652.72922134243</v>
      </c>
      <c r="AO20" s="29"/>
      <c r="AP20" s="29"/>
      <c r="AQ20" s="29"/>
      <c r="AR20" s="27">
        <v>8</v>
      </c>
    </row>
    <row r="21" spans="2:44" ht="13.5" customHeight="1" x14ac:dyDescent="0.3">
      <c r="B21" s="30">
        <v>6</v>
      </c>
      <c r="C21" s="35">
        <v>7</v>
      </c>
      <c r="D21" s="36" t="s">
        <v>56</v>
      </c>
      <c r="E21" s="37" t="s">
        <v>60</v>
      </c>
      <c r="F21" s="39" t="s">
        <v>63</v>
      </c>
      <c r="G21" s="39"/>
      <c r="H21" s="51">
        <f>I21/AJ21</f>
        <v>9889.234832957125</v>
      </c>
      <c r="I21" s="52">
        <f>SUM(J21:Q21)*IF(입력란!C$15=1,1.04,IF(입력란!C$15=2,1.1,IF(입력란!C$15=3,1.2,1)))*IF(입력란!$C$17&lt;&gt;0,0.98,1)</f>
        <v>75767.928628295718</v>
      </c>
      <c r="J21" s="29">
        <f>S21*(1+IF($AK21+IF(입력란!$C$19=1,10,0)&gt;100,100,$AK21+IF(입력란!$C$19=1,10,0))/100*($AL21/100-1))</f>
        <v>15153.585725659144</v>
      </c>
      <c r="K21" s="29">
        <f>T21*(1+IF($AK21+IF(입력란!$C$19=1,10,IF(MID($E21,1,1)="2",10,0))&gt;100,100,$AK21+IF(입력란!$C$19=1,10,IF(MID($E21,1,1)="2",10,0)))/100*($AL21/100-1))</f>
        <v>15153.585725659144</v>
      </c>
      <c r="L21" s="29">
        <f>U21*(1+IF($AK21+IF(입력란!$C$19=1,10,IF(MID($E21,1,1)="2",10,0))&gt;100,100,$AK21+IF(입력란!$C$19=1,10,IF(MID($E21,1,1)="2",10,0)))/100*($AL21/100-1))</f>
        <v>15153.585725659144</v>
      </c>
      <c r="M21" s="29">
        <f>V21*(1+IF($AK21+IF(입력란!$C$19=1,10,IF(MID($E21,1,1)="2",10,0))&gt;100,100,$AK21+IF(입력란!$C$19=1,10,IF(MID($E21,1,1)="2",10,0)))/100*($AL21/100-1))</f>
        <v>15153.585725659144</v>
      </c>
      <c r="N21" s="29">
        <f>W21*(1+IF($AK21+IF(입력란!$C$19=1,10,IF(MID($E21,1,1)="2",10,0))&gt;100,100,$AK21+IF(입력란!$C$19=1,10,IF(MID($E21,1,1)="2",10,0)))/100*($AL21/100-1))</f>
        <v>15153.585725659144</v>
      </c>
      <c r="O21" s="38"/>
      <c r="P21" s="38"/>
      <c r="Q21" s="29"/>
      <c r="R21" s="23">
        <f>SUM(S21:Z21)</f>
        <v>52713.820909879396</v>
      </c>
      <c r="S21" s="29">
        <f>AN21*IF(MID(E21,3,1)="3",트라이포드!$N$5,트라이포드!$M$5)/5</f>
        <v>10542.764181975879</v>
      </c>
      <c r="T21" s="29">
        <f>AN21*IF(MID(E21,3,1)="2",1+트라이포드!$L$5/100,1+트라이포드!$K$5/100)*IF(MID(E21,3,1)="3",트라이포드!$N$5,트라이포드!$M$5)/5</f>
        <v>10542.764181975879</v>
      </c>
      <c r="U21" s="29">
        <f>AN21*IF(MID(E21,3,1)="2",1+2*트라이포드!$L$5/100,1+트라이포드!$K$5/100)*IF(MID(E21,3,1)="3",트라이포드!$N$5,트라이포드!$M$5)/5</f>
        <v>10542.764181975879</v>
      </c>
      <c r="V21" s="29">
        <f>AN21*IF(MID(E21,3,1)="2",1+3*트라이포드!$L$5/100,1+트라이포드!$K$5/100)*IF(MID(E21,3,1)="3",트라이포드!$N$5,트라이포드!$M$5)/5</f>
        <v>10542.764181975879</v>
      </c>
      <c r="W21" s="38">
        <f>AN21*IF(MID(E21,3,1)="2",1+4*트라이포드!$L$5/100,1+트라이포드!$K$5/100)*IF(MID(E21,3,1)="3",트라이포드!$N$5,트라이포드!$M$5)/5</f>
        <v>10542.764181975879</v>
      </c>
      <c r="X21" s="38"/>
      <c r="Y21" s="38"/>
      <c r="Z21" s="24"/>
      <c r="AA21" s="29">
        <f>SUM(AB21:AI21)</f>
        <v>105427.64181975879</v>
      </c>
      <c r="AB21" s="29">
        <f>S21*2</f>
        <v>21085.528363951758</v>
      </c>
      <c r="AC21" s="29">
        <f>AB21</f>
        <v>21085.528363951758</v>
      </c>
      <c r="AD21" s="29">
        <f>AC21</f>
        <v>21085.528363951758</v>
      </c>
      <c r="AE21" s="29">
        <f>AD21</f>
        <v>21085.528363951758</v>
      </c>
      <c r="AF21" s="29">
        <f>AE21</f>
        <v>21085.528363951758</v>
      </c>
      <c r="AG21" s="38"/>
      <c r="AH21" s="38"/>
      <c r="AI21" s="24"/>
      <c r="AJ21" s="25">
        <f>AR21*(1-입력란!$C$29/100)</f>
        <v>7.6616573383200004</v>
      </c>
      <c r="AK2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1" s="25">
        <f>입력란!$C$37+입력란!$C$31+IF(입력란!$C$17=1,10,IF(입력란!$C$17=2,25,IF(입력란!$C$17=3,50,0)))</f>
        <v>295.58728189999999</v>
      </c>
      <c r="AM21" s="29">
        <f>SUM(AN21:AP21)</f>
        <v>37652.72922134243</v>
      </c>
      <c r="AN21" s="29">
        <f>(VLOOKUP(C21,$B$4:$AK$7,2,FALSE)+VLOOKUP(C21,$B$8:$AK$11,2,FALSE)*입력란!$C$23)*입력란!$C$38/100</f>
        <v>37652.72922134243</v>
      </c>
      <c r="AO21" s="29"/>
      <c r="AP21" s="29"/>
      <c r="AQ21" s="29"/>
      <c r="AR21" s="27">
        <v>8</v>
      </c>
    </row>
    <row r="22" spans="2:44" ht="13.5" customHeight="1" x14ac:dyDescent="0.3">
      <c r="B22" s="30">
        <v>7</v>
      </c>
      <c r="C22" s="39">
        <v>7</v>
      </c>
      <c r="D22" s="40" t="s">
        <v>83</v>
      </c>
      <c r="E22" s="37" t="s">
        <v>86</v>
      </c>
      <c r="F22" s="39"/>
      <c r="G22" s="39"/>
      <c r="H22" s="51">
        <f>I22/AJ22</f>
        <v>7832.7002033460058</v>
      </c>
      <c r="I22" s="52">
        <f>SUM(J22:Q22)*IF(입력란!C$15=1,1.04,IF(입력란!C$15=2,1.1,IF(입력란!C$15=3,1.2,1)))*IF(입력란!$C$17&lt;&gt;0,0.98,1)</f>
        <v>60011.464991826484</v>
      </c>
      <c r="J22" s="29">
        <f>S22*(1+IF($AK22+IF(입력란!$C$19=1,10,0)&gt;100,100,$AK22+IF(입력란!$C$19=1,10,0))/100*($AL22/100-1))</f>
        <v>10823.989804042247</v>
      </c>
      <c r="K22" s="29">
        <f>T22*(1+IF($AK22+IF(입력란!$C$19=1,10,IF(MID($E22,1,1)="2",10,0))&gt;100,100,$AK22+IF(입력란!$C$19=1,10,IF(MID($E22,1,1)="2",10,0)))/100*($AL22/100-1))</f>
        <v>12296.868796946061</v>
      </c>
      <c r="L22" s="29">
        <f>U22*(1+IF($AK22+IF(입력란!$C$19=1,10,IF(MID($E22,1,1)="2",10,0))&gt;100,100,$AK22+IF(입력란!$C$19=1,10,IF(MID($E22,1,1)="2",10,0)))/100*($AL22/100-1))</f>
        <v>12296.868796946061</v>
      </c>
      <c r="M22" s="29">
        <f>V22*(1+IF($AK22+IF(입력란!$C$19=1,10,IF(MID($E22,1,1)="2",10,0))&gt;100,100,$AK22+IF(입력란!$C$19=1,10,IF(MID($E22,1,1)="2",10,0)))/100*($AL22/100-1))</f>
        <v>12296.868796946061</v>
      </c>
      <c r="N22" s="29">
        <f>W22*(1+IF($AK22+IF(입력란!$C$19=1,10,IF(MID($E22,1,1)="2",10,0))&gt;100,100,$AK22+IF(입력란!$C$19=1,10,IF(MID($E22,1,1)="2",10,0)))/100*($AL22/100-1))</f>
        <v>12296.868796946061</v>
      </c>
      <c r="O22" s="38"/>
      <c r="P22" s="38"/>
      <c r="Q22" s="29"/>
      <c r="R22" s="23">
        <f>SUM(S22:Z22)</f>
        <v>37652.72922134243</v>
      </c>
      <c r="S22" s="29">
        <f>AN22*IF(MID(E22,3,1)="3",트라이포드!$N$5,트라이포드!$M$5)/5</f>
        <v>7530.5458442684858</v>
      </c>
      <c r="T22" s="29">
        <f>AN22*IF(MID(E22,3,1)="2",1+트라이포드!$L$5/100,1+트라이포드!$K$5/100)*IF(MID(E22,3,1)="3",트라이포드!$N$5,트라이포드!$M$5)/5</f>
        <v>7530.5458442684858</v>
      </c>
      <c r="U22" s="29">
        <f>AN22*IF(MID(E22,3,1)="2",1+2*트라이포드!$L$5/100,1+트라이포드!$K$5/100)*IF(MID(E22,3,1)="3",트라이포드!$N$5,트라이포드!$M$5)/5</f>
        <v>7530.5458442684858</v>
      </c>
      <c r="V22" s="29">
        <f>AN22*IF(MID(E22,3,1)="2",1+3*트라이포드!$L$5/100,1+트라이포드!$K$5/100)*IF(MID(E22,3,1)="3",트라이포드!$N$5,트라이포드!$M$5)/5</f>
        <v>7530.5458442684858</v>
      </c>
      <c r="W22" s="38">
        <f>AN22*IF(MID(E22,3,1)="2",1+4*트라이포드!$L$5/100,1+트라이포드!$K$5/100)*IF(MID(E22,3,1)="3",트라이포드!$N$5,트라이포드!$M$5)/5</f>
        <v>7530.5458442684858</v>
      </c>
      <c r="X22" s="38"/>
      <c r="Y22" s="38"/>
      <c r="Z22" s="24"/>
      <c r="AA22" s="29">
        <f>SUM(AB22:AI22)</f>
        <v>75305.45844268486</v>
      </c>
      <c r="AB22" s="29">
        <f>S22*2</f>
        <v>15061.091688536972</v>
      </c>
      <c r="AC22" s="29">
        <f>AB22</f>
        <v>15061.091688536972</v>
      </c>
      <c r="AD22" s="29">
        <f>AC22</f>
        <v>15061.091688536972</v>
      </c>
      <c r="AE22" s="29">
        <f>AD22</f>
        <v>15061.091688536972</v>
      </c>
      <c r="AF22" s="29">
        <f>AE22</f>
        <v>15061.091688536972</v>
      </c>
      <c r="AG22" s="38"/>
      <c r="AH22" s="38"/>
      <c r="AI22" s="24"/>
      <c r="AJ22" s="25">
        <f>AR22*(1-입력란!$C$29/100)</f>
        <v>7.6616573383200004</v>
      </c>
      <c r="AK2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2" s="25">
        <f>입력란!$C$37+입력란!$C$31+IF(입력란!$C$17=1,10,IF(입력란!$C$17=2,25,IF(입력란!$C$17=3,50,0)))</f>
        <v>295.58728189999999</v>
      </c>
      <c r="AM22" s="29">
        <f>SUM(AN22:AP22)</f>
        <v>37652.72922134243</v>
      </c>
      <c r="AN22" s="29">
        <f>(VLOOKUP(C22,$B$4:$AK$7,2,FALSE)+VLOOKUP(C22,$B$8:$AK$11,2,FALSE)*입력란!$C$23)*입력란!$C$38/100</f>
        <v>37652.72922134243</v>
      </c>
      <c r="AO22" s="29"/>
      <c r="AP22" s="29"/>
      <c r="AQ22" s="29"/>
      <c r="AR22" s="27">
        <v>8</v>
      </c>
    </row>
    <row r="23" spans="2:44" ht="13.5" customHeight="1" x14ac:dyDescent="0.3">
      <c r="B23" s="30">
        <v>8</v>
      </c>
      <c r="C23" s="35">
        <v>7</v>
      </c>
      <c r="D23" s="36" t="s">
        <v>56</v>
      </c>
      <c r="E23" s="37" t="s">
        <v>61</v>
      </c>
      <c r="F23" s="39"/>
      <c r="G23" s="39"/>
      <c r="H23" s="51">
        <f>I23/AJ23</f>
        <v>10240.182342120914</v>
      </c>
      <c r="I23" s="52">
        <f>SUM(J23:Q23)*IF(입력란!C$15=1,1.04,IF(입력란!C$15=2,1.1,IF(입력란!C$15=3,1.2,1)))*IF(입력란!$C$17&lt;&gt;0,0.98,1)</f>
        <v>78456.768187245587</v>
      </c>
      <c r="J23" s="29">
        <f>S23*(1+IF($AK23+IF(입력란!$C$19=1,10,0)&gt;100,100,$AK23+IF(입력란!$C$19=1,10,0))/100*($AL23/100-1))</f>
        <v>10823.989804042247</v>
      </c>
      <c r="K23" s="29">
        <f>T23*(1+IF($AK23+IF(입력란!$C$19=1,10,IF(MID($E23,1,1)="2",10,0))&gt;100,100,$AK23+IF(입력란!$C$19=1,10,IF(MID($E23,1,1)="2",10,0)))/100*($AL23/100-1))</f>
        <v>14141.39911648797</v>
      </c>
      <c r="L23" s="29">
        <f>U23*(1+IF($AK23+IF(입력란!$C$19=1,10,IF(MID($E23,1,1)="2",10,0))&gt;100,100,$AK23+IF(입력란!$C$19=1,10,IF(MID($E23,1,1)="2",10,0)))/100*($AL23/100-1))</f>
        <v>15985.929436029881</v>
      </c>
      <c r="M23" s="29">
        <f>V23*(1+IF($AK23+IF(입력란!$C$19=1,10,IF(MID($E23,1,1)="2",10,0))&gt;100,100,$AK23+IF(입력란!$C$19=1,10,IF(MID($E23,1,1)="2",10,0)))/100*($AL23/100-1))</f>
        <v>17830.459755571788</v>
      </c>
      <c r="N23" s="29">
        <f>W23*(1+IF($AK23+IF(입력란!$C$19=1,10,IF(MID($E23,1,1)="2",10,0))&gt;100,100,$AK23+IF(입력란!$C$19=1,10,IF(MID($E23,1,1)="2",10,0)))/100*($AL23/100-1))</f>
        <v>19674.990075113699</v>
      </c>
      <c r="O23" s="38"/>
      <c r="P23" s="38"/>
      <c r="Q23" s="29"/>
      <c r="R23" s="23">
        <f>SUM(S23:Z23)</f>
        <v>48948.547987745158</v>
      </c>
      <c r="S23" s="29">
        <f>AN23*IF(MID(E23,3,1)="3",트라이포드!$N$5,트라이포드!$M$5)/5</f>
        <v>7530.5458442684858</v>
      </c>
      <c r="T23" s="29">
        <f>AN23*IF(MID(E23,3,1)="2",1+트라이포드!$L$5/100,1+트라이포드!$K$5/100)*IF(MID(E23,3,1)="3",트라이포드!$N$5,트라이포드!$M$5)/5</f>
        <v>8660.1277209087584</v>
      </c>
      <c r="U23" s="29">
        <f>AN23*IF(MID(E23,3,1)="2",1+2*트라이포드!$L$5/100,1+트라이포드!$K$5/100)*IF(MID(E23,3,1)="3",트라이포드!$N$5,트라이포드!$M$5)/5</f>
        <v>9789.709597549032</v>
      </c>
      <c r="V23" s="29">
        <f>AN23*IF(MID(E23,3,1)="2",1+3*트라이포드!$L$5/100,1+트라이포드!$K$5/100)*IF(MID(E23,3,1)="3",트라이포드!$N$5,트라이포드!$M$5)/5</f>
        <v>10919.291474189304</v>
      </c>
      <c r="W23" s="38">
        <f>AN23*IF(MID(E23,3,1)="2",1+4*트라이포드!$L$5/100,1+트라이포드!$K$5/100)*IF(MID(E23,3,1)="3",트라이포드!$N$5,트라이포드!$M$5)/5</f>
        <v>12048.873350829579</v>
      </c>
      <c r="X23" s="38"/>
      <c r="Y23" s="38"/>
      <c r="Z23" s="24"/>
      <c r="AA23" s="29">
        <f>SUM(AB23:AI23)</f>
        <v>75305.45844268486</v>
      </c>
      <c r="AB23" s="29">
        <f>S23*2</f>
        <v>15061.091688536972</v>
      </c>
      <c r="AC23" s="29">
        <f>AB23</f>
        <v>15061.091688536972</v>
      </c>
      <c r="AD23" s="29">
        <f>AC23</f>
        <v>15061.091688536972</v>
      </c>
      <c r="AE23" s="29">
        <f>AD23</f>
        <v>15061.091688536972</v>
      </c>
      <c r="AF23" s="29">
        <f>AE23</f>
        <v>15061.091688536972</v>
      </c>
      <c r="AG23" s="38"/>
      <c r="AH23" s="38"/>
      <c r="AI23" s="24"/>
      <c r="AJ23" s="25">
        <f>AR23*(1-입력란!$C$29/100)</f>
        <v>7.6616573383200004</v>
      </c>
      <c r="AK2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3" s="25">
        <f>입력란!$C$37+입력란!$C$31+IF(입력란!$C$17=1,10,IF(입력란!$C$17=2,25,IF(입력란!$C$17=3,50,0)))</f>
        <v>295.58728189999999</v>
      </c>
      <c r="AM23" s="29">
        <f>SUM(AN23:AP23)</f>
        <v>37652.72922134243</v>
      </c>
      <c r="AN23" s="29">
        <f>(VLOOKUP(C23,$B$4:$AK$7,2,FALSE)+VLOOKUP(C23,$B$8:$AK$11,2,FALSE)*입력란!$C$23)*입력란!$C$38/100</f>
        <v>37652.72922134243</v>
      </c>
      <c r="AO23" s="29"/>
      <c r="AP23" s="29"/>
      <c r="AQ23" s="29"/>
      <c r="AR23" s="27">
        <v>8</v>
      </c>
    </row>
    <row r="24" spans="2:44" ht="13.5" customHeight="1" x14ac:dyDescent="0.3">
      <c r="B24" s="30">
        <v>9</v>
      </c>
      <c r="C24" s="35">
        <v>7</v>
      </c>
      <c r="D24" s="36" t="s">
        <v>56</v>
      </c>
      <c r="E24" s="37" t="s">
        <v>62</v>
      </c>
      <c r="F24" s="39" t="s">
        <v>63</v>
      </c>
      <c r="G24" s="39"/>
      <c r="H24" s="51">
        <f>I24/AJ24</f>
        <v>10965.78028468441</v>
      </c>
      <c r="I24" s="52">
        <f>SUM(J24:Q24)*IF(입력란!C$15=1,1.04,IF(입력란!C$15=2,1.1,IF(입력란!C$15=3,1.2,1)))*IF(입력란!$C$17&lt;&gt;0,0.98,1)</f>
        <v>84016.050988557094</v>
      </c>
      <c r="J24" s="29">
        <f>S24*(1+IF($AK24+IF(입력란!$C$19=1,10,0)&gt;100,100,$AK24+IF(입력란!$C$19=1,10,0))/100*($AL24/100-1))</f>
        <v>15153.585725659144</v>
      </c>
      <c r="K24" s="29">
        <f>T24*(1+IF($AK24+IF(입력란!$C$19=1,10,IF(MID($E24,1,1)="2",10,0))&gt;100,100,$AK24+IF(입력란!$C$19=1,10,IF(MID($E24,1,1)="2",10,0)))/100*($AL24/100-1))</f>
        <v>17215.616315724485</v>
      </c>
      <c r="L24" s="29">
        <f>U24*(1+IF($AK24+IF(입력란!$C$19=1,10,IF(MID($E24,1,1)="2",10,0))&gt;100,100,$AK24+IF(입력란!$C$19=1,10,IF(MID($E24,1,1)="2",10,0)))/100*($AL24/100-1))</f>
        <v>17215.616315724485</v>
      </c>
      <c r="M24" s="29">
        <f>V24*(1+IF($AK24+IF(입력란!$C$19=1,10,IF(MID($E24,1,1)="2",10,0))&gt;100,100,$AK24+IF(입력란!$C$19=1,10,IF(MID($E24,1,1)="2",10,0)))/100*($AL24/100-1))</f>
        <v>17215.616315724485</v>
      </c>
      <c r="N24" s="29">
        <f>W24*(1+IF($AK24+IF(입력란!$C$19=1,10,IF(MID($E24,1,1)="2",10,0))&gt;100,100,$AK24+IF(입력란!$C$19=1,10,IF(MID($E24,1,1)="2",10,0)))/100*($AL24/100-1))</f>
        <v>17215.616315724485</v>
      </c>
      <c r="O24" s="38"/>
      <c r="P24" s="38"/>
      <c r="Q24" s="29"/>
      <c r="R24" s="23">
        <f>SUM(S24:Z24)</f>
        <v>52713.820909879396</v>
      </c>
      <c r="S24" s="29">
        <f>AN24*IF(MID(E24,3,1)="3",트라이포드!$N$5,트라이포드!$M$5)/5</f>
        <v>10542.764181975879</v>
      </c>
      <c r="T24" s="29">
        <f>AN24*IF(MID(E24,3,1)="2",1+트라이포드!$L$5/100,1+트라이포드!$K$5/100)*IF(MID(E24,3,1)="3",트라이포드!$N$5,트라이포드!$M$5)/5</f>
        <v>10542.764181975879</v>
      </c>
      <c r="U24" s="29">
        <f>AN24*IF(MID(E24,3,1)="2",1+2*트라이포드!$L$5/100,1+트라이포드!$K$5/100)*IF(MID(E24,3,1)="3",트라이포드!$N$5,트라이포드!$M$5)/5</f>
        <v>10542.764181975879</v>
      </c>
      <c r="V24" s="29">
        <f>AN24*IF(MID(E24,3,1)="2",1+3*트라이포드!$L$5/100,1+트라이포드!$K$5/100)*IF(MID(E24,3,1)="3",트라이포드!$N$5,트라이포드!$M$5)/5</f>
        <v>10542.764181975879</v>
      </c>
      <c r="W24" s="38">
        <f>AN24*IF(MID(E24,3,1)="2",1+4*트라이포드!$L$5/100,1+트라이포드!$K$5/100)*IF(MID(E24,3,1)="3",트라이포드!$N$5,트라이포드!$M$5)/5</f>
        <v>10542.764181975879</v>
      </c>
      <c r="X24" s="38"/>
      <c r="Y24" s="38"/>
      <c r="Z24" s="24"/>
      <c r="AA24" s="29">
        <f>SUM(AB24:AI24)</f>
        <v>105427.64181975879</v>
      </c>
      <c r="AB24" s="29">
        <f>S24*2</f>
        <v>21085.528363951758</v>
      </c>
      <c r="AC24" s="29">
        <f>AB24</f>
        <v>21085.528363951758</v>
      </c>
      <c r="AD24" s="29">
        <f>AC24</f>
        <v>21085.528363951758</v>
      </c>
      <c r="AE24" s="29">
        <f>AD24</f>
        <v>21085.528363951758</v>
      </c>
      <c r="AF24" s="29">
        <f>AE24</f>
        <v>21085.528363951758</v>
      </c>
      <c r="AG24" s="38"/>
      <c r="AH24" s="38"/>
      <c r="AI24" s="24"/>
      <c r="AJ24" s="25">
        <f>AR24*(1-입력란!$C$29/100)</f>
        <v>7.6616573383200004</v>
      </c>
      <c r="AK2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4" s="25">
        <f>입력란!$C$37+입력란!$C$31+IF(입력란!$C$17=1,10,IF(입력란!$C$17=2,25,IF(입력란!$C$17=3,50,0)))</f>
        <v>295.58728189999999</v>
      </c>
      <c r="AM24" s="29">
        <f>SUM(AN24:AP24)</f>
        <v>37652.72922134243</v>
      </c>
      <c r="AN24" s="29">
        <f>(VLOOKUP(C24,$B$4:$AK$7,2,FALSE)+VLOOKUP(C24,$B$8:$AK$11,2,FALSE)*입력란!$C$23)*입력란!$C$38/100</f>
        <v>37652.72922134243</v>
      </c>
      <c r="AO24" s="29"/>
      <c r="AP24" s="29"/>
      <c r="AQ24" s="29"/>
      <c r="AR24" s="27">
        <v>8</v>
      </c>
    </row>
    <row r="25" spans="2:44" ht="13.5" customHeight="1" x14ac:dyDescent="0.3">
      <c r="B25" s="30">
        <v>10</v>
      </c>
      <c r="C25" s="35">
        <v>10</v>
      </c>
      <c r="D25" s="36" t="s">
        <v>56</v>
      </c>
      <c r="E25" s="37" t="s">
        <v>57</v>
      </c>
      <c r="F25" s="39"/>
      <c r="G25" s="39"/>
      <c r="H25" s="51">
        <f>I25/AJ25</f>
        <v>7072.1437501080518</v>
      </c>
      <c r="I25" s="52">
        <f>SUM(J25:Q25)*IF(입력란!C$15=1,1.04,IF(입력란!C$15=2,1.1,IF(입력란!C$15=3,1.2,1)))*IF(입력란!$C$17&lt;&gt;0,0.98,1)</f>
        <v>54184.342060669282</v>
      </c>
      <c r="J25" s="29">
        <f>S25*(1+IF($AK25+IF(입력란!$C$19=1,10,0)&gt;100,100,$AK25+IF(입력란!$C$19=1,10,0))/100*($AL25/100-1))</f>
        <v>10836.868412133856</v>
      </c>
      <c r="K25" s="29">
        <f>T25*(1+IF($AK25+IF(입력란!$C$19=1,10,IF(MID($E25,1,1)="2",10,0))&gt;100,100,$AK25+IF(입력란!$C$19=1,10,IF(MID($E25,1,1)="2",10,0)))/100*($AL25/100-1))</f>
        <v>10836.868412133856</v>
      </c>
      <c r="L25" s="29">
        <f>U25*(1+IF($AK25+IF(입력란!$C$19=1,10,IF(MID($E25,1,1)="2",10,0))&gt;100,100,$AK25+IF(입력란!$C$19=1,10,IF(MID($E25,1,1)="2",10,0)))/100*($AL25/100-1))</f>
        <v>10836.868412133856</v>
      </c>
      <c r="M25" s="29">
        <f>V25*(1+IF($AK25+IF(입력란!$C$19=1,10,IF(MID($E25,1,1)="2",10,0))&gt;100,100,$AK25+IF(입력란!$C$19=1,10,IF(MID($E25,1,1)="2",10,0)))/100*($AL25/100-1))</f>
        <v>10836.868412133856</v>
      </c>
      <c r="N25" s="29">
        <f>W25*(1+IF($AK25+IF(입력란!$C$19=1,10,IF(MID($E25,1,1)="2",10,0))&gt;100,100,$AK25+IF(입력란!$C$19=1,10,IF(MID($E25,1,1)="2",10,0)))/100*($AL25/100-1))</f>
        <v>10836.868412133856</v>
      </c>
      <c r="O25" s="38"/>
      <c r="P25" s="38"/>
      <c r="Q25" s="29"/>
      <c r="R25" s="23">
        <f>SUM(S25:Z25)</f>
        <v>37697.529221342433</v>
      </c>
      <c r="S25" s="29">
        <f>AN25*IF(MID(E25,3,1)="3",트라이포드!$N$5,트라이포드!$M$5)/5</f>
        <v>7539.5058442684867</v>
      </c>
      <c r="T25" s="29">
        <f>AN25*IF(MID(E25,3,1)="2",1+트라이포드!$L$5/100,1+트라이포드!$K$5/100)*IF(MID(E25,3,1)="3",트라이포드!$N$5,트라이포드!$M$5)/5</f>
        <v>7539.5058442684867</v>
      </c>
      <c r="U25" s="29">
        <f>AN25*IF(MID(E25,3,1)="2",1+2*트라이포드!$L$5/100,1+트라이포드!$K$5/100)*IF(MID(E25,3,1)="3",트라이포드!$N$5,트라이포드!$M$5)/5</f>
        <v>7539.5058442684867</v>
      </c>
      <c r="V25" s="29">
        <f>AN25*IF(MID(E25,3,1)="2",1+3*트라이포드!$L$5/100,1+트라이포드!$K$5/100)*IF(MID(E25,3,1)="3",트라이포드!$N$5,트라이포드!$M$5)/5</f>
        <v>7539.5058442684867</v>
      </c>
      <c r="W25" s="38">
        <f>AN25*IF(MID(E25,3,1)="2",1+4*트라이포드!$L$5/100,1+트라이포드!$K$5/100)*IF(MID(E25,3,1)="3",트라이포드!$N$5,트라이포드!$M$5)/5</f>
        <v>7539.5058442684867</v>
      </c>
      <c r="X25" s="38"/>
      <c r="Y25" s="38"/>
      <c r="Z25" s="24"/>
      <c r="AA25" s="29">
        <f>SUM(AB25:AI25)</f>
        <v>75395.058442684865</v>
      </c>
      <c r="AB25" s="29">
        <f>S25*2</f>
        <v>15079.011688536973</v>
      </c>
      <c r="AC25" s="29">
        <f>AB25</f>
        <v>15079.011688536973</v>
      </c>
      <c r="AD25" s="29">
        <f>AC25</f>
        <v>15079.011688536973</v>
      </c>
      <c r="AE25" s="29">
        <f>AD25</f>
        <v>15079.011688536973</v>
      </c>
      <c r="AF25" s="29">
        <f>AE25</f>
        <v>15079.011688536973</v>
      </c>
      <c r="AG25" s="38"/>
      <c r="AH25" s="38"/>
      <c r="AI25" s="24"/>
      <c r="AJ25" s="25">
        <f>AR25*(1-입력란!$C$29/100)</f>
        <v>7.6616573383200004</v>
      </c>
      <c r="AK2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5" s="25">
        <f>입력란!$C$37+입력란!$C$31+IF(입력란!$C$17=1,10,IF(입력란!$C$17=2,25,IF(입력란!$C$17=3,50,0)))</f>
        <v>295.58728189999999</v>
      </c>
      <c r="AM25" s="29">
        <f>SUM(AN25:AP25)</f>
        <v>37697.529221342433</v>
      </c>
      <c r="AN25" s="29">
        <f>(VLOOKUP(C25,$B$4:$AK$7,2,FALSE)+VLOOKUP(C25,$B$8:$AK$11,2,FALSE)*입력란!$C$23)*입력란!$C$38/100</f>
        <v>37697.529221342433</v>
      </c>
      <c r="AO25" s="29"/>
      <c r="AP25" s="29"/>
      <c r="AQ25" s="29"/>
      <c r="AR25" s="27">
        <v>8</v>
      </c>
    </row>
    <row r="26" spans="2:44" ht="13.5" customHeight="1" x14ac:dyDescent="0.3">
      <c r="B26" s="30">
        <v>11</v>
      </c>
      <c r="C26" s="35">
        <v>10</v>
      </c>
      <c r="D26" s="36" t="s">
        <v>56</v>
      </c>
      <c r="E26" s="37" t="s">
        <v>59</v>
      </c>
      <c r="F26" s="39"/>
      <c r="G26" s="39"/>
      <c r="H26" s="51">
        <f>I26/AJ26</f>
        <v>9193.7868751404676</v>
      </c>
      <c r="I26" s="52">
        <f>SUM(J26:Q26)*IF(입력란!C$15=1,1.04,IF(입력란!C$15=2,1.1,IF(입력란!C$15=3,1.2,1)))*IF(입력란!$C$17&lt;&gt;0,0.98,1)</f>
        <v>70439.64467887007</v>
      </c>
      <c r="J26" s="29">
        <f>S26*(1+IF($AK26+IF(입력란!$C$19=1,10,0)&gt;100,100,$AK26+IF(입력란!$C$19=1,10,0))/100*($AL26/100-1))</f>
        <v>10836.868412133856</v>
      </c>
      <c r="K26" s="29">
        <f>T26*(1+IF($AK26+IF(입력란!$C$19=1,10,IF(MID($E26,1,1)="2",10,0))&gt;100,100,$AK26+IF(입력란!$C$19=1,10,IF(MID($E26,1,1)="2",10,0)))/100*($AL26/100-1))</f>
        <v>12462.398673953932</v>
      </c>
      <c r="L26" s="29">
        <f>U26*(1+IF($AK26+IF(입력란!$C$19=1,10,IF(MID($E26,1,1)="2",10,0))&gt;100,100,$AK26+IF(입력란!$C$19=1,10,IF(MID($E26,1,1)="2",10,0)))/100*($AL26/100-1))</f>
        <v>14087.928935774014</v>
      </c>
      <c r="M26" s="29">
        <f>V26*(1+IF($AK26+IF(입력란!$C$19=1,10,IF(MID($E26,1,1)="2",10,0))&gt;100,100,$AK26+IF(입력란!$C$19=1,10,IF(MID($E26,1,1)="2",10,0)))/100*($AL26/100-1))</f>
        <v>15713.459197594091</v>
      </c>
      <c r="N26" s="29">
        <f>W26*(1+IF($AK26+IF(입력란!$C$19=1,10,IF(MID($E26,1,1)="2",10,0))&gt;100,100,$AK26+IF(입력란!$C$19=1,10,IF(MID($E26,1,1)="2",10,0)))/100*($AL26/100-1))</f>
        <v>17338.98945941417</v>
      </c>
      <c r="O26" s="38"/>
      <c r="P26" s="38"/>
      <c r="Q26" s="29"/>
      <c r="R26" s="23">
        <f>SUM(S26:Z26)</f>
        <v>49006.787987745163</v>
      </c>
      <c r="S26" s="29">
        <f>AN26*IF(MID(E26,3,1)="3",트라이포드!$N$5,트라이포드!$M$5)/5</f>
        <v>7539.5058442684867</v>
      </c>
      <c r="T26" s="29">
        <f>AN26*IF(MID(E26,3,1)="2",1+트라이포드!$L$5/100,1+트라이포드!$K$5/100)*IF(MID(E26,3,1)="3",트라이포드!$N$5,트라이포드!$M$5)/5</f>
        <v>8670.4317209087585</v>
      </c>
      <c r="U26" s="29">
        <f>AN26*IF(MID(E26,3,1)="2",1+2*트라이포드!$L$5/100,1+트라이포드!$K$5/100)*IF(MID(E26,3,1)="3",트라이포드!$N$5,트라이포드!$M$5)/5</f>
        <v>9801.357597549033</v>
      </c>
      <c r="V26" s="29">
        <f>AN26*IF(MID(E26,3,1)="2",1+3*트라이포드!$L$5/100,1+트라이포드!$K$5/100)*IF(MID(E26,3,1)="3",트라이포드!$N$5,트라이포드!$M$5)/5</f>
        <v>10932.283474189306</v>
      </c>
      <c r="W26" s="38">
        <f>AN26*IF(MID(E26,3,1)="2",1+4*트라이포드!$L$5/100,1+트라이포드!$K$5/100)*IF(MID(E26,3,1)="3",트라이포드!$N$5,트라이포드!$M$5)/5</f>
        <v>12063.209350829578</v>
      </c>
      <c r="X26" s="38"/>
      <c r="Y26" s="38"/>
      <c r="Z26" s="24"/>
      <c r="AA26" s="29">
        <f>SUM(AB26:AI26)</f>
        <v>75395.058442684865</v>
      </c>
      <c r="AB26" s="29">
        <f>S26*2</f>
        <v>15079.011688536973</v>
      </c>
      <c r="AC26" s="29">
        <f>AB26</f>
        <v>15079.011688536973</v>
      </c>
      <c r="AD26" s="29">
        <f>AC26</f>
        <v>15079.011688536973</v>
      </c>
      <c r="AE26" s="29">
        <f>AD26</f>
        <v>15079.011688536973</v>
      </c>
      <c r="AF26" s="29">
        <f>AE26</f>
        <v>15079.011688536973</v>
      </c>
      <c r="AG26" s="38"/>
      <c r="AH26" s="38"/>
      <c r="AI26" s="24"/>
      <c r="AJ26" s="25">
        <f>AR26*(1-입력란!$C$29/100)</f>
        <v>7.6616573383200004</v>
      </c>
      <c r="AK2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6" s="25">
        <f>입력란!$C$37+입력란!$C$31+IF(입력란!$C$17=1,10,IF(입력란!$C$17=2,25,IF(입력란!$C$17=3,50,0)))</f>
        <v>295.58728189999999</v>
      </c>
      <c r="AM26" s="29">
        <f>SUM(AN26:AP26)</f>
        <v>37697.529221342433</v>
      </c>
      <c r="AN26" s="29">
        <f>(VLOOKUP(C26,$B$4:$AK$7,2,FALSE)+VLOOKUP(C26,$B$8:$AK$11,2,FALSE)*입력란!$C$23)*입력란!$C$38/100</f>
        <v>37697.529221342433</v>
      </c>
      <c r="AO26" s="29"/>
      <c r="AP26" s="29"/>
      <c r="AQ26" s="29"/>
      <c r="AR26" s="27">
        <v>8</v>
      </c>
    </row>
    <row r="27" spans="2:44" ht="13.5" customHeight="1" x14ac:dyDescent="0.3">
      <c r="B27" s="30">
        <v>12</v>
      </c>
      <c r="C27" s="35">
        <v>10</v>
      </c>
      <c r="D27" s="36" t="s">
        <v>56</v>
      </c>
      <c r="E27" s="37" t="s">
        <v>60</v>
      </c>
      <c r="F27" s="39" t="s">
        <v>63</v>
      </c>
      <c r="G27" s="39"/>
      <c r="H27" s="51">
        <f>I27/AJ27</f>
        <v>9901.0012501512738</v>
      </c>
      <c r="I27" s="52">
        <f>SUM(J27:Q27)*IF(입력란!C$15=1,1.04,IF(입력란!C$15=2,1.1,IF(입력란!C$15=3,1.2,1)))*IF(입력란!$C$17&lt;&gt;0,0.98,1)</f>
        <v>75858.078884937</v>
      </c>
      <c r="J27" s="29">
        <f>S27*(1+IF($AK27+IF(입력란!$C$19=1,10,0)&gt;100,100,$AK27+IF(입력란!$C$19=1,10,0))/100*($AL27/100-1))</f>
        <v>15171.615776987399</v>
      </c>
      <c r="K27" s="29">
        <f>T27*(1+IF($AK27+IF(입력란!$C$19=1,10,IF(MID($E27,1,1)="2",10,0))&gt;100,100,$AK27+IF(입력란!$C$19=1,10,IF(MID($E27,1,1)="2",10,0)))/100*($AL27/100-1))</f>
        <v>15171.615776987399</v>
      </c>
      <c r="L27" s="29">
        <f>U27*(1+IF($AK27+IF(입력란!$C$19=1,10,IF(MID($E27,1,1)="2",10,0))&gt;100,100,$AK27+IF(입력란!$C$19=1,10,IF(MID($E27,1,1)="2",10,0)))/100*($AL27/100-1))</f>
        <v>15171.615776987399</v>
      </c>
      <c r="M27" s="29">
        <f>V27*(1+IF($AK27+IF(입력란!$C$19=1,10,IF(MID($E27,1,1)="2",10,0))&gt;100,100,$AK27+IF(입력란!$C$19=1,10,IF(MID($E27,1,1)="2",10,0)))/100*($AL27/100-1))</f>
        <v>15171.615776987399</v>
      </c>
      <c r="N27" s="29">
        <f>W27*(1+IF($AK27+IF(입력란!$C$19=1,10,IF(MID($E27,1,1)="2",10,0))&gt;100,100,$AK27+IF(입력란!$C$19=1,10,IF(MID($E27,1,1)="2",10,0)))/100*($AL27/100-1))</f>
        <v>15171.615776987399</v>
      </c>
      <c r="O27" s="38"/>
      <c r="P27" s="38"/>
      <c r="Q27" s="29"/>
      <c r="R27" s="23">
        <f>SUM(S27:Z27)</f>
        <v>52776.540909879404</v>
      </c>
      <c r="S27" s="29">
        <f>AN27*IF(MID(E27,3,1)="3",트라이포드!$N$5,트라이포드!$M$5)/5</f>
        <v>10555.308181975881</v>
      </c>
      <c r="T27" s="29">
        <f>AN27*IF(MID(E27,3,1)="2",1+트라이포드!$L$5/100,1+트라이포드!$K$5/100)*IF(MID(E27,3,1)="3",트라이포드!$N$5,트라이포드!$M$5)/5</f>
        <v>10555.308181975881</v>
      </c>
      <c r="U27" s="29">
        <f>AN27*IF(MID(E27,3,1)="2",1+2*트라이포드!$L$5/100,1+트라이포드!$K$5/100)*IF(MID(E27,3,1)="3",트라이포드!$N$5,트라이포드!$M$5)/5</f>
        <v>10555.308181975881</v>
      </c>
      <c r="V27" s="29">
        <f>AN27*IF(MID(E27,3,1)="2",1+3*트라이포드!$L$5/100,1+트라이포드!$K$5/100)*IF(MID(E27,3,1)="3",트라이포드!$N$5,트라이포드!$M$5)/5</f>
        <v>10555.308181975881</v>
      </c>
      <c r="W27" s="38">
        <f>AN27*IF(MID(E27,3,1)="2",1+4*트라이포드!$L$5/100,1+트라이포드!$K$5/100)*IF(MID(E27,3,1)="3",트라이포드!$N$5,트라이포드!$M$5)/5</f>
        <v>10555.308181975881</v>
      </c>
      <c r="X27" s="38"/>
      <c r="Y27" s="38"/>
      <c r="Z27" s="24"/>
      <c r="AA27" s="29">
        <f>SUM(AB27:AI27)</f>
        <v>105553.08181975881</v>
      </c>
      <c r="AB27" s="29">
        <f>S27*2</f>
        <v>21110.616363951762</v>
      </c>
      <c r="AC27" s="29">
        <f>AB27</f>
        <v>21110.616363951762</v>
      </c>
      <c r="AD27" s="29">
        <f>AC27</f>
        <v>21110.616363951762</v>
      </c>
      <c r="AE27" s="29">
        <f>AD27</f>
        <v>21110.616363951762</v>
      </c>
      <c r="AF27" s="29">
        <f>AE27</f>
        <v>21110.616363951762</v>
      </c>
      <c r="AG27" s="38"/>
      <c r="AH27" s="38"/>
      <c r="AI27" s="24"/>
      <c r="AJ27" s="25">
        <f>AR27*(1-입력란!$C$29/100)</f>
        <v>7.6616573383200004</v>
      </c>
      <c r="AK2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7" s="25">
        <f>입력란!$C$37+입력란!$C$31+IF(입력란!$C$17=1,10,IF(입력란!$C$17=2,25,IF(입력란!$C$17=3,50,0)))</f>
        <v>295.58728189999999</v>
      </c>
      <c r="AM27" s="29">
        <f>SUM(AN27:AP27)</f>
        <v>37697.529221342433</v>
      </c>
      <c r="AN27" s="29">
        <f>(VLOOKUP(C27,$B$4:$AK$7,2,FALSE)+VLOOKUP(C27,$B$8:$AK$11,2,FALSE)*입력란!$C$23)*입력란!$C$38/100</f>
        <v>37697.529221342433</v>
      </c>
      <c r="AO27" s="29"/>
      <c r="AP27" s="29"/>
      <c r="AQ27" s="29"/>
      <c r="AR27" s="27">
        <v>8</v>
      </c>
    </row>
    <row r="28" spans="2:44" ht="13.5" customHeight="1" x14ac:dyDescent="0.3">
      <c r="B28" s="30">
        <v>13</v>
      </c>
      <c r="C28" s="35">
        <v>10</v>
      </c>
      <c r="D28" s="36" t="s">
        <v>56</v>
      </c>
      <c r="E28" s="37" t="s">
        <v>61</v>
      </c>
      <c r="F28" s="39"/>
      <c r="G28" s="39"/>
      <c r="H28" s="51">
        <f>I28/AJ28</f>
        <v>10252.3663239574</v>
      </c>
      <c r="I28" s="52">
        <f>SUM(J28:Q28)*IF(입력란!C$15=1,1.04,IF(입력란!C$15=2,1.1,IF(입력란!C$15=3,1.2,1)))*IF(입력란!$C$17&lt;&gt;0,0.98,1)</f>
        <v>78550.117681093063</v>
      </c>
      <c r="J28" s="29">
        <f>S28*(1+IF($AK28+IF(입력란!$C$19=1,10,0)&gt;100,100,$AK28+IF(입력란!$C$19=1,10,0))/100*($AL28/100-1))</f>
        <v>10836.868412133856</v>
      </c>
      <c r="K28" s="29">
        <f>T28*(1+IF($AK28+IF(입력란!$C$19=1,10,IF(MID($E28,1,1)="2",10,0))&gt;100,100,$AK28+IF(입력란!$C$19=1,10,IF(MID($E28,1,1)="2",10,0)))/100*($AL28/100-1))</f>
        <v>14158.224847146017</v>
      </c>
      <c r="L28" s="29">
        <f>U28*(1+IF($AK28+IF(입력란!$C$19=1,10,IF(MID($E28,1,1)="2",10,0))&gt;100,100,$AK28+IF(입력란!$C$19=1,10,IF(MID($E28,1,1)="2",10,0)))/100*($AL28/100-1))</f>
        <v>16004.949827208542</v>
      </c>
      <c r="M28" s="29">
        <f>V28*(1+IF($AK28+IF(입력란!$C$19=1,10,IF(MID($E28,1,1)="2",10,0))&gt;100,100,$AK28+IF(입력란!$C$19=1,10,IF(MID($E28,1,1)="2",10,0)))/100*($AL28/100-1))</f>
        <v>17851.674807271065</v>
      </c>
      <c r="N28" s="29">
        <f>W28*(1+IF($AK28+IF(입력란!$C$19=1,10,IF(MID($E28,1,1)="2",10,0))&gt;100,100,$AK28+IF(입력란!$C$19=1,10,IF(MID($E28,1,1)="2",10,0)))/100*($AL28/100-1))</f>
        <v>19698.39978733359</v>
      </c>
      <c r="O28" s="38"/>
      <c r="P28" s="38"/>
      <c r="Q28" s="29"/>
      <c r="R28" s="23">
        <f>SUM(S28:Z28)</f>
        <v>49006.787987745163</v>
      </c>
      <c r="S28" s="29">
        <f>AN28*IF(MID(E28,3,1)="3",트라이포드!$N$5,트라이포드!$M$5)/5</f>
        <v>7539.5058442684867</v>
      </c>
      <c r="T28" s="29">
        <f>AN28*IF(MID(E28,3,1)="2",1+트라이포드!$L$5/100,1+트라이포드!$K$5/100)*IF(MID(E28,3,1)="3",트라이포드!$N$5,트라이포드!$M$5)/5</f>
        <v>8670.4317209087585</v>
      </c>
      <c r="U28" s="29">
        <f>AN28*IF(MID(E28,3,1)="2",1+2*트라이포드!$L$5/100,1+트라이포드!$K$5/100)*IF(MID(E28,3,1)="3",트라이포드!$N$5,트라이포드!$M$5)/5</f>
        <v>9801.357597549033</v>
      </c>
      <c r="V28" s="29">
        <f>AN28*IF(MID(E28,3,1)="2",1+3*트라이포드!$L$5/100,1+트라이포드!$K$5/100)*IF(MID(E28,3,1)="3",트라이포드!$N$5,트라이포드!$M$5)/5</f>
        <v>10932.283474189306</v>
      </c>
      <c r="W28" s="38">
        <f>AN28*IF(MID(E28,3,1)="2",1+4*트라이포드!$L$5/100,1+트라이포드!$K$5/100)*IF(MID(E28,3,1)="3",트라이포드!$N$5,트라이포드!$M$5)/5</f>
        <v>12063.209350829578</v>
      </c>
      <c r="X28" s="38"/>
      <c r="Y28" s="38"/>
      <c r="Z28" s="24"/>
      <c r="AA28" s="29">
        <f>SUM(AB28:AI28)</f>
        <v>75395.058442684865</v>
      </c>
      <c r="AB28" s="29">
        <f>S28*2</f>
        <v>15079.011688536973</v>
      </c>
      <c r="AC28" s="29">
        <f>AB28</f>
        <v>15079.011688536973</v>
      </c>
      <c r="AD28" s="29">
        <f>AC28</f>
        <v>15079.011688536973</v>
      </c>
      <c r="AE28" s="29">
        <f>AD28</f>
        <v>15079.011688536973</v>
      </c>
      <c r="AF28" s="29">
        <f>AE28</f>
        <v>15079.011688536973</v>
      </c>
      <c r="AG28" s="38"/>
      <c r="AH28" s="38"/>
      <c r="AI28" s="24"/>
      <c r="AJ28" s="25">
        <f>AR28*(1-입력란!$C$29/100)</f>
        <v>7.6616573383200004</v>
      </c>
      <c r="AK2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8" s="25">
        <f>입력란!$C$37+입력란!$C$31+IF(입력란!$C$17=1,10,IF(입력란!$C$17=2,25,IF(입력란!$C$17=3,50,0)))</f>
        <v>295.58728189999999</v>
      </c>
      <c r="AM28" s="29">
        <f>SUM(AN28:AP28)</f>
        <v>37697.529221342433</v>
      </c>
      <c r="AN28" s="29">
        <f>(VLOOKUP(C28,$B$4:$AK$7,2,FALSE)+VLOOKUP(C28,$B$8:$AK$11,2,FALSE)*입력란!$C$23)*입력란!$C$38/100</f>
        <v>37697.529221342433</v>
      </c>
      <c r="AO28" s="29"/>
      <c r="AP28" s="29"/>
      <c r="AQ28" s="29"/>
      <c r="AR28" s="27">
        <v>8</v>
      </c>
    </row>
    <row r="29" spans="2:44" ht="13.5" customHeight="1" x14ac:dyDescent="0.3">
      <c r="B29" s="30">
        <v>14</v>
      </c>
      <c r="C29" s="35">
        <v>10</v>
      </c>
      <c r="D29" s="36" t="s">
        <v>56</v>
      </c>
      <c r="E29" s="37" t="s">
        <v>62</v>
      </c>
      <c r="F29" s="39" t="s">
        <v>63</v>
      </c>
      <c r="G29" s="39"/>
      <c r="H29" s="51">
        <f>I29/AJ29</f>
        <v>10978.827598037607</v>
      </c>
      <c r="I29" s="52">
        <f>SUM(J29:Q29)*IF(입력란!C$15=1,1.04,IF(입력란!C$15=2,1.1,IF(입력란!C$15=3,1.2,1)))*IF(입력란!$C$17&lt;&gt;0,0.98,1)</f>
        <v>84116.015032654977</v>
      </c>
      <c r="J29" s="29">
        <f>S29*(1+IF($AK29+IF(입력란!$C$19=1,10,0)&gt;100,100,$AK29+IF(입력란!$C$19=1,10,0))/100*($AL29/100-1))</f>
        <v>15171.615776987399</v>
      </c>
      <c r="K29" s="29">
        <f>T29*(1+IF($AK29+IF(입력란!$C$19=1,10,IF(MID($E29,1,1)="2",10,0))&gt;100,100,$AK29+IF(입력란!$C$19=1,10,IF(MID($E29,1,1)="2",10,0)))/100*($AL29/100-1))</f>
        <v>17236.099813916891</v>
      </c>
      <c r="L29" s="29">
        <f>U29*(1+IF($AK29+IF(입력란!$C$19=1,10,IF(MID($E29,1,1)="2",10,0))&gt;100,100,$AK29+IF(입력란!$C$19=1,10,IF(MID($E29,1,1)="2",10,0)))/100*($AL29/100-1))</f>
        <v>17236.099813916891</v>
      </c>
      <c r="M29" s="29">
        <f>V29*(1+IF($AK29+IF(입력란!$C$19=1,10,IF(MID($E29,1,1)="2",10,0))&gt;100,100,$AK29+IF(입력란!$C$19=1,10,IF(MID($E29,1,1)="2",10,0)))/100*($AL29/100-1))</f>
        <v>17236.099813916891</v>
      </c>
      <c r="N29" s="29">
        <f>W29*(1+IF($AK29+IF(입력란!$C$19=1,10,IF(MID($E29,1,1)="2",10,0))&gt;100,100,$AK29+IF(입력란!$C$19=1,10,IF(MID($E29,1,1)="2",10,0)))/100*($AL29/100-1))</f>
        <v>17236.099813916891</v>
      </c>
      <c r="O29" s="38"/>
      <c r="P29" s="38"/>
      <c r="Q29" s="29"/>
      <c r="R29" s="23">
        <f>SUM(S29:Z29)</f>
        <v>52776.540909879404</v>
      </c>
      <c r="S29" s="29">
        <f>AN29*IF(MID(E29,3,1)="3",트라이포드!$N$5,트라이포드!$M$5)/5</f>
        <v>10555.308181975881</v>
      </c>
      <c r="T29" s="29">
        <f>AN29*IF(MID(E29,3,1)="2",1+트라이포드!$L$5/100,1+트라이포드!$K$5/100)*IF(MID(E29,3,1)="3",트라이포드!$N$5,트라이포드!$M$5)/5</f>
        <v>10555.308181975881</v>
      </c>
      <c r="U29" s="29">
        <f>AN29*IF(MID(E29,3,1)="2",1+2*트라이포드!$L$5/100,1+트라이포드!$K$5/100)*IF(MID(E29,3,1)="3",트라이포드!$N$5,트라이포드!$M$5)/5</f>
        <v>10555.308181975881</v>
      </c>
      <c r="V29" s="29">
        <f>AN29*IF(MID(E29,3,1)="2",1+3*트라이포드!$L$5/100,1+트라이포드!$K$5/100)*IF(MID(E29,3,1)="3",트라이포드!$N$5,트라이포드!$M$5)/5</f>
        <v>10555.308181975881</v>
      </c>
      <c r="W29" s="38">
        <f>AN29*IF(MID(E29,3,1)="2",1+4*트라이포드!$L$5/100,1+트라이포드!$K$5/100)*IF(MID(E29,3,1)="3",트라이포드!$N$5,트라이포드!$M$5)/5</f>
        <v>10555.308181975881</v>
      </c>
      <c r="X29" s="38"/>
      <c r="Y29" s="38"/>
      <c r="Z29" s="24"/>
      <c r="AA29" s="29">
        <f>SUM(AB29:AI29)</f>
        <v>105553.08181975881</v>
      </c>
      <c r="AB29" s="29">
        <f>S29*2</f>
        <v>21110.616363951762</v>
      </c>
      <c r="AC29" s="29">
        <f>AB29</f>
        <v>21110.616363951762</v>
      </c>
      <c r="AD29" s="29">
        <f>AC29</f>
        <v>21110.616363951762</v>
      </c>
      <c r="AE29" s="29">
        <f>AD29</f>
        <v>21110.616363951762</v>
      </c>
      <c r="AF29" s="29">
        <f>AE29</f>
        <v>21110.616363951762</v>
      </c>
      <c r="AG29" s="38"/>
      <c r="AH29" s="38"/>
      <c r="AI29" s="24"/>
      <c r="AJ29" s="25">
        <f>AR29*(1-입력란!$C$29/100)</f>
        <v>7.6616573383200004</v>
      </c>
      <c r="AK2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9" s="25">
        <f>입력란!$C$37+입력란!$C$31+IF(입력란!$C$17=1,10,IF(입력란!$C$17=2,25,IF(입력란!$C$17=3,50,0)))</f>
        <v>295.58728189999999</v>
      </c>
      <c r="AM29" s="29">
        <f>SUM(AN29:AP29)</f>
        <v>37697.529221342433</v>
      </c>
      <c r="AN29" s="29">
        <f>(VLOOKUP(C29,$B$4:$AK$7,2,FALSE)+VLOOKUP(C29,$B$8:$AK$11,2,FALSE)*입력란!$C$23)*입력란!$C$38/100</f>
        <v>37697.529221342433</v>
      </c>
      <c r="AO29" s="29"/>
      <c r="AP29" s="29"/>
      <c r="AQ29" s="29"/>
      <c r="AR29" s="27">
        <v>8</v>
      </c>
    </row>
    <row r="30" spans="2:44" ht="13.5" customHeight="1" x14ac:dyDescent="0.3">
      <c r="B30" s="30">
        <v>15</v>
      </c>
      <c r="C30" s="39">
        <v>10</v>
      </c>
      <c r="D30" s="36" t="s">
        <v>56</v>
      </c>
      <c r="E30" s="37" t="s">
        <v>81</v>
      </c>
      <c r="F30" s="39"/>
      <c r="G30" s="39"/>
      <c r="H30" s="51">
        <f>I30/AJ30</f>
        <v>10252.3663239574</v>
      </c>
      <c r="I30" s="52">
        <f>SUM(J30:Q30)*IF(입력란!C$15=1,1.04,IF(입력란!C$15=2,1.1,IF(입력란!C$15=3,1.2,1)))*IF(입력란!$C$17&lt;&gt;0,0.98,1)</f>
        <v>78550.117681093063</v>
      </c>
      <c r="J30" s="29">
        <f>S30*(1+IF($AK30+IF(입력란!$C$19=1,10,0)&gt;100,100,$AK30+IF(입력란!$C$19=1,10,0))/100*($AL30/100-1))</f>
        <v>10836.868412133856</v>
      </c>
      <c r="K30" s="29">
        <f>T30*(1+IF($AK30+IF(입력란!$C$19=1,10,IF(MID($E30,1,1)="2",10,0))&gt;100,100,$AK30+IF(입력란!$C$19=1,10,IF(MID($E30,1,1)="2",10,0)))/100*($AL30/100-1))</f>
        <v>14158.224847146017</v>
      </c>
      <c r="L30" s="29">
        <f>U30*(1+IF($AK30+IF(입력란!$C$19=1,10,IF(MID($E30,1,1)="2",10,0))&gt;100,100,$AK30+IF(입력란!$C$19=1,10,IF(MID($E30,1,1)="2",10,0)))/100*($AL30/100-1))</f>
        <v>16004.949827208542</v>
      </c>
      <c r="M30" s="29">
        <f>V30*(1+IF($AK30+IF(입력란!$C$19=1,10,IF(MID($E30,1,1)="2",10,0))&gt;100,100,$AK30+IF(입력란!$C$19=1,10,IF(MID($E30,1,1)="2",10,0)))/100*($AL30/100-1))</f>
        <v>17851.674807271065</v>
      </c>
      <c r="N30" s="29">
        <f>W30*(1+IF($AK30+IF(입력란!$C$19=1,10,IF(MID($E30,1,1)="2",10,0))&gt;100,100,$AK30+IF(입력란!$C$19=1,10,IF(MID($E30,1,1)="2",10,0)))/100*($AL30/100-1))</f>
        <v>19698.39978733359</v>
      </c>
      <c r="O30" s="38"/>
      <c r="P30" s="38"/>
      <c r="Q30" s="29"/>
      <c r="R30" s="23">
        <f>SUM(S30:Z30)</f>
        <v>49006.787987745163</v>
      </c>
      <c r="S30" s="29">
        <f>AN30*IF(MID(E30,3,1)="3",트라이포드!$N$5,트라이포드!$M$5)/5</f>
        <v>7539.5058442684867</v>
      </c>
      <c r="T30" s="29">
        <f>AN30*IF(MID(E30,3,1)="2",1+트라이포드!$L$5/100,1+트라이포드!$K$5/100)*IF(MID(E30,3,1)="3",트라이포드!$N$5,트라이포드!$M$5)/5</f>
        <v>8670.4317209087585</v>
      </c>
      <c r="U30" s="29">
        <f>AN30*IF(MID(E30,3,1)="2",1+2*트라이포드!$L$5/100,1+트라이포드!$K$5/100)*IF(MID(E30,3,1)="3",트라이포드!$N$5,트라이포드!$M$5)/5</f>
        <v>9801.357597549033</v>
      </c>
      <c r="V30" s="29">
        <f>AN30*IF(MID(E30,3,1)="2",1+3*트라이포드!$L$5/100,1+트라이포드!$K$5/100)*IF(MID(E30,3,1)="3",트라이포드!$N$5,트라이포드!$M$5)/5</f>
        <v>10932.283474189306</v>
      </c>
      <c r="W30" s="38">
        <f>AN30*IF(MID(E30,3,1)="2",1+4*트라이포드!$L$5/100,1+트라이포드!$K$5/100)*IF(MID(E30,3,1)="3",트라이포드!$N$5,트라이포드!$M$5)/5</f>
        <v>12063.209350829578</v>
      </c>
      <c r="X30" s="38"/>
      <c r="Y30" s="38"/>
      <c r="Z30" s="24"/>
      <c r="AA30" s="29">
        <f>SUM(AB30:AI30)</f>
        <v>75395.058442684865</v>
      </c>
      <c r="AB30" s="29">
        <f>S30*2</f>
        <v>15079.011688536973</v>
      </c>
      <c r="AC30" s="29">
        <f>AB30</f>
        <v>15079.011688536973</v>
      </c>
      <c r="AD30" s="29">
        <f>AC30</f>
        <v>15079.011688536973</v>
      </c>
      <c r="AE30" s="29">
        <f>AD30</f>
        <v>15079.011688536973</v>
      </c>
      <c r="AF30" s="29">
        <f>AE30</f>
        <v>15079.011688536973</v>
      </c>
      <c r="AG30" s="38"/>
      <c r="AH30" s="38"/>
      <c r="AI30" s="24"/>
      <c r="AJ30" s="25">
        <f>AR30*(1-입력란!$C$29/100)</f>
        <v>7.6616573383200004</v>
      </c>
      <c r="AK3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0" s="25">
        <f>입력란!$C$37+입력란!$C$31+IF(입력란!$C$17=1,10,IF(입력란!$C$17=2,25,IF(입력란!$C$17=3,50,0)))</f>
        <v>295.58728189999999</v>
      </c>
      <c r="AM30" s="29">
        <f>SUM(AN30:AP30)</f>
        <v>37697.529221342433</v>
      </c>
      <c r="AN30" s="29">
        <f>(VLOOKUP(C30,$B$4:$AK$7,2,FALSE)+VLOOKUP(C30,$B$8:$AK$11,2,FALSE)*입력란!$C$23)*입력란!$C$38/100</f>
        <v>37697.529221342433</v>
      </c>
      <c r="AO30" s="25"/>
      <c r="AP30" s="29"/>
      <c r="AQ30" s="29"/>
      <c r="AR30" s="27">
        <v>8</v>
      </c>
    </row>
    <row r="31" spans="2:44" ht="13.5" customHeight="1" x14ac:dyDescent="0.3">
      <c r="B31" s="30">
        <v>16</v>
      </c>
      <c r="C31" s="39">
        <v>10</v>
      </c>
      <c r="D31" s="36" t="s">
        <v>56</v>
      </c>
      <c r="E31" s="37" t="s">
        <v>82</v>
      </c>
      <c r="F31" s="39"/>
      <c r="G31" s="39"/>
      <c r="H31" s="51">
        <f>I31/AJ31</f>
        <v>10252.3663239574</v>
      </c>
      <c r="I31" s="52">
        <f>SUM(J31:Q31)*IF(입력란!C$15=1,1.04,IF(입력란!C$15=2,1.1,IF(입력란!C$15=3,1.2,1)))*IF(입력란!$C$17&lt;&gt;0,0.98,1)</f>
        <v>78550.117681093063</v>
      </c>
      <c r="J31" s="29">
        <f>S31*(1+IF($AK31+IF(입력란!$C$19=1,10,0)&gt;100,100,$AK31+IF(입력란!$C$19=1,10,0))/100*($AL31/100-1))</f>
        <v>10836.868412133856</v>
      </c>
      <c r="K31" s="29">
        <f>T31*(1+IF($AK31+IF(입력란!$C$19=1,10,IF(MID($E31,1,1)="2",10,0))&gt;100,100,$AK31+IF(입력란!$C$19=1,10,IF(MID($E31,1,1)="2",10,0)))/100*($AL31/100-1))</f>
        <v>14158.224847146017</v>
      </c>
      <c r="L31" s="29">
        <f>U31*(1+IF($AK31+IF(입력란!$C$19=1,10,IF(MID($E31,1,1)="2",10,0))&gt;100,100,$AK31+IF(입력란!$C$19=1,10,IF(MID($E31,1,1)="2",10,0)))/100*($AL31/100-1))</f>
        <v>16004.949827208542</v>
      </c>
      <c r="M31" s="29">
        <f>V31*(1+IF($AK31+IF(입력란!$C$19=1,10,IF(MID($E31,1,1)="2",10,0))&gt;100,100,$AK31+IF(입력란!$C$19=1,10,IF(MID($E31,1,1)="2",10,0)))/100*($AL31/100-1))</f>
        <v>17851.674807271065</v>
      </c>
      <c r="N31" s="29">
        <f>W31*(1+IF($AK31+IF(입력란!$C$19=1,10,IF(MID($E31,1,1)="2",10,0))&gt;100,100,$AK31+IF(입력란!$C$19=1,10,IF(MID($E31,1,1)="2",10,0)))/100*($AL31/100-1))</f>
        <v>19698.39978733359</v>
      </c>
      <c r="O31" s="38"/>
      <c r="P31" s="38"/>
      <c r="Q31" s="29"/>
      <c r="R31" s="23">
        <f>SUM(S31:Z31)</f>
        <v>49006.787987745163</v>
      </c>
      <c r="S31" s="29">
        <f>AN31*IF(MID(E31,3,1)="3",트라이포드!$N$5,트라이포드!$M$5)/5</f>
        <v>7539.5058442684867</v>
      </c>
      <c r="T31" s="29">
        <f>AN31*IF(MID(E31,3,1)="2",1+트라이포드!$L$5/100,1+트라이포드!$K$5/100)*IF(MID(E31,3,1)="3",트라이포드!$N$5,트라이포드!$M$5)/5</f>
        <v>8670.4317209087585</v>
      </c>
      <c r="U31" s="29">
        <f>AN31*IF(MID(E31,3,1)="2",1+2*트라이포드!$L$5/100,1+트라이포드!$K$5/100)*IF(MID(E31,3,1)="3",트라이포드!$N$5,트라이포드!$M$5)/5</f>
        <v>9801.357597549033</v>
      </c>
      <c r="V31" s="29">
        <f>AN31*IF(MID(E31,3,1)="2",1+3*트라이포드!$L$5/100,1+트라이포드!$K$5/100)*IF(MID(E31,3,1)="3",트라이포드!$N$5,트라이포드!$M$5)/5</f>
        <v>10932.283474189306</v>
      </c>
      <c r="W31" s="38">
        <f>AN31*IF(MID(E31,3,1)="2",1+4*트라이포드!$L$5/100,1+트라이포드!$K$5/100)*IF(MID(E31,3,1)="3",트라이포드!$N$5,트라이포드!$M$5)/5</f>
        <v>12063.209350829578</v>
      </c>
      <c r="X31" s="38"/>
      <c r="Y31" s="38"/>
      <c r="Z31" s="24"/>
      <c r="AA31" s="29">
        <f>SUM(AB31:AI31)</f>
        <v>75395.058442684865</v>
      </c>
      <c r="AB31" s="29">
        <f>S31*2</f>
        <v>15079.011688536973</v>
      </c>
      <c r="AC31" s="29">
        <f>AB31</f>
        <v>15079.011688536973</v>
      </c>
      <c r="AD31" s="29">
        <f>AC31</f>
        <v>15079.011688536973</v>
      </c>
      <c r="AE31" s="29">
        <f>AD31</f>
        <v>15079.011688536973</v>
      </c>
      <c r="AF31" s="29">
        <f>AE31</f>
        <v>15079.011688536973</v>
      </c>
      <c r="AG31" s="38"/>
      <c r="AH31" s="38"/>
      <c r="AI31" s="24"/>
      <c r="AJ31" s="25">
        <f>AR31*(1-입력란!$C$29/100)</f>
        <v>7.6616573383200004</v>
      </c>
      <c r="AK3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1" s="25">
        <f>입력란!$C$37+입력란!$C$31+IF(입력란!$C$17=1,10,IF(입력란!$C$17=2,25,IF(입력란!$C$17=3,50,0)))</f>
        <v>295.58728189999999</v>
      </c>
      <c r="AM31" s="29">
        <f>SUM(AN31:AP31)</f>
        <v>37697.529221342433</v>
      </c>
      <c r="AN31" s="29">
        <f>(VLOOKUP(C31,$B$4:$AK$7,2,FALSE)+VLOOKUP(C31,$B$8:$AK$11,2,FALSE)*입력란!$C$23)*입력란!$C$38/100</f>
        <v>37697.529221342433</v>
      </c>
      <c r="AO31" s="25"/>
      <c r="AP31" s="29"/>
      <c r="AQ31" s="29"/>
      <c r="AR31" s="27">
        <v>8</v>
      </c>
    </row>
    <row r="32" spans="2:44" ht="13.5" customHeight="1" x14ac:dyDescent="0.3">
      <c r="B32" s="30">
        <v>17</v>
      </c>
      <c r="C32" s="39">
        <v>10</v>
      </c>
      <c r="D32" s="40" t="s">
        <v>83</v>
      </c>
      <c r="E32" s="37" t="s">
        <v>84</v>
      </c>
      <c r="F32" s="39" t="s">
        <v>87</v>
      </c>
      <c r="G32" s="39"/>
      <c r="H32" s="51">
        <f>I32/AJ32</f>
        <v>10978.827598037607</v>
      </c>
      <c r="I32" s="52">
        <f>SUM(J32:Q32)*IF(입력란!C$15=1,1.04,IF(입력란!C$15=2,1.1,IF(입력란!C$15=3,1.2,1)))*IF(입력란!$C$17&lt;&gt;0,0.98,1)</f>
        <v>84116.015032654977</v>
      </c>
      <c r="J32" s="29">
        <f>S32*(1+IF($AK32+IF(입력란!$C$19=1,10,0)&gt;100,100,$AK32+IF(입력란!$C$19=1,10,0))/100*($AL32/100-1))</f>
        <v>15171.615776987399</v>
      </c>
      <c r="K32" s="29">
        <f>T32*(1+IF($AK32+IF(입력란!$C$19=1,10,IF(MID($E32,1,1)="2",10,0))&gt;100,100,$AK32+IF(입력란!$C$19=1,10,IF(MID($E32,1,1)="2",10,0)))/100*($AL32/100-1))</f>
        <v>17236.099813916891</v>
      </c>
      <c r="L32" s="29">
        <f>U32*(1+IF($AK32+IF(입력란!$C$19=1,10,IF(MID($E32,1,1)="2",10,0))&gt;100,100,$AK32+IF(입력란!$C$19=1,10,IF(MID($E32,1,1)="2",10,0)))/100*($AL32/100-1))</f>
        <v>17236.099813916891</v>
      </c>
      <c r="M32" s="29">
        <f>V32*(1+IF($AK32+IF(입력란!$C$19=1,10,IF(MID($E32,1,1)="2",10,0))&gt;100,100,$AK32+IF(입력란!$C$19=1,10,IF(MID($E32,1,1)="2",10,0)))/100*($AL32/100-1))</f>
        <v>17236.099813916891</v>
      </c>
      <c r="N32" s="29">
        <f>W32*(1+IF($AK32+IF(입력란!$C$19=1,10,IF(MID($E32,1,1)="2",10,0))&gt;100,100,$AK32+IF(입력란!$C$19=1,10,IF(MID($E32,1,1)="2",10,0)))/100*($AL32/100-1))</f>
        <v>17236.099813916891</v>
      </c>
      <c r="O32" s="38"/>
      <c r="P32" s="38"/>
      <c r="Q32" s="29"/>
      <c r="R32" s="23">
        <f>SUM(S32:Z32)</f>
        <v>52776.540909879404</v>
      </c>
      <c r="S32" s="29">
        <f>AN32*IF(MID(E32,3,1)="3",트라이포드!$N$5,트라이포드!$M$5)/5</f>
        <v>10555.308181975881</v>
      </c>
      <c r="T32" s="29">
        <f>AN32*IF(MID(E32,3,1)="2",1+트라이포드!$L$5/100,1+트라이포드!$K$5/100)*IF(MID(E32,3,1)="3",트라이포드!$N$5,트라이포드!$M$5)/5</f>
        <v>10555.308181975881</v>
      </c>
      <c r="U32" s="29">
        <f>AN32*IF(MID(E32,3,1)="2",1+2*트라이포드!$L$5/100,1+트라이포드!$K$5/100)*IF(MID(E32,3,1)="3",트라이포드!$N$5,트라이포드!$M$5)/5</f>
        <v>10555.308181975881</v>
      </c>
      <c r="V32" s="29">
        <f>AN32*IF(MID(E32,3,1)="2",1+3*트라이포드!$L$5/100,1+트라이포드!$K$5/100)*IF(MID(E32,3,1)="3",트라이포드!$N$5,트라이포드!$M$5)/5</f>
        <v>10555.308181975881</v>
      </c>
      <c r="W32" s="38">
        <f>AN32*IF(MID(E32,3,1)="2",1+4*트라이포드!$L$5/100,1+트라이포드!$K$5/100)*IF(MID(E32,3,1)="3",트라이포드!$N$5,트라이포드!$M$5)/5</f>
        <v>10555.308181975881</v>
      </c>
      <c r="X32" s="38"/>
      <c r="Y32" s="38"/>
      <c r="Z32" s="24"/>
      <c r="AA32" s="29">
        <f>SUM(AB32:AI32)</f>
        <v>105553.08181975881</v>
      </c>
      <c r="AB32" s="29">
        <f>S32*2</f>
        <v>21110.616363951762</v>
      </c>
      <c r="AC32" s="29">
        <f>AB32</f>
        <v>21110.616363951762</v>
      </c>
      <c r="AD32" s="29">
        <f>AC32</f>
        <v>21110.616363951762</v>
      </c>
      <c r="AE32" s="29">
        <f>AD32</f>
        <v>21110.616363951762</v>
      </c>
      <c r="AF32" s="29">
        <f>AE32</f>
        <v>21110.616363951762</v>
      </c>
      <c r="AG32" s="38"/>
      <c r="AH32" s="38"/>
      <c r="AI32" s="24"/>
      <c r="AJ32" s="25">
        <f>AR32*(1-입력란!$C$29/100)</f>
        <v>7.6616573383200004</v>
      </c>
      <c r="AK3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2" s="25">
        <f>입력란!$C$37+입력란!$C$31+IF(입력란!$C$17=1,10,IF(입력란!$C$17=2,25,IF(입력란!$C$17=3,50,0)))</f>
        <v>295.58728189999999</v>
      </c>
      <c r="AM32" s="29">
        <f>SUM(AN32:AP32)</f>
        <v>37697.529221342433</v>
      </c>
      <c r="AN32" s="29">
        <f>(VLOOKUP(C32,$B$4:$AK$7,2,FALSE)+VLOOKUP(C32,$B$8:$AK$11,2,FALSE)*입력란!$C$23)*입력란!$C$38/100</f>
        <v>37697.529221342433</v>
      </c>
      <c r="AO32" s="25"/>
      <c r="AP32" s="29"/>
      <c r="AQ32" s="29"/>
      <c r="AR32" s="27">
        <v>8</v>
      </c>
    </row>
    <row r="33" spans="2:44" ht="13.5" customHeight="1" x14ac:dyDescent="0.3">
      <c r="B33" s="30">
        <v>18</v>
      </c>
      <c r="C33" s="39">
        <v>10</v>
      </c>
      <c r="D33" s="41" t="s">
        <v>83</v>
      </c>
      <c r="E33" s="37" t="s">
        <v>85</v>
      </c>
      <c r="F33" s="39" t="s">
        <v>88</v>
      </c>
      <c r="G33" s="39"/>
      <c r="H33" s="51">
        <f>I33/AJ33</f>
        <v>10978.827598037607</v>
      </c>
      <c r="I33" s="52">
        <f>SUM(J33:Q33)*IF(입력란!C$15=1,1.04,IF(입력란!C$15=2,1.1,IF(입력란!C$15=3,1.2,1)))*IF(입력란!$C$17&lt;&gt;0,0.98,1)</f>
        <v>84116.015032654977</v>
      </c>
      <c r="J33" s="29">
        <f>S33*(1+IF($AK33+IF(입력란!$C$19=1,10,0)&gt;100,100,$AK33+IF(입력란!$C$19=1,10,0))/100*($AL33/100-1))</f>
        <v>15171.615776987399</v>
      </c>
      <c r="K33" s="29">
        <f>T33*(1+IF($AK33+IF(입력란!$C$19=1,10,IF(MID($E33,1,1)="2",10,0))&gt;100,100,$AK33+IF(입력란!$C$19=1,10,IF(MID($E33,1,1)="2",10,0)))/100*($AL33/100-1))</f>
        <v>17236.099813916891</v>
      </c>
      <c r="L33" s="29">
        <f>U33*(1+IF($AK33+IF(입력란!$C$19=1,10,IF(MID($E33,1,1)="2",10,0))&gt;100,100,$AK33+IF(입력란!$C$19=1,10,IF(MID($E33,1,1)="2",10,0)))/100*($AL33/100-1))</f>
        <v>17236.099813916891</v>
      </c>
      <c r="M33" s="29">
        <f>V33*(1+IF($AK33+IF(입력란!$C$19=1,10,IF(MID($E33,1,1)="2",10,0))&gt;100,100,$AK33+IF(입력란!$C$19=1,10,IF(MID($E33,1,1)="2",10,0)))/100*($AL33/100-1))</f>
        <v>17236.099813916891</v>
      </c>
      <c r="N33" s="29">
        <f>W33*(1+IF($AK33+IF(입력란!$C$19=1,10,IF(MID($E33,1,1)="2",10,0))&gt;100,100,$AK33+IF(입력란!$C$19=1,10,IF(MID($E33,1,1)="2",10,0)))/100*($AL33/100-1))</f>
        <v>17236.099813916891</v>
      </c>
      <c r="O33" s="38"/>
      <c r="P33" s="38"/>
      <c r="Q33" s="29"/>
      <c r="R33" s="23">
        <f>SUM(S33:Z33)</f>
        <v>52776.540909879404</v>
      </c>
      <c r="S33" s="29">
        <f>AN33*IF(MID(E33,3,1)="3",트라이포드!$N$5,트라이포드!$M$5)/5</f>
        <v>10555.308181975881</v>
      </c>
      <c r="T33" s="29">
        <f>AN33*IF(MID(E33,3,1)="2",1+트라이포드!$L$5/100,1+트라이포드!$K$5/100)*IF(MID(E33,3,1)="3",트라이포드!$N$5,트라이포드!$M$5)/5</f>
        <v>10555.308181975881</v>
      </c>
      <c r="U33" s="29">
        <f>AN33*IF(MID(E33,3,1)="2",1+2*트라이포드!$L$5/100,1+트라이포드!$K$5/100)*IF(MID(E33,3,1)="3",트라이포드!$N$5,트라이포드!$M$5)/5</f>
        <v>10555.308181975881</v>
      </c>
      <c r="V33" s="29">
        <f>AN33*IF(MID(E33,3,1)="2",1+3*트라이포드!$L$5/100,1+트라이포드!$K$5/100)*IF(MID(E33,3,1)="3",트라이포드!$N$5,트라이포드!$M$5)/5</f>
        <v>10555.308181975881</v>
      </c>
      <c r="W33" s="38">
        <f>AN33*IF(MID(E33,3,1)="2",1+4*트라이포드!$L$5/100,1+트라이포드!$K$5/100)*IF(MID(E33,3,1)="3",트라이포드!$N$5,트라이포드!$M$5)/5</f>
        <v>10555.308181975881</v>
      </c>
      <c r="X33" s="38"/>
      <c r="Y33" s="38"/>
      <c r="Z33" s="24"/>
      <c r="AA33" s="29">
        <f>SUM(AB33:AI33)</f>
        <v>105553.08181975881</v>
      </c>
      <c r="AB33" s="29">
        <f>S33*2</f>
        <v>21110.616363951762</v>
      </c>
      <c r="AC33" s="29">
        <f>AB33</f>
        <v>21110.616363951762</v>
      </c>
      <c r="AD33" s="29">
        <f>AC33</f>
        <v>21110.616363951762</v>
      </c>
      <c r="AE33" s="29">
        <f>AD33</f>
        <v>21110.616363951762</v>
      </c>
      <c r="AF33" s="29">
        <f>AE33</f>
        <v>21110.616363951762</v>
      </c>
      <c r="AG33" s="38"/>
      <c r="AH33" s="38"/>
      <c r="AI33" s="24"/>
      <c r="AJ33" s="25">
        <f>AR33*(1-입력란!$C$29/100)</f>
        <v>7.6616573383200004</v>
      </c>
      <c r="AK3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3" s="25">
        <f>입력란!$C$37+입력란!$C$31+IF(입력란!$C$17=1,10,IF(입력란!$C$17=2,25,IF(입력란!$C$17=3,50,0)))</f>
        <v>295.58728189999999</v>
      </c>
      <c r="AM33" s="29">
        <f>SUM(AN33:AP33)</f>
        <v>37697.529221342433</v>
      </c>
      <c r="AN33" s="29">
        <f>(VLOOKUP(C33,$B$4:$AK$7,2,FALSE)+VLOOKUP(C33,$B$8:$AK$11,2,FALSE)*입력란!$C$23)*입력란!$C$38/100</f>
        <v>37697.529221342433</v>
      </c>
      <c r="AO33" s="25"/>
      <c r="AP33" s="29"/>
      <c r="AQ33" s="29"/>
      <c r="AR33" s="27">
        <v>8</v>
      </c>
    </row>
    <row r="34" spans="2:44" ht="13.5" customHeight="1" x14ac:dyDescent="0.3">
      <c r="B34" s="30">
        <v>19</v>
      </c>
      <c r="C34" s="35">
        <v>1</v>
      </c>
      <c r="D34" s="36" t="s">
        <v>74</v>
      </c>
      <c r="E34" s="37" t="s">
        <v>75</v>
      </c>
      <c r="F34" s="39"/>
      <c r="G34" s="39"/>
      <c r="H34" s="51">
        <f>I34/AJ34</f>
        <v>5543.9657162893873</v>
      </c>
      <c r="I34" s="52">
        <f>SUM(J34:Q34)*IF(입력란!C$15=1,1.04,IF(입력란!C$15=2,1.1,IF(입력란!C$15=3,1.2,1)))*IF(입력란!$C$17&lt;&gt;0,0.98,1)</f>
        <v>31856.974210202308</v>
      </c>
      <c r="J34" s="29">
        <f>S34*(1+IF($AK34+IF(입력란!$C$19=1,10,0)&gt;100,100,$AK34+IF(입력란!$C$19=1,10,0))/100*($AL34/100-1))</f>
        <v>31856.974210202308</v>
      </c>
      <c r="K34" s="29"/>
      <c r="L34" s="29"/>
      <c r="M34" s="29"/>
      <c r="N34" s="38"/>
      <c r="O34" s="38"/>
      <c r="P34" s="38"/>
      <c r="Q34" s="29">
        <f>Z34*(1+IF($AK34+IF(입력란!$C$19=1,10,0)&gt;100,100,$AK34+IF(입력란!$C$19=1,10,0))/100*($AL34/100-1))</f>
        <v>0</v>
      </c>
      <c r="R34" s="23">
        <f>SUM(S34:Z34)</f>
        <v>22163.768544942261</v>
      </c>
      <c r="S34" s="29">
        <f>AN34*IF(MID(E34,3,1)="1",트라이포드!$J$6,IF(MID(E34,3,1)="2",트라이포드!$L$6,IF(MID(E34,3,1)="3",트라이포드!$N$6,1)))*IF(MID(E34,5,1)="1",트라이포드!$P$6,트라이포드!$O$6)</f>
        <v>22163.768544942261</v>
      </c>
      <c r="T34" s="29"/>
      <c r="U34" s="29"/>
      <c r="V34" s="29"/>
      <c r="W34" s="38"/>
      <c r="X34" s="38"/>
      <c r="Y34" s="38"/>
      <c r="Z34" s="24">
        <f>AN34*IF(MID(E34,3,1)="1",트라이포드!$J$6,IF(MID(E34,3,1)="2",트라이포드!$L$6,IF(MID(E34,3,1)="3",트라이포드!$N$6,1)))*IF(MID(E34,5,1)="2",트라이포드!R$6,트라이포드!Q$6)</f>
        <v>0</v>
      </c>
      <c r="AA34" s="29">
        <f>SUM(AB34:AI34)</f>
        <v>44327.537089884521</v>
      </c>
      <c r="AB34" s="29">
        <f>S34*2</f>
        <v>44327.537089884521</v>
      </c>
      <c r="AC34" s="29"/>
      <c r="AD34" s="29"/>
      <c r="AE34" s="29"/>
      <c r="AF34" s="38"/>
      <c r="AG34" s="38"/>
      <c r="AH34" s="38"/>
      <c r="AI34" s="24">
        <f>Z34*2</f>
        <v>0</v>
      </c>
      <c r="AJ34" s="25">
        <f>(AR34+IF(MID(E34,3,1)="2",6,IF(MID(E34,3,1)="3",9,0)))*(1-입력란!$C$29/100)</f>
        <v>5.7462430037400001</v>
      </c>
      <c r="AK3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4" s="25">
        <f>입력란!$C$37+입력란!$C$31+IF(입력란!$C$17=1,10,IF(입력란!$C$17=2,25,IF(입력란!$C$17=3,50,0)))</f>
        <v>295.58728189999999</v>
      </c>
      <c r="AM34" s="29">
        <f>SUM(AN34:AP34)</f>
        <v>22163.768544942261</v>
      </c>
      <c r="AN34" s="29">
        <f>(VLOOKUP(C34,$B$4:$AK$7,3,FALSE)+VLOOKUP(C34,$B$8:$AK$11,3,FALSE)*입력란!$C$23)*입력란!$C$38/100</f>
        <v>22163.768544942261</v>
      </c>
      <c r="AO34" s="25"/>
      <c r="AP34" s="29"/>
      <c r="AQ34" s="29"/>
      <c r="AR34" s="27">
        <v>6</v>
      </c>
    </row>
    <row r="35" spans="2:44" ht="13.5" customHeight="1" x14ac:dyDescent="0.3">
      <c r="B35" s="30">
        <v>20</v>
      </c>
      <c r="C35" s="35">
        <v>4</v>
      </c>
      <c r="D35" s="36" t="s">
        <v>74</v>
      </c>
      <c r="E35" s="37" t="s">
        <v>75</v>
      </c>
      <c r="F35" s="39"/>
      <c r="G35" s="39"/>
      <c r="H35" s="51">
        <f>I35/AJ35</f>
        <v>5566.8782123562169</v>
      </c>
      <c r="I35" s="52">
        <f>SUM(J35:Q35)*IF(입력란!C$15=1,1.04,IF(입력란!C$15=2,1.1,IF(입력란!C$15=3,1.2,1)))*IF(입력란!$C$17&lt;&gt;0,0.98,1)</f>
        <v>31988.634980424547</v>
      </c>
      <c r="J35" s="29">
        <f>S35*(1+IF($AK35+IF(입력란!$C$19=1,10,0)&gt;100,100,$AK35+IF(입력란!$C$19=1,10,0))/100*($AL35/100-1))</f>
        <v>31988.634980424547</v>
      </c>
      <c r="K35" s="29"/>
      <c r="L35" s="29"/>
      <c r="M35" s="29"/>
      <c r="N35" s="38"/>
      <c r="O35" s="38"/>
      <c r="P35" s="38"/>
      <c r="Q35" s="29">
        <f>Z35*(1+IF($AK35+IF(입력란!$C$19=1,10,0)&gt;100,100,$AK35+IF(입력란!$C$19=1,10,0))/100*($AL35/100-1))</f>
        <v>0</v>
      </c>
      <c r="R35" s="23">
        <f>SUM(S35:Z35)</f>
        <v>22255.368544942263</v>
      </c>
      <c r="S35" s="29">
        <f>AN35*IF(MID(E35,3,1)="1",트라이포드!$J$6,IF(MID(E35,3,1)="2",트라이포드!$L$6,IF(MID(E35,3,1)="3",트라이포드!$N$6,1)))*IF(MID(E35,5,1)="1",트라이포드!$P$6,트라이포드!$O$6)</f>
        <v>22255.368544942263</v>
      </c>
      <c r="T35" s="29"/>
      <c r="U35" s="29"/>
      <c r="V35" s="29"/>
      <c r="W35" s="38"/>
      <c r="X35" s="38"/>
      <c r="Y35" s="38"/>
      <c r="Z35" s="24">
        <f>AN35*IF(MID(E35,3,1)="1",트라이포드!$J$6,IF(MID(E35,3,1)="2",트라이포드!$L$6,IF(MID(E35,3,1)="3",트라이포드!$N$6,1)))*IF(MID(E35,5,1)="2",트라이포드!R$6,트라이포드!Q$6)</f>
        <v>0</v>
      </c>
      <c r="AA35" s="29">
        <f>SUM(AB35:AI35)</f>
        <v>44510.737089884526</v>
      </c>
      <c r="AB35" s="29">
        <f>S35*2</f>
        <v>44510.737089884526</v>
      </c>
      <c r="AC35" s="29"/>
      <c r="AD35" s="25"/>
      <c r="AE35" s="25"/>
      <c r="AF35" s="38"/>
      <c r="AG35" s="38"/>
      <c r="AH35" s="38"/>
      <c r="AI35" s="24">
        <f>Z35*2</f>
        <v>0</v>
      </c>
      <c r="AJ35" s="25">
        <f>(AR35+IF(MID(E35,3,1)="2",6,IF(MID(E35,3,1)="3",9,0)))*(1-입력란!$C$29/100)</f>
        <v>5.7462430037400001</v>
      </c>
      <c r="AK3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" s="25">
        <f>입력란!$C$37+입력란!$C$31+IF(입력란!$C$17=1,10,IF(입력란!$C$17=2,25,IF(입력란!$C$17=3,50,0)))</f>
        <v>295.58728189999999</v>
      </c>
      <c r="AM35" s="29">
        <f>SUM(AN35:AP35)</f>
        <v>22255.368544942263</v>
      </c>
      <c r="AN35" s="29">
        <f>(VLOOKUP(C35,$B$4:$AK$7,3,FALSE)+VLOOKUP(C35,$B$8:$AK$11,3,FALSE)*입력란!$C$23)*입력란!$C$38/100</f>
        <v>22255.368544942263</v>
      </c>
      <c r="AO35" s="25"/>
      <c r="AP35" s="29"/>
      <c r="AQ35" s="29"/>
      <c r="AR35" s="27">
        <v>6</v>
      </c>
    </row>
    <row r="36" spans="2:44" ht="13.5" customHeight="1" x14ac:dyDescent="0.3">
      <c r="B36" s="30">
        <v>21</v>
      </c>
      <c r="C36" s="35">
        <v>7</v>
      </c>
      <c r="D36" s="36" t="s">
        <v>73</v>
      </c>
      <c r="E36" s="37" t="s">
        <v>75</v>
      </c>
      <c r="F36" s="39"/>
      <c r="G36" s="39"/>
      <c r="H36" s="51">
        <f>I36/AJ36</f>
        <v>5577.5840511298011</v>
      </c>
      <c r="I36" s="52">
        <f>SUM(J36:Q36)*IF(입력란!C$15=1,1.04,IF(입력란!C$15=2,1.1,IF(입력란!C$15=3,1.2,1)))*IF(입력란!$C$17&lt;&gt;0,0.98,1)</f>
        <v>32050.153331576425</v>
      </c>
      <c r="J36" s="29">
        <f>S36*(1+IF($AK36+IF(입력란!$C$19=1,10,0)&gt;100,100,$AK36+IF(입력란!$C$19=1,10,0))/100*($AL36/100-1))</f>
        <v>32050.153331576425</v>
      </c>
      <c r="K36" s="29"/>
      <c r="L36" s="29"/>
      <c r="M36" s="29"/>
      <c r="N36" s="38"/>
      <c r="O36" s="38"/>
      <c r="P36" s="38"/>
      <c r="Q36" s="29">
        <f>Z36*(1+IF($AK36+IF(입력란!$C$19=1,10,0)&gt;100,100,$AK36+IF(입력란!$C$19=1,10,0))/100*($AL36/100-1))</f>
        <v>0</v>
      </c>
      <c r="R36" s="23">
        <f>SUM(S36:Z36)</f>
        <v>22298.168544942262</v>
      </c>
      <c r="S36" s="29">
        <f>AN36*IF(MID(E36,3,1)="1",트라이포드!$J$6,IF(MID(E36,3,1)="2",트라이포드!$L$6,IF(MID(E36,3,1)="3",트라이포드!$N$6,1)))*IF(MID(E36,5,1)="1",트라이포드!$P$6,트라이포드!$O$6)</f>
        <v>22298.168544942262</v>
      </c>
      <c r="T36" s="29"/>
      <c r="U36" s="29"/>
      <c r="V36" s="29"/>
      <c r="W36" s="38"/>
      <c r="X36" s="38"/>
      <c r="Y36" s="38"/>
      <c r="Z36" s="24">
        <f>AN36*IF(MID(E36,3,1)="1",트라이포드!$J$6,IF(MID(E36,3,1)="2",트라이포드!$L$6,IF(MID(E36,3,1)="3",트라이포드!$N$6,1)))*IF(MID(E36,5,1)="2",트라이포드!R$6,트라이포드!Q$6)</f>
        <v>0</v>
      </c>
      <c r="AA36" s="29">
        <f>SUM(AB36:AI36)</f>
        <v>44596.337089884524</v>
      </c>
      <c r="AB36" s="29">
        <f>S36*2</f>
        <v>44596.337089884524</v>
      </c>
      <c r="AC36" s="29"/>
      <c r="AD36" s="25"/>
      <c r="AE36" s="25"/>
      <c r="AF36" s="38"/>
      <c r="AG36" s="38"/>
      <c r="AH36" s="38"/>
      <c r="AI36" s="24">
        <f>Z36*2</f>
        <v>0</v>
      </c>
      <c r="AJ36" s="25">
        <f>(AR36+IF(MID(E36,3,1)="2",6,IF(MID(E36,3,1)="3",9,0)))*(1-입력란!$C$29/100)</f>
        <v>5.7462430037400001</v>
      </c>
      <c r="AK3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" s="25">
        <f>입력란!$C$37+입력란!$C$31+IF(입력란!$C$17=1,10,IF(입력란!$C$17=2,25,IF(입력란!$C$17=3,50,0)))</f>
        <v>295.58728189999999</v>
      </c>
      <c r="AM36" s="29">
        <f>SUM(AN36:AP36)</f>
        <v>22298.168544942262</v>
      </c>
      <c r="AN36" s="29">
        <f>(VLOOKUP(C36,$B$4:$AK$7,3,FALSE)+VLOOKUP(C36,$B$8:$AK$11,3,FALSE)*입력란!$C$23)*입력란!$C$38/100</f>
        <v>22298.168544942262</v>
      </c>
      <c r="AO36" s="25"/>
      <c r="AP36" s="29"/>
      <c r="AQ36" s="29"/>
      <c r="AR36" s="27">
        <v>6</v>
      </c>
    </row>
    <row r="37" spans="2:44" ht="13.5" customHeight="1" x14ac:dyDescent="0.3">
      <c r="B37" s="30">
        <v>22</v>
      </c>
      <c r="C37" s="35">
        <v>7</v>
      </c>
      <c r="D37" s="36" t="s">
        <v>73</v>
      </c>
      <c r="E37" s="37" t="s">
        <v>77</v>
      </c>
      <c r="F37" s="39"/>
      <c r="G37" s="39"/>
      <c r="H37" s="51">
        <f>I37/AJ37</f>
        <v>8366.3760766946998</v>
      </c>
      <c r="I37" s="52">
        <f>SUM(J37:Q37)*IF(입력란!C$15=1,1.04,IF(입력란!C$15=2,1.1,IF(입력란!C$15=3,1.2,1)))*IF(입력란!$C$17&lt;&gt;0,0.98,1)</f>
        <v>48075.22999736463</v>
      </c>
      <c r="J37" s="29">
        <f>S37*(1+IF($AK37+IF(입력란!$C$19=1,10,0)&gt;100,100,$AK37+IF(입력란!$C$19=1,10,0))/100*($AL37/100-1))</f>
        <v>48075.22999736463</v>
      </c>
      <c r="K37" s="29"/>
      <c r="L37" s="29"/>
      <c r="M37" s="29"/>
      <c r="N37" s="38"/>
      <c r="O37" s="38"/>
      <c r="P37" s="38"/>
      <c r="Q37" s="29">
        <f>Z37*(1+IF($AK37+IF(입력란!$C$19=1,10,0)&gt;100,100,$AK37+IF(입력란!$C$19=1,10,0))/100*($AL37/100-1))</f>
        <v>0</v>
      </c>
      <c r="R37" s="23">
        <f>SUM(S37:Z37)</f>
        <v>33447.252817413391</v>
      </c>
      <c r="S37" s="29">
        <f>AN37*IF(MID(E37,3,1)="1",트라이포드!$J$6,IF(MID(E37,3,1)="2",트라이포드!$L$6,IF(MID(E37,3,1)="3",트라이포드!$N$6,1)))*IF(MID(E37,5,1)="1",트라이포드!$P$6,트라이포드!$O$6)</f>
        <v>33447.252817413391</v>
      </c>
      <c r="T37" s="29"/>
      <c r="U37" s="29"/>
      <c r="V37" s="29"/>
      <c r="W37" s="38"/>
      <c r="X37" s="38"/>
      <c r="Y37" s="38"/>
      <c r="Z37" s="24">
        <f>AN37*IF(MID(E37,3,1)="1",트라이포드!$J$6,IF(MID(E37,3,1)="2",트라이포드!$L$6,IF(MID(E37,3,1)="3",트라이포드!$N$6,1)))*IF(MID(E37,5,1)="2",트라이포드!R$6,트라이포드!Q$6)</f>
        <v>0</v>
      </c>
      <c r="AA37" s="29">
        <f>SUM(AB37:AI37)</f>
        <v>66894.505634826783</v>
      </c>
      <c r="AB37" s="29">
        <f>S37*2</f>
        <v>66894.505634826783</v>
      </c>
      <c r="AC37" s="29"/>
      <c r="AD37" s="25"/>
      <c r="AE37" s="25"/>
      <c r="AF37" s="38"/>
      <c r="AG37" s="38"/>
      <c r="AH37" s="38"/>
      <c r="AI37" s="24">
        <f>Z37*2</f>
        <v>0</v>
      </c>
      <c r="AJ37" s="25">
        <f>(AR37+IF(MID(E37,3,1)="2",6,IF(MID(E37,3,1)="3",9,0)))*(1-입력란!$C$29/100)</f>
        <v>5.7462430037400001</v>
      </c>
      <c r="AK3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" s="25">
        <f>입력란!$C$37+입력란!$C$31+IF(입력란!$C$17=1,10,IF(입력란!$C$17=2,25,IF(입력란!$C$17=3,50,0)))</f>
        <v>295.58728189999999</v>
      </c>
      <c r="AM37" s="29">
        <f>SUM(AN37:AP37)</f>
        <v>22298.168544942262</v>
      </c>
      <c r="AN37" s="29">
        <f>(VLOOKUP(C37,$B$4:$AK$7,3,FALSE)+VLOOKUP(C37,$B$8:$AK$11,3,FALSE)*입력란!$C$23)*입력란!$C$38/100</f>
        <v>22298.168544942262</v>
      </c>
      <c r="AO37" s="25"/>
      <c r="AP37" s="29"/>
      <c r="AQ37" s="29"/>
      <c r="AR37" s="27">
        <v>6</v>
      </c>
    </row>
    <row r="38" spans="2:44" ht="13.5" customHeight="1" x14ac:dyDescent="0.3">
      <c r="B38" s="30">
        <v>23</v>
      </c>
      <c r="C38" s="35">
        <v>7</v>
      </c>
      <c r="D38" s="36" t="s">
        <v>73</v>
      </c>
      <c r="E38" s="37" t="s">
        <v>78</v>
      </c>
      <c r="F38" s="39"/>
      <c r="G38" s="39"/>
      <c r="H38" s="51">
        <f>I38/AJ38</f>
        <v>1394.3960127824503</v>
      </c>
      <c r="I38" s="52">
        <f>SUM(J38:Q38)*IF(입력란!C$15=1,1.04,IF(입력란!C$15=2,1.1,IF(입력란!C$15=3,1.2,1)))*IF(입력란!$C$17&lt;&gt;0,0.98,1)</f>
        <v>16025.076665788212</v>
      </c>
      <c r="J38" s="29">
        <f>S38*(1+IF($AK38+IF(입력란!$C$19=1,10,0)&gt;100,100,$AK38+IF(입력란!$C$19=1,10,0))/100*($AL38/100-1))</f>
        <v>16025.076665788212</v>
      </c>
      <c r="K38" s="29"/>
      <c r="L38" s="29"/>
      <c r="M38" s="29"/>
      <c r="N38" s="38"/>
      <c r="O38" s="38"/>
      <c r="P38" s="38"/>
      <c r="Q38" s="29">
        <f>Z38*(1+IF($AK38+IF(입력란!$C$19=1,10,0)&gt;100,100,$AK38+IF(입력란!$C$19=1,10,0))/100*($AL38/100-1))</f>
        <v>0</v>
      </c>
      <c r="R38" s="23">
        <f>SUM(S38:Z38)</f>
        <v>11149.084272471131</v>
      </c>
      <c r="S38" s="29">
        <f>AN38*IF(MID(E38,3,1)="1",트라이포드!$J$6,IF(MID(E38,3,1)="2",트라이포드!$L$6,IF(MID(E38,3,1)="3",트라이포드!$N$6,1)))*IF(MID(E38,5,1)="1",트라이포드!$P$6,트라이포드!$O$6)</f>
        <v>11149.084272471131</v>
      </c>
      <c r="T38" s="29"/>
      <c r="U38" s="29"/>
      <c r="V38" s="29"/>
      <c r="W38" s="38"/>
      <c r="X38" s="38"/>
      <c r="Y38" s="38"/>
      <c r="Z38" s="24">
        <f>AN38*IF(MID(E38,3,1)="1",트라이포드!$J$6,IF(MID(E38,3,1)="2",트라이포드!$L$6,IF(MID(E38,3,1)="3",트라이포드!$N$6,1)))*IF(MID(E38,5,1)="2",트라이포드!R$6,트라이포드!Q$6)</f>
        <v>0</v>
      </c>
      <c r="AA38" s="29">
        <f>SUM(AB38:AI38)</f>
        <v>22298.168544942262</v>
      </c>
      <c r="AB38" s="29">
        <f>S38*2</f>
        <v>22298.168544942262</v>
      </c>
      <c r="AC38" s="29"/>
      <c r="AD38" s="25"/>
      <c r="AE38" s="25"/>
      <c r="AF38" s="38"/>
      <c r="AG38" s="38"/>
      <c r="AH38" s="38"/>
      <c r="AI38" s="24">
        <f>Z38*2</f>
        <v>0</v>
      </c>
      <c r="AJ38" s="25">
        <f>(AR38+IF(MID(E38,3,1)="2",6,IF(MID(E38,3,1)="3",9,0)))*(1-입력란!$C$29/100)</f>
        <v>11.49248600748</v>
      </c>
      <c r="AK3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8" s="25">
        <f>입력란!$C$37+입력란!$C$31+IF(입력란!$C$17=1,10,IF(입력란!$C$17=2,25,IF(입력란!$C$17=3,50,0)))</f>
        <v>295.58728189999999</v>
      </c>
      <c r="AM38" s="29">
        <f>SUM(AN38:AP38)</f>
        <v>22298.168544942262</v>
      </c>
      <c r="AN38" s="29">
        <f>(VLOOKUP(C38,$B$4:$AK$7,3,FALSE)+VLOOKUP(C38,$B$8:$AK$11,3,FALSE)*입력란!$C$23)*입력란!$C$38/100</f>
        <v>22298.168544942262</v>
      </c>
      <c r="AO38" s="25"/>
      <c r="AP38" s="29"/>
      <c r="AQ38" s="29"/>
      <c r="AR38" s="27">
        <v>6</v>
      </c>
    </row>
    <row r="39" spans="2:44" ht="13.5" customHeight="1" x14ac:dyDescent="0.3">
      <c r="B39" s="30">
        <v>24</v>
      </c>
      <c r="C39" s="35">
        <v>7</v>
      </c>
      <c r="D39" s="36" t="s">
        <v>73</v>
      </c>
      <c r="E39" s="37" t="s">
        <v>79</v>
      </c>
      <c r="F39" s="39"/>
      <c r="G39" s="39"/>
      <c r="H39" s="51">
        <f>I39/AJ39</f>
        <v>557.75840511298009</v>
      </c>
      <c r="I39" s="52">
        <f>SUM(J39:Q39)*IF(입력란!C$15=1,1.04,IF(입력란!C$15=2,1.1,IF(입력란!C$15=3,1.2,1)))*IF(입력란!$C$17&lt;&gt;0,0.98,1)</f>
        <v>8012.5383328941061</v>
      </c>
      <c r="J39" s="29">
        <f>S39*(1+IF($AK39+IF(입력란!$C$19=1,10,0)&gt;100,100,$AK39+IF(입력란!$C$19=1,10,0))/100*($AL39/100-1))</f>
        <v>8012.5383328941061</v>
      </c>
      <c r="K39" s="29"/>
      <c r="L39" s="29"/>
      <c r="M39" s="29"/>
      <c r="N39" s="38"/>
      <c r="O39" s="38"/>
      <c r="P39" s="38"/>
      <c r="Q39" s="29">
        <f>Z39*(1+IF($AK39+IF(입력란!$C$19=1,10,0)&gt;100,100,$AK39+IF(입력란!$C$19=1,10,0))/100*($AL39/100-1))</f>
        <v>0</v>
      </c>
      <c r="R39" s="23">
        <f>SUM(S39:Z39)</f>
        <v>5574.5421362355655</v>
      </c>
      <c r="S39" s="29">
        <f>AN39*IF(MID(E39,3,1)="1",트라이포드!$J$6,IF(MID(E39,3,1)="2",트라이포드!$L$6,IF(MID(E39,3,1)="3",트라이포드!$N$6,1)))*IF(MID(E39,5,1)="1",트라이포드!$P$6,트라이포드!$O$6)</f>
        <v>5574.5421362355655</v>
      </c>
      <c r="T39" s="29"/>
      <c r="U39" s="29"/>
      <c r="V39" s="29"/>
      <c r="W39" s="38"/>
      <c r="X39" s="38"/>
      <c r="Y39" s="38"/>
      <c r="Z39" s="24">
        <f>AN39*IF(MID(E39,3,1)="1",트라이포드!$J$6,IF(MID(E39,3,1)="2",트라이포드!$L$6,IF(MID(E39,3,1)="3",트라이포드!$N$6,1)))*IF(MID(E39,5,1)="2",트라이포드!R$6,트라이포드!Q$6)</f>
        <v>0</v>
      </c>
      <c r="AA39" s="29">
        <f>SUM(AB39:AI39)</f>
        <v>11149.084272471131</v>
      </c>
      <c r="AB39" s="29">
        <f>S39*2</f>
        <v>11149.084272471131</v>
      </c>
      <c r="AC39" s="29"/>
      <c r="AD39" s="25"/>
      <c r="AE39" s="25"/>
      <c r="AF39" s="38"/>
      <c r="AG39" s="38"/>
      <c r="AH39" s="38"/>
      <c r="AI39" s="24">
        <f>Z39*2</f>
        <v>0</v>
      </c>
      <c r="AJ39" s="25">
        <f>(AR39+IF(MID(E39,3,1)="2",6,IF(MID(E39,3,1)="3",9,0)))*(1-입력란!$C$29/100)</f>
        <v>14.365607509350001</v>
      </c>
      <c r="AK3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9" s="25">
        <f>입력란!$C$37+입력란!$C$31+IF(입력란!$C$17=1,10,IF(입력란!$C$17=2,25,IF(입력란!$C$17=3,50,0)))</f>
        <v>295.58728189999999</v>
      </c>
      <c r="AM39" s="29">
        <f>SUM(AN39:AP39)</f>
        <v>22298.168544942262</v>
      </c>
      <c r="AN39" s="29">
        <f>(VLOOKUP(C39,$B$4:$AK$7,3,FALSE)+VLOOKUP(C39,$B$8:$AK$11,3,FALSE)*입력란!$C$23)*입력란!$C$38/100</f>
        <v>22298.168544942262</v>
      </c>
      <c r="AO39" s="25"/>
      <c r="AP39" s="29"/>
      <c r="AQ39" s="29"/>
      <c r="AR39" s="27">
        <v>6</v>
      </c>
    </row>
    <row r="40" spans="2:44" ht="13.5" customHeight="1" x14ac:dyDescent="0.3">
      <c r="B40" s="30">
        <v>25</v>
      </c>
      <c r="C40" s="35">
        <v>10</v>
      </c>
      <c r="D40" s="36" t="s">
        <v>73</v>
      </c>
      <c r="E40" s="37" t="s">
        <v>75</v>
      </c>
      <c r="F40" s="39"/>
      <c r="G40" s="39"/>
      <c r="H40" s="51">
        <f>I40/AJ40</f>
        <v>5584.3877617522649</v>
      </c>
      <c r="I40" s="52">
        <f>SUM(J40:Q40)*IF(입력란!C$15=1,1.04,IF(입력란!C$15=2,1.1,IF(입력란!C$15=3,1.2,1)))*IF(입력란!$C$17&lt;&gt;0,0.98,1)</f>
        <v>32089.249106140232</v>
      </c>
      <c r="J40" s="29">
        <f>S40*(1+IF($AK40+IF(입력란!$C$19=1,10,0)&gt;100,100,$AK40+IF(입력란!$C$19=1,10,0))/100*($AL40/100-1))</f>
        <v>32089.249106140232</v>
      </c>
      <c r="K40" s="29"/>
      <c r="L40" s="29"/>
      <c r="M40" s="29"/>
      <c r="N40" s="38"/>
      <c r="O40" s="38"/>
      <c r="P40" s="38"/>
      <c r="Q40" s="29">
        <f>Z40*(1+IF($AK40+IF(입력란!$C$19=1,10,0)&gt;100,100,$AK40+IF(입력란!$C$19=1,10,0))/100*($AL40/100-1))</f>
        <v>0</v>
      </c>
      <c r="R40" s="23">
        <f>SUM(S40:Z40)</f>
        <v>22325.368544942263</v>
      </c>
      <c r="S40" s="29">
        <f>AN40*IF(MID(E40,3,1)="1",트라이포드!$J$6,IF(MID(E40,3,1)="2",트라이포드!$L$6,IF(MID(E40,3,1)="3",트라이포드!$N$6,1)))*IF(MID(E40,5,1)="1",트라이포드!$P$6,트라이포드!$O$6)</f>
        <v>22325.368544942263</v>
      </c>
      <c r="T40" s="29"/>
      <c r="U40" s="29"/>
      <c r="V40" s="29"/>
      <c r="W40" s="38"/>
      <c r="X40" s="38"/>
      <c r="Y40" s="38"/>
      <c r="Z40" s="24">
        <f>AN40*IF(MID(E40,3,1)="1",트라이포드!$J$6,IF(MID(E40,3,1)="2",트라이포드!$L$6,IF(MID(E40,3,1)="3",트라이포드!$N$6,1)))*IF(MID(E40,5,1)="2",트라이포드!R$6,트라이포드!Q$6)</f>
        <v>0</v>
      </c>
      <c r="AA40" s="29">
        <f>SUM(AB40:AI40)</f>
        <v>44650.737089884526</v>
      </c>
      <c r="AB40" s="29">
        <f>S40*2</f>
        <v>44650.737089884526</v>
      </c>
      <c r="AC40" s="29"/>
      <c r="AD40" s="25"/>
      <c r="AE40" s="25"/>
      <c r="AF40" s="38"/>
      <c r="AG40" s="38"/>
      <c r="AH40" s="38"/>
      <c r="AI40" s="24">
        <f>Z40*2</f>
        <v>0</v>
      </c>
      <c r="AJ40" s="25">
        <f>(AR40+IF(MID(E40,3,1)="2",6,IF(MID(E40,3,1)="3",9,0)))*(1-입력란!$C$29/100)</f>
        <v>5.7462430037400001</v>
      </c>
      <c r="AK4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" s="25">
        <f>입력란!$C$37+입력란!$C$31+IF(입력란!$C$17=1,10,IF(입력란!$C$17=2,25,IF(입력란!$C$17=3,50,0)))</f>
        <v>295.58728189999999</v>
      </c>
      <c r="AM40" s="29">
        <f>SUM(AN40:AP40)</f>
        <v>22325.368544942263</v>
      </c>
      <c r="AN40" s="29">
        <f>(VLOOKUP(C40,$B$4:$AK$7,3,FALSE)+VLOOKUP(C40,$B$8:$AK$11,3,FALSE)*입력란!$C$23)*입력란!$C$38/100</f>
        <v>22325.368544942263</v>
      </c>
      <c r="AO40" s="25"/>
      <c r="AP40" s="29"/>
      <c r="AQ40" s="29"/>
      <c r="AR40" s="27">
        <v>6</v>
      </c>
    </row>
    <row r="41" spans="2:44" ht="13.5" customHeight="1" x14ac:dyDescent="0.3">
      <c r="B41" s="30">
        <v>26</v>
      </c>
      <c r="C41" s="35">
        <v>10</v>
      </c>
      <c r="D41" s="36" t="s">
        <v>73</v>
      </c>
      <c r="E41" s="37" t="s">
        <v>337</v>
      </c>
      <c r="F41" s="39"/>
      <c r="G41" s="39"/>
      <c r="H41" s="51">
        <f>I41/AJ41</f>
        <v>8376.5816426283982</v>
      </c>
      <c r="I41" s="52">
        <f>SUM(J41:Q41)*IF(입력란!C$15=1,1.04,IF(입력란!C$15=2,1.1,IF(입력란!C$15=3,1.2,1)))*IF(입력란!$C$17&lt;&gt;0,0.98,1)</f>
        <v>48133.873659210352</v>
      </c>
      <c r="J41" s="29">
        <f>S41*(1+IF($AK41+IF(입력란!$C$19=1,10,0)&gt;100,100,$AK41+IF(입력란!$C$19=1,10,0))/100*($AL41/100-1))</f>
        <v>48133.873659210352</v>
      </c>
      <c r="K41" s="29"/>
      <c r="L41" s="29"/>
      <c r="M41" s="29"/>
      <c r="N41" s="38"/>
      <c r="O41" s="38"/>
      <c r="P41" s="38"/>
      <c r="Q41" s="29">
        <f>Z41*(1+IF($AK41+IF(입력란!$C$19=1,10,0)&gt;100,100,$AK41+IF(입력란!$C$19=1,10,0))/100*($AL41/100-1))</f>
        <v>0</v>
      </c>
      <c r="R41" s="23">
        <f>SUM(S41:Z41)</f>
        <v>33488.052817413394</v>
      </c>
      <c r="S41" s="29">
        <f>AN41*IF(MID(E41,3,1)="1",트라이포드!$J$6,IF(MID(E41,3,1)="2",트라이포드!$L$6,IF(MID(E41,3,1)="3",트라이포드!$N$6,1)))*IF(MID(E41,5,1)="1",트라이포드!$P$6,트라이포드!$O$6)</f>
        <v>33488.052817413394</v>
      </c>
      <c r="T41" s="29"/>
      <c r="U41" s="29"/>
      <c r="V41" s="29"/>
      <c r="W41" s="38"/>
      <c r="X41" s="38"/>
      <c r="Y41" s="38"/>
      <c r="Z41" s="24">
        <f>AN41*IF(MID(E41,3,1)="1",트라이포드!$J$6,IF(MID(E41,3,1)="2",트라이포드!$L$6,IF(MID(E41,3,1)="3",트라이포드!$N$6,1)))*IF(MID(E41,5,1)="2",트라이포드!R$6,트라이포드!Q$6)</f>
        <v>0</v>
      </c>
      <c r="AA41" s="29">
        <f>SUM(AB41:AI41)</f>
        <v>66976.105634826788</v>
      </c>
      <c r="AB41" s="29">
        <f>S41*2</f>
        <v>66976.105634826788</v>
      </c>
      <c r="AC41" s="29"/>
      <c r="AD41" s="25"/>
      <c r="AE41" s="25"/>
      <c r="AF41" s="38"/>
      <c r="AG41" s="38"/>
      <c r="AH41" s="38"/>
      <c r="AI41" s="24">
        <f>Z41*2</f>
        <v>0</v>
      </c>
      <c r="AJ41" s="25">
        <f>(AR41+IF(MID(E41,3,1)="2",6,IF(MID(E41,3,1)="3",9,0)))*(1-입력란!$C$29/100)</f>
        <v>5.7462430037400001</v>
      </c>
      <c r="AK4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" s="25">
        <f>입력란!$C$37+입력란!$C$31+IF(입력란!$C$17=1,10,IF(입력란!$C$17=2,25,IF(입력란!$C$17=3,50,0)))</f>
        <v>295.58728189999999</v>
      </c>
      <c r="AM41" s="29">
        <f>SUM(AN41:AP41)</f>
        <v>22325.368544942263</v>
      </c>
      <c r="AN41" s="29">
        <f>(VLOOKUP(C41,$B$4:$AK$7,3,FALSE)+VLOOKUP(C41,$B$8:$AK$11,3,FALSE)*입력란!$C$23)*입력란!$C$38/100</f>
        <v>22325.368544942263</v>
      </c>
      <c r="AO41" s="25"/>
      <c r="AP41" s="29"/>
      <c r="AQ41" s="29"/>
      <c r="AR41" s="27">
        <v>6</v>
      </c>
    </row>
    <row r="42" spans="2:44" ht="13.5" customHeight="1" x14ac:dyDescent="0.3">
      <c r="B42" s="30">
        <v>27</v>
      </c>
      <c r="C42" s="35">
        <v>10</v>
      </c>
      <c r="D42" s="36" t="s">
        <v>73</v>
      </c>
      <c r="E42" s="37" t="s">
        <v>338</v>
      </c>
      <c r="F42" s="39"/>
      <c r="G42" s="39"/>
      <c r="H42" s="51">
        <f>I42/AJ42</f>
        <v>1396.0969404380662</v>
      </c>
      <c r="I42" s="52">
        <f>SUM(J42:Q42)*IF(입력란!C$15=1,1.04,IF(입력란!C$15=2,1.1,IF(입력란!C$15=3,1.2,1)))*IF(입력란!$C$17&lt;&gt;0,0.98,1)</f>
        <v>16044.624553070116</v>
      </c>
      <c r="J42" s="29">
        <f>S42*(1+IF($AK42+IF(입력란!$C$19=1,10,0)&gt;100,100,$AK42+IF(입력란!$C$19=1,10,0))/100*($AL42/100-1))</f>
        <v>16044.624553070116</v>
      </c>
      <c r="K42" s="29"/>
      <c r="L42" s="29"/>
      <c r="M42" s="29"/>
      <c r="N42" s="38"/>
      <c r="O42" s="38"/>
      <c r="P42" s="38"/>
      <c r="Q42" s="29">
        <f>Z42*(1+IF($AK42+IF(입력란!$C$19=1,10,0)&gt;100,100,$AK42+IF(입력란!$C$19=1,10,0))/100*($AL42/100-1))</f>
        <v>0</v>
      </c>
      <c r="R42" s="23">
        <f>SUM(S42:Z42)</f>
        <v>11162.684272471131</v>
      </c>
      <c r="S42" s="29">
        <f>AN42*IF(MID(E42,3,1)="1",트라이포드!$J$6,IF(MID(E42,3,1)="2",트라이포드!$L$6,IF(MID(E42,3,1)="3",트라이포드!$N$6,1)))*IF(MID(E42,5,1)="1",트라이포드!$P$6,트라이포드!$O$6)</f>
        <v>11162.684272471131</v>
      </c>
      <c r="T42" s="29"/>
      <c r="U42" s="29"/>
      <c r="V42" s="29"/>
      <c r="W42" s="38"/>
      <c r="X42" s="38"/>
      <c r="Y42" s="38"/>
      <c r="Z42" s="24">
        <f>AN42*IF(MID(E42,3,1)="1",트라이포드!$J$6,IF(MID(E42,3,1)="2",트라이포드!$L$6,IF(MID(E42,3,1)="3",트라이포드!$N$6,1)))*IF(MID(E42,5,1)="2",트라이포드!R$6,트라이포드!Q$6)</f>
        <v>0</v>
      </c>
      <c r="AA42" s="29">
        <f>SUM(AB42:AI42)</f>
        <v>22325.368544942263</v>
      </c>
      <c r="AB42" s="29">
        <f>S42*2</f>
        <v>22325.368544942263</v>
      </c>
      <c r="AC42" s="29"/>
      <c r="AD42" s="25"/>
      <c r="AE42" s="25"/>
      <c r="AF42" s="38"/>
      <c r="AG42" s="38"/>
      <c r="AH42" s="38"/>
      <c r="AI42" s="24">
        <f>Z42*2</f>
        <v>0</v>
      </c>
      <c r="AJ42" s="25">
        <f>(AR42+IF(MID(E42,3,1)="2",6,IF(MID(E42,3,1)="3",9,0)))*(1-입력란!$C$29/100)</f>
        <v>11.49248600748</v>
      </c>
      <c r="AK4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2" s="25">
        <f>입력란!$C$37+입력란!$C$31+IF(입력란!$C$17=1,10,IF(입력란!$C$17=2,25,IF(입력란!$C$17=3,50,0)))</f>
        <v>295.58728189999999</v>
      </c>
      <c r="AM42" s="29">
        <f>SUM(AN42:AP42)</f>
        <v>22325.368544942263</v>
      </c>
      <c r="AN42" s="29">
        <f>(VLOOKUP(C42,$B$4:$AK$7,3,FALSE)+VLOOKUP(C42,$B$8:$AK$11,3,FALSE)*입력란!$C$23)*입력란!$C$38/100</f>
        <v>22325.368544942263</v>
      </c>
      <c r="AO42" s="25"/>
      <c r="AP42" s="29"/>
      <c r="AQ42" s="29"/>
      <c r="AR42" s="27">
        <v>6</v>
      </c>
    </row>
    <row r="43" spans="2:44" ht="13.5" customHeight="1" x14ac:dyDescent="0.3">
      <c r="B43" s="30">
        <v>28</v>
      </c>
      <c r="C43" s="35">
        <v>10</v>
      </c>
      <c r="D43" s="36" t="s">
        <v>73</v>
      </c>
      <c r="E43" s="37" t="s">
        <v>339</v>
      </c>
      <c r="F43" s="39"/>
      <c r="G43" s="39"/>
      <c r="H43" s="51">
        <f>I43/AJ43</f>
        <v>558.43877617522651</v>
      </c>
      <c r="I43" s="52">
        <f>SUM(J43:Q43)*IF(입력란!C$15=1,1.04,IF(입력란!C$15=2,1.1,IF(입력란!C$15=3,1.2,1)))*IF(입력란!$C$17&lt;&gt;0,0.98,1)</f>
        <v>8022.3122765350581</v>
      </c>
      <c r="J43" s="29">
        <f>S43*(1+IF($AK43+IF(입력란!$C$19=1,10,0)&gt;100,100,$AK43+IF(입력란!$C$19=1,10,0))/100*($AL43/100-1))</f>
        <v>8022.3122765350581</v>
      </c>
      <c r="K43" s="29"/>
      <c r="L43" s="29"/>
      <c r="M43" s="29"/>
      <c r="N43" s="38"/>
      <c r="O43" s="38"/>
      <c r="P43" s="38"/>
      <c r="Q43" s="29">
        <f>Z43*(1+IF($AK43+IF(입력란!$C$19=1,10,0)&gt;100,100,$AK43+IF(입력란!$C$19=1,10,0))/100*($AL43/100-1))</f>
        <v>0</v>
      </c>
      <c r="R43" s="23">
        <f>SUM(S43:Z43)</f>
        <v>5581.3421362355657</v>
      </c>
      <c r="S43" s="29">
        <f>AN43*IF(MID(E43,3,1)="1",트라이포드!$J$6,IF(MID(E43,3,1)="2",트라이포드!$L$6,IF(MID(E43,3,1)="3",트라이포드!$N$6,1)))*IF(MID(E43,5,1)="1",트라이포드!$P$6,트라이포드!$O$6)</f>
        <v>5581.3421362355657</v>
      </c>
      <c r="T43" s="29"/>
      <c r="U43" s="29"/>
      <c r="V43" s="29"/>
      <c r="W43" s="38"/>
      <c r="X43" s="38"/>
      <c r="Y43" s="38"/>
      <c r="Z43" s="24">
        <f>AN43*IF(MID(E43,3,1)="1",트라이포드!$J$6,IF(MID(E43,3,1)="2",트라이포드!$L$6,IF(MID(E43,3,1)="3",트라이포드!$N$6,1)))*IF(MID(E43,5,1)="2",트라이포드!R$6,트라이포드!Q$6)</f>
        <v>0</v>
      </c>
      <c r="AA43" s="29">
        <f>SUM(AB43:AI43)</f>
        <v>11162.684272471131</v>
      </c>
      <c r="AB43" s="29">
        <f>S43*2</f>
        <v>11162.684272471131</v>
      </c>
      <c r="AC43" s="29"/>
      <c r="AD43" s="25"/>
      <c r="AE43" s="25"/>
      <c r="AF43" s="38"/>
      <c r="AG43" s="38"/>
      <c r="AH43" s="38"/>
      <c r="AI43" s="24">
        <f>Z43*2</f>
        <v>0</v>
      </c>
      <c r="AJ43" s="25">
        <f>(AR43+IF(MID(E43,3,1)="2",6,IF(MID(E43,3,1)="3",9,0)))*(1-입력란!$C$29/100)</f>
        <v>14.365607509350001</v>
      </c>
      <c r="AK4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3" s="25">
        <f>입력란!$C$37+입력란!$C$31+IF(입력란!$C$17=1,10,IF(입력란!$C$17=2,25,IF(입력란!$C$17=3,50,0)))</f>
        <v>295.58728189999999</v>
      </c>
      <c r="AM43" s="29">
        <f>SUM(AN43:AP43)</f>
        <v>22325.368544942263</v>
      </c>
      <c r="AN43" s="29">
        <f>(VLOOKUP(C43,$B$4:$AK$7,3,FALSE)+VLOOKUP(C43,$B$8:$AK$11,3,FALSE)*입력란!$C$23)*입력란!$C$38/100</f>
        <v>22325.368544942263</v>
      </c>
      <c r="AO43" s="25"/>
      <c r="AP43" s="29"/>
      <c r="AQ43" s="29"/>
      <c r="AR43" s="27">
        <v>6</v>
      </c>
    </row>
    <row r="44" spans="2:44" ht="13.5" customHeight="1" x14ac:dyDescent="0.3">
      <c r="B44" s="30">
        <v>29</v>
      </c>
      <c r="C44" s="35">
        <v>10</v>
      </c>
      <c r="D44" s="36" t="s">
        <v>73</v>
      </c>
      <c r="E44" s="37" t="s">
        <v>340</v>
      </c>
      <c r="F44" s="39"/>
      <c r="G44" s="39"/>
      <c r="H44" s="51">
        <f>I44/AJ44</f>
        <v>6701.2653141027185</v>
      </c>
      <c r="I44" s="52">
        <f>SUM(J44:Q44)*IF(입력란!C$15=1,1.04,IF(입력란!C$15=2,1.1,IF(입력란!C$15=3,1.2,1)))*IF(입력란!$C$17&lt;&gt;0,0.98,1)</f>
        <v>38507.098927368279</v>
      </c>
      <c r="J44" s="29">
        <f>S44*(1+IF($AK44+IF(입력란!$C$19=1,10,0)&gt;100,100,$AK44+IF(입력란!$C$19=1,10,0))/100*($AL44/100-1))</f>
        <v>38507.098927368279</v>
      </c>
      <c r="K44" s="29"/>
      <c r="L44" s="29"/>
      <c r="M44" s="29"/>
      <c r="N44" s="38"/>
      <c r="O44" s="38"/>
      <c r="P44" s="38"/>
      <c r="Q44" s="29">
        <f>Z44*(1+IF($AK44+IF(입력란!$C$19=1,10,0)&gt;100,100,$AK44+IF(입력란!$C$19=1,10,0))/100*($AL44/100-1))</f>
        <v>0</v>
      </c>
      <c r="R44" s="23">
        <f>SUM(S44:Z44)</f>
        <v>26790.442253930716</v>
      </c>
      <c r="S44" s="29">
        <f>AN44*IF(MID(E44,3,1)="1",트라이포드!$J$6,IF(MID(E44,3,1)="2",트라이포드!$L$6,IF(MID(E44,3,1)="3",트라이포드!$N$6,1)))*IF(MID(E44,5,1)="1",트라이포드!$P$6,트라이포드!$O$6)</f>
        <v>26790.442253930716</v>
      </c>
      <c r="T44" s="29"/>
      <c r="U44" s="29"/>
      <c r="V44" s="29"/>
      <c r="W44" s="38"/>
      <c r="X44" s="38"/>
      <c r="Y44" s="38"/>
      <c r="Z44" s="24">
        <f>AN44*IF(MID(E44,3,1)="1",트라이포드!$J$6,IF(MID(E44,3,1)="2",트라이포드!$L$6,IF(MID(E44,3,1)="3",트라이포드!$N$6,1)))*IF(MID(E44,5,1)="2",트라이포드!R$6,트라이포드!Q$6)</f>
        <v>0</v>
      </c>
      <c r="AA44" s="29">
        <f>SUM(AB44:AI44)</f>
        <v>53580.884507861432</v>
      </c>
      <c r="AB44" s="29">
        <f>S44*2</f>
        <v>53580.884507861432</v>
      </c>
      <c r="AC44" s="29"/>
      <c r="AD44" s="25"/>
      <c r="AE44" s="25"/>
      <c r="AF44" s="38"/>
      <c r="AG44" s="38"/>
      <c r="AH44" s="38"/>
      <c r="AI44" s="24">
        <f>Z44*2</f>
        <v>0</v>
      </c>
      <c r="AJ44" s="25">
        <f>(AR44+IF(MID(E44,3,1)="2",6,IF(MID(E44,3,1)="3",9,0)))*(1-입력란!$C$29/100)</f>
        <v>5.7462430037400001</v>
      </c>
      <c r="AK4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" s="25">
        <f>입력란!$C$37+입력란!$C$31+IF(입력란!$C$17=1,10,IF(입력란!$C$17=2,25,IF(입력란!$C$17=3,50,0)))</f>
        <v>295.58728189999999</v>
      </c>
      <c r="AM44" s="29">
        <f>SUM(AN44:AP44)</f>
        <v>22325.368544942263</v>
      </c>
      <c r="AN44" s="29">
        <f>(VLOOKUP(C44,$B$4:$AK$7,3,FALSE)+VLOOKUP(C44,$B$8:$AK$11,3,FALSE)*입력란!$C$23)*입력란!$C$38/100</f>
        <v>22325.368544942263</v>
      </c>
      <c r="AO44" s="25"/>
      <c r="AP44" s="29"/>
      <c r="AQ44" s="29"/>
      <c r="AR44" s="27">
        <v>6</v>
      </c>
    </row>
    <row r="45" spans="2:44" ht="13.5" customHeight="1" x14ac:dyDescent="0.3">
      <c r="B45" s="30">
        <v>30</v>
      </c>
      <c r="C45" s="39">
        <v>10</v>
      </c>
      <c r="D45" s="36" t="s">
        <v>73</v>
      </c>
      <c r="E45" s="37" t="s">
        <v>341</v>
      </c>
      <c r="F45" s="39"/>
      <c r="G45" s="39"/>
      <c r="H45" s="51">
        <f>I45/AJ45</f>
        <v>11168.77552350453</v>
      </c>
      <c r="I45" s="52">
        <f>SUM(J45:Q45)*IF(입력란!C$15=1,1.04,IF(입력란!C$15=2,1.1,IF(입력란!C$15=3,1.2,1)))*IF(입력란!$C$17&lt;&gt;0,0.98,1)</f>
        <v>64178.498212280465</v>
      </c>
      <c r="J45" s="29">
        <f>S45*(1+IF($AK45+IF(입력란!$C$19=1,10,0)&gt;100,100,$AK45+IF(입력란!$C$19=1,10,0))/100*($AL45/100-1))</f>
        <v>32089.249106140232</v>
      </c>
      <c r="K45" s="29"/>
      <c r="L45" s="29"/>
      <c r="M45" s="29"/>
      <c r="N45" s="38"/>
      <c r="O45" s="38"/>
      <c r="P45" s="38"/>
      <c r="Q45" s="29">
        <f>Z45*(1+IF($AK45+IF(입력란!$C$19=1,10,0)&gt;100,100,$AK45+IF(입력란!$C$19=1,10,0))/100*($AL45/100-1))</f>
        <v>32089.249106140232</v>
      </c>
      <c r="R45" s="23">
        <f>SUM(S45:Z45)</f>
        <v>44650.737089884526</v>
      </c>
      <c r="S45" s="29">
        <f>AN45*IF(MID(E45,3,1)="1",트라이포드!$J$6,IF(MID(E45,3,1)="2",트라이포드!$L$6,IF(MID(E45,3,1)="3",트라이포드!$N$6,1)))*IF(MID(E45,5,1)="1",트라이포드!$P$6,트라이포드!$O$6)</f>
        <v>22325.368544942263</v>
      </c>
      <c r="T45" s="29"/>
      <c r="U45" s="29"/>
      <c r="V45" s="29"/>
      <c r="W45" s="38"/>
      <c r="X45" s="38"/>
      <c r="Y45" s="38"/>
      <c r="Z45" s="24">
        <f>AN45*IF(MID(E45,3,1)="1",트라이포드!$J$6,IF(MID(E45,3,1)="2",트라이포드!$L$6,IF(MID(E45,3,1)="3",트라이포드!$N$6,1)))*IF(MID(E45,5,1)="2",트라이포드!R$6,트라이포드!Q$6)</f>
        <v>22325.368544942263</v>
      </c>
      <c r="AA45" s="29">
        <f>SUM(AB45:AI45)</f>
        <v>89301.474179769051</v>
      </c>
      <c r="AB45" s="29">
        <f>S45*2</f>
        <v>44650.737089884526</v>
      </c>
      <c r="AC45" s="29"/>
      <c r="AD45" s="25"/>
      <c r="AE45" s="25"/>
      <c r="AF45" s="38"/>
      <c r="AG45" s="38"/>
      <c r="AH45" s="38"/>
      <c r="AI45" s="24">
        <f>Z45*2</f>
        <v>44650.737089884526</v>
      </c>
      <c r="AJ45" s="25">
        <f>(AR45+IF(MID(E45,3,1)="2",6,IF(MID(E45,3,1)="3",9,0)))*(1-입력란!$C$29/100)</f>
        <v>5.7462430037400001</v>
      </c>
      <c r="AK4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" s="25">
        <f>입력란!$C$37+입력란!$C$31+IF(입력란!$C$17=1,10,IF(입력란!$C$17=2,25,IF(입력란!$C$17=3,50,0)))</f>
        <v>295.58728189999999</v>
      </c>
      <c r="AM45" s="29">
        <f>SUM(AN45:AP45)</f>
        <v>22325.368544942263</v>
      </c>
      <c r="AN45" s="29">
        <f>(VLOOKUP(C45,$B$4:$AK$7,3,FALSE)+VLOOKUP(C45,$B$8:$AK$11,3,FALSE)*입력란!$C$23)*입력란!$C$38/100</f>
        <v>22325.368544942263</v>
      </c>
      <c r="AO45" s="25"/>
      <c r="AP45" s="29"/>
      <c r="AQ45" s="29"/>
      <c r="AR45" s="27">
        <v>6</v>
      </c>
    </row>
    <row r="46" spans="2:44" ht="13.5" customHeight="1" x14ac:dyDescent="0.3">
      <c r="B46" s="30">
        <v>31</v>
      </c>
      <c r="C46" s="39">
        <v>10</v>
      </c>
      <c r="D46" s="36" t="s">
        <v>73</v>
      </c>
      <c r="E46" s="37" t="s">
        <v>212</v>
      </c>
      <c r="F46" s="39"/>
      <c r="G46" s="39"/>
      <c r="H46" s="51">
        <f>I46/AJ46</f>
        <v>10051.897971154076</v>
      </c>
      <c r="I46" s="52">
        <f>SUM(J46:Q46)*IF(입력란!C$15=1,1.04,IF(입력란!C$15=2,1.1,IF(입력란!C$15=3,1.2,1)))*IF(입력란!$C$17&lt;&gt;0,0.98,1)</f>
        <v>57760.648391052411</v>
      </c>
      <c r="J46" s="29">
        <f>S46*(1+IF($AK46+IF(입력란!$C$19=1,10,0)&gt;100,100,$AK46+IF(입력란!$C$19=1,10,0))/100*($AL46/100-1))</f>
        <v>57760.648391052411</v>
      </c>
      <c r="K46" s="29"/>
      <c r="L46" s="29"/>
      <c r="M46" s="29"/>
      <c r="N46" s="38"/>
      <c r="O46" s="38"/>
      <c r="P46" s="38"/>
      <c r="Q46" s="29">
        <f>Z46*(1+IF($AK46+IF(입력란!$C$19=1,10,0)&gt;100,100,$AK46+IF(입력란!$C$19=1,10,0))/100*($AL46/100-1))</f>
        <v>0</v>
      </c>
      <c r="R46" s="23">
        <f>SUM(S46:Z46)</f>
        <v>40185.663380896069</v>
      </c>
      <c r="S46" s="29">
        <f>AN46*IF(MID(E46,3,1)="1",트라이포드!$J$6,IF(MID(E46,3,1)="2",트라이포드!$L$6,IF(MID(E46,3,1)="3",트라이포드!$N$6,1)))*IF(MID(E46,5,1)="1",트라이포드!$P$6,트라이포드!$O$6)</f>
        <v>40185.663380896069</v>
      </c>
      <c r="T46" s="29"/>
      <c r="U46" s="29"/>
      <c r="V46" s="29"/>
      <c r="W46" s="38"/>
      <c r="X46" s="38"/>
      <c r="Y46" s="38"/>
      <c r="Z46" s="24">
        <f>AN46*IF(MID(E46,3,1)="1",트라이포드!$J$6,IF(MID(E46,3,1)="2",트라이포드!$L$6,IF(MID(E46,3,1)="3",트라이포드!$N$6,1)))*IF(MID(E46,5,1)="2",트라이포드!R$6,트라이포드!Q$6)</f>
        <v>0</v>
      </c>
      <c r="AA46" s="29">
        <f>SUM(AB46:AI46)</f>
        <v>80371.326761792137</v>
      </c>
      <c r="AB46" s="29">
        <f>S46*2</f>
        <v>80371.326761792137</v>
      </c>
      <c r="AC46" s="29"/>
      <c r="AD46" s="25"/>
      <c r="AE46" s="25"/>
      <c r="AF46" s="38"/>
      <c r="AG46" s="38"/>
      <c r="AH46" s="38"/>
      <c r="AI46" s="24">
        <f>Z46*2</f>
        <v>0</v>
      </c>
      <c r="AJ46" s="25">
        <f>(AR46+IF(MID(E46,3,1)="2",6,IF(MID(E46,3,1)="3",9,0)))*(1-입력란!$C$29/100)</f>
        <v>5.7462430037400001</v>
      </c>
      <c r="AK4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" s="25">
        <f>입력란!$C$37+입력란!$C$31+IF(입력란!$C$17=1,10,IF(입력란!$C$17=2,25,IF(입력란!$C$17=3,50,0)))</f>
        <v>295.58728189999999</v>
      </c>
      <c r="AM46" s="29">
        <f>SUM(AN46:AP46)</f>
        <v>22325.368544942263</v>
      </c>
      <c r="AN46" s="29">
        <f>(VLOOKUP(C46,$B$4:$AK$7,3,FALSE)+VLOOKUP(C46,$B$8:$AK$11,3,FALSE)*입력란!$C$23)*입력란!$C$38/100</f>
        <v>22325.368544942263</v>
      </c>
      <c r="AO46" s="25"/>
      <c r="AP46" s="29"/>
      <c r="AQ46" s="29"/>
      <c r="AR46" s="27">
        <v>6</v>
      </c>
    </row>
    <row r="47" spans="2:44" ht="13.5" customHeight="1" x14ac:dyDescent="0.3">
      <c r="B47" s="30">
        <v>32</v>
      </c>
      <c r="C47" s="39">
        <v>10</v>
      </c>
      <c r="D47" s="36" t="s">
        <v>73</v>
      </c>
      <c r="E47" s="37" t="s">
        <v>158</v>
      </c>
      <c r="F47" s="39"/>
      <c r="G47" s="39"/>
      <c r="H47" s="51">
        <f>I47/AJ47</f>
        <v>16753.163285256796</v>
      </c>
      <c r="I47" s="52">
        <f>SUM(J47:Q47)*IF(입력란!C$15=1,1.04,IF(입력란!C$15=2,1.1,IF(입력란!C$15=3,1.2,1)))*IF(입력란!$C$17&lt;&gt;0,0.98,1)</f>
        <v>96267.747318420705</v>
      </c>
      <c r="J47" s="29">
        <f>S47*(1+IF($AK47+IF(입력란!$C$19=1,10,0)&gt;100,100,$AK47+IF(입력란!$C$19=1,10,0))/100*($AL47/100-1))</f>
        <v>48133.873659210352</v>
      </c>
      <c r="K47" s="29"/>
      <c r="L47" s="29"/>
      <c r="M47" s="29"/>
      <c r="N47" s="38"/>
      <c r="O47" s="38"/>
      <c r="P47" s="38"/>
      <c r="Q47" s="29">
        <f>Z47*(1+IF($AK47+IF(입력란!$C$19=1,10,0)&gt;100,100,$AK47+IF(입력란!$C$19=1,10,0))/100*($AL47/100-1))</f>
        <v>48133.873659210352</v>
      </c>
      <c r="R47" s="23">
        <f>SUM(S47:Z47)</f>
        <v>66976.105634826788</v>
      </c>
      <c r="S47" s="29">
        <f>AN47*IF(MID(E47,3,1)="1",트라이포드!$J$6,IF(MID(E47,3,1)="2",트라이포드!$L$6,IF(MID(E47,3,1)="3",트라이포드!$N$6,1)))*IF(MID(E47,5,1)="1",트라이포드!$P$6,트라이포드!$O$6)</f>
        <v>33488.052817413394</v>
      </c>
      <c r="T47" s="29"/>
      <c r="U47" s="29"/>
      <c r="V47" s="29"/>
      <c r="W47" s="38"/>
      <c r="X47" s="38"/>
      <c r="Y47" s="38"/>
      <c r="Z47" s="24">
        <f>AN47*IF(MID(E47,3,1)="1",트라이포드!$J$6,IF(MID(E47,3,1)="2",트라이포드!$L$6,IF(MID(E47,3,1)="3",트라이포드!$N$6,1)))*IF(MID(E47,5,1)="2",트라이포드!R$6,트라이포드!Q$6)</f>
        <v>33488.052817413394</v>
      </c>
      <c r="AA47" s="29">
        <f>SUM(AB47:AI47)</f>
        <v>133952.21126965358</v>
      </c>
      <c r="AB47" s="29">
        <f>S47*2</f>
        <v>66976.105634826788</v>
      </c>
      <c r="AC47" s="29"/>
      <c r="AD47" s="25"/>
      <c r="AE47" s="25"/>
      <c r="AF47" s="38"/>
      <c r="AG47" s="38"/>
      <c r="AH47" s="38"/>
      <c r="AI47" s="24">
        <f>Z47*2</f>
        <v>66976.105634826788</v>
      </c>
      <c r="AJ47" s="25">
        <f>(AR47+IF(MID(E47,3,1)="2",6,IF(MID(E47,3,1)="3",9,0)))*(1-입력란!$C$29/100)</f>
        <v>5.7462430037400001</v>
      </c>
      <c r="AK4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7" s="25">
        <f>입력란!$C$37+입력란!$C$31+IF(입력란!$C$17=1,10,IF(입력란!$C$17=2,25,IF(입력란!$C$17=3,50,0)))</f>
        <v>295.58728189999999</v>
      </c>
      <c r="AM47" s="29">
        <f>SUM(AN47:AP47)</f>
        <v>22325.368544942263</v>
      </c>
      <c r="AN47" s="29">
        <f>(VLOOKUP(C47,$B$4:$AK$7,3,FALSE)+VLOOKUP(C47,$B$8:$AK$11,3,FALSE)*입력란!$C$23)*입력란!$C$38/100</f>
        <v>22325.368544942263</v>
      </c>
      <c r="AO47" s="25"/>
      <c r="AP47" s="29"/>
      <c r="AQ47" s="29"/>
      <c r="AR47" s="27">
        <v>6</v>
      </c>
    </row>
    <row r="48" spans="2:44" ht="13.5" customHeight="1" x14ac:dyDescent="0.3">
      <c r="B48" s="30">
        <v>33</v>
      </c>
      <c r="C48" s="39">
        <v>10</v>
      </c>
      <c r="D48" s="36" t="s">
        <v>73</v>
      </c>
      <c r="E48" s="37" t="s">
        <v>214</v>
      </c>
      <c r="F48" s="39"/>
      <c r="G48" s="39"/>
      <c r="H48" s="51">
        <f>I48/AJ48</f>
        <v>1675.3163285256796</v>
      </c>
      <c r="I48" s="52">
        <f>SUM(J48:Q48)*IF(입력란!C$15=1,1.04,IF(입력란!C$15=2,1.1,IF(입력란!C$15=3,1.2,1)))*IF(입력란!$C$17&lt;&gt;0,0.98,1)</f>
        <v>19253.549463684139</v>
      </c>
      <c r="J48" s="29">
        <f>S48*(1+IF($AK48+IF(입력란!$C$19=1,10,0)&gt;100,100,$AK48+IF(입력란!$C$19=1,10,0))/100*($AL48/100-1))</f>
        <v>19253.549463684139</v>
      </c>
      <c r="K48" s="29"/>
      <c r="L48" s="29"/>
      <c r="M48" s="29"/>
      <c r="N48" s="38"/>
      <c r="O48" s="38"/>
      <c r="P48" s="38"/>
      <c r="Q48" s="29">
        <f>Z48*(1+IF($AK48+IF(입력란!$C$19=1,10,0)&gt;100,100,$AK48+IF(입력란!$C$19=1,10,0))/100*($AL48/100-1))</f>
        <v>0</v>
      </c>
      <c r="R48" s="23">
        <f>SUM(S48:Z48)</f>
        <v>13395.221126965358</v>
      </c>
      <c r="S48" s="29">
        <f>AN48*IF(MID(E48,3,1)="1",트라이포드!$J$6,IF(MID(E48,3,1)="2",트라이포드!$L$6,IF(MID(E48,3,1)="3",트라이포드!$N$6,1)))*IF(MID(E48,5,1)="1",트라이포드!$P$6,트라이포드!$O$6)</f>
        <v>13395.221126965358</v>
      </c>
      <c r="T48" s="29"/>
      <c r="U48" s="29"/>
      <c r="V48" s="29"/>
      <c r="W48" s="38"/>
      <c r="X48" s="38"/>
      <c r="Y48" s="38"/>
      <c r="Z48" s="24">
        <f>AN48*IF(MID(E48,3,1)="1",트라이포드!$J$6,IF(MID(E48,3,1)="2",트라이포드!$L$6,IF(MID(E48,3,1)="3",트라이포드!$N$6,1)))*IF(MID(E48,5,1)="2",트라이포드!R$6,트라이포드!Q$6)</f>
        <v>0</v>
      </c>
      <c r="AA48" s="29">
        <f>SUM(AB48:AI48)</f>
        <v>26790.442253930716</v>
      </c>
      <c r="AB48" s="29">
        <f>S48*2</f>
        <v>26790.442253930716</v>
      </c>
      <c r="AC48" s="29"/>
      <c r="AD48" s="25"/>
      <c r="AE48" s="25"/>
      <c r="AF48" s="38"/>
      <c r="AG48" s="38"/>
      <c r="AH48" s="38"/>
      <c r="AI48" s="24">
        <f>Z48*2</f>
        <v>0</v>
      </c>
      <c r="AJ48" s="25">
        <f>(AR48+IF(MID(E48,3,1)="2",6,IF(MID(E48,3,1)="3",9,0)))*(1-입력란!$C$29/100)</f>
        <v>11.49248600748</v>
      </c>
      <c r="AK4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" s="25">
        <f>입력란!$C$37+입력란!$C$31+IF(입력란!$C$17=1,10,IF(입력란!$C$17=2,25,IF(입력란!$C$17=3,50,0)))</f>
        <v>295.58728189999999</v>
      </c>
      <c r="AM48" s="29">
        <f>SUM(AN48:AP48)</f>
        <v>22325.368544942263</v>
      </c>
      <c r="AN48" s="29">
        <f>(VLOOKUP(C48,$B$4:$AK$7,3,FALSE)+VLOOKUP(C48,$B$8:$AK$11,3,FALSE)*입력란!$C$23)*입력란!$C$38/100</f>
        <v>22325.368544942263</v>
      </c>
      <c r="AO48" s="25"/>
      <c r="AP48" s="29"/>
      <c r="AQ48" s="29"/>
      <c r="AR48" s="27">
        <v>6</v>
      </c>
    </row>
    <row r="49" spans="2:44" ht="13.5" customHeight="1" x14ac:dyDescent="0.3">
      <c r="B49" s="30">
        <v>34</v>
      </c>
      <c r="C49" s="39">
        <v>10</v>
      </c>
      <c r="D49" s="36" t="s">
        <v>73</v>
      </c>
      <c r="E49" s="37" t="s">
        <v>215</v>
      </c>
      <c r="F49" s="39"/>
      <c r="G49" s="39"/>
      <c r="H49" s="51">
        <f>I49/AJ49</f>
        <v>2792.1938808761324</v>
      </c>
      <c r="I49" s="52">
        <f>SUM(J49:Q49)*IF(입력란!C$15=1,1.04,IF(입력란!C$15=2,1.1,IF(입력란!C$15=3,1.2,1)))*IF(입력란!$C$17&lt;&gt;0,0.98,1)</f>
        <v>32089.249106140232</v>
      </c>
      <c r="J49" s="29">
        <f>S49*(1+IF($AK49+IF(입력란!$C$19=1,10,0)&gt;100,100,$AK49+IF(입력란!$C$19=1,10,0))/100*($AL49/100-1))</f>
        <v>16044.624553070116</v>
      </c>
      <c r="K49" s="29"/>
      <c r="L49" s="29"/>
      <c r="M49" s="29"/>
      <c r="N49" s="38"/>
      <c r="O49" s="38"/>
      <c r="P49" s="38"/>
      <c r="Q49" s="29">
        <f>Z49*(1+IF($AK49+IF(입력란!$C$19=1,10,0)&gt;100,100,$AK49+IF(입력란!$C$19=1,10,0))/100*($AL49/100-1))</f>
        <v>16044.624553070116</v>
      </c>
      <c r="R49" s="23">
        <f>SUM(S49:Z49)</f>
        <v>22325.368544942263</v>
      </c>
      <c r="S49" s="29">
        <f>AN49*IF(MID(E49,3,1)="1",트라이포드!$J$6,IF(MID(E49,3,1)="2",트라이포드!$L$6,IF(MID(E49,3,1)="3",트라이포드!$N$6,1)))*IF(MID(E49,5,1)="1",트라이포드!$P$6,트라이포드!$O$6)</f>
        <v>11162.684272471131</v>
      </c>
      <c r="T49" s="29"/>
      <c r="U49" s="29"/>
      <c r="V49" s="29"/>
      <c r="W49" s="38"/>
      <c r="X49" s="38"/>
      <c r="Y49" s="38"/>
      <c r="Z49" s="24">
        <f>AN49*IF(MID(E49,3,1)="1",트라이포드!$J$6,IF(MID(E49,3,1)="2",트라이포드!$L$6,IF(MID(E49,3,1)="3",트라이포드!$N$6,1)))*IF(MID(E49,5,1)="2",트라이포드!R$6,트라이포드!Q$6)</f>
        <v>11162.684272471131</v>
      </c>
      <c r="AA49" s="29">
        <f>SUM(AB49:AI49)</f>
        <v>44650.737089884526</v>
      </c>
      <c r="AB49" s="29">
        <f>S49*2</f>
        <v>22325.368544942263</v>
      </c>
      <c r="AC49" s="29"/>
      <c r="AD49" s="25"/>
      <c r="AE49" s="25"/>
      <c r="AF49" s="38"/>
      <c r="AG49" s="38"/>
      <c r="AH49" s="38"/>
      <c r="AI49" s="24">
        <f>Z49*2</f>
        <v>22325.368544942263</v>
      </c>
      <c r="AJ49" s="25">
        <f>(AR49+IF(MID(E49,3,1)="2",6,IF(MID(E49,3,1)="3",9,0)))*(1-입력란!$C$29/100)</f>
        <v>11.49248600748</v>
      </c>
      <c r="AK4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" s="25">
        <f>입력란!$C$37+입력란!$C$31+IF(입력란!$C$17=1,10,IF(입력란!$C$17=2,25,IF(입력란!$C$17=3,50,0)))</f>
        <v>295.58728189999999</v>
      </c>
      <c r="AM49" s="29">
        <f>SUM(AN49:AP49)</f>
        <v>22325.368544942263</v>
      </c>
      <c r="AN49" s="29">
        <f>(VLOOKUP(C49,$B$4:$AK$7,3,FALSE)+VLOOKUP(C49,$B$8:$AK$11,3,FALSE)*입력란!$C$23)*입력란!$C$38/100</f>
        <v>22325.368544942263</v>
      </c>
      <c r="AO49" s="25"/>
      <c r="AP49" s="29"/>
      <c r="AQ49" s="29"/>
      <c r="AR49" s="27">
        <v>6</v>
      </c>
    </row>
    <row r="50" spans="2:44" ht="13.5" customHeight="1" x14ac:dyDescent="0.3">
      <c r="B50" s="30">
        <v>35</v>
      </c>
      <c r="C50" s="39">
        <v>10</v>
      </c>
      <c r="D50" s="36" t="s">
        <v>73</v>
      </c>
      <c r="E50" s="37" t="s">
        <v>159</v>
      </c>
      <c r="F50" s="39"/>
      <c r="G50" s="39"/>
      <c r="H50" s="51">
        <f>I50/AJ50</f>
        <v>670.12653141027181</v>
      </c>
      <c r="I50" s="52">
        <f>SUM(J50:Q50)*IF(입력란!C$15=1,1.04,IF(입력란!C$15=2,1.1,IF(입력란!C$15=3,1.2,1)))*IF(입력란!$C$17&lt;&gt;0,0.98,1)</f>
        <v>9626.7747318420697</v>
      </c>
      <c r="J50" s="29">
        <f>S50*(1+IF($AK50+IF(입력란!$C$19=1,10,0)&gt;100,100,$AK50+IF(입력란!$C$19=1,10,0))/100*($AL50/100-1))</f>
        <v>9626.7747318420697</v>
      </c>
      <c r="K50" s="29"/>
      <c r="L50" s="29"/>
      <c r="M50" s="29"/>
      <c r="N50" s="38"/>
      <c r="O50" s="38"/>
      <c r="P50" s="38"/>
      <c r="Q50" s="29">
        <f>Z50*(1+IF($AK50+IF(입력란!$C$19=1,10,0)&gt;100,100,$AK50+IF(입력란!$C$19=1,10,0))/100*($AL50/100-1))</f>
        <v>0</v>
      </c>
      <c r="R50" s="23">
        <f>SUM(S50:Z50)</f>
        <v>6697.610563482679</v>
      </c>
      <c r="S50" s="29">
        <f>AN50*IF(MID(E50,3,1)="1",트라이포드!$J$6,IF(MID(E50,3,1)="2",트라이포드!$L$6,IF(MID(E50,3,1)="3",트라이포드!$N$6,1)))*IF(MID(E50,5,1)="1",트라이포드!$P$6,트라이포드!$O$6)</f>
        <v>6697.610563482679</v>
      </c>
      <c r="T50" s="29"/>
      <c r="U50" s="29"/>
      <c r="V50" s="29"/>
      <c r="W50" s="38"/>
      <c r="X50" s="38"/>
      <c r="Y50" s="38"/>
      <c r="Z50" s="24">
        <f>AN50*IF(MID(E50,3,1)="1",트라이포드!$J$6,IF(MID(E50,3,1)="2",트라이포드!$L$6,IF(MID(E50,3,1)="3",트라이포드!$N$6,1)))*IF(MID(E50,5,1)="2",트라이포드!R$6,트라이포드!Q$6)</f>
        <v>0</v>
      </c>
      <c r="AA50" s="29">
        <f>SUM(AB50:AI50)</f>
        <v>13395.221126965358</v>
      </c>
      <c r="AB50" s="29">
        <f>S50*2</f>
        <v>13395.221126965358</v>
      </c>
      <c r="AC50" s="29"/>
      <c r="AD50" s="25"/>
      <c r="AE50" s="25"/>
      <c r="AF50" s="38"/>
      <c r="AG50" s="38"/>
      <c r="AH50" s="38"/>
      <c r="AI50" s="24">
        <f>Z50*2</f>
        <v>0</v>
      </c>
      <c r="AJ50" s="25">
        <f>(AR50+IF(MID(E50,3,1)="2",6,IF(MID(E50,3,1)="3",9,0)))*(1-입력란!$C$29/100)</f>
        <v>14.365607509350001</v>
      </c>
      <c r="AK5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" s="25">
        <f>입력란!$C$37+입력란!$C$31+IF(입력란!$C$17=1,10,IF(입력란!$C$17=2,25,IF(입력란!$C$17=3,50,0)))</f>
        <v>295.58728189999999</v>
      </c>
      <c r="AM50" s="29">
        <f>SUM(AN50:AP50)</f>
        <v>22325.368544942263</v>
      </c>
      <c r="AN50" s="29">
        <f>(VLOOKUP(C50,$B$4:$AK$7,3,FALSE)+VLOOKUP(C50,$B$8:$AK$11,3,FALSE)*입력란!$C$23)*입력란!$C$38/100</f>
        <v>22325.368544942263</v>
      </c>
      <c r="AO50" s="25"/>
      <c r="AP50" s="29"/>
      <c r="AQ50" s="29"/>
      <c r="AR50" s="27">
        <v>6</v>
      </c>
    </row>
    <row r="51" spans="2:44" ht="13.5" customHeight="1" x14ac:dyDescent="0.3">
      <c r="B51" s="30">
        <v>36</v>
      </c>
      <c r="C51" s="39">
        <v>10</v>
      </c>
      <c r="D51" s="36" t="s">
        <v>73</v>
      </c>
      <c r="E51" s="37" t="s">
        <v>160</v>
      </c>
      <c r="F51" s="39"/>
      <c r="G51" s="39"/>
      <c r="H51" s="51">
        <f>I51/AJ51</f>
        <v>1116.877552350453</v>
      </c>
      <c r="I51" s="52">
        <f>SUM(J51:Q51)*IF(입력란!C$15=1,1.04,IF(입력란!C$15=2,1.1,IF(입력란!C$15=3,1.2,1)))*IF(입력란!$C$17&lt;&gt;0,0.98,1)</f>
        <v>16044.624553070116</v>
      </c>
      <c r="J51" s="29">
        <f>S51*(1+IF($AK51+IF(입력란!$C$19=1,10,0)&gt;100,100,$AK51+IF(입력란!$C$19=1,10,0))/100*($AL51/100-1))</f>
        <v>8022.3122765350581</v>
      </c>
      <c r="K51" s="29"/>
      <c r="L51" s="29"/>
      <c r="M51" s="29"/>
      <c r="N51" s="38"/>
      <c r="O51" s="38"/>
      <c r="P51" s="38"/>
      <c r="Q51" s="29">
        <f>Z51*(1+IF($AK51+IF(입력란!$C$19=1,10,0)&gt;100,100,$AK51+IF(입력란!$C$19=1,10,0))/100*($AL51/100-1))</f>
        <v>8022.3122765350581</v>
      </c>
      <c r="R51" s="23">
        <f>SUM(S51:Z51)</f>
        <v>11162.684272471131</v>
      </c>
      <c r="S51" s="29">
        <f>AN51*IF(MID(E51,3,1)="1",트라이포드!$J$6,IF(MID(E51,3,1)="2",트라이포드!$L$6,IF(MID(E51,3,1)="3",트라이포드!$N$6,1)))*IF(MID(E51,5,1)="1",트라이포드!$P$6,트라이포드!$O$6)</f>
        <v>5581.3421362355657</v>
      </c>
      <c r="T51" s="29"/>
      <c r="U51" s="29"/>
      <c r="V51" s="29"/>
      <c r="W51" s="38"/>
      <c r="X51" s="38"/>
      <c r="Y51" s="38"/>
      <c r="Z51" s="24">
        <f>AN51*IF(MID(E51,3,1)="1",트라이포드!$J$6,IF(MID(E51,3,1)="2",트라이포드!$L$6,IF(MID(E51,3,1)="3",트라이포드!$N$6,1)))*IF(MID(E51,5,1)="2",트라이포드!R$6,트라이포드!Q$6)</f>
        <v>5581.3421362355657</v>
      </c>
      <c r="AA51" s="29">
        <f>SUM(AB51:AI51)</f>
        <v>22325.368544942263</v>
      </c>
      <c r="AB51" s="29">
        <f>S51*2</f>
        <v>11162.684272471131</v>
      </c>
      <c r="AC51" s="29"/>
      <c r="AD51" s="25"/>
      <c r="AE51" s="25"/>
      <c r="AF51" s="38"/>
      <c r="AG51" s="38"/>
      <c r="AH51" s="38"/>
      <c r="AI51" s="24">
        <f>Z51*2</f>
        <v>11162.684272471131</v>
      </c>
      <c r="AJ51" s="25">
        <f>(AR51+IF(MID(E51,3,1)="2",6,IF(MID(E51,3,1)="3",9,0)))*(1-입력란!$C$29/100)</f>
        <v>14.365607509350001</v>
      </c>
      <c r="AK5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1" s="25">
        <f>입력란!$C$37+입력란!$C$31+IF(입력란!$C$17=1,10,IF(입력란!$C$17=2,25,IF(입력란!$C$17=3,50,0)))</f>
        <v>295.58728189999999</v>
      </c>
      <c r="AM51" s="29">
        <f>SUM(AN51:AP51)</f>
        <v>22325.368544942263</v>
      </c>
      <c r="AN51" s="29">
        <f>(VLOOKUP(C51,$B$4:$AK$7,3,FALSE)+VLOOKUP(C51,$B$8:$AK$11,3,FALSE)*입력란!$C$23)*입력란!$C$38/100</f>
        <v>22325.368544942263</v>
      </c>
      <c r="AO51" s="25"/>
      <c r="AP51" s="29"/>
      <c r="AQ51" s="29"/>
      <c r="AR51" s="27">
        <v>6</v>
      </c>
    </row>
    <row r="52" spans="2:44" ht="13.5" customHeight="1" x14ac:dyDescent="0.3">
      <c r="B52" s="30">
        <v>37</v>
      </c>
      <c r="C52" s="39">
        <v>1</v>
      </c>
      <c r="D52" s="40" t="s">
        <v>342</v>
      </c>
      <c r="E52" s="37" t="s">
        <v>75</v>
      </c>
      <c r="F52" s="39"/>
      <c r="G52" s="39"/>
      <c r="H52" s="51">
        <f>I52/AJ52</f>
        <v>3788.551645175778</v>
      </c>
      <c r="I52" s="52">
        <f>SUM(J52:Q52)*IF(입력란!C$15=1,1.04,IF(입력란!C$15=2,1.1,IF(입력란!C$15=3,1.2,1)))*IF(입력란!$C$17&lt;&gt;0,0.98,1)</f>
        <v>36283.23064233164</v>
      </c>
      <c r="J52" s="29">
        <f>S52*(1+IF($AK52+IF(입력란!$C$19=1,10,0)+IF(입력란!$C$9=1,10,0)+IF(MID(E52,5,1)="2",100,0)&gt;100,100,$AK52+IF(입력란!$C$19=1,10,0)+IF(입력란!$C$9=1,10,0)+IF(MID(E52,5,1)="2",100,0))/100*(($AL52+IF(MID(E52,5,1)="2",트라이포드!$R$7,트라이포드!$Q$7))/100-1))</f>
        <v>36283.23064233164</v>
      </c>
      <c r="K52" s="29"/>
      <c r="L52" s="29"/>
      <c r="M52" s="29"/>
      <c r="N52" s="38"/>
      <c r="O52" s="38"/>
      <c r="P52" s="38"/>
      <c r="Q52" s="29">
        <f>Z52*(1+IF($AK52+IF(입력란!$C$19=1,10,0)&gt;100,100,$AK52+IF(입력란!$C$19=1,10,0))/100*($AL52/100-1))</f>
        <v>0</v>
      </c>
      <c r="R52" s="23">
        <f>SUM(S52:Z52)</f>
        <v>25243.236244384312</v>
      </c>
      <c r="S52" s="29">
        <f>AN52*IF(MID(E52,3,1)="2",트라이포드!$L$7,트라이포드!$K$7)*IF(입력란!$C$9=1,IF(입력란!$C$14=0,1.05,IF(입력란!$C$14=1,1.05*1.05,IF(입력란!$C$14=2,1.05*1.12,IF(입력란!$C$14=3,1.05*1.25)))),1)</f>
        <v>25243.236244384312</v>
      </c>
      <c r="T52" s="29"/>
      <c r="U52" s="29"/>
      <c r="V52" s="29"/>
      <c r="W52" s="38"/>
      <c r="X52" s="38"/>
      <c r="Y52" s="38"/>
      <c r="Z52" s="24">
        <f>AN52*IF(MID(E52,5,1)="1",트라이포드!$P$7,트라이포드!$O$7)</f>
        <v>0</v>
      </c>
      <c r="AA52" s="29">
        <f>SUM(AB52:AI52)</f>
        <v>50486.472488768624</v>
      </c>
      <c r="AB52" s="29">
        <f>S52*2</f>
        <v>50486.472488768624</v>
      </c>
      <c r="AC52" s="29"/>
      <c r="AD52" s="25"/>
      <c r="AE52" s="25"/>
      <c r="AF52" s="38"/>
      <c r="AG52" s="38"/>
      <c r="AH52" s="38"/>
      <c r="AI52" s="24">
        <f>Z52*2</f>
        <v>0</v>
      </c>
      <c r="AJ52" s="25">
        <f>(AR52-IF(MID(E52,1,1)="3",트라이포드!$H$7,트라이포드!$G$7))*(1-입력란!$C$29/100)</f>
        <v>9.5770716729000007</v>
      </c>
      <c r="AK5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2" s="25">
        <f>입력란!$C$37+입력란!$C$31+IF(입력란!$C$17=1,10,IF(입력란!$C$17=2,25,IF(입력란!$C$17=3,50,0)))</f>
        <v>295.58728189999999</v>
      </c>
      <c r="AM52" s="29">
        <f>SUM(AN52:AP52)</f>
        <v>25243.236244384312</v>
      </c>
      <c r="AN52" s="29">
        <f>(VLOOKUP(C52,$B$4:$AK$7,4,FALSE)+VLOOKUP(C52,$B$8:$AK$11,4,FALSE)*입력란!$C$23)*입력란!$C$38/100</f>
        <v>25243.236244384312</v>
      </c>
      <c r="AO52" s="29"/>
      <c r="AP52" s="29"/>
      <c r="AQ52" s="29"/>
      <c r="AR52" s="27">
        <v>10</v>
      </c>
    </row>
    <row r="53" spans="2:44" ht="13.5" customHeight="1" x14ac:dyDescent="0.3">
      <c r="B53" s="30">
        <v>38</v>
      </c>
      <c r="C53" s="39">
        <v>4</v>
      </c>
      <c r="D53" s="40" t="s">
        <v>342</v>
      </c>
      <c r="E53" s="37" t="s">
        <v>75</v>
      </c>
      <c r="F53" s="39"/>
      <c r="G53" s="39"/>
      <c r="H53" s="51">
        <f>I53/AJ53</f>
        <v>3804.3402560026157</v>
      </c>
      <c r="I53" s="52">
        <f>SUM(J53:Q53)*IF(입력란!C$15=1,1.04,IF(입력란!C$15=2,1.1,IF(입력란!C$15=3,1.2,1)))*IF(입력란!$C$17&lt;&gt;0,0.98,1)</f>
        <v>36434.439299835787</v>
      </c>
      <c r="J53" s="29">
        <f>S53*(1+IF($AK53+IF(입력란!$C$19=1,10,0)+IF(입력란!$C$9=1,10,0)+IF(MID(E53,5,1)="2",100,0)&gt;100,100,$AK53+IF(입력란!$C$19=1,10,0)+IF(입력란!$C$9=1,10,0)+IF(MID(E53,5,1)="2",100,0))/100*(($AL53+IF(MID(E53,5,1)="2",트라이포드!$R$7,트라이포드!$Q$7))/100-1))</f>
        <v>36434.439299835787</v>
      </c>
      <c r="K53" s="29"/>
      <c r="L53" s="29"/>
      <c r="M53" s="29"/>
      <c r="N53" s="38"/>
      <c r="O53" s="38"/>
      <c r="P53" s="38"/>
      <c r="Q53" s="29">
        <f>Z53*(1+IF($AK53+IF(입력란!$C$19=1,10,0)&gt;100,100,$AK53+IF(입력란!$C$19=1,10,0))/100*($AL53/100-1))</f>
        <v>0</v>
      </c>
      <c r="R53" s="23">
        <f>SUM(S53:Z53)</f>
        <v>25348.436244384313</v>
      </c>
      <c r="S53" s="29">
        <f>AN53*IF(MID(E53,3,1)="2",트라이포드!$L$7,트라이포드!$K$7)*IF(입력란!$C$9=1,IF(입력란!$C$14=0,1.05,IF(입력란!$C$14=1,1.05*1.05,IF(입력란!$C$14=2,1.05*1.12,IF(입력란!$C$14=3,1.05*1.25)))),1)</f>
        <v>25348.436244384313</v>
      </c>
      <c r="T53" s="29"/>
      <c r="U53" s="29"/>
      <c r="V53" s="29"/>
      <c r="W53" s="38"/>
      <c r="X53" s="38"/>
      <c r="Y53" s="38"/>
      <c r="Z53" s="24">
        <f>AN53*IF(MID(E53,5,1)="1",트라이포드!$P$7,트라이포드!$O$7)</f>
        <v>0</v>
      </c>
      <c r="AA53" s="29">
        <f>SUM(AB53:AI53)</f>
        <v>50696.872488768626</v>
      </c>
      <c r="AB53" s="29">
        <f>S53*2</f>
        <v>50696.872488768626</v>
      </c>
      <c r="AC53" s="29"/>
      <c r="AD53" s="25"/>
      <c r="AE53" s="25"/>
      <c r="AF53" s="38"/>
      <c r="AG53" s="38"/>
      <c r="AH53" s="38"/>
      <c r="AI53" s="24">
        <f>Z53*2</f>
        <v>0</v>
      </c>
      <c r="AJ53" s="25">
        <f>(AR53-IF(MID(E53,1,1)="3",트라이포드!$H$7,트라이포드!$G$7))*(1-입력란!$C$29/100)</f>
        <v>9.5770716729000007</v>
      </c>
      <c r="AK5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" s="25">
        <f>입력란!$C$37+입력란!$C$31+IF(입력란!$C$17=1,10,IF(입력란!$C$17=2,25,IF(입력란!$C$17=3,50,0)))</f>
        <v>295.58728189999999</v>
      </c>
      <c r="AM53" s="29">
        <f>SUM(AN53:AP53)</f>
        <v>25348.436244384313</v>
      </c>
      <c r="AN53" s="29">
        <f>(VLOOKUP(C53,$B$4:$AK$7,4,FALSE)+VLOOKUP(C53,$B$8:$AK$11,4,FALSE)*입력란!$C$23)*입력란!$C$38/100</f>
        <v>25348.436244384313</v>
      </c>
      <c r="AO53" s="29"/>
      <c r="AP53" s="29"/>
      <c r="AQ53" s="29"/>
      <c r="AR53" s="27">
        <v>10</v>
      </c>
    </row>
    <row r="54" spans="2:44" ht="13.5" customHeight="1" x14ac:dyDescent="0.3">
      <c r="B54" s="30">
        <v>39</v>
      </c>
      <c r="C54" s="39">
        <v>4</v>
      </c>
      <c r="D54" s="40" t="s">
        <v>342</v>
      </c>
      <c r="E54" s="37" t="s">
        <v>76</v>
      </c>
      <c r="F54" s="39"/>
      <c r="G54" s="39"/>
      <c r="H54" s="51">
        <f>I54/AJ54</f>
        <v>4755.4253200032699</v>
      </c>
      <c r="I54" s="52">
        <f>SUM(J54:Q54)*IF(입력란!C$15=1,1.04,IF(입력란!C$15=2,1.1,IF(입력란!C$15=3,1.2,1)))*IF(입력란!$C$17&lt;&gt;0,0.98,1)</f>
        <v>36434.439299835787</v>
      </c>
      <c r="J54" s="29">
        <f>S54*(1+IF($AK54+IF(입력란!$C$19=1,10,0)+IF(입력란!$C$9=1,10,0)+IF(MID(E54,5,1)="2",100,0)&gt;100,100,$AK54+IF(입력란!$C$19=1,10,0)+IF(입력란!$C$9=1,10,0)+IF(MID(E54,5,1)="2",100,0))/100*(($AL54+IF(MID(E54,5,1)="2",트라이포드!$R$7,트라이포드!$Q$7))/100-1))</f>
        <v>36434.439299835787</v>
      </c>
      <c r="K54" s="29"/>
      <c r="L54" s="29"/>
      <c r="M54" s="29"/>
      <c r="N54" s="38"/>
      <c r="O54" s="38"/>
      <c r="P54" s="38"/>
      <c r="Q54" s="29">
        <f>Z54*(1+IF($AK54+IF(입력란!$C$19=1,10,0)&gt;100,100,$AK54+IF(입력란!$C$19=1,10,0))/100*($AL54/100-1))</f>
        <v>0</v>
      </c>
      <c r="R54" s="23">
        <f>SUM(S54:Z54)</f>
        <v>25348.436244384313</v>
      </c>
      <c r="S54" s="29">
        <f>AN54*IF(MID(E54,3,1)="2",트라이포드!$L$7,트라이포드!$K$7)*IF(입력란!$C$9=1,IF(입력란!$C$14=0,1.05,IF(입력란!$C$14=1,1.05*1.05,IF(입력란!$C$14=2,1.05*1.12,IF(입력란!$C$14=3,1.05*1.25)))),1)</f>
        <v>25348.436244384313</v>
      </c>
      <c r="T54" s="29"/>
      <c r="U54" s="29"/>
      <c r="V54" s="29"/>
      <c r="W54" s="38"/>
      <c r="X54" s="38"/>
      <c r="Y54" s="38"/>
      <c r="Z54" s="24">
        <f>AN54*IF(MID(E54,5,1)="1",트라이포드!$P$7,트라이포드!$O$7)</f>
        <v>0</v>
      </c>
      <c r="AA54" s="29">
        <f>SUM(AB54:AI54)</f>
        <v>50696.872488768626</v>
      </c>
      <c r="AB54" s="29">
        <f>S54*2</f>
        <v>50696.872488768626</v>
      </c>
      <c r="AC54" s="29"/>
      <c r="AD54" s="25"/>
      <c r="AE54" s="25"/>
      <c r="AF54" s="38"/>
      <c r="AG54" s="38"/>
      <c r="AH54" s="38"/>
      <c r="AI54" s="24">
        <f>Z54*2</f>
        <v>0</v>
      </c>
      <c r="AJ54" s="25">
        <f>(AR54-IF(MID(E54,1,1)="3",트라이포드!$H$7,트라이포드!$G$7))*(1-입력란!$C$29/100)</f>
        <v>7.6616573383200004</v>
      </c>
      <c r="AK5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" s="25">
        <f>입력란!$C$37+입력란!$C$31+IF(입력란!$C$17=1,10,IF(입력란!$C$17=2,25,IF(입력란!$C$17=3,50,0)))</f>
        <v>295.58728189999999</v>
      </c>
      <c r="AM54" s="29">
        <f>SUM(AN54:AP54)</f>
        <v>25348.436244384313</v>
      </c>
      <c r="AN54" s="29">
        <f>(VLOOKUP(C54,$B$4:$AK$7,4,FALSE)+VLOOKUP(C54,$B$8:$AK$11,4,FALSE)*입력란!$C$23)*입력란!$C$38/100</f>
        <v>25348.436244384313</v>
      </c>
      <c r="AO54" s="29"/>
      <c r="AP54" s="29"/>
      <c r="AQ54" s="29"/>
      <c r="AR54" s="27">
        <v>10</v>
      </c>
    </row>
    <row r="55" spans="2:44" ht="13.5" customHeight="1" x14ac:dyDescent="0.3">
      <c r="B55" s="30">
        <v>40</v>
      </c>
      <c r="C55" s="39">
        <v>7</v>
      </c>
      <c r="D55" s="40" t="s">
        <v>342</v>
      </c>
      <c r="E55" s="37" t="s">
        <v>75</v>
      </c>
      <c r="F55" s="39"/>
      <c r="G55" s="39"/>
      <c r="H55" s="51">
        <f>I55/AJ55</f>
        <v>3811.6042176377755</v>
      </c>
      <c r="I55" s="52">
        <f>SUM(J55:Q55)*IF(입력란!C$15=1,1.04,IF(입력란!C$15=2,1.1,IF(입력란!C$15=3,1.2,1)))*IF(입력란!$C$17&lt;&gt;0,0.98,1)</f>
        <v>36504.006781044911</v>
      </c>
      <c r="J55" s="29">
        <f>S55*(1+IF($AK55+IF(입력란!$C$19=1,10,0)+IF(입력란!$C$9=1,10,0)+IF(MID(E55,5,1)="2",100,0)&gt;100,100,$AK55+IF(입력란!$C$19=1,10,0)+IF(입력란!$C$9=1,10,0)+IF(MID(E55,5,1)="2",100,0))/100*(($AL55+IF(MID(E55,5,1)="2",트라이포드!$R$7,트라이포드!$Q$7))/100-1))</f>
        <v>36504.006781044911</v>
      </c>
      <c r="K55" s="29"/>
      <c r="L55" s="29"/>
      <c r="M55" s="29"/>
      <c r="N55" s="38"/>
      <c r="O55" s="38"/>
      <c r="P55" s="38"/>
      <c r="Q55" s="29">
        <f>Z55*(1+IF($AK55+IF(입력란!$C$19=1,10,0)&gt;100,100,$AK55+IF(입력란!$C$19=1,10,0))/100*($AL55/100-1))</f>
        <v>0</v>
      </c>
      <c r="R55" s="23">
        <f>SUM(S55:Z55)</f>
        <v>25396.836244384311</v>
      </c>
      <c r="S55" s="29">
        <f>AN55*IF(MID(E55,3,1)="2",트라이포드!$L$7,트라이포드!$K$7)*IF(입력란!$C$9=1,IF(입력란!$C$14=0,1.05,IF(입력란!$C$14=1,1.05*1.05,IF(입력란!$C$14=2,1.05*1.12,IF(입력란!$C$14=3,1.05*1.25)))),1)</f>
        <v>25396.836244384311</v>
      </c>
      <c r="T55" s="29"/>
      <c r="U55" s="29"/>
      <c r="V55" s="29"/>
      <c r="W55" s="38"/>
      <c r="X55" s="38"/>
      <c r="Y55" s="38"/>
      <c r="Z55" s="24">
        <f>AN55*IF(MID(E55,5,1)="1",트라이포드!$P$7,트라이포드!$O$7)</f>
        <v>0</v>
      </c>
      <c r="AA55" s="29">
        <f>SUM(AB55:AI55)</f>
        <v>50793.672488768621</v>
      </c>
      <c r="AB55" s="29">
        <f>S55*2</f>
        <v>50793.672488768621</v>
      </c>
      <c r="AC55" s="29"/>
      <c r="AD55" s="25"/>
      <c r="AE55" s="25"/>
      <c r="AF55" s="38"/>
      <c r="AG55" s="38"/>
      <c r="AH55" s="38"/>
      <c r="AI55" s="24">
        <f>Z55*2</f>
        <v>0</v>
      </c>
      <c r="AJ55" s="25">
        <f>(AR55-IF(MID(E55,1,1)="3",트라이포드!$H$7,트라이포드!$G$7))*(1-입력란!$C$29/100)</f>
        <v>9.5770716729000007</v>
      </c>
      <c r="AK5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" s="25">
        <f>입력란!$C$37+입력란!$C$31+IF(입력란!$C$17=1,10,IF(입력란!$C$17=2,25,IF(입력란!$C$17=3,50,0)))</f>
        <v>295.58728189999999</v>
      </c>
      <c r="AM55" s="29">
        <f>SUM(AN55:AP55)</f>
        <v>25396.836244384311</v>
      </c>
      <c r="AN55" s="29">
        <f>(VLOOKUP(C55,$B$4:$AK$7,4,FALSE)+VLOOKUP(C55,$B$8:$AK$11,4,FALSE)*입력란!$C$23)*입력란!$C$38/100</f>
        <v>25396.836244384311</v>
      </c>
      <c r="AO55" s="29"/>
      <c r="AP55" s="29"/>
      <c r="AQ55" s="29"/>
      <c r="AR55" s="27">
        <v>10</v>
      </c>
    </row>
    <row r="56" spans="2:44" ht="13.5" customHeight="1" x14ac:dyDescent="0.3">
      <c r="B56" s="30">
        <v>41</v>
      </c>
      <c r="C56" s="39">
        <v>7</v>
      </c>
      <c r="D56" s="40" t="s">
        <v>342</v>
      </c>
      <c r="E56" s="37" t="s">
        <v>338</v>
      </c>
      <c r="F56" s="39"/>
      <c r="G56" s="39"/>
      <c r="H56" s="51">
        <f>I56/AJ56</f>
        <v>6098.5667482204417</v>
      </c>
      <c r="I56" s="52">
        <f>SUM(J56:Q56)*IF(입력란!C$15=1,1.04,IF(입력란!C$15=2,1.1,IF(입력란!C$15=3,1.2,1)))*IF(입력란!$C$17&lt;&gt;0,0.98,1)</f>
        <v>58406.410849671862</v>
      </c>
      <c r="J56" s="29">
        <f>S56*(1+IF($AK56+IF(입력란!$C$19=1,10,0)+IF(입력란!$C$9=1,10,0)+IF(MID(E56,5,1)="2",100,0)&gt;100,100,$AK56+IF(입력란!$C$19=1,10,0)+IF(입력란!$C$9=1,10,0)+IF(MID(E56,5,1)="2",100,0))/100*(($AL56+IF(MID(E56,5,1)="2",트라이포드!$R$7,트라이포드!$Q$7))/100-1))</f>
        <v>58406.410849671862</v>
      </c>
      <c r="K56" s="29"/>
      <c r="L56" s="29"/>
      <c r="M56" s="29"/>
      <c r="N56" s="38"/>
      <c r="O56" s="38"/>
      <c r="P56" s="38"/>
      <c r="Q56" s="29">
        <f>Z56*(1+IF($AK56+IF(입력란!$C$19=1,10,0)&gt;100,100,$AK56+IF(입력란!$C$19=1,10,0))/100*($AL56/100-1))</f>
        <v>0</v>
      </c>
      <c r="R56" s="23">
        <f>SUM(S56:Z56)</f>
        <v>40634.9379910149</v>
      </c>
      <c r="S56" s="29">
        <f>AN56*IF(MID(E56,3,1)="2",트라이포드!$L$7,트라이포드!$K$7)*IF(입력란!$C$9=1,IF(입력란!$C$14=0,1.05,IF(입력란!$C$14=1,1.05*1.05,IF(입력란!$C$14=2,1.05*1.12,IF(입력란!$C$14=3,1.05*1.25)))),1)</f>
        <v>40634.9379910149</v>
      </c>
      <c r="T56" s="29"/>
      <c r="U56" s="29"/>
      <c r="V56" s="29"/>
      <c r="W56" s="38"/>
      <c r="X56" s="38"/>
      <c r="Y56" s="38"/>
      <c r="Z56" s="24">
        <f>AN56*IF(MID(E56,5,1)="1",트라이포드!$P$7,트라이포드!$O$7)</f>
        <v>0</v>
      </c>
      <c r="AA56" s="29">
        <f>SUM(AB56:AI56)</f>
        <v>81269.8759820298</v>
      </c>
      <c r="AB56" s="29">
        <f>S56*2</f>
        <v>81269.8759820298</v>
      </c>
      <c r="AC56" s="29"/>
      <c r="AD56" s="25"/>
      <c r="AE56" s="25"/>
      <c r="AF56" s="38"/>
      <c r="AG56" s="38"/>
      <c r="AH56" s="38"/>
      <c r="AI56" s="24">
        <f>Z56*2</f>
        <v>0</v>
      </c>
      <c r="AJ56" s="25">
        <f>(AR56-IF(MID(E56,1,1)="3",트라이포드!$H$7,트라이포드!$G$7))*(1-입력란!$C$29/100)</f>
        <v>9.5770716729000007</v>
      </c>
      <c r="AK5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6" s="25">
        <f>입력란!$C$37+입력란!$C$31+IF(입력란!$C$17=1,10,IF(입력란!$C$17=2,25,IF(입력란!$C$17=3,50,0)))</f>
        <v>295.58728189999999</v>
      </c>
      <c r="AM56" s="29">
        <f>SUM(AN56:AP56)</f>
        <v>25396.836244384311</v>
      </c>
      <c r="AN56" s="29">
        <f>(VLOOKUP(C56,$B$4:$AK$7,4,FALSE)+VLOOKUP(C56,$B$8:$AK$11,4,FALSE)*입력란!$C$23)*입력란!$C$38/100</f>
        <v>25396.836244384311</v>
      </c>
      <c r="AO56" s="29"/>
      <c r="AP56" s="29"/>
      <c r="AQ56" s="29"/>
      <c r="AR56" s="27">
        <v>10</v>
      </c>
    </row>
    <row r="57" spans="2:44" ht="13.5" customHeight="1" x14ac:dyDescent="0.3">
      <c r="B57" s="30">
        <v>42</v>
      </c>
      <c r="C57" s="35">
        <v>7</v>
      </c>
      <c r="D57" s="40" t="s">
        <v>342</v>
      </c>
      <c r="E57" s="37" t="s">
        <v>343</v>
      </c>
      <c r="F57" s="39"/>
      <c r="G57" s="39"/>
      <c r="H57" s="51">
        <f>I57/AJ57</f>
        <v>4764.5052720472195</v>
      </c>
      <c r="I57" s="52">
        <f>SUM(J57:Q57)*IF(입력란!C$15=1,1.04,IF(입력란!C$15=2,1.1,IF(입력란!C$15=3,1.2,1)))*IF(입력란!$C$17&lt;&gt;0,0.98,1)</f>
        <v>36504.006781044911</v>
      </c>
      <c r="J57" s="29">
        <f>S57*(1+IF($AK57+IF(입력란!$C$19=1,10,0)+IF(입력란!$C$9=1,10,0)+IF(MID(E57,5,1)="2",100,0)&gt;100,100,$AK57+IF(입력란!$C$19=1,10,0)+IF(입력란!$C$9=1,10,0)+IF(MID(E57,5,1)="2",100,0))/100*(($AL57+IF(MID(E57,5,1)="2",트라이포드!$R$7,트라이포드!$Q$7))/100-1))</f>
        <v>36504.006781044911</v>
      </c>
      <c r="K57" s="29"/>
      <c r="L57" s="29"/>
      <c r="M57" s="29"/>
      <c r="N57" s="38"/>
      <c r="O57" s="38"/>
      <c r="P57" s="38"/>
      <c r="Q57" s="29">
        <f>Z57*(1+IF($AK57+IF(입력란!$C$19=1,10,0)&gt;100,100,$AK57+IF(입력란!$C$19=1,10,0))/100*($AL57/100-1))</f>
        <v>0</v>
      </c>
      <c r="R57" s="23">
        <f>SUM(S57:Z57)</f>
        <v>25396.836244384311</v>
      </c>
      <c r="S57" s="29">
        <f>AN57*IF(MID(E57,3,1)="2",트라이포드!$L$7,트라이포드!$K$7)*IF(입력란!$C$9=1,IF(입력란!$C$14=0,1.05,IF(입력란!$C$14=1,1.05*1.05,IF(입력란!$C$14=2,1.05*1.12,IF(입력란!$C$14=3,1.05*1.25)))),1)</f>
        <v>25396.836244384311</v>
      </c>
      <c r="T57" s="29"/>
      <c r="U57" s="29"/>
      <c r="V57" s="29"/>
      <c r="W57" s="38"/>
      <c r="X57" s="38"/>
      <c r="Y57" s="38"/>
      <c r="Z57" s="24">
        <f>AN57*IF(MID(E57,5,1)="1",트라이포드!$P$7,트라이포드!$O$7)</f>
        <v>0</v>
      </c>
      <c r="AA57" s="29">
        <f>SUM(AB57:AI57)</f>
        <v>50793.672488768621</v>
      </c>
      <c r="AB57" s="29">
        <f>S57*2</f>
        <v>50793.672488768621</v>
      </c>
      <c r="AC57" s="29"/>
      <c r="AD57" s="25"/>
      <c r="AE57" s="25"/>
      <c r="AF57" s="38"/>
      <c r="AG57" s="38"/>
      <c r="AH57" s="38"/>
      <c r="AI57" s="24">
        <f>Z57*2</f>
        <v>0</v>
      </c>
      <c r="AJ57" s="25">
        <f>(AR57-IF(MID(E57,1,1)="3",트라이포드!$H$7,트라이포드!$G$7))*(1-입력란!$C$29/100)</f>
        <v>7.6616573383200004</v>
      </c>
      <c r="AK5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7" s="25">
        <f>입력란!$C$37+입력란!$C$31+IF(입력란!$C$17=1,10,IF(입력란!$C$17=2,25,IF(입력란!$C$17=3,50,0)))</f>
        <v>295.58728189999999</v>
      </c>
      <c r="AM57" s="29">
        <f>SUM(AN57:AP57)</f>
        <v>25396.836244384311</v>
      </c>
      <c r="AN57" s="29">
        <f>(VLOOKUP(C57,$B$4:$AK$7,4,FALSE)+VLOOKUP(C57,$B$8:$AK$11,4,FALSE)*입력란!$C$23)*입력란!$C$38/100</f>
        <v>25396.836244384311</v>
      </c>
      <c r="AO57" s="29"/>
      <c r="AP57" s="29"/>
      <c r="AQ57" s="29"/>
      <c r="AR57" s="27">
        <v>10</v>
      </c>
    </row>
    <row r="58" spans="2:44" ht="13.5" customHeight="1" x14ac:dyDescent="0.3">
      <c r="B58" s="30">
        <v>43</v>
      </c>
      <c r="C58" s="39">
        <v>7</v>
      </c>
      <c r="D58" s="40" t="s">
        <v>342</v>
      </c>
      <c r="E58" s="37" t="s">
        <v>345</v>
      </c>
      <c r="F58" s="39"/>
      <c r="G58" s="39"/>
      <c r="H58" s="51">
        <f>I58/AJ58</f>
        <v>7623.2084352755519</v>
      </c>
      <c r="I58" s="52">
        <f>SUM(J58:Q58)*IF(입력란!C$15=1,1.04,IF(입력란!C$15=2,1.1,IF(입력란!C$15=3,1.2,1)))*IF(입력란!$C$17&lt;&gt;0,0.98,1)</f>
        <v>58406.410849671862</v>
      </c>
      <c r="J58" s="29">
        <f>S58*(1+IF($AK58+IF(입력란!$C$19=1,10,0)+IF(입력란!$C$9=1,10,0)+IF(MID(E58,5,1)="2",100,0)&gt;100,100,$AK58+IF(입력란!$C$19=1,10,0)+IF(입력란!$C$9=1,10,0)+IF(MID(E58,5,1)="2",100,0))/100*(($AL58+IF(MID(E58,5,1)="2",트라이포드!$R$7,트라이포드!$Q$7))/100-1))</f>
        <v>58406.410849671862</v>
      </c>
      <c r="K58" s="29"/>
      <c r="L58" s="29"/>
      <c r="M58" s="29"/>
      <c r="N58" s="38"/>
      <c r="O58" s="38"/>
      <c r="P58" s="38"/>
      <c r="Q58" s="29">
        <f>Z58*(1+IF($AK58+IF(입력란!$C$19=1,10,0)&gt;100,100,$AK58+IF(입력란!$C$19=1,10,0))/100*($AL58/100-1))</f>
        <v>0</v>
      </c>
      <c r="R58" s="23">
        <f>SUM(S58:Z58)</f>
        <v>40634.9379910149</v>
      </c>
      <c r="S58" s="29">
        <f>AN58*IF(MID(E58,3,1)="2",트라이포드!$L$7,트라이포드!$K$7)*IF(입력란!$C$9=1,IF(입력란!$C$14=0,1.05,IF(입력란!$C$14=1,1.05*1.05,IF(입력란!$C$14=2,1.05*1.12,IF(입력란!$C$14=3,1.05*1.25)))),1)</f>
        <v>40634.9379910149</v>
      </c>
      <c r="T58" s="29"/>
      <c r="U58" s="29"/>
      <c r="V58" s="29"/>
      <c r="W58" s="38"/>
      <c r="X58" s="38"/>
      <c r="Y58" s="38"/>
      <c r="Z58" s="24">
        <f>AN58*IF(MID(E58,5,1)="1",트라이포드!$P$7,트라이포드!$O$7)</f>
        <v>0</v>
      </c>
      <c r="AA58" s="29">
        <f>SUM(AB58:AI58)</f>
        <v>81269.8759820298</v>
      </c>
      <c r="AB58" s="29">
        <f>S58*2</f>
        <v>81269.8759820298</v>
      </c>
      <c r="AC58" s="29"/>
      <c r="AD58" s="25"/>
      <c r="AE58" s="25"/>
      <c r="AF58" s="38"/>
      <c r="AG58" s="38"/>
      <c r="AH58" s="38"/>
      <c r="AI58" s="24">
        <f>Z58*2</f>
        <v>0</v>
      </c>
      <c r="AJ58" s="25">
        <f>(AR58-IF(MID(E58,1,1)="3",트라이포드!$H$7,트라이포드!$G$7))*(1-입력란!$C$29/100)</f>
        <v>7.6616573383200004</v>
      </c>
      <c r="AK5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8" s="25">
        <f>입력란!$C$37+입력란!$C$31+IF(입력란!$C$17=1,10,IF(입력란!$C$17=2,25,IF(입력란!$C$17=3,50,0)))</f>
        <v>295.58728189999999</v>
      </c>
      <c r="AM58" s="29">
        <f>SUM(AN58:AP58)</f>
        <v>25396.836244384311</v>
      </c>
      <c r="AN58" s="29">
        <f>(VLOOKUP(C58,$B$4:$AK$7,4,FALSE)+VLOOKUP(C58,$B$8:$AK$11,4,FALSE)*입력란!$C$23)*입력란!$C$38/100</f>
        <v>25396.836244384311</v>
      </c>
      <c r="AO58" s="29"/>
      <c r="AP58" s="29"/>
      <c r="AQ58" s="29"/>
      <c r="AR58" s="27">
        <v>10</v>
      </c>
    </row>
    <row r="59" spans="2:44" ht="13.5" customHeight="1" x14ac:dyDescent="0.3">
      <c r="B59" s="30">
        <v>44</v>
      </c>
      <c r="C59" s="35">
        <v>10</v>
      </c>
      <c r="D59" s="40" t="s">
        <v>342</v>
      </c>
      <c r="E59" s="37" t="s">
        <v>75</v>
      </c>
      <c r="F59" s="39"/>
      <c r="G59" s="39"/>
      <c r="H59" s="51">
        <f>I59/AJ59</f>
        <v>3816.2267386783324</v>
      </c>
      <c r="I59" s="52">
        <f>SUM(J59:Q59)*IF(입력란!C$15=1,1.04,IF(입력란!C$15=2,1.1,IF(입력란!C$15=3,1.2,1)))*IF(입력란!$C$17&lt;&gt;0,0.98,1)</f>
        <v>36548.276996359811</v>
      </c>
      <c r="J59" s="29">
        <f>S59*(1+IF($AK59+IF(입력란!$C$19=1,10,0)+IF(입력란!$C$9=1,10,0)+IF(MID(E59,5,1)="2",100,0)&gt;100,100,$AK59+IF(입력란!$C$19=1,10,0)+IF(입력란!$C$9=1,10,0)+IF(MID(E59,5,1)="2",100,0))/100*(($AL59+IF(MID(E59,5,1)="2",트라이포드!$R$7,트라이포드!$Q$7))/100-1))</f>
        <v>36548.276996359811</v>
      </c>
      <c r="K59" s="29"/>
      <c r="L59" s="29"/>
      <c r="M59" s="29"/>
      <c r="N59" s="38"/>
      <c r="O59" s="38"/>
      <c r="P59" s="38"/>
      <c r="Q59" s="29">
        <f>Z59*(1+IF($AK59+IF(입력란!$C$19=1,10,0)&gt;100,100,$AK59+IF(입력란!$C$19=1,10,0))/100*($AL59/100-1))</f>
        <v>0</v>
      </c>
      <c r="R59" s="23">
        <f>SUM(S59:Z59)</f>
        <v>25427.63624438431</v>
      </c>
      <c r="S59" s="29">
        <f>AN59*IF(MID(E59,3,1)="2",트라이포드!$L$7,트라이포드!$K$7)*IF(입력란!$C$9=1,IF(입력란!$C$14=0,1.05,IF(입력란!$C$14=1,1.05*1.05,IF(입력란!$C$14=2,1.05*1.12,IF(입력란!$C$14=3,1.05*1.25)))),1)</f>
        <v>25427.63624438431</v>
      </c>
      <c r="T59" s="29"/>
      <c r="U59" s="29"/>
      <c r="V59" s="29"/>
      <c r="W59" s="38"/>
      <c r="X59" s="38"/>
      <c r="Y59" s="38"/>
      <c r="Z59" s="24">
        <f>AN59*IF(MID(E59,5,1)="1",트라이포드!$P$7,트라이포드!$O$7)</f>
        <v>0</v>
      </c>
      <c r="AA59" s="29">
        <f>SUM(AB59:AI59)</f>
        <v>50855.27248876862</v>
      </c>
      <c r="AB59" s="29">
        <f>S59*2</f>
        <v>50855.27248876862</v>
      </c>
      <c r="AC59" s="29"/>
      <c r="AD59" s="25"/>
      <c r="AE59" s="25"/>
      <c r="AF59" s="38"/>
      <c r="AG59" s="38"/>
      <c r="AH59" s="38"/>
      <c r="AI59" s="24">
        <f>Z59*2</f>
        <v>0</v>
      </c>
      <c r="AJ59" s="25">
        <f>(AR59-IF(MID(E59,1,1)="3",트라이포드!$H$7,트라이포드!$G$7))*(1-입력란!$C$29/100)</f>
        <v>9.5770716729000007</v>
      </c>
      <c r="AK5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9" s="25">
        <f>입력란!$C$37+입력란!$C$31+IF(입력란!$C$17=1,10,IF(입력란!$C$17=2,25,IF(입력란!$C$17=3,50,0)))</f>
        <v>295.58728189999999</v>
      </c>
      <c r="AM59" s="29">
        <f>SUM(AN59:AP59)</f>
        <v>25427.63624438431</v>
      </c>
      <c r="AN59" s="29">
        <f>(VLOOKUP(C59,$B$4:$AK$7,4,FALSE)+VLOOKUP(C59,$B$8:$AK$11,4,FALSE)*입력란!$C$23)*입력란!$C$38/100</f>
        <v>25427.63624438431</v>
      </c>
      <c r="AO59" s="29"/>
      <c r="AP59" s="29"/>
      <c r="AQ59" s="29"/>
      <c r="AR59" s="27">
        <v>10</v>
      </c>
    </row>
    <row r="60" spans="2:44" ht="13.5" customHeight="1" x14ac:dyDescent="0.3">
      <c r="B60" s="30">
        <v>45</v>
      </c>
      <c r="C60" s="35">
        <v>10</v>
      </c>
      <c r="D60" s="40" t="s">
        <v>342</v>
      </c>
      <c r="E60" s="37" t="s">
        <v>100</v>
      </c>
      <c r="F60" s="39" t="s">
        <v>350</v>
      </c>
      <c r="G60" s="39"/>
      <c r="H60" s="51">
        <f>I60/AJ60</f>
        <v>9540.5668466958305</v>
      </c>
      <c r="I60" s="52">
        <f>SUM(J60:Q60)*IF(입력란!C$15=1,1.04,IF(입력란!C$15=2,1.1,IF(입력란!C$15=3,1.2,1)))*IF(입력란!$C$17&lt;&gt;0,0.98,1)</f>
        <v>91370.692490899528</v>
      </c>
      <c r="J60" s="29">
        <f>S60*(1+IF($AK60+IF(입력란!$C$19=1,10,0)+IF(입력란!$C$9=1,10,0)+IF(MID(E60,5,1)="2",100,0)&gt;100,100,$AK60+IF(입력란!$C$19=1,10,0)+IF(입력란!$C$9=1,10,0)+IF(MID(E60,5,1)="2",100,0))/100*(($AL60+IF(MID(E60,5,1)="2",트라이포드!$R$7,트라이포드!$Q$7))/100-1))</f>
        <v>36548.276996359811</v>
      </c>
      <c r="K60" s="29"/>
      <c r="L60" s="29"/>
      <c r="M60" s="29"/>
      <c r="N60" s="38"/>
      <c r="O60" s="38"/>
      <c r="P60" s="38"/>
      <c r="Q60" s="29">
        <f>Z60*(1+IF($AK60+IF(입력란!$C$19=1,10,0)&gt;100,100,$AK60+IF(입력란!$C$19=1,10,0))/100*($AL60/100-1))</f>
        <v>54822.415494539717</v>
      </c>
      <c r="R60" s="23">
        <f>SUM(S60:Z60)</f>
        <v>63569.090610960775</v>
      </c>
      <c r="S60" s="29">
        <f>AN60*IF(MID(E60,3,1)="2",트라이포드!$L$7,트라이포드!$K$7)*IF(입력란!$C$9=1,IF(입력란!$C$14=0,1.05,IF(입력란!$C$14=1,1.05*1.05,IF(입력란!$C$14=2,1.05*1.12,IF(입력란!$C$14=3,1.05*1.25)))),1)</f>
        <v>25427.63624438431</v>
      </c>
      <c r="T60" s="29"/>
      <c r="U60" s="29"/>
      <c r="V60" s="29"/>
      <c r="W60" s="38"/>
      <c r="X60" s="38"/>
      <c r="Y60" s="38"/>
      <c r="Z60" s="24">
        <f>AN60*IF(MID(E60,5,1)="1",트라이포드!$P$7,트라이포드!$O$7)</f>
        <v>38141.454366576465</v>
      </c>
      <c r="AA60" s="29">
        <f>SUM(AB60:AI60)</f>
        <v>127138.18122192155</v>
      </c>
      <c r="AB60" s="29">
        <f>S60*2</f>
        <v>50855.27248876862</v>
      </c>
      <c r="AC60" s="29"/>
      <c r="AD60" s="25"/>
      <c r="AE60" s="25"/>
      <c r="AF60" s="38"/>
      <c r="AG60" s="38"/>
      <c r="AH60" s="38"/>
      <c r="AI60" s="24">
        <f>Z60*2</f>
        <v>76282.90873315293</v>
      </c>
      <c r="AJ60" s="25">
        <f>(AR60-IF(MID(E60,1,1)="3",트라이포드!$H$7,트라이포드!$G$7))*(1-입력란!$C$29/100)</f>
        <v>9.5770716729000007</v>
      </c>
      <c r="AK6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0" s="25">
        <f>입력란!$C$37+입력란!$C$31+IF(입력란!$C$17=1,10,IF(입력란!$C$17=2,25,IF(입력란!$C$17=3,50,0)))</f>
        <v>295.58728189999999</v>
      </c>
      <c r="AM60" s="29">
        <f>SUM(AN60:AP60)</f>
        <v>25427.63624438431</v>
      </c>
      <c r="AN60" s="29">
        <f>(VLOOKUP(C60,$B$4:$AK$7,4,FALSE)+VLOOKUP(C60,$B$8:$AK$11,4,FALSE)*입력란!$C$23)*입력란!$C$38/100</f>
        <v>25427.63624438431</v>
      </c>
      <c r="AO60" s="29"/>
      <c r="AP60" s="29"/>
      <c r="AQ60" s="29"/>
      <c r="AR60" s="27">
        <v>10</v>
      </c>
    </row>
    <row r="61" spans="2:44" ht="13.5" customHeight="1" x14ac:dyDescent="0.3">
      <c r="B61" s="30">
        <v>46</v>
      </c>
      <c r="C61" s="35">
        <v>10</v>
      </c>
      <c r="D61" s="40" t="s">
        <v>342</v>
      </c>
      <c r="E61" s="37" t="s">
        <v>101</v>
      </c>
      <c r="F61" s="39"/>
      <c r="G61" s="39"/>
      <c r="H61" s="51">
        <f>I61/AJ61</f>
        <v>9175.5267110555051</v>
      </c>
      <c r="I61" s="52">
        <f>SUM(J61:Q61)*IF(입력란!C$15=1,1.04,IF(입력란!C$15=2,1.1,IF(입력란!C$15=3,1.2,1)))*IF(입력란!$C$17&lt;&gt;0,0.98,1)</f>
        <v>87874.676948386987</v>
      </c>
      <c r="J61" s="29">
        <f>S61*(1+IF($AK61+IF(입력란!$C$19=1,10,0)+IF(입력란!$C$9=1,10,0)+IF(MID(E61,5,1)="2",100,0)&gt;100,100,$AK61+IF(입력란!$C$19=1,10,0)+IF(입력란!$C$9=1,10,0)+IF(MID(E61,5,1)="2",100,0))/100*(($AL61+IF(MID(E61,5,1)="2",트라이포드!$R$7,트라이포드!$Q$7))/100-1))</f>
        <v>87874.676948386987</v>
      </c>
      <c r="K61" s="29"/>
      <c r="L61" s="29"/>
      <c r="M61" s="29"/>
      <c r="N61" s="38"/>
      <c r="O61" s="38"/>
      <c r="P61" s="38"/>
      <c r="Q61" s="29">
        <f>Z61*(1+IF($AK61+IF(입력란!$C$19=1,10,0)&gt;100,100,$AK61+IF(입력란!$C$19=1,10,0))/100*($AL61/100-1))</f>
        <v>0</v>
      </c>
      <c r="R61" s="23">
        <f>SUM(S61:Z61)</f>
        <v>25427.63624438431</v>
      </c>
      <c r="S61" s="29">
        <f>AN61*IF(MID(E61,3,1)="2",트라이포드!$L$7,트라이포드!$K$7)*IF(입력란!$C$9=1,IF(입력란!$C$14=0,1.05,IF(입력란!$C$14=1,1.05*1.05,IF(입력란!$C$14=2,1.05*1.12,IF(입력란!$C$14=3,1.05*1.25)))),1)</f>
        <v>25427.63624438431</v>
      </c>
      <c r="T61" s="29"/>
      <c r="U61" s="29"/>
      <c r="V61" s="29"/>
      <c r="W61" s="38"/>
      <c r="X61" s="38"/>
      <c r="Y61" s="38"/>
      <c r="Z61" s="24">
        <f>AN61*IF(MID(E61,5,1)="1",트라이포드!$P$7,트라이포드!$O$7)</f>
        <v>0</v>
      </c>
      <c r="AA61" s="29">
        <f>SUM(AB61:AI61)</f>
        <v>50855.27248876862</v>
      </c>
      <c r="AB61" s="29">
        <f>S61*2</f>
        <v>50855.27248876862</v>
      </c>
      <c r="AC61" s="29"/>
      <c r="AD61" s="25"/>
      <c r="AE61" s="25"/>
      <c r="AF61" s="38"/>
      <c r="AG61" s="38"/>
      <c r="AH61" s="38"/>
      <c r="AI61" s="24">
        <f>Z61*2</f>
        <v>0</v>
      </c>
      <c r="AJ61" s="25">
        <f>(AR61-IF(MID(E61,1,1)="3",트라이포드!$H$7,트라이포드!$G$7))*(1-입력란!$C$29/100)</f>
        <v>9.5770716729000007</v>
      </c>
      <c r="AK6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1" s="25">
        <f>입력란!$C$37+입력란!$C$31+IF(입력란!$C$17=1,10,IF(입력란!$C$17=2,25,IF(입력란!$C$17=3,50,0)))</f>
        <v>295.58728189999999</v>
      </c>
      <c r="AM61" s="29">
        <f>SUM(AN61:AP61)</f>
        <v>25427.63624438431</v>
      </c>
      <c r="AN61" s="29">
        <f>(VLOOKUP(C61,$B$4:$AK$7,4,FALSE)+VLOOKUP(C61,$B$8:$AK$11,4,FALSE)*입력란!$C$23)*입력란!$C$38/100</f>
        <v>25427.63624438431</v>
      </c>
      <c r="AO61" s="29"/>
      <c r="AP61" s="29"/>
      <c r="AQ61" s="29"/>
      <c r="AR61" s="27">
        <v>10</v>
      </c>
    </row>
    <row r="62" spans="2:44" ht="13.5" customHeight="1" x14ac:dyDescent="0.3">
      <c r="B62" s="30">
        <v>47</v>
      </c>
      <c r="C62" s="39">
        <v>10</v>
      </c>
      <c r="D62" s="40" t="s">
        <v>342</v>
      </c>
      <c r="E62" s="37" t="s">
        <v>338</v>
      </c>
      <c r="F62" s="39"/>
      <c r="G62" s="39"/>
      <c r="H62" s="51">
        <f>I62/AJ62</f>
        <v>6105.9627818853323</v>
      </c>
      <c r="I62" s="52">
        <f>SUM(J62:Q62)*IF(입력란!C$15=1,1.04,IF(입력란!C$15=2,1.1,IF(입력란!C$15=3,1.2,1)))*IF(입력란!$C$17&lt;&gt;0,0.98,1)</f>
        <v>58477.243194175702</v>
      </c>
      <c r="J62" s="29">
        <f>S62*(1+IF($AK62+IF(입력란!$C$19=1,10,0)+IF(입력란!$C$9=1,10,0)+IF(MID(E62,5,1)="2",100,0)&gt;100,100,$AK62+IF(입력란!$C$19=1,10,0)+IF(입력란!$C$9=1,10,0)+IF(MID(E62,5,1)="2",100,0))/100*(($AL62+IF(MID(E62,5,1)="2",트라이포드!$R$7,트라이포드!$Q$7))/100-1))</f>
        <v>58477.243194175702</v>
      </c>
      <c r="K62" s="29"/>
      <c r="L62" s="29"/>
      <c r="M62" s="29"/>
      <c r="N62" s="38"/>
      <c r="O62" s="38"/>
      <c r="P62" s="38"/>
      <c r="Q62" s="29">
        <f>Z62*(1+IF($AK62+IF(입력란!$C$19=1,10,0)&gt;100,100,$AK62+IF(입력란!$C$19=1,10,0))/100*($AL62/100-1))</f>
        <v>0</v>
      </c>
      <c r="R62" s="23">
        <f>SUM(S62:Z62)</f>
        <v>40684.217991014899</v>
      </c>
      <c r="S62" s="29">
        <f>AN62*IF(MID(E62,3,1)="2",트라이포드!$L$7,트라이포드!$K$7)*IF(입력란!$C$9=1,IF(입력란!$C$14=0,1.05,IF(입력란!$C$14=1,1.05*1.05,IF(입력란!$C$14=2,1.05*1.12,IF(입력란!$C$14=3,1.05*1.25)))),1)</f>
        <v>40684.217991014899</v>
      </c>
      <c r="T62" s="29"/>
      <c r="U62" s="29"/>
      <c r="V62" s="29"/>
      <c r="W62" s="38"/>
      <c r="X62" s="38"/>
      <c r="Y62" s="38"/>
      <c r="Z62" s="24">
        <f>AN62*IF(MID(E62,5,1)="1",트라이포드!$P$7,트라이포드!$O$7)</f>
        <v>0</v>
      </c>
      <c r="AA62" s="29">
        <f>SUM(AB62:AI62)</f>
        <v>81368.435982029798</v>
      </c>
      <c r="AB62" s="29">
        <f>S62*2</f>
        <v>81368.435982029798</v>
      </c>
      <c r="AC62" s="29"/>
      <c r="AD62" s="25"/>
      <c r="AE62" s="25"/>
      <c r="AF62" s="38"/>
      <c r="AG62" s="38"/>
      <c r="AH62" s="38"/>
      <c r="AI62" s="24">
        <f>Z62*2</f>
        <v>0</v>
      </c>
      <c r="AJ62" s="25">
        <f>(AR62-IF(MID(E62,1,1)="3",트라이포드!$H$7,트라이포드!$G$7))*(1-입력란!$C$29/100)</f>
        <v>9.5770716729000007</v>
      </c>
      <c r="AK6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2" s="25">
        <f>입력란!$C$37+입력란!$C$31+IF(입력란!$C$17=1,10,IF(입력란!$C$17=2,25,IF(입력란!$C$17=3,50,0)))</f>
        <v>295.58728189999999</v>
      </c>
      <c r="AM62" s="29">
        <f>SUM(AN62:AP62)</f>
        <v>25427.63624438431</v>
      </c>
      <c r="AN62" s="29">
        <f>(VLOOKUP(C62,$B$4:$AK$7,4,FALSE)+VLOOKUP(C62,$B$8:$AK$11,4,FALSE)*입력란!$C$23)*입력란!$C$38/100</f>
        <v>25427.63624438431</v>
      </c>
      <c r="AO62" s="29"/>
      <c r="AP62" s="29"/>
      <c r="AQ62" s="29"/>
      <c r="AR62" s="27">
        <v>10</v>
      </c>
    </row>
    <row r="63" spans="2:44" ht="13.5" customHeight="1" x14ac:dyDescent="0.3">
      <c r="B63" s="30">
        <v>48</v>
      </c>
      <c r="C63" s="39">
        <v>10</v>
      </c>
      <c r="D63" s="40" t="s">
        <v>342</v>
      </c>
      <c r="E63" s="37" t="s">
        <v>214</v>
      </c>
      <c r="F63" s="39" t="s">
        <v>350</v>
      </c>
      <c r="G63" s="39"/>
      <c r="H63" s="51">
        <f>I63/AJ63</f>
        <v>11830.302889902832</v>
      </c>
      <c r="I63" s="52">
        <f>SUM(J63:Q63)*IF(입력란!C$15=1,1.04,IF(입력란!C$15=2,1.1,IF(입력란!C$15=3,1.2,1)))*IF(입력란!$C$17&lt;&gt;0,0.98,1)</f>
        <v>113299.65868871543</v>
      </c>
      <c r="J63" s="29">
        <f>S63*(1+IF($AK63+IF(입력란!$C$19=1,10,0)+IF(입력란!$C$9=1,10,0)+IF(MID(E63,5,1)="2",100,0)&gt;100,100,$AK63+IF(입력란!$C$19=1,10,0)+IF(입력란!$C$9=1,10,0)+IF(MID(E63,5,1)="2",100,0))/100*(($AL63+IF(MID(E63,5,1)="2",트라이포드!$R$7,트라이포드!$Q$7))/100-1))</f>
        <v>58477.243194175702</v>
      </c>
      <c r="K63" s="29"/>
      <c r="L63" s="29"/>
      <c r="M63" s="29"/>
      <c r="N63" s="38"/>
      <c r="O63" s="38"/>
      <c r="P63" s="38"/>
      <c r="Q63" s="29">
        <f>Z63*(1+IF($AK63+IF(입력란!$C$19=1,10,0)&gt;100,100,$AK63+IF(입력란!$C$19=1,10,0))/100*($AL63/100-1))</f>
        <v>54822.415494539717</v>
      </c>
      <c r="R63" s="23">
        <f>SUM(S63:Z63)</f>
        <v>78825.672357591364</v>
      </c>
      <c r="S63" s="29">
        <f>AN63*IF(MID(E63,3,1)="2",트라이포드!$L$7,트라이포드!$K$7)*IF(입력란!$C$9=1,IF(입력란!$C$14=0,1.05,IF(입력란!$C$14=1,1.05*1.05,IF(입력란!$C$14=2,1.05*1.12,IF(입력란!$C$14=3,1.05*1.25)))),1)</f>
        <v>40684.217991014899</v>
      </c>
      <c r="T63" s="29"/>
      <c r="U63" s="29"/>
      <c r="V63" s="29"/>
      <c r="W63" s="38"/>
      <c r="X63" s="38"/>
      <c r="Y63" s="38"/>
      <c r="Z63" s="24">
        <f>AN63*IF(MID(E63,5,1)="1",트라이포드!$P$7,트라이포드!$O$7)</f>
        <v>38141.454366576465</v>
      </c>
      <c r="AA63" s="29">
        <f>SUM(AB63:AI63)</f>
        <v>157651.34471518273</v>
      </c>
      <c r="AB63" s="29">
        <f>S63*2</f>
        <v>81368.435982029798</v>
      </c>
      <c r="AC63" s="29"/>
      <c r="AD63" s="25"/>
      <c r="AE63" s="25"/>
      <c r="AF63" s="38"/>
      <c r="AG63" s="38"/>
      <c r="AH63" s="38"/>
      <c r="AI63" s="24">
        <f>Z63*2</f>
        <v>76282.90873315293</v>
      </c>
      <c r="AJ63" s="25">
        <f>(AR63-IF(MID(E63,1,1)="3",트라이포드!$H$7,트라이포드!$G$7))*(1-입력란!$C$29/100)</f>
        <v>9.5770716729000007</v>
      </c>
      <c r="AK6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3" s="25">
        <f>입력란!$C$37+입력란!$C$31+IF(입력란!$C$17=1,10,IF(입력란!$C$17=2,25,IF(입력란!$C$17=3,50,0)))</f>
        <v>295.58728189999999</v>
      </c>
      <c r="AM63" s="29">
        <f>SUM(AN63:AP63)</f>
        <v>25427.63624438431</v>
      </c>
      <c r="AN63" s="29">
        <f>(VLOOKUP(C63,$B$4:$AK$7,4,FALSE)+VLOOKUP(C63,$B$8:$AK$11,4,FALSE)*입력란!$C$23)*입력란!$C$38/100</f>
        <v>25427.63624438431</v>
      </c>
      <c r="AO63" s="29"/>
      <c r="AP63" s="29"/>
      <c r="AQ63" s="29"/>
      <c r="AR63" s="27">
        <v>10</v>
      </c>
    </row>
    <row r="64" spans="2:44" ht="13.5" customHeight="1" x14ac:dyDescent="0.3">
      <c r="B64" s="30">
        <v>49</v>
      </c>
      <c r="C64" s="39">
        <v>10</v>
      </c>
      <c r="D64" s="40" t="s">
        <v>342</v>
      </c>
      <c r="E64" s="37" t="s">
        <v>215</v>
      </c>
      <c r="F64" s="39"/>
      <c r="G64" s="39"/>
      <c r="H64" s="51">
        <f>I64/AJ64</f>
        <v>14680.842737688808</v>
      </c>
      <c r="I64" s="52">
        <f>SUM(J64:Q64)*IF(입력란!C$15=1,1.04,IF(입력란!C$15=2,1.1,IF(입력란!C$15=3,1.2,1)))*IF(입력란!$C$17&lt;&gt;0,0.98,1)</f>
        <v>140599.48311741918</v>
      </c>
      <c r="J64" s="29">
        <f>S64*(1+IF($AK64+IF(입력란!$C$19=1,10,0)+IF(입력란!$C$9=1,10,0)+IF(MID(E64,5,1)="2",100,0)&gt;100,100,$AK64+IF(입력란!$C$19=1,10,0)+IF(입력란!$C$9=1,10,0)+IF(MID(E64,5,1)="2",100,0))/100*(($AL64+IF(MID(E64,5,1)="2",트라이포드!$R$7,트라이포드!$Q$7))/100-1))</f>
        <v>140599.48311741918</v>
      </c>
      <c r="K64" s="29"/>
      <c r="L64" s="29"/>
      <c r="M64" s="29"/>
      <c r="N64" s="38"/>
      <c r="O64" s="38"/>
      <c r="P64" s="38"/>
      <c r="Q64" s="29">
        <f>Z64*(1+IF($AK64+IF(입력란!$C$19=1,10,0)&gt;100,100,$AK64+IF(입력란!$C$19=1,10,0))/100*($AL64/100-1))</f>
        <v>0</v>
      </c>
      <c r="R64" s="23">
        <f>SUM(S64:Z64)</f>
        <v>40684.217991014899</v>
      </c>
      <c r="S64" s="29">
        <f>AN64*IF(MID(E64,3,1)="2",트라이포드!$L$7,트라이포드!$K$7)*IF(입력란!$C$9=1,IF(입력란!$C$14=0,1.05,IF(입력란!$C$14=1,1.05*1.05,IF(입력란!$C$14=2,1.05*1.12,IF(입력란!$C$14=3,1.05*1.25)))),1)</f>
        <v>40684.217991014899</v>
      </c>
      <c r="T64" s="29"/>
      <c r="U64" s="29"/>
      <c r="V64" s="29"/>
      <c r="W64" s="38"/>
      <c r="X64" s="38"/>
      <c r="Y64" s="38"/>
      <c r="Z64" s="24">
        <f>AN64*IF(MID(E64,5,1)="1",트라이포드!$P$7,트라이포드!$O$7)</f>
        <v>0</v>
      </c>
      <c r="AA64" s="29">
        <f>SUM(AB64:AI64)</f>
        <v>81368.435982029798</v>
      </c>
      <c r="AB64" s="29">
        <f>S64*2</f>
        <v>81368.435982029798</v>
      </c>
      <c r="AC64" s="29"/>
      <c r="AD64" s="25"/>
      <c r="AE64" s="25"/>
      <c r="AF64" s="38"/>
      <c r="AG64" s="38"/>
      <c r="AH64" s="38"/>
      <c r="AI64" s="24">
        <f>Z64*2</f>
        <v>0</v>
      </c>
      <c r="AJ64" s="25">
        <f>(AR64-IF(MID(E64,1,1)="3",트라이포드!$H$7,트라이포드!$G$7))*(1-입력란!$C$29/100)</f>
        <v>9.5770716729000007</v>
      </c>
      <c r="AK6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4" s="25">
        <f>입력란!$C$37+입력란!$C$31+IF(입력란!$C$17=1,10,IF(입력란!$C$17=2,25,IF(입력란!$C$17=3,50,0)))</f>
        <v>295.58728189999999</v>
      </c>
      <c r="AM64" s="29">
        <f>SUM(AN64:AP64)</f>
        <v>25427.63624438431</v>
      </c>
      <c r="AN64" s="29">
        <f>(VLOOKUP(C64,$B$4:$AK$7,4,FALSE)+VLOOKUP(C64,$B$8:$AK$11,4,FALSE)*입력란!$C$23)*입력란!$C$38/100</f>
        <v>25427.63624438431</v>
      </c>
      <c r="AO64" s="29"/>
      <c r="AP64" s="29"/>
      <c r="AQ64" s="29"/>
      <c r="AR64" s="27">
        <v>10</v>
      </c>
    </row>
    <row r="65" spans="2:44" ht="13.5" customHeight="1" x14ac:dyDescent="0.3">
      <c r="B65" s="30">
        <v>50</v>
      </c>
      <c r="C65" s="35">
        <v>10</v>
      </c>
      <c r="D65" s="40" t="s">
        <v>342</v>
      </c>
      <c r="E65" s="37" t="s">
        <v>76</v>
      </c>
      <c r="F65" s="39"/>
      <c r="G65" s="39"/>
      <c r="H65" s="51">
        <f>I65/AJ65</f>
        <v>4770.2834233479152</v>
      </c>
      <c r="I65" s="52">
        <f>SUM(J65:Q65)*IF(입력란!C$15=1,1.04,IF(입력란!C$15=2,1.1,IF(입력란!C$15=3,1.2,1)))*IF(입력란!$C$17&lt;&gt;0,0.98,1)</f>
        <v>36548.276996359811</v>
      </c>
      <c r="J65" s="29">
        <f>S65*(1+IF($AK65+IF(입력란!$C$19=1,10,0)+IF(입력란!$C$9=1,10,0)+IF(MID(E65,5,1)="2",100,0)&gt;100,100,$AK65+IF(입력란!$C$19=1,10,0)+IF(입력란!$C$9=1,10,0)+IF(MID(E65,5,1)="2",100,0))/100*(($AL65+IF(MID(E65,5,1)="2",트라이포드!$R$7,트라이포드!$Q$7))/100-1))</f>
        <v>36548.276996359811</v>
      </c>
      <c r="K65" s="29"/>
      <c r="L65" s="29"/>
      <c r="M65" s="29"/>
      <c r="N65" s="38"/>
      <c r="O65" s="38"/>
      <c r="P65" s="38"/>
      <c r="Q65" s="29">
        <f>Z65*(1+IF($AK65+IF(입력란!$C$19=1,10,0)&gt;100,100,$AK65+IF(입력란!$C$19=1,10,0))/100*($AL65/100-1))</f>
        <v>0</v>
      </c>
      <c r="R65" s="23">
        <f>SUM(S65:Z65)</f>
        <v>25427.63624438431</v>
      </c>
      <c r="S65" s="29">
        <f>AN65*IF(MID(E65,3,1)="2",트라이포드!$L$7,트라이포드!$K$7)*IF(입력란!$C$9=1,IF(입력란!$C$14=0,1.05,IF(입력란!$C$14=1,1.05*1.05,IF(입력란!$C$14=2,1.05*1.12,IF(입력란!$C$14=3,1.05*1.25)))),1)</f>
        <v>25427.63624438431</v>
      </c>
      <c r="T65" s="29"/>
      <c r="U65" s="29"/>
      <c r="V65" s="29"/>
      <c r="W65" s="38"/>
      <c r="X65" s="38"/>
      <c r="Y65" s="38"/>
      <c r="Z65" s="24">
        <f>AN65*IF(MID(E65,5,1)="1",트라이포드!$P$7,트라이포드!$O$7)</f>
        <v>0</v>
      </c>
      <c r="AA65" s="29">
        <f>SUM(AB65:AI65)</f>
        <v>50855.27248876862</v>
      </c>
      <c r="AB65" s="29">
        <f>S65*2</f>
        <v>50855.27248876862</v>
      </c>
      <c r="AC65" s="29"/>
      <c r="AD65" s="25"/>
      <c r="AE65" s="25"/>
      <c r="AF65" s="38"/>
      <c r="AG65" s="38"/>
      <c r="AH65" s="38"/>
      <c r="AI65" s="24">
        <f>Z65*2</f>
        <v>0</v>
      </c>
      <c r="AJ65" s="25">
        <f>(AR65-IF(MID(E65,1,1)="3",트라이포드!$H$7,트라이포드!$G$7))*(1-입력란!$C$29/100)</f>
        <v>7.6616573383200004</v>
      </c>
      <c r="AK6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5" s="25">
        <f>입력란!$C$37+입력란!$C$31+IF(입력란!$C$17=1,10,IF(입력란!$C$17=2,25,IF(입력란!$C$17=3,50,0)))</f>
        <v>295.58728189999999</v>
      </c>
      <c r="AM65" s="29">
        <f>SUM(AN65:AP65)</f>
        <v>25427.63624438431</v>
      </c>
      <c r="AN65" s="29">
        <f>(VLOOKUP(C65,$B$4:$AK$7,4,FALSE)+VLOOKUP(C65,$B$8:$AK$11,4,FALSE)*입력란!$C$23)*입력란!$C$38/100</f>
        <v>25427.63624438431</v>
      </c>
      <c r="AO65" s="29"/>
      <c r="AP65" s="29"/>
      <c r="AQ65" s="29"/>
      <c r="AR65" s="27">
        <v>10</v>
      </c>
    </row>
    <row r="66" spans="2:44" ht="13.5" customHeight="1" x14ac:dyDescent="0.3">
      <c r="B66" s="30">
        <v>51</v>
      </c>
      <c r="C66" s="35">
        <v>10</v>
      </c>
      <c r="D66" s="40" t="s">
        <v>342</v>
      </c>
      <c r="E66" s="37" t="s">
        <v>91</v>
      </c>
      <c r="F66" s="39" t="s">
        <v>350</v>
      </c>
      <c r="G66" s="39"/>
      <c r="H66" s="51">
        <f>I66/AJ66</f>
        <v>11925.70855836979</v>
      </c>
      <c r="I66" s="52">
        <f>SUM(J66:Q66)*IF(입력란!C$15=1,1.04,IF(입력란!C$15=2,1.1,IF(입력란!C$15=3,1.2,1)))*IF(입력란!$C$17&lt;&gt;0,0.98,1)</f>
        <v>91370.692490899528</v>
      </c>
      <c r="J66" s="29">
        <f>S66*(1+IF($AK66+IF(입력란!$C$19=1,10,0)+IF(입력란!$C$9=1,10,0)+IF(MID(E66,5,1)="2",100,0)&gt;100,100,$AK66+IF(입력란!$C$19=1,10,0)+IF(입력란!$C$9=1,10,0)+IF(MID(E66,5,1)="2",100,0))/100*(($AL66+IF(MID(E66,5,1)="2",트라이포드!$R$7,트라이포드!$Q$7))/100-1))</f>
        <v>36548.276996359811</v>
      </c>
      <c r="K66" s="29"/>
      <c r="L66" s="29"/>
      <c r="M66" s="29"/>
      <c r="N66" s="38"/>
      <c r="O66" s="38"/>
      <c r="P66" s="38"/>
      <c r="Q66" s="29">
        <f>Z66*(1+IF($AK66+IF(입력란!$C$19=1,10,0)&gt;100,100,$AK66+IF(입력란!$C$19=1,10,0))/100*($AL66/100-1))</f>
        <v>54822.415494539717</v>
      </c>
      <c r="R66" s="23">
        <f>SUM(S66:Z66)</f>
        <v>63569.090610960775</v>
      </c>
      <c r="S66" s="29">
        <f>AN66*IF(MID(E66,3,1)="2",트라이포드!$L$7,트라이포드!$K$7)*IF(입력란!$C$9=1,IF(입력란!$C$14=0,1.05,IF(입력란!$C$14=1,1.05*1.05,IF(입력란!$C$14=2,1.05*1.12,IF(입력란!$C$14=3,1.05*1.25)))),1)</f>
        <v>25427.63624438431</v>
      </c>
      <c r="T66" s="29"/>
      <c r="U66" s="29"/>
      <c r="V66" s="29"/>
      <c r="W66" s="38"/>
      <c r="X66" s="38"/>
      <c r="Y66" s="38"/>
      <c r="Z66" s="24">
        <f>AN66*IF(MID(E66,5,1)="1",트라이포드!$P$7,트라이포드!$O$7)</f>
        <v>38141.454366576465</v>
      </c>
      <c r="AA66" s="29">
        <f>SUM(AB66:AI66)</f>
        <v>127138.18122192155</v>
      </c>
      <c r="AB66" s="29">
        <f>S66*2</f>
        <v>50855.27248876862</v>
      </c>
      <c r="AC66" s="29"/>
      <c r="AD66" s="25"/>
      <c r="AE66" s="25"/>
      <c r="AF66" s="38"/>
      <c r="AG66" s="38"/>
      <c r="AH66" s="38"/>
      <c r="AI66" s="24">
        <f>Z66*2</f>
        <v>76282.90873315293</v>
      </c>
      <c r="AJ66" s="25">
        <f>(AR66-IF(MID(E66,1,1)="3",트라이포드!$H$7,트라이포드!$G$7))*(1-입력란!$C$29/100)</f>
        <v>7.6616573383200004</v>
      </c>
      <c r="AK6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6" s="25">
        <f>입력란!$C$37+입력란!$C$31+IF(입력란!$C$17=1,10,IF(입력란!$C$17=2,25,IF(입력란!$C$17=3,50,0)))</f>
        <v>295.58728189999999</v>
      </c>
      <c r="AM66" s="29">
        <f>SUM(AN66:AP66)</f>
        <v>25427.63624438431</v>
      </c>
      <c r="AN66" s="29">
        <f>(VLOOKUP(C66,$B$4:$AK$7,4,FALSE)+VLOOKUP(C66,$B$8:$AK$11,4,FALSE)*입력란!$C$23)*입력란!$C$38/100</f>
        <v>25427.63624438431</v>
      </c>
      <c r="AO66" s="29"/>
      <c r="AP66" s="29"/>
      <c r="AQ66" s="29"/>
      <c r="AR66" s="27">
        <v>10</v>
      </c>
    </row>
    <row r="67" spans="2:44" ht="13.5" customHeight="1" x14ac:dyDescent="0.3">
      <c r="B67" s="30">
        <v>52</v>
      </c>
      <c r="C67" s="35">
        <v>10</v>
      </c>
      <c r="D67" s="40" t="s">
        <v>342</v>
      </c>
      <c r="E67" s="37" t="s">
        <v>92</v>
      </c>
      <c r="F67" s="39"/>
      <c r="G67" s="39"/>
      <c r="H67" s="51">
        <f>I67/AJ67</f>
        <v>11469.408388819382</v>
      </c>
      <c r="I67" s="52">
        <f>SUM(J67:Q67)*IF(입력란!C$15=1,1.04,IF(입력란!C$15=2,1.1,IF(입력란!C$15=3,1.2,1)))*IF(입력란!$C$17&lt;&gt;0,0.98,1)</f>
        <v>87874.676948386987</v>
      </c>
      <c r="J67" s="29">
        <f>S67*(1+IF($AK67+IF(입력란!$C$19=1,10,0)+IF(입력란!$C$9=1,10,0)+IF(MID(E67,5,1)="2",100,0)&gt;100,100,$AK67+IF(입력란!$C$19=1,10,0)+IF(입력란!$C$9=1,10,0)+IF(MID(E67,5,1)="2",100,0))/100*(($AL67+IF(MID(E67,5,1)="2",트라이포드!$R$7,트라이포드!$Q$7))/100-1))</f>
        <v>87874.676948386987</v>
      </c>
      <c r="K67" s="29"/>
      <c r="L67" s="29"/>
      <c r="M67" s="29"/>
      <c r="N67" s="38"/>
      <c r="O67" s="38"/>
      <c r="P67" s="38"/>
      <c r="Q67" s="29">
        <f>Z67*(1+IF($AK67+IF(입력란!$C$19=1,10,0)&gt;100,100,$AK67+IF(입력란!$C$19=1,10,0))/100*($AL67/100-1))</f>
        <v>0</v>
      </c>
      <c r="R67" s="23">
        <f>SUM(S67:Z67)</f>
        <v>25427.63624438431</v>
      </c>
      <c r="S67" s="29">
        <f>AN67*IF(MID(E67,3,1)="2",트라이포드!$L$7,트라이포드!$K$7)*IF(입력란!$C$9=1,IF(입력란!$C$14=0,1.05,IF(입력란!$C$14=1,1.05*1.05,IF(입력란!$C$14=2,1.05*1.12,IF(입력란!$C$14=3,1.05*1.25)))),1)</f>
        <v>25427.63624438431</v>
      </c>
      <c r="T67" s="29"/>
      <c r="U67" s="29"/>
      <c r="V67" s="29"/>
      <c r="W67" s="38"/>
      <c r="X67" s="38"/>
      <c r="Y67" s="38"/>
      <c r="Z67" s="24">
        <f>AN67*IF(MID(E67,5,1)="1",트라이포드!$P$7,트라이포드!$O$7)</f>
        <v>0</v>
      </c>
      <c r="AA67" s="29">
        <f>SUM(AB67:AI67)</f>
        <v>50855.27248876862</v>
      </c>
      <c r="AB67" s="29">
        <f>S67*2</f>
        <v>50855.27248876862</v>
      </c>
      <c r="AC67" s="29"/>
      <c r="AD67" s="25"/>
      <c r="AE67" s="25"/>
      <c r="AF67" s="38"/>
      <c r="AG67" s="38"/>
      <c r="AH67" s="38"/>
      <c r="AI67" s="24">
        <f>Z67*2</f>
        <v>0</v>
      </c>
      <c r="AJ67" s="25">
        <f>(AR67-IF(MID(E67,1,1)="3",트라이포드!$H$7,트라이포드!$G$7))*(1-입력란!$C$29/100)</f>
        <v>7.6616573383200004</v>
      </c>
      <c r="AK6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7" s="25">
        <f>입력란!$C$37+입력란!$C$31+IF(입력란!$C$17=1,10,IF(입력란!$C$17=2,25,IF(입력란!$C$17=3,50,0)))</f>
        <v>295.58728189999999</v>
      </c>
      <c r="AM67" s="29">
        <f>SUM(AN67:AP67)</f>
        <v>25427.63624438431</v>
      </c>
      <c r="AN67" s="29">
        <f>(VLOOKUP(C67,$B$4:$AK$7,4,FALSE)+VLOOKUP(C67,$B$8:$AK$11,4,FALSE)*입력란!$C$23)*입력란!$C$38/100</f>
        <v>25427.63624438431</v>
      </c>
      <c r="AO67" s="29"/>
      <c r="AP67" s="29"/>
      <c r="AQ67" s="29"/>
      <c r="AR67" s="27">
        <v>10</v>
      </c>
    </row>
    <row r="68" spans="2:44" ht="13.5" customHeight="1" x14ac:dyDescent="0.3">
      <c r="B68" s="30">
        <v>53</v>
      </c>
      <c r="C68" s="35">
        <v>10</v>
      </c>
      <c r="D68" s="40" t="s">
        <v>342</v>
      </c>
      <c r="E68" s="37" t="s">
        <v>345</v>
      </c>
      <c r="F68" s="39"/>
      <c r="G68" s="39"/>
      <c r="H68" s="51">
        <f>I68/AJ68</f>
        <v>7632.4534773566656</v>
      </c>
      <c r="I68" s="52">
        <f>SUM(J68:Q68)*IF(입력란!C$15=1,1.04,IF(입력란!C$15=2,1.1,IF(입력란!C$15=3,1.2,1)))*IF(입력란!$C$17&lt;&gt;0,0.98,1)</f>
        <v>58477.243194175702</v>
      </c>
      <c r="J68" s="29">
        <f>S68*(1+IF($AK68+IF(입력란!$C$19=1,10,0)+IF(입력란!$C$9=1,10,0)+IF(MID(E68,5,1)="2",100,0)&gt;100,100,$AK68+IF(입력란!$C$19=1,10,0)+IF(입력란!$C$9=1,10,0)+IF(MID(E68,5,1)="2",100,0))/100*(($AL68+IF(MID(E68,5,1)="2",트라이포드!$R$7,트라이포드!$Q$7))/100-1))</f>
        <v>58477.243194175702</v>
      </c>
      <c r="K68" s="29"/>
      <c r="L68" s="29"/>
      <c r="M68" s="29"/>
      <c r="N68" s="38"/>
      <c r="O68" s="38"/>
      <c r="P68" s="38"/>
      <c r="Q68" s="29">
        <f>Z68*(1+IF($AK68+IF(입력란!$C$19=1,10,0)&gt;100,100,$AK68+IF(입력란!$C$19=1,10,0))/100*($AL68/100-1))</f>
        <v>0</v>
      </c>
      <c r="R68" s="23">
        <f>SUM(S68:Z68)</f>
        <v>40684.217991014899</v>
      </c>
      <c r="S68" s="29">
        <f>AN68*IF(MID(E68,3,1)="2",트라이포드!$L$7,트라이포드!$K$7)*IF(입력란!$C$9=1,IF(입력란!$C$14=0,1.05,IF(입력란!$C$14=1,1.05*1.05,IF(입력란!$C$14=2,1.05*1.12,IF(입력란!$C$14=3,1.05*1.25)))),1)</f>
        <v>40684.217991014899</v>
      </c>
      <c r="T68" s="29"/>
      <c r="U68" s="29"/>
      <c r="V68" s="29"/>
      <c r="W68" s="38"/>
      <c r="X68" s="38"/>
      <c r="Y68" s="38"/>
      <c r="Z68" s="24">
        <f>AN68*IF(MID(E68,5,1)="1",트라이포드!$P$7,트라이포드!$O$7)</f>
        <v>0</v>
      </c>
      <c r="AA68" s="29">
        <f>SUM(AB68:AI68)</f>
        <v>81368.435982029798</v>
      </c>
      <c r="AB68" s="29">
        <f>S68*2</f>
        <v>81368.435982029798</v>
      </c>
      <c r="AC68" s="29"/>
      <c r="AD68" s="25"/>
      <c r="AE68" s="25"/>
      <c r="AF68" s="38"/>
      <c r="AG68" s="38"/>
      <c r="AH68" s="38"/>
      <c r="AI68" s="24">
        <f>Z68*2</f>
        <v>0</v>
      </c>
      <c r="AJ68" s="25">
        <f>(AR68-IF(MID(E68,1,1)="3",트라이포드!$H$7,트라이포드!$G$7))*(1-입력란!$C$29/100)</f>
        <v>7.6616573383200004</v>
      </c>
      <c r="AK6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8" s="25">
        <f>입력란!$C$37+입력란!$C$31+IF(입력란!$C$17=1,10,IF(입력란!$C$17=2,25,IF(입력란!$C$17=3,50,0)))</f>
        <v>295.58728189999999</v>
      </c>
      <c r="AM68" s="29">
        <f>SUM(AN68:AP68)</f>
        <v>25427.63624438431</v>
      </c>
      <c r="AN68" s="29">
        <f>(VLOOKUP(C68,$B$4:$AK$7,4,FALSE)+VLOOKUP(C68,$B$8:$AK$11,4,FALSE)*입력란!$C$23)*입력란!$C$38/100</f>
        <v>25427.63624438431</v>
      </c>
      <c r="AO68" s="29"/>
      <c r="AP68" s="29"/>
      <c r="AQ68" s="29"/>
      <c r="AR68" s="27">
        <v>10</v>
      </c>
    </row>
    <row r="69" spans="2:44" ht="13.5" customHeight="1" x14ac:dyDescent="0.3">
      <c r="B69" s="30">
        <v>54</v>
      </c>
      <c r="C69" s="35">
        <v>10</v>
      </c>
      <c r="D69" s="40" t="s">
        <v>342</v>
      </c>
      <c r="E69" s="37" t="s">
        <v>95</v>
      </c>
      <c r="F69" s="39" t="s">
        <v>350</v>
      </c>
      <c r="G69" s="39"/>
      <c r="H69" s="51">
        <f>I69/AJ69</f>
        <v>14787.878612378539</v>
      </c>
      <c r="I69" s="52">
        <f>SUM(J69:Q69)*IF(입력란!C$15=1,1.04,IF(입력란!C$15=2,1.1,IF(입력란!C$15=3,1.2,1)))*IF(입력란!$C$17&lt;&gt;0,0.98,1)</f>
        <v>113299.65868871543</v>
      </c>
      <c r="J69" s="29">
        <f>S69*(1+IF($AK69+IF(입력란!$C$19=1,10,0)+IF(입력란!$C$9=1,10,0)+IF(MID(E69,5,1)="2",100,0)&gt;100,100,$AK69+IF(입력란!$C$19=1,10,0)+IF(입력란!$C$9=1,10,0)+IF(MID(E69,5,1)="2",100,0))/100*(($AL69+IF(MID(E69,5,1)="2",트라이포드!$R$7,트라이포드!$Q$7))/100-1))</f>
        <v>58477.243194175702</v>
      </c>
      <c r="K69" s="29"/>
      <c r="L69" s="29"/>
      <c r="M69" s="29"/>
      <c r="N69" s="38"/>
      <c r="O69" s="38"/>
      <c r="P69" s="38"/>
      <c r="Q69" s="29">
        <f>Z69*(1+IF($AK69+IF(입력란!$C$19=1,10,0)&gt;100,100,$AK69+IF(입력란!$C$19=1,10,0))/100*($AL69/100-1))</f>
        <v>54822.415494539717</v>
      </c>
      <c r="R69" s="23">
        <f>SUM(S69:Z69)</f>
        <v>78825.672357591364</v>
      </c>
      <c r="S69" s="29">
        <f>AN69*IF(MID(E69,3,1)="2",트라이포드!$L$7,트라이포드!$K$7)*IF(입력란!$C$9=1,IF(입력란!$C$14=0,1.05,IF(입력란!$C$14=1,1.05*1.05,IF(입력란!$C$14=2,1.05*1.12,IF(입력란!$C$14=3,1.05*1.25)))),1)</f>
        <v>40684.217991014899</v>
      </c>
      <c r="T69" s="29"/>
      <c r="U69" s="29"/>
      <c r="V69" s="29"/>
      <c r="W69" s="38"/>
      <c r="X69" s="38"/>
      <c r="Y69" s="38"/>
      <c r="Z69" s="24">
        <f>AN69*IF(MID(E69,5,1)="1",트라이포드!$P$7,트라이포드!$O$7)</f>
        <v>38141.454366576465</v>
      </c>
      <c r="AA69" s="29">
        <f>SUM(AB69:AI69)</f>
        <v>157651.34471518273</v>
      </c>
      <c r="AB69" s="29">
        <f>S69*2</f>
        <v>81368.435982029798</v>
      </c>
      <c r="AC69" s="29"/>
      <c r="AD69" s="25"/>
      <c r="AE69" s="25"/>
      <c r="AF69" s="38"/>
      <c r="AG69" s="38"/>
      <c r="AH69" s="38"/>
      <c r="AI69" s="24">
        <f>Z69*2</f>
        <v>76282.90873315293</v>
      </c>
      <c r="AJ69" s="25">
        <f>(AR69-IF(MID(E69,1,1)="3",트라이포드!$H$7,트라이포드!$G$7))*(1-입력란!$C$29/100)</f>
        <v>7.6616573383200004</v>
      </c>
      <c r="AK6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69" s="25">
        <f>입력란!$C$37+입력란!$C$31+IF(입력란!$C$17=1,10,IF(입력란!$C$17=2,25,IF(입력란!$C$17=3,50,0)))</f>
        <v>295.58728189999999</v>
      </c>
      <c r="AM69" s="29">
        <f>SUM(AN69:AP69)</f>
        <v>25427.63624438431</v>
      </c>
      <c r="AN69" s="29">
        <f>(VLOOKUP(C69,$B$4:$AK$7,4,FALSE)+VLOOKUP(C69,$B$8:$AK$11,4,FALSE)*입력란!$C$23)*입력란!$C$38/100</f>
        <v>25427.63624438431</v>
      </c>
      <c r="AO69" s="29"/>
      <c r="AP69" s="29"/>
      <c r="AQ69" s="29"/>
      <c r="AR69" s="27">
        <v>10</v>
      </c>
    </row>
    <row r="70" spans="2:44" ht="13.5" customHeight="1" x14ac:dyDescent="0.3">
      <c r="B70" s="30">
        <v>55</v>
      </c>
      <c r="C70" s="35">
        <v>10</v>
      </c>
      <c r="D70" s="40" t="s">
        <v>342</v>
      </c>
      <c r="E70" s="37" t="s">
        <v>96</v>
      </c>
      <c r="F70" s="39"/>
      <c r="G70" s="39"/>
      <c r="H70" s="51">
        <f>I70/AJ70</f>
        <v>18351.05342211101</v>
      </c>
      <c r="I70" s="52">
        <f>SUM(J70:Q70)*IF(입력란!C$15=1,1.04,IF(입력란!C$15=2,1.1,IF(입력란!C$15=3,1.2,1)))*IF(입력란!$C$17&lt;&gt;0,0.98,1)</f>
        <v>140599.48311741918</v>
      </c>
      <c r="J70" s="29">
        <f>S70*(1+IF($AK70+IF(입력란!$C$19=1,10,0)+IF(입력란!$C$9=1,10,0)+IF(MID(E70,5,1)="2",100,0)&gt;100,100,$AK70+IF(입력란!$C$19=1,10,0)+IF(입력란!$C$9=1,10,0)+IF(MID(E70,5,1)="2",100,0))/100*(($AL70+IF(MID(E70,5,1)="2",트라이포드!$R$7,트라이포드!$Q$7))/100-1))</f>
        <v>140599.48311741918</v>
      </c>
      <c r="K70" s="29"/>
      <c r="L70" s="29"/>
      <c r="M70" s="29"/>
      <c r="N70" s="38"/>
      <c r="O70" s="38"/>
      <c r="P70" s="38"/>
      <c r="Q70" s="29">
        <f>Z70*(1+IF($AK70+IF(입력란!$C$19=1,10,0)&gt;100,100,$AK70+IF(입력란!$C$19=1,10,0))/100*($AL70/100-1))</f>
        <v>0</v>
      </c>
      <c r="R70" s="23">
        <f>SUM(S70:Z70)</f>
        <v>40684.217991014899</v>
      </c>
      <c r="S70" s="29">
        <f>AN70*IF(MID(E70,3,1)="2",트라이포드!$L$7,트라이포드!$K$7)*IF(입력란!$C$9=1,IF(입력란!$C$14=0,1.05,IF(입력란!$C$14=1,1.05*1.05,IF(입력란!$C$14=2,1.05*1.12,IF(입력란!$C$14=3,1.05*1.25)))),1)</f>
        <v>40684.217991014899</v>
      </c>
      <c r="T70" s="29"/>
      <c r="U70" s="29"/>
      <c r="V70" s="29"/>
      <c r="W70" s="38"/>
      <c r="X70" s="38"/>
      <c r="Y70" s="38"/>
      <c r="Z70" s="24">
        <f>AN70*IF(MID(E70,5,1)="1",트라이포드!$P$7,트라이포드!$O$7)</f>
        <v>0</v>
      </c>
      <c r="AA70" s="29">
        <f>SUM(AB70:AI70)</f>
        <v>81368.435982029798</v>
      </c>
      <c r="AB70" s="29">
        <f>S70*2</f>
        <v>81368.435982029798</v>
      </c>
      <c r="AC70" s="29"/>
      <c r="AD70" s="25"/>
      <c r="AE70" s="25"/>
      <c r="AF70" s="38"/>
      <c r="AG70" s="38"/>
      <c r="AH70" s="38"/>
      <c r="AI70" s="24">
        <f>Z70*2</f>
        <v>0</v>
      </c>
      <c r="AJ70" s="25">
        <f>(AR70-IF(MID(E70,1,1)="3",트라이포드!$H$7,트라이포드!$G$7))*(1-입력란!$C$29/100)</f>
        <v>7.6616573383200004</v>
      </c>
      <c r="AK7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0" s="25">
        <f>입력란!$C$37+입력란!$C$31+IF(입력란!$C$17=1,10,IF(입력란!$C$17=2,25,IF(입력란!$C$17=3,50,0)))</f>
        <v>295.58728189999999</v>
      </c>
      <c r="AM70" s="29">
        <f>SUM(AN70:AP70)</f>
        <v>25427.63624438431</v>
      </c>
      <c r="AN70" s="29">
        <f>(VLOOKUP(C70,$B$4:$AK$7,4,FALSE)+VLOOKUP(C70,$B$8:$AK$11,4,FALSE)*입력란!$C$23)*입력란!$C$38/100</f>
        <v>25427.63624438431</v>
      </c>
      <c r="AO70" s="29"/>
      <c r="AP70" s="29"/>
      <c r="AQ70" s="29"/>
      <c r="AR70" s="27">
        <v>10</v>
      </c>
    </row>
    <row r="71" spans="2:44" ht="13.5" customHeight="1" x14ac:dyDescent="0.3">
      <c r="B71" s="30">
        <v>56</v>
      </c>
      <c r="C71" s="35">
        <v>1</v>
      </c>
      <c r="D71" s="36" t="s">
        <v>105</v>
      </c>
      <c r="E71" s="37" t="s">
        <v>75</v>
      </c>
      <c r="F71" s="39"/>
      <c r="G71" s="39" t="s">
        <v>107</v>
      </c>
      <c r="H71" s="51">
        <f>I71/AJ71</f>
        <v>6017.2420469989192</v>
      </c>
      <c r="I71" s="52">
        <f>SUM(J71:Q71)*IF(입력란!C$15=1,1.04,IF(입력란!C$15=2,1.1,IF(입력란!C$15=3,1.2,1)))*IF(입력란!$C$17&lt;&gt;0,0.98,1)</f>
        <v>46102.046685836933</v>
      </c>
      <c r="J71" s="29">
        <f>S71*(1+IF($AK71+IF(입력란!$C$19=1,10,0)+IF(MID(E71,3,1)="3",트라이포드!N$8,0)&gt;100,100,$AK71+IF(입력란!$C$19=1,10,0)+IF(MID(E71,3,1)="3",트라이포드!N$8,0))/100*($AL71/100-1))</f>
        <v>46102.046685836933</v>
      </c>
      <c r="K71" s="29"/>
      <c r="L71" s="29"/>
      <c r="M71" s="29"/>
      <c r="N71" s="38"/>
      <c r="O71" s="38"/>
      <c r="P71" s="38"/>
      <c r="Q71" s="29"/>
      <c r="R71" s="23">
        <f>SUM(S71:Z71)</f>
        <v>32074.455202521363</v>
      </c>
      <c r="S71" s="29">
        <f>AN71*IF(MID(E71,5,1)="1",10*트라이포드!$P$8,10)*IF(MID(E71,5,1)="2",트라이포드!$R$8,트라이포드!$Q$8)</f>
        <v>32074.455202521363</v>
      </c>
      <c r="T71" s="29"/>
      <c r="U71" s="29"/>
      <c r="V71" s="29"/>
      <c r="W71" s="38"/>
      <c r="X71" s="38"/>
      <c r="Y71" s="38"/>
      <c r="Z71" s="24"/>
      <c r="AA71" s="29">
        <f>SUM(AB71:AI71)</f>
        <v>64148.910405042727</v>
      </c>
      <c r="AB71" s="29">
        <f>S71*2</f>
        <v>64148.910405042727</v>
      </c>
      <c r="AC71" s="29"/>
      <c r="AD71" s="25"/>
      <c r="AE71" s="25"/>
      <c r="AF71" s="38"/>
      <c r="AG71" s="38"/>
      <c r="AH71" s="38"/>
      <c r="AI71" s="24"/>
      <c r="AJ71" s="25">
        <f>AR71*(1-입력란!$C$29/100)</f>
        <v>7.6616573383200004</v>
      </c>
      <c r="AK7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1" s="25">
        <f>입력란!$C$37+입력란!$C$31+IF(입력란!$C$17=1,10,IF(입력란!$C$17=2,25,IF(입력란!$C$17=3,50,0)))</f>
        <v>295.58728189999999</v>
      </c>
      <c r="AM71" s="29">
        <f>SUM(AN71:AP71)</f>
        <v>3207.4455202521362</v>
      </c>
      <c r="AN71" s="29">
        <f>(VLOOKUP(C71,$B$4:$AK$7,5,FALSE)+VLOOKUP(C71,$B$8:$AK$11,5,FALSE)*입력란!$C$23)*입력란!$C$38/100</f>
        <v>3207.4455202521362</v>
      </c>
      <c r="AO71" s="25"/>
      <c r="AP71" s="29"/>
      <c r="AQ71" s="29"/>
      <c r="AR71" s="27">
        <v>8</v>
      </c>
    </row>
    <row r="72" spans="2:44" ht="13.5" customHeight="1" x14ac:dyDescent="0.3">
      <c r="B72" s="30">
        <v>57</v>
      </c>
      <c r="C72" s="35">
        <v>4</v>
      </c>
      <c r="D72" s="36" t="s">
        <v>105</v>
      </c>
      <c r="E72" s="37" t="s">
        <v>75</v>
      </c>
      <c r="F72" s="39"/>
      <c r="G72" s="39" t="s">
        <v>107</v>
      </c>
      <c r="H72" s="51">
        <f>I72/AJ72</f>
        <v>6032.7522387301588</v>
      </c>
      <c r="I72" s="52">
        <f>SUM(J72:Q72)*IF(입력란!C$15=1,1.04,IF(입력란!C$15=2,1.1,IF(입력란!C$15=3,1.2,1)))*IF(입력란!$C$17&lt;&gt;0,0.98,1)</f>
        <v>46220.880460133332</v>
      </c>
      <c r="J72" s="29">
        <f>S72*(1+IF($AK72+IF(입력란!$C$19=1,10,0)+IF(MID(E72,3,1)="3",트라이포드!N$8,0)&gt;100,100,$AK72+IF(입력란!$C$19=1,10,0)+IF(MID(E72,3,1)="3",트라이포드!N$8,0))/100*($AL72/100-1))</f>
        <v>46220.880460133332</v>
      </c>
      <c r="K72" s="29"/>
      <c r="L72" s="29"/>
      <c r="M72" s="29"/>
      <c r="N72" s="38"/>
      <c r="O72" s="38"/>
      <c r="P72" s="38"/>
      <c r="Q72" s="29"/>
      <c r="R72" s="23">
        <f>SUM(S72:Z72)</f>
        <v>32157.131110517163</v>
      </c>
      <c r="S72" s="29">
        <f>AN72*IF(MID(E72,5,1)="1",10*트라이포드!$P$8,10)*IF(MID(E72,5,1)="2",트라이포드!$R$8,트라이포드!$Q$8)</f>
        <v>32157.131110517163</v>
      </c>
      <c r="T72" s="29"/>
      <c r="U72" s="29"/>
      <c r="V72" s="29"/>
      <c r="W72" s="38"/>
      <c r="X72" s="38"/>
      <c r="Y72" s="38"/>
      <c r="Z72" s="24"/>
      <c r="AA72" s="29">
        <f>SUM(AB72:AI72)</f>
        <v>64314.262221034325</v>
      </c>
      <c r="AB72" s="29">
        <f>S72*2</f>
        <v>64314.262221034325</v>
      </c>
      <c r="AC72" s="29"/>
      <c r="AD72" s="25"/>
      <c r="AE72" s="25"/>
      <c r="AF72" s="38"/>
      <c r="AG72" s="38"/>
      <c r="AH72" s="38"/>
      <c r="AI72" s="24"/>
      <c r="AJ72" s="25">
        <f>AR72*(1-입력란!$C$29/100)</f>
        <v>7.6616573383200004</v>
      </c>
      <c r="AK7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2" s="25">
        <f>입력란!$C$37+입력란!$C$31+IF(입력란!$C$17=1,10,IF(입력란!$C$17=2,25,IF(입력란!$C$17=3,50,0)))</f>
        <v>295.58728189999999</v>
      </c>
      <c r="AM72" s="29">
        <f>SUM(AN72:AP72)</f>
        <v>3215.7131110517162</v>
      </c>
      <c r="AN72" s="29">
        <f>(VLOOKUP(C72,$B$4:$AK$7,5,FALSE)+VLOOKUP(C72,$B$8:$AK$11,5,FALSE)*입력란!$C$23)*입력란!$C$38/100</f>
        <v>3215.7131110517162</v>
      </c>
      <c r="AO72" s="25"/>
      <c r="AP72" s="29"/>
      <c r="AQ72" s="29"/>
      <c r="AR72" s="28">
        <v>8</v>
      </c>
    </row>
    <row r="73" spans="2:44" ht="13.5" customHeight="1" x14ac:dyDescent="0.3">
      <c r="B73" s="30">
        <v>58</v>
      </c>
      <c r="C73" s="35">
        <v>7</v>
      </c>
      <c r="D73" s="36" t="s">
        <v>105</v>
      </c>
      <c r="E73" s="37" t="s">
        <v>75</v>
      </c>
      <c r="F73" s="39"/>
      <c r="G73" s="39" t="s">
        <v>107</v>
      </c>
      <c r="H73" s="51">
        <f>I73/AJ73</f>
        <v>6054.7625099904535</v>
      </c>
      <c r="I73" s="52">
        <f>SUM(J73:Q73)*IF(입력란!C$15=1,1.04,IF(입력란!C$15=2,1.1,IF(입력란!C$15=3,1.2,1)))*IF(입력란!$C$17&lt;&gt;0,0.98,1)</f>
        <v>46389.51561645318</v>
      </c>
      <c r="J73" s="29">
        <f>S73*(1+IF($AK73+IF(입력란!$C$19=1,10,0)+IF(MID(E73,3,1)="3",트라이포드!N$8,0)&gt;100,100,$AK73+IF(입력란!$C$19=1,10,0)+IF(MID(E73,3,1)="3",트라이포드!N$8,0))/100*($AL73/100-1))</f>
        <v>46389.51561645318</v>
      </c>
      <c r="K73" s="29"/>
      <c r="L73" s="29"/>
      <c r="M73" s="29"/>
      <c r="N73" s="38"/>
      <c r="O73" s="38"/>
      <c r="P73" s="38"/>
      <c r="Q73" s="29"/>
      <c r="R73" s="23">
        <f>SUM(S73:Z73)</f>
        <v>32274.455202521363</v>
      </c>
      <c r="S73" s="29">
        <f>AN73*IF(MID(E73,5,1)="1",10*트라이포드!$P$8,10)*IF(MID(E73,5,1)="2",트라이포드!$R$8,트라이포드!$Q$8)</f>
        <v>32274.455202521363</v>
      </c>
      <c r="T73" s="29"/>
      <c r="U73" s="29"/>
      <c r="V73" s="29"/>
      <c r="W73" s="38"/>
      <c r="X73" s="38"/>
      <c r="Y73" s="38"/>
      <c r="Z73" s="24"/>
      <c r="AA73" s="29">
        <f>SUM(AB73:AI73)</f>
        <v>64548.910405042727</v>
      </c>
      <c r="AB73" s="29">
        <f>S73*2</f>
        <v>64548.910405042727</v>
      </c>
      <c r="AC73" s="29"/>
      <c r="AD73" s="25"/>
      <c r="AE73" s="25"/>
      <c r="AF73" s="38"/>
      <c r="AG73" s="38"/>
      <c r="AH73" s="38"/>
      <c r="AI73" s="24"/>
      <c r="AJ73" s="25">
        <f>AR73*(1-입력란!$C$29/100)</f>
        <v>7.6616573383200004</v>
      </c>
      <c r="AK7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3" s="25">
        <f>입력란!$C$37+입력란!$C$31+IF(입력란!$C$17=1,10,IF(입력란!$C$17=2,25,IF(입력란!$C$17=3,50,0)))</f>
        <v>295.58728189999999</v>
      </c>
      <c r="AM73" s="29">
        <f>SUM(AN73:AP73)</f>
        <v>3227.4455202521362</v>
      </c>
      <c r="AN73" s="29">
        <f>(VLOOKUP(C73,$B$4:$AK$7,5,FALSE)+VLOOKUP(C73,$B$8:$AK$11,5,FALSE)*입력란!$C$23)*입력란!$C$38/100</f>
        <v>3227.4455202521362</v>
      </c>
      <c r="AO73" s="25"/>
      <c r="AP73" s="29"/>
      <c r="AQ73" s="29"/>
      <c r="AR73" s="27">
        <v>8</v>
      </c>
    </row>
    <row r="74" spans="2:44" ht="13.5" customHeight="1" x14ac:dyDescent="0.3">
      <c r="B74" s="30">
        <v>59</v>
      </c>
      <c r="C74" s="35">
        <v>7</v>
      </c>
      <c r="D74" s="36" t="s">
        <v>105</v>
      </c>
      <c r="E74" s="37" t="s">
        <v>79</v>
      </c>
      <c r="F74" s="39"/>
      <c r="G74" s="39" t="s">
        <v>107</v>
      </c>
      <c r="H74" s="51">
        <f>I74/AJ74</f>
        <v>8526.4756220970667</v>
      </c>
      <c r="I74" s="52">
        <f>SUM(J74:Q74)*IF(입력란!C$15=1,1.04,IF(입력란!C$15=2,1.1,IF(입력란!C$15=3,1.2,1)))*IF(입력란!$C$17&lt;&gt;0,0.98,1)</f>
        <v>65326.934520046576</v>
      </c>
      <c r="J74" s="29">
        <f>S74*(1+IF($AK74+IF(입력란!$C$19=1,10,0)+IF(MID(E74,3,1)="3",트라이포드!N$8,0)&gt;100,100,$AK74+IF(입력란!$C$19=1,10,0)+IF(MID(E74,3,1)="3",트라이포드!N$8,0))/100*($AL74/100-1))</f>
        <v>65326.934520046576</v>
      </c>
      <c r="K74" s="29"/>
      <c r="L74" s="29"/>
      <c r="M74" s="29"/>
      <c r="N74" s="38"/>
      <c r="O74" s="38"/>
      <c r="P74" s="38"/>
      <c r="Q74" s="29"/>
      <c r="R74" s="23">
        <f>SUM(S74:Z74)</f>
        <v>32274.455202521363</v>
      </c>
      <c r="S74" s="29">
        <f>AN74*IF(MID(E74,5,1)="1",10*트라이포드!$P$8,10)*IF(MID(E74,5,1)="2",트라이포드!$R$8,트라이포드!$Q$8)</f>
        <v>32274.455202521363</v>
      </c>
      <c r="T74" s="29"/>
      <c r="U74" s="29"/>
      <c r="V74" s="29"/>
      <c r="W74" s="38"/>
      <c r="X74" s="38"/>
      <c r="Y74" s="38"/>
      <c r="Z74" s="24"/>
      <c r="AA74" s="29">
        <f>SUM(AB74:AI74)</f>
        <v>64548.910405042727</v>
      </c>
      <c r="AB74" s="29">
        <f>S74*2</f>
        <v>64548.910405042727</v>
      </c>
      <c r="AC74" s="29"/>
      <c r="AD74" s="25"/>
      <c r="AE74" s="25"/>
      <c r="AF74" s="38"/>
      <c r="AG74" s="38"/>
      <c r="AH74" s="38"/>
      <c r="AI74" s="24"/>
      <c r="AJ74" s="25">
        <f>AR74*(1-입력란!$C$29/100)</f>
        <v>7.6616573383200004</v>
      </c>
      <c r="AK7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4" s="25">
        <f>입력란!$C$37+입력란!$C$31+IF(입력란!$C$17=1,10,IF(입력란!$C$17=2,25,IF(입력란!$C$17=3,50,0)))</f>
        <v>295.58728189999999</v>
      </c>
      <c r="AM74" s="29">
        <f>SUM(AN74:AP74)</f>
        <v>3227.4455202521362</v>
      </c>
      <c r="AN74" s="29">
        <f>(VLOOKUP(C74,$B$4:$AK$7,5,FALSE)+VLOOKUP(C74,$B$8:$AK$11,5,FALSE)*입력란!$C$23)*입력란!$C$38/100</f>
        <v>3227.4455202521362</v>
      </c>
      <c r="AO74" s="25"/>
      <c r="AP74" s="29"/>
      <c r="AQ74" s="29"/>
      <c r="AR74" s="28">
        <v>8</v>
      </c>
    </row>
    <row r="75" spans="2:44" ht="13.5" customHeight="1" x14ac:dyDescent="0.3">
      <c r="B75" s="30">
        <v>60</v>
      </c>
      <c r="C75" s="35">
        <v>10</v>
      </c>
      <c r="D75" s="36" t="s">
        <v>105</v>
      </c>
      <c r="E75" s="37" t="s">
        <v>75</v>
      </c>
      <c r="F75" s="39"/>
      <c r="G75" s="39" t="s">
        <v>107</v>
      </c>
      <c r="H75" s="51">
        <f>I75/AJ75</f>
        <v>6063.0170118485903</v>
      </c>
      <c r="I75" s="52">
        <f>SUM(J75:Q75)*IF(입력란!C$15=1,1.04,IF(입력란!C$15=2,1.1,IF(입력란!C$15=3,1.2,1)))*IF(입력란!$C$17&lt;&gt;0,0.98,1)</f>
        <v>46452.75878118875</v>
      </c>
      <c r="J75" s="29">
        <f>S75*(1+IF($AK75+IF(입력란!$C$19=1,10,0)+IF(MID(E75,3,1)="3",트라이포드!N$8,0)&gt;100,100,$AK75+IF(입력란!$C$19=1,10,0)+IF(MID(E75,3,1)="3",트라이포드!N$8,0))/100*($AL75/100-1))</f>
        <v>46452.75878118875</v>
      </c>
      <c r="K75" s="29"/>
      <c r="L75" s="29"/>
      <c r="M75" s="29"/>
      <c r="N75" s="38"/>
      <c r="O75" s="38"/>
      <c r="P75" s="38"/>
      <c r="Q75" s="29"/>
      <c r="R75" s="23">
        <f>SUM(S75:Z75)</f>
        <v>32318.45520252136</v>
      </c>
      <c r="S75" s="29">
        <f>AN75*IF(MID(E75,5,1)="1",10*트라이포드!$P$8,10)*IF(MID(E75,5,1)="2",트라이포드!$R$8,트라이포드!$Q$8)</f>
        <v>32318.45520252136</v>
      </c>
      <c r="T75" s="29"/>
      <c r="U75" s="29"/>
      <c r="V75" s="29"/>
      <c r="W75" s="38"/>
      <c r="X75" s="38"/>
      <c r="Y75" s="38"/>
      <c r="Z75" s="24"/>
      <c r="AA75" s="29">
        <f>SUM(AB75:AI75)</f>
        <v>64636.91040504272</v>
      </c>
      <c r="AB75" s="29">
        <f>S75*2</f>
        <v>64636.91040504272</v>
      </c>
      <c r="AC75" s="29"/>
      <c r="AD75" s="25"/>
      <c r="AE75" s="25"/>
      <c r="AF75" s="38"/>
      <c r="AG75" s="38"/>
      <c r="AH75" s="38"/>
      <c r="AI75" s="24"/>
      <c r="AJ75" s="25">
        <f>AR75*(1-입력란!$C$29/100)</f>
        <v>7.6616573383200004</v>
      </c>
      <c r="AK7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5" s="25">
        <f>입력란!$C$37+입력란!$C$31+IF(입력란!$C$17=1,10,IF(입력란!$C$17=2,25,IF(입력란!$C$17=3,50,0)))</f>
        <v>295.58728189999999</v>
      </c>
      <c r="AM75" s="29">
        <f>SUM(AN75:AP75)</f>
        <v>3231.8455202521359</v>
      </c>
      <c r="AN75" s="29">
        <f>(VLOOKUP(C75,$B$4:$AK$7,5,FALSE)+VLOOKUP(C75,$B$8:$AK$11,5,FALSE)*입력란!$C$23)*입력란!$C$38/100</f>
        <v>3231.8455202521359</v>
      </c>
      <c r="AO75" s="25"/>
      <c r="AP75" s="29"/>
      <c r="AQ75" s="29"/>
      <c r="AR75" s="27">
        <v>8</v>
      </c>
    </row>
    <row r="76" spans="2:44" ht="13.5" customHeight="1" x14ac:dyDescent="0.3">
      <c r="B76" s="30">
        <v>61</v>
      </c>
      <c r="C76" s="35">
        <v>10</v>
      </c>
      <c r="D76" s="36" t="s">
        <v>105</v>
      </c>
      <c r="E76" s="37" t="s">
        <v>79</v>
      </c>
      <c r="F76" s="39"/>
      <c r="G76" s="39" t="s">
        <v>107</v>
      </c>
      <c r="H76" s="51">
        <f>I76/AJ76</f>
        <v>8538.0998284552552</v>
      </c>
      <c r="I76" s="52">
        <f>SUM(J76:Q76)*IF(입력란!C$15=1,1.04,IF(입력란!C$15=2,1.1,IF(입력란!C$15=3,1.2,1)))*IF(입력란!$C$17&lt;&gt;0,0.98,1)</f>
        <v>65415.995205992942</v>
      </c>
      <c r="J76" s="29">
        <f>S76*(1+IF($AK76+IF(입력란!$C$19=1,10,0)+IF(MID(E76,3,1)="3",트라이포드!N$8,0)&gt;100,100,$AK76+IF(입력란!$C$19=1,10,0)+IF(MID(E76,3,1)="3",트라이포드!N$8,0))/100*($AL76/100-1))</f>
        <v>65415.995205992942</v>
      </c>
      <c r="K76" s="29"/>
      <c r="L76" s="29"/>
      <c r="M76" s="29"/>
      <c r="N76" s="38"/>
      <c r="O76" s="38"/>
      <c r="P76" s="38"/>
      <c r="Q76" s="29"/>
      <c r="R76" s="23">
        <f>SUM(S76:Z76)</f>
        <v>32318.45520252136</v>
      </c>
      <c r="S76" s="29">
        <f>AN76*IF(MID(E76,5,1)="1",10*트라이포드!$P$8,10)*IF(MID(E76,5,1)="2",트라이포드!$R$8,트라이포드!$Q$8)</f>
        <v>32318.45520252136</v>
      </c>
      <c r="T76" s="29"/>
      <c r="U76" s="29"/>
      <c r="V76" s="29"/>
      <c r="W76" s="38"/>
      <c r="X76" s="38"/>
      <c r="Y76" s="38"/>
      <c r="Z76" s="24"/>
      <c r="AA76" s="29">
        <f>SUM(AB76:AI76)</f>
        <v>64636.91040504272</v>
      </c>
      <c r="AB76" s="29">
        <f>S76*2</f>
        <v>64636.91040504272</v>
      </c>
      <c r="AC76" s="29"/>
      <c r="AD76" s="25"/>
      <c r="AE76" s="25"/>
      <c r="AF76" s="38"/>
      <c r="AG76" s="38"/>
      <c r="AH76" s="38"/>
      <c r="AI76" s="24"/>
      <c r="AJ76" s="25">
        <f>AR76*(1-입력란!$C$29/100)</f>
        <v>7.6616573383200004</v>
      </c>
      <c r="AK7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6" s="25">
        <f>입력란!$C$37+입력란!$C$31+IF(입력란!$C$17=1,10,IF(입력란!$C$17=2,25,IF(입력란!$C$17=3,50,0)))</f>
        <v>295.58728189999999</v>
      </c>
      <c r="AM76" s="29">
        <f>SUM(AN76:AP76)</f>
        <v>3231.8455202521359</v>
      </c>
      <c r="AN76" s="29">
        <f>(VLOOKUP(C76,$B$4:$AK$7,5,FALSE)+VLOOKUP(C76,$B$8:$AK$11,5,FALSE)*입력란!$C$23)*입력란!$C$38/100</f>
        <v>3231.8455202521359</v>
      </c>
      <c r="AO76" s="25"/>
      <c r="AP76" s="29"/>
      <c r="AQ76" s="29"/>
      <c r="AR76" s="28">
        <v>8</v>
      </c>
    </row>
    <row r="77" spans="2:44" ht="13.5" customHeight="1" x14ac:dyDescent="0.3">
      <c r="B77" s="30">
        <v>62</v>
      </c>
      <c r="C77" s="35">
        <v>10</v>
      </c>
      <c r="D77" s="36" t="s">
        <v>105</v>
      </c>
      <c r="E77" s="37" t="s">
        <v>100</v>
      </c>
      <c r="F77" s="39"/>
      <c r="G77" s="39" t="s">
        <v>106</v>
      </c>
      <c r="H77" s="51">
        <f>I77/AJ77</f>
        <v>8185.072965995596</v>
      </c>
      <c r="I77" s="52">
        <f>SUM(J77:Q77)*IF(입력란!C$15=1,1.04,IF(입력란!C$15=2,1.1,IF(입력란!C$15=3,1.2,1)))*IF(입력란!$C$17&lt;&gt;0,0.98,1)</f>
        <v>62711.224354604812</v>
      </c>
      <c r="J77" s="29">
        <f>S77*(1+IF($AK77+IF(입력란!$C$19=1,10,0)+IF(MID(E77,3,1)="3",트라이포드!N$8,0)&gt;100,100,$AK77+IF(입력란!$C$19=1,10,0)+IF(MID(E77,3,1)="3",트라이포드!N$8,0))/100*($AL77/100-1))</f>
        <v>62711.224354604812</v>
      </c>
      <c r="K77" s="29"/>
      <c r="L77" s="29"/>
      <c r="M77" s="29"/>
      <c r="N77" s="38"/>
      <c r="O77" s="38"/>
      <c r="P77" s="38"/>
      <c r="Q77" s="29"/>
      <c r="R77" s="23">
        <f>SUM(S77:Z77)</f>
        <v>43629.914523403837</v>
      </c>
      <c r="S77" s="29">
        <f>AN77*IF(MID(E77,5,1)="1",10*트라이포드!$P$8,10)*IF(MID(E77,5,1)="2",트라이포드!$R$8,트라이포드!$Q$8)</f>
        <v>43629.914523403837</v>
      </c>
      <c r="T77" s="29"/>
      <c r="U77" s="29"/>
      <c r="V77" s="29"/>
      <c r="W77" s="38"/>
      <c r="X77" s="38"/>
      <c r="Y77" s="38"/>
      <c r="Z77" s="24"/>
      <c r="AA77" s="29">
        <f>SUM(AB77:AI77)</f>
        <v>87259.829046807674</v>
      </c>
      <c r="AB77" s="29">
        <f>S77*2</f>
        <v>87259.829046807674</v>
      </c>
      <c r="AC77" s="29"/>
      <c r="AD77" s="25"/>
      <c r="AE77" s="25"/>
      <c r="AF77" s="38"/>
      <c r="AG77" s="38"/>
      <c r="AH77" s="38"/>
      <c r="AI77" s="24"/>
      <c r="AJ77" s="25">
        <f>AR77*(1-입력란!$C$29/100)</f>
        <v>7.6616573383200004</v>
      </c>
      <c r="AK7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7" s="25">
        <f>입력란!$C$37+입력란!$C$31+IF(입력란!$C$17=1,10,IF(입력란!$C$17=2,25,IF(입력란!$C$17=3,50,0)))</f>
        <v>295.58728189999999</v>
      </c>
      <c r="AM77" s="29">
        <f>SUM(AN77:AP77)</f>
        <v>3231.8455202521359</v>
      </c>
      <c r="AN77" s="29">
        <f>(VLOOKUP(C77,$B$4:$AK$7,5,FALSE)+VLOOKUP(C77,$B$8:$AK$11,5,FALSE)*입력란!$C$23)*입력란!$C$38/100</f>
        <v>3231.8455202521359</v>
      </c>
      <c r="AO77" s="25"/>
      <c r="AP77" s="29"/>
      <c r="AQ77" s="29"/>
      <c r="AR77" s="27">
        <v>8</v>
      </c>
    </row>
    <row r="78" spans="2:44" ht="13.5" customHeight="1" x14ac:dyDescent="0.3">
      <c r="B78" s="30">
        <v>63</v>
      </c>
      <c r="C78" s="39">
        <v>10</v>
      </c>
      <c r="D78" s="36" t="s">
        <v>105</v>
      </c>
      <c r="E78" s="37" t="s">
        <v>101</v>
      </c>
      <c r="F78" s="39"/>
      <c r="G78" s="39" t="s">
        <v>107</v>
      </c>
      <c r="H78" s="51">
        <f>I78/AJ78</f>
        <v>10913.430621327461</v>
      </c>
      <c r="I78" s="52">
        <f>SUM(J78:Q78)*IF(입력란!C$15=1,1.04,IF(입력란!C$15=2,1.1,IF(입력란!C$15=3,1.2,1)))*IF(입력란!$C$17&lt;&gt;0,0.98,1)</f>
        <v>83614.965806139749</v>
      </c>
      <c r="J78" s="29">
        <f>S78*(1+IF($AK78+IF(입력란!$C$19=1,10,0)+IF(MID(E78,3,1)="3",트라이포드!N$8,0)&gt;100,100,$AK78+IF(입력란!$C$19=1,10,0)+IF(MID(E78,3,1)="3",트라이포드!N$8,0))/100*($AL78/100-1))</f>
        <v>83614.965806139749</v>
      </c>
      <c r="K78" s="29"/>
      <c r="L78" s="29"/>
      <c r="M78" s="29"/>
      <c r="N78" s="38"/>
      <c r="O78" s="38"/>
      <c r="P78" s="38"/>
      <c r="Q78" s="29"/>
      <c r="R78" s="23">
        <f>SUM(S78:Z78)</f>
        <v>58173.219364538447</v>
      </c>
      <c r="S78" s="29">
        <f>AN78*IF(MID(E78,5,1)="1",10*트라이포드!$P$8,10)*IF(MID(E78,5,1)="2",트라이포드!$R$8,트라이포드!$Q$8)</f>
        <v>58173.219364538447</v>
      </c>
      <c r="T78" s="29"/>
      <c r="U78" s="29"/>
      <c r="V78" s="29"/>
      <c r="W78" s="38"/>
      <c r="X78" s="38"/>
      <c r="Y78" s="38"/>
      <c r="Z78" s="24"/>
      <c r="AA78" s="29">
        <f>SUM(AB78:AI78)</f>
        <v>116346.43872907689</v>
      </c>
      <c r="AB78" s="29">
        <f>S78*2</f>
        <v>116346.43872907689</v>
      </c>
      <c r="AC78" s="29"/>
      <c r="AD78" s="25"/>
      <c r="AE78" s="25"/>
      <c r="AF78" s="38"/>
      <c r="AG78" s="38"/>
      <c r="AH78" s="38"/>
      <c r="AI78" s="24"/>
      <c r="AJ78" s="25">
        <f>AR78*(1-입력란!$C$29/100)</f>
        <v>7.6616573383200004</v>
      </c>
      <c r="AK7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8" s="25">
        <f>입력란!$C$37+입력란!$C$31+IF(입력란!$C$17=1,10,IF(입력란!$C$17=2,25,IF(입력란!$C$17=3,50,0)))</f>
        <v>295.58728189999999</v>
      </c>
      <c r="AM78" s="29">
        <f>SUM(AN78:AP78)</f>
        <v>3231.8455202521359</v>
      </c>
      <c r="AN78" s="29">
        <f>(VLOOKUP(C78,$B$4:$AK$7,5,FALSE)+VLOOKUP(C78,$B$8:$AK$11,5,FALSE)*입력란!$C$23)*입력란!$C$38/100</f>
        <v>3231.8455202521359</v>
      </c>
      <c r="AO78" s="25"/>
      <c r="AP78" s="29"/>
      <c r="AQ78" s="29"/>
      <c r="AR78" s="28">
        <v>8</v>
      </c>
    </row>
    <row r="79" spans="2:44" ht="13.5" customHeight="1" x14ac:dyDescent="0.3">
      <c r="B79" s="30">
        <v>64</v>
      </c>
      <c r="C79" s="39">
        <v>10</v>
      </c>
      <c r="D79" s="36" t="s">
        <v>105</v>
      </c>
      <c r="E79" s="37" t="s">
        <v>102</v>
      </c>
      <c r="F79" s="39"/>
      <c r="G79" s="39" t="s">
        <v>106</v>
      </c>
      <c r="H79" s="51">
        <f>I79/AJ79</f>
        <v>11526.434768414596</v>
      </c>
      <c r="I79" s="52">
        <f>SUM(J79:Q79)*IF(입력란!C$15=1,1.04,IF(입력란!C$15=2,1.1,IF(입력란!C$15=3,1.2,1)))*IF(입력란!$C$17&lt;&gt;0,0.98,1)</f>
        <v>88311.593528090481</v>
      </c>
      <c r="J79" s="29">
        <f>S79*(1+IF($AK79+IF(입력란!$C$19=1,10,0)+IF(MID(E79,3,1)="3",트라이포드!N$8,0)&gt;100,100,$AK79+IF(입력란!$C$19=1,10,0)+IF(MID(E79,3,1)="3",트라이포드!N$8,0))/100*($AL79/100-1))</f>
        <v>88311.593528090481</v>
      </c>
      <c r="K79" s="29"/>
      <c r="L79" s="29"/>
      <c r="M79" s="29"/>
      <c r="N79" s="38"/>
      <c r="O79" s="38"/>
      <c r="P79" s="38"/>
      <c r="Q79" s="29"/>
      <c r="R79" s="23">
        <f>SUM(S79:Z79)</f>
        <v>43629.914523403837</v>
      </c>
      <c r="S79" s="29">
        <f>AN79*IF(MID(E79,5,1)="1",10*트라이포드!$P$8,10)*IF(MID(E79,5,1)="2",트라이포드!$R$8,트라이포드!$Q$8)</f>
        <v>43629.914523403837</v>
      </c>
      <c r="T79" s="29"/>
      <c r="U79" s="29"/>
      <c r="V79" s="29"/>
      <c r="W79" s="38"/>
      <c r="X79" s="38"/>
      <c r="Y79" s="38"/>
      <c r="Z79" s="24"/>
      <c r="AA79" s="29">
        <f>SUM(AB79:AI79)</f>
        <v>87259.829046807674</v>
      </c>
      <c r="AB79" s="29">
        <f>S79*2</f>
        <v>87259.829046807674</v>
      </c>
      <c r="AC79" s="29"/>
      <c r="AD79" s="25"/>
      <c r="AE79" s="25"/>
      <c r="AF79" s="38"/>
      <c r="AG79" s="38"/>
      <c r="AH79" s="38"/>
      <c r="AI79" s="24"/>
      <c r="AJ79" s="25">
        <f>AR79*(1-입력란!$C$29/100)</f>
        <v>7.6616573383200004</v>
      </c>
      <c r="AK7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79" s="25">
        <f>입력란!$C$37+입력란!$C$31+IF(입력란!$C$17=1,10,IF(입력란!$C$17=2,25,IF(입력란!$C$17=3,50,0)))</f>
        <v>295.58728189999999</v>
      </c>
      <c r="AM79" s="29">
        <f>SUM(AN79:AP79)</f>
        <v>3231.8455202521359</v>
      </c>
      <c r="AN79" s="29">
        <f>(VLOOKUP(C79,$B$4:$AK$7,5,FALSE)+VLOOKUP(C79,$B$8:$AK$11,5,FALSE)*입력란!$C$23)*입력란!$C$38/100</f>
        <v>3231.8455202521359</v>
      </c>
      <c r="AO79" s="25"/>
      <c r="AP79" s="29"/>
      <c r="AQ79" s="29"/>
      <c r="AR79" s="27">
        <v>8</v>
      </c>
    </row>
    <row r="80" spans="2:44" ht="13.5" customHeight="1" x14ac:dyDescent="0.3">
      <c r="B80" s="30">
        <v>65</v>
      </c>
      <c r="C80" s="39">
        <v>10</v>
      </c>
      <c r="D80" s="36" t="s">
        <v>105</v>
      </c>
      <c r="E80" s="37" t="s">
        <v>103</v>
      </c>
      <c r="F80" s="39"/>
      <c r="G80" s="39" t="s">
        <v>107</v>
      </c>
      <c r="H80" s="51">
        <f>I80/AJ80</f>
        <v>15368.579691219458</v>
      </c>
      <c r="I80" s="52">
        <f>SUM(J80:Q80)*IF(입력란!C$15=1,1.04,IF(입력란!C$15=2,1.1,IF(입력란!C$15=3,1.2,1)))*IF(입력란!$C$17&lt;&gt;0,0.98,1)</f>
        <v>117748.79137078729</v>
      </c>
      <c r="J80" s="29">
        <f>S80*(1+IF($AK80+IF(입력란!$C$19=1,10,0)+IF(MID(E80,3,1)="3",트라이포드!N$8,0)&gt;100,100,$AK80+IF(입력란!$C$19=1,10,0)+IF(MID(E80,3,1)="3",트라이포드!N$8,0))/100*($AL80/100-1))</f>
        <v>117748.79137078729</v>
      </c>
      <c r="K80" s="29"/>
      <c r="L80" s="29"/>
      <c r="M80" s="29"/>
      <c r="N80" s="38"/>
      <c r="O80" s="38"/>
      <c r="P80" s="38"/>
      <c r="Q80" s="29"/>
      <c r="R80" s="23">
        <f>SUM(S80:Z80)</f>
        <v>58173.219364538447</v>
      </c>
      <c r="S80" s="29">
        <f>AN80*IF(MID(E80,5,1)="1",10*트라이포드!$P$8,10)*IF(MID(E80,5,1)="2",트라이포드!$R$8,트라이포드!$Q$8)</f>
        <v>58173.219364538447</v>
      </c>
      <c r="T80" s="29"/>
      <c r="U80" s="29"/>
      <c r="V80" s="29"/>
      <c r="W80" s="38"/>
      <c r="X80" s="38"/>
      <c r="Y80" s="38"/>
      <c r="Z80" s="24"/>
      <c r="AA80" s="29">
        <f>SUM(AB80:AI80)</f>
        <v>116346.43872907689</v>
      </c>
      <c r="AB80" s="29">
        <f>S80*2</f>
        <v>116346.43872907689</v>
      </c>
      <c r="AC80" s="29"/>
      <c r="AD80" s="25"/>
      <c r="AE80" s="25"/>
      <c r="AF80" s="38"/>
      <c r="AG80" s="38"/>
      <c r="AH80" s="38"/>
      <c r="AI80" s="24"/>
      <c r="AJ80" s="25">
        <f>AR80*(1-입력란!$C$29/100)</f>
        <v>7.6616573383200004</v>
      </c>
      <c r="AK8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0" s="25">
        <f>입력란!$C$37+입력란!$C$31+IF(입력란!$C$17=1,10,IF(입력란!$C$17=2,25,IF(입력란!$C$17=3,50,0)))</f>
        <v>295.58728189999999</v>
      </c>
      <c r="AM80" s="29">
        <f>SUM(AN80:AP80)</f>
        <v>3231.8455202521359</v>
      </c>
      <c r="AN80" s="29">
        <f>(VLOOKUP(C80,$B$4:$AK$7,5,FALSE)+VLOOKUP(C80,$B$8:$AK$11,5,FALSE)*입력란!$C$23)*입력란!$C$38/100</f>
        <v>3231.8455202521359</v>
      </c>
      <c r="AO80" s="25"/>
      <c r="AP80" s="29"/>
      <c r="AQ80" s="29"/>
      <c r="AR80" s="28">
        <v>8</v>
      </c>
    </row>
    <row r="81" spans="2:44" ht="13.5" customHeight="1" x14ac:dyDescent="0.3">
      <c r="B81" s="30">
        <v>66</v>
      </c>
      <c r="C81" s="39">
        <v>1</v>
      </c>
      <c r="D81" s="36" t="s">
        <v>109</v>
      </c>
      <c r="E81" s="37" t="s">
        <v>75</v>
      </c>
      <c r="F81" s="39"/>
      <c r="G81" s="39"/>
      <c r="H81" s="51">
        <f>I81/AJ81</f>
        <v>5462.9155135675655</v>
      </c>
      <c r="I81" s="52">
        <f>SUM(J81:Q81)*IF(입력란!C$15=1,1.04,IF(입력란!C$15=2,1.1,IF(입력란!C$15=3,1.2,1)))*IF(입력란!$C$17&lt;&gt;0,0.98,1)</f>
        <v>104637.46683286778</v>
      </c>
      <c r="J81" s="29">
        <f>S81*(1+IF($AK81+IF(입력란!$C$19=1,10,0)+IF(MID(E81,3,1)="2",IF(MID(E81,1,1)="3",0,트라이포드!L$9),0)&gt;100,100,$AK81+IF(입력란!$C$19=1,10,0)+IF(MID(E81,3,1)="2",IF(MID(E81,1,1)="3",0,트라이포드!L$9),0))/100*($AL81/100-1))</f>
        <v>104637.46683286778</v>
      </c>
      <c r="K81" s="29"/>
      <c r="L81" s="29"/>
      <c r="M81" s="29"/>
      <c r="N81" s="38"/>
      <c r="O81" s="38"/>
      <c r="P81" s="38"/>
      <c r="Q81" s="29"/>
      <c r="R81" s="23">
        <f>SUM(S81:Z81)</f>
        <v>72799.14849132266</v>
      </c>
      <c r="S81" s="29">
        <f>AN81*IF(MID(E81,1,1)="3",트라이포드!$H$9,트라이포드!$G$9)*IF(MID(E81,3,1)="3",트라이포드!$N$9,트라이포드!$M$9)*IF(MID(E81,5,1)="1",트라이포드!$P$9,IF(MID(E81,5,1)="2",트라이포드!$R$9,트라이포드!$O$9))</f>
        <v>72799.14849132266</v>
      </c>
      <c r="T81" s="29"/>
      <c r="U81" s="29"/>
      <c r="V81" s="29"/>
      <c r="W81" s="38"/>
      <c r="X81" s="38"/>
      <c r="Y81" s="38"/>
      <c r="Z81" s="24"/>
      <c r="AA81" s="29">
        <f>SUM(AB81:AI81)</f>
        <v>145598.29698264532</v>
      </c>
      <c r="AB81" s="29">
        <f>S81*2</f>
        <v>145598.29698264532</v>
      </c>
      <c r="AC81" s="29"/>
      <c r="AD81" s="25"/>
      <c r="AE81" s="25"/>
      <c r="AF81" s="38"/>
      <c r="AG81" s="38"/>
      <c r="AH81" s="38"/>
      <c r="AI81" s="24"/>
      <c r="AJ81" s="25">
        <f>AR81*(1-입력란!$C$29/100)</f>
        <v>19.154143345800001</v>
      </c>
      <c r="AK8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1" s="25">
        <f>입력란!$C$37+입력란!$C$31+IF(입력란!$C$17=1,10,IF(입력란!$C$17=2,25,IF(입력란!$C$17=3,50,0)))</f>
        <v>295.58728189999999</v>
      </c>
      <c r="AM81" s="29">
        <f>SUM(AN81:AP81)</f>
        <v>72799.14849132266</v>
      </c>
      <c r="AN81" s="29">
        <f>(VLOOKUP(C81,$B$4:$AK$7,6,FALSE)+VLOOKUP(C81,$B$8:$AK$11,6,FALSE)*입력란!$C$23)*입력란!$C$38/100</f>
        <v>72799.14849132266</v>
      </c>
      <c r="AO81" s="25"/>
      <c r="AP81" s="29"/>
      <c r="AQ81" s="29"/>
      <c r="AR81" s="27">
        <v>20</v>
      </c>
    </row>
    <row r="82" spans="2:44" ht="13.5" customHeight="1" x14ac:dyDescent="0.3">
      <c r="B82" s="30">
        <v>67</v>
      </c>
      <c r="C82" s="39">
        <v>4</v>
      </c>
      <c r="D82" s="36" t="s">
        <v>109</v>
      </c>
      <c r="E82" s="37" t="s">
        <v>75</v>
      </c>
      <c r="F82" s="39"/>
      <c r="G82" s="39"/>
      <c r="H82" s="51">
        <f>I82/AJ82</f>
        <v>5485.3977749920923</v>
      </c>
      <c r="I82" s="52">
        <f>SUM(J82:Q82)*IF(입력란!C$15=1,1.04,IF(입력란!C$15=2,1.1,IF(입력란!C$15=3,1.2,1)))*IF(입력란!$C$17&lt;&gt;0,0.98,1)</f>
        <v>105068.09529093093</v>
      </c>
      <c r="J82" s="29">
        <f>S82*(1+IF($AK82+IF(입력란!$C$19=1,10,0)+IF(MID(E82,3,1)="2",IF(MID(E82,1,1)="3",0,트라이포드!L$9),0)&gt;100,100,$AK82+IF(입력란!$C$19=1,10,0)+IF(MID(E82,3,1)="2",IF(MID(E82,1,1)="3",0,트라이포드!L$9),0))/100*($AL82/100-1))</f>
        <v>105068.09529093093</v>
      </c>
      <c r="K82" s="29"/>
      <c r="L82" s="29"/>
      <c r="M82" s="29"/>
      <c r="N82" s="38"/>
      <c r="O82" s="38"/>
      <c r="P82" s="38"/>
      <c r="Q82" s="29"/>
      <c r="R82" s="23">
        <f>SUM(S82:Z82)</f>
        <v>73098.748491322665</v>
      </c>
      <c r="S82" s="29">
        <f>AN82*IF(MID(E82,1,1)="3",트라이포드!$H$9,트라이포드!$G$9)*IF(MID(E82,3,1)="3",트라이포드!$N$9,트라이포드!$M$9)*IF(MID(E82,5,1)="1",트라이포드!$P$9,IF(MID(E82,5,1)="2",트라이포드!$R$9,트라이포드!$O$9))</f>
        <v>73098.748491322665</v>
      </c>
      <c r="T82" s="29"/>
      <c r="U82" s="29"/>
      <c r="V82" s="29"/>
      <c r="W82" s="38"/>
      <c r="X82" s="38"/>
      <c r="Y82" s="38"/>
      <c r="Z82" s="24"/>
      <c r="AA82" s="29">
        <f>SUM(AB82:AI82)</f>
        <v>146197.49698264533</v>
      </c>
      <c r="AB82" s="29">
        <f>S82*2</f>
        <v>146197.49698264533</v>
      </c>
      <c r="AC82" s="29"/>
      <c r="AD82" s="25"/>
      <c r="AE82" s="25"/>
      <c r="AF82" s="38"/>
      <c r="AG82" s="38"/>
      <c r="AH82" s="38"/>
      <c r="AI82" s="24"/>
      <c r="AJ82" s="25">
        <f>AR82*(1-입력란!$C$29/100)</f>
        <v>19.154143345800001</v>
      </c>
      <c r="AK8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2" s="25">
        <f>입력란!$C$37+입력란!$C$31+IF(입력란!$C$17=1,10,IF(입력란!$C$17=2,25,IF(입력란!$C$17=3,50,0)))</f>
        <v>295.58728189999999</v>
      </c>
      <c r="AM82" s="29">
        <f>SUM(AN82:AP82)</f>
        <v>73098.748491322665</v>
      </c>
      <c r="AN82" s="29">
        <f>(VLOOKUP(C82,$B$4:$AK$7,6,FALSE)+VLOOKUP(C82,$B$8:$AK$11,6,FALSE)*입력란!$C$23)*입력란!$C$38/100</f>
        <v>73098.748491322665</v>
      </c>
      <c r="AO82" s="25"/>
      <c r="AP82" s="29"/>
      <c r="AQ82" s="29"/>
      <c r="AR82" s="28">
        <v>20</v>
      </c>
    </row>
    <row r="83" spans="2:44" ht="13.5" customHeight="1" x14ac:dyDescent="0.3">
      <c r="B83" s="30">
        <v>68</v>
      </c>
      <c r="C83" s="39">
        <v>4</v>
      </c>
      <c r="D83" s="36" t="s">
        <v>109</v>
      </c>
      <c r="E83" s="37" t="s">
        <v>76</v>
      </c>
      <c r="F83" s="39" t="s">
        <v>112</v>
      </c>
      <c r="G83" s="39"/>
      <c r="H83" s="51">
        <f>I83/AJ83</f>
        <v>6582.477329990511</v>
      </c>
      <c r="I83" s="52">
        <f>SUM(J83:Q83)*IF(입력란!C$15=1,1.04,IF(입력란!C$15=2,1.1,IF(입력란!C$15=3,1.2,1)))*IF(입력란!$C$17&lt;&gt;0,0.98,1)</f>
        <v>126081.7143491171</v>
      </c>
      <c r="J83" s="29">
        <f>S83*(1+IF($AK83+IF(입력란!$C$19=1,10,0)+IF(MID(E83,3,1)="2",IF(MID(E83,1,1)="3",0,트라이포드!L$9),0)&gt;100,100,$AK83+IF(입력란!$C$19=1,10,0)+IF(MID(E83,3,1)="2",IF(MID(E83,1,1)="3",0,트라이포드!L$9),0))/100*($AL83/100-1))</f>
        <v>126081.7143491171</v>
      </c>
      <c r="K83" s="29"/>
      <c r="L83" s="29"/>
      <c r="M83" s="29"/>
      <c r="N83" s="38"/>
      <c r="O83" s="38"/>
      <c r="P83" s="38"/>
      <c r="Q83" s="29"/>
      <c r="R83" s="23">
        <f>SUM(S83:Z83)</f>
        <v>87718.49818958719</v>
      </c>
      <c r="S83" s="29">
        <f>AN83*IF(MID(E83,1,1)="3",트라이포드!$H$9,트라이포드!$G$9)*IF(MID(E83,3,1)="3",트라이포드!$N$9,트라이포드!$M$9)*IF(MID(E83,5,1)="1",트라이포드!$P$9,IF(MID(E83,5,1)="2",트라이포드!$R$9,트라이포드!$O$9))</f>
        <v>87718.49818958719</v>
      </c>
      <c r="T83" s="29"/>
      <c r="U83" s="29"/>
      <c r="V83" s="29"/>
      <c r="W83" s="38"/>
      <c r="X83" s="38"/>
      <c r="Y83" s="38"/>
      <c r="Z83" s="24"/>
      <c r="AA83" s="29">
        <f>SUM(AB83:AI83)</f>
        <v>175436.99637917438</v>
      </c>
      <c r="AB83" s="29">
        <f>S83*2</f>
        <v>175436.99637917438</v>
      </c>
      <c r="AC83" s="29"/>
      <c r="AD83" s="25"/>
      <c r="AE83" s="25"/>
      <c r="AF83" s="38"/>
      <c r="AG83" s="38"/>
      <c r="AH83" s="38"/>
      <c r="AI83" s="24"/>
      <c r="AJ83" s="25">
        <f>AR83*(1-입력란!$C$29/100)</f>
        <v>19.154143345800001</v>
      </c>
      <c r="AK8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3" s="25">
        <f>입력란!$C$37+입력란!$C$31+IF(입력란!$C$17=1,10,IF(입력란!$C$17=2,25,IF(입력란!$C$17=3,50,0)))</f>
        <v>295.58728189999999</v>
      </c>
      <c r="AM83" s="29">
        <f>SUM(AN83:AP83)</f>
        <v>73098.748491322665</v>
      </c>
      <c r="AN83" s="29">
        <f>(VLOOKUP(C83,$B$4:$AK$7,6,FALSE)+VLOOKUP(C83,$B$8:$AK$11,6,FALSE)*입력란!$C$23)*입력란!$C$38/100</f>
        <v>73098.748491322665</v>
      </c>
      <c r="AO83" s="25"/>
      <c r="AP83" s="29"/>
      <c r="AQ83" s="29"/>
      <c r="AR83" s="27">
        <v>20</v>
      </c>
    </row>
    <row r="84" spans="2:44" ht="13.5" customHeight="1" x14ac:dyDescent="0.3">
      <c r="B84" s="30">
        <v>69</v>
      </c>
      <c r="C84" s="35">
        <v>7</v>
      </c>
      <c r="D84" s="36" t="s">
        <v>109</v>
      </c>
      <c r="E84" s="37" t="s">
        <v>75</v>
      </c>
      <c r="F84" s="39"/>
      <c r="G84" s="39"/>
      <c r="H84" s="51">
        <f>I84/AJ84</f>
        <v>5495.873488259328</v>
      </c>
      <c r="I84" s="52">
        <f>SUM(J84:Q84)*IF(입력란!C$15=1,1.04,IF(입력란!C$15=2,1.1,IF(입력란!C$15=3,1.2,1)))*IF(입력란!$C$17&lt;&gt;0,0.98,1)</f>
        <v>105268.74860450104</v>
      </c>
      <c r="J84" s="29">
        <f>S84*(1+IF($AK84+IF(입력란!$C$19=1,10,0)+IF(MID(E84,3,1)="2",IF(MID(E84,1,1)="3",0,트라이포드!L$9),0)&gt;100,100,$AK84+IF(입력란!$C$19=1,10,0)+IF(MID(E84,3,1)="2",IF(MID(E84,1,1)="3",0,트라이포드!L$9),0))/100*($AL84/100-1))</f>
        <v>105268.74860450104</v>
      </c>
      <c r="K84" s="29"/>
      <c r="L84" s="29"/>
      <c r="M84" s="29"/>
      <c r="N84" s="38"/>
      <c r="O84" s="38"/>
      <c r="P84" s="38"/>
      <c r="Q84" s="29"/>
      <c r="R84" s="23">
        <f>SUM(S84:Z84)</f>
        <v>73238.348491322657</v>
      </c>
      <c r="S84" s="29">
        <f>AN84*IF(MID(E84,1,1)="3",트라이포드!$H$9,트라이포드!$G$9)*IF(MID(E84,3,1)="3",트라이포드!$N$9,트라이포드!$M$9)*IF(MID(E84,5,1)="1",트라이포드!$P$9,IF(MID(E84,5,1)="2",트라이포드!$R$9,트라이포드!$O$9))</f>
        <v>73238.348491322657</v>
      </c>
      <c r="T84" s="29"/>
      <c r="U84" s="29"/>
      <c r="V84" s="29"/>
      <c r="W84" s="38"/>
      <c r="X84" s="38"/>
      <c r="Y84" s="38"/>
      <c r="Z84" s="24"/>
      <c r="AA84" s="29">
        <f>SUM(AB84:AI84)</f>
        <v>146476.69698264531</v>
      </c>
      <c r="AB84" s="29">
        <f>S84*2</f>
        <v>146476.69698264531</v>
      </c>
      <c r="AC84" s="29"/>
      <c r="AD84" s="25"/>
      <c r="AE84" s="25"/>
      <c r="AF84" s="38"/>
      <c r="AG84" s="38"/>
      <c r="AH84" s="38"/>
      <c r="AI84" s="24"/>
      <c r="AJ84" s="25">
        <f>AR84*(1-입력란!$C$29/100)</f>
        <v>19.154143345800001</v>
      </c>
      <c r="AK8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4" s="25">
        <f>입력란!$C$37+입력란!$C$31+IF(입력란!$C$17=1,10,IF(입력란!$C$17=2,25,IF(입력란!$C$17=3,50,0)))</f>
        <v>295.58728189999999</v>
      </c>
      <c r="AM84" s="29">
        <f>SUM(AN84:AP84)</f>
        <v>73238.348491322657</v>
      </c>
      <c r="AN84" s="29">
        <f>(VLOOKUP(C84,$B$4:$AK$7,6,FALSE)+VLOOKUP(C84,$B$8:$AK$11,6,FALSE)*입력란!$C$23)*입력란!$C$38/100</f>
        <v>73238.348491322657</v>
      </c>
      <c r="AO84" s="25"/>
      <c r="AP84" s="29"/>
      <c r="AQ84" s="29"/>
      <c r="AR84" s="28">
        <v>20</v>
      </c>
    </row>
    <row r="85" spans="2:44" ht="13.5" customHeight="1" x14ac:dyDescent="0.3">
      <c r="B85" s="30">
        <v>70</v>
      </c>
      <c r="C85" s="35">
        <v>7</v>
      </c>
      <c r="D85" s="36" t="s">
        <v>109</v>
      </c>
      <c r="E85" s="37" t="s">
        <v>78</v>
      </c>
      <c r="F85" s="39" t="s">
        <v>113</v>
      </c>
      <c r="G85" s="39"/>
      <c r="H85" s="51">
        <f>I85/AJ85</f>
        <v>9982.9933516711517</v>
      </c>
      <c r="I85" s="52">
        <f>SUM(J85:Q85)*IF(입력란!C$15=1,1.04,IF(입력란!C$15=2,1.1,IF(입력란!C$15=3,1.2,1)))*IF(입력란!$C$17&lt;&gt;0,0.98,1)</f>
        <v>191215.68567807763</v>
      </c>
      <c r="J85" s="29">
        <f>S85*(1+IF($AK85+IF(입력란!$C$19=1,10,0)+IF(MID(E85,3,1)="2",IF(MID(E85,1,1)="3",0,트라이포드!L$9),0)&gt;100,100,$AK85+IF(입력란!$C$19=1,10,0)+IF(MID(E85,3,1)="2",IF(MID(E85,1,1)="3",0,트라이포드!L$9),0))/100*($AL85/100-1))</f>
        <v>191215.68567807763</v>
      </c>
      <c r="K85" s="29"/>
      <c r="L85" s="29"/>
      <c r="M85" s="29"/>
      <c r="N85" s="38"/>
      <c r="O85" s="38"/>
      <c r="P85" s="38"/>
      <c r="Q85" s="29"/>
      <c r="R85" s="23">
        <f>SUM(S85:Z85)</f>
        <v>73238.348491322657</v>
      </c>
      <c r="S85" s="29">
        <f>AN85*IF(MID(E85,1,1)="3",트라이포드!$H$9,트라이포드!$G$9)*IF(MID(E85,3,1)="3",트라이포드!$N$9,트라이포드!$M$9)*IF(MID(E85,5,1)="1",트라이포드!$P$9,IF(MID(E85,5,1)="2",트라이포드!$R$9,트라이포드!$O$9))</f>
        <v>73238.348491322657</v>
      </c>
      <c r="T85" s="29"/>
      <c r="U85" s="29"/>
      <c r="V85" s="29"/>
      <c r="W85" s="38"/>
      <c r="X85" s="38"/>
      <c r="Y85" s="38"/>
      <c r="Z85" s="24"/>
      <c r="AA85" s="29">
        <f>SUM(AB85:AI85)</f>
        <v>146476.69698264531</v>
      </c>
      <c r="AB85" s="29">
        <f>S85*2</f>
        <v>146476.69698264531</v>
      </c>
      <c r="AC85" s="29"/>
      <c r="AD85" s="25"/>
      <c r="AE85" s="25"/>
      <c r="AF85" s="38"/>
      <c r="AG85" s="38"/>
      <c r="AH85" s="38"/>
      <c r="AI85" s="24"/>
      <c r="AJ85" s="25">
        <f>AR85*(1-입력란!$C$29/100)</f>
        <v>19.154143345800001</v>
      </c>
      <c r="AK8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5" s="25">
        <f>입력란!$C$37+입력란!$C$31+IF(입력란!$C$17=1,10,IF(입력란!$C$17=2,25,IF(입력란!$C$17=3,50,0)))</f>
        <v>295.58728189999999</v>
      </c>
      <c r="AM85" s="29">
        <f>SUM(AN85:AP85)</f>
        <v>73238.348491322657</v>
      </c>
      <c r="AN85" s="29">
        <f>(VLOOKUP(C85,$B$4:$AK$7,6,FALSE)+VLOOKUP(C85,$B$8:$AK$11,6,FALSE)*입력란!$C$23)*입력란!$C$38/100</f>
        <v>73238.348491322657</v>
      </c>
      <c r="AO85" s="25"/>
      <c r="AP85" s="29"/>
      <c r="AQ85" s="29"/>
      <c r="AR85" s="27">
        <v>20</v>
      </c>
    </row>
    <row r="86" spans="2:44" ht="13.5" customHeight="1" x14ac:dyDescent="0.3">
      <c r="B86" s="30">
        <v>71</v>
      </c>
      <c r="C86" s="35">
        <v>7</v>
      </c>
      <c r="D86" s="36" t="s">
        <v>109</v>
      </c>
      <c r="E86" s="37" t="s">
        <v>79</v>
      </c>
      <c r="F86" s="39"/>
      <c r="G86" s="39"/>
      <c r="H86" s="51">
        <f>I86/AJ86</f>
        <v>6814.8831254415672</v>
      </c>
      <c r="I86" s="52">
        <f>SUM(J86:Q86)*IF(입력란!C$15=1,1.04,IF(입력란!C$15=2,1.1,IF(입력란!C$15=3,1.2,1)))*IF(입력란!$C$17&lt;&gt;0,0.98,1)</f>
        <v>130533.24826958131</v>
      </c>
      <c r="J86" s="29">
        <f>S86*(1+IF($AK86+IF(입력란!$C$19=1,10,0)+IF(MID(E86,3,1)="2",IF(MID(E86,1,1)="3",0,트라이포드!L$9),0)&gt;100,100,$AK86+IF(입력란!$C$19=1,10,0)+IF(MID(E86,3,1)="2",IF(MID(E86,1,1)="3",0,트라이포드!L$9),0))/100*($AL86/100-1))</f>
        <v>130533.24826958131</v>
      </c>
      <c r="K86" s="29"/>
      <c r="L86" s="29"/>
      <c r="M86" s="29"/>
      <c r="N86" s="38"/>
      <c r="O86" s="38"/>
      <c r="P86" s="38"/>
      <c r="Q86" s="29"/>
      <c r="R86" s="23">
        <f>SUM(S86:Z86)</f>
        <v>90815.552129240095</v>
      </c>
      <c r="S86" s="29">
        <f>AN86*IF(MID(E86,1,1)="3",트라이포드!$H$9,트라이포드!$G$9)*IF(MID(E86,3,1)="3",트라이포드!$N$9,트라이포드!$M$9)*IF(MID(E86,5,1)="1",트라이포드!$P$9,IF(MID(E86,5,1)="2",트라이포드!$R$9,트라이포드!$O$9))</f>
        <v>90815.552129240095</v>
      </c>
      <c r="T86" s="29"/>
      <c r="U86" s="29"/>
      <c r="V86" s="29"/>
      <c r="W86" s="38"/>
      <c r="X86" s="38"/>
      <c r="Y86" s="38"/>
      <c r="Z86" s="24"/>
      <c r="AA86" s="29">
        <f>SUM(AB86:AI86)</f>
        <v>181631.10425848019</v>
      </c>
      <c r="AB86" s="29">
        <f>S86*2</f>
        <v>181631.10425848019</v>
      </c>
      <c r="AC86" s="29"/>
      <c r="AD86" s="25"/>
      <c r="AE86" s="25"/>
      <c r="AF86" s="38"/>
      <c r="AG86" s="38"/>
      <c r="AH86" s="38"/>
      <c r="AI86" s="24"/>
      <c r="AJ86" s="25">
        <f>AR86*(1-입력란!$C$29/100)</f>
        <v>19.154143345800001</v>
      </c>
      <c r="AK8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6" s="25">
        <f>입력란!$C$37+입력란!$C$31+IF(입력란!$C$17=1,10,IF(입력란!$C$17=2,25,IF(입력란!$C$17=3,50,0)))</f>
        <v>295.58728189999999</v>
      </c>
      <c r="AM86" s="29">
        <f>SUM(AN86:AP86)</f>
        <v>73238.348491322657</v>
      </c>
      <c r="AN86" s="29">
        <f>(VLOOKUP(C86,$B$4:$AK$7,6,FALSE)+VLOOKUP(C86,$B$8:$AK$11,6,FALSE)*입력란!$C$23)*입력란!$C$38/100</f>
        <v>73238.348491322657</v>
      </c>
      <c r="AO86" s="25"/>
      <c r="AP86" s="29"/>
      <c r="AQ86" s="29"/>
      <c r="AR86" s="28">
        <v>20</v>
      </c>
    </row>
    <row r="87" spans="2:44" ht="13.5" customHeight="1" x14ac:dyDescent="0.3">
      <c r="B87" s="30">
        <v>72</v>
      </c>
      <c r="C87" s="35">
        <v>7</v>
      </c>
      <c r="D87" s="36" t="s">
        <v>109</v>
      </c>
      <c r="E87" s="37" t="s">
        <v>89</v>
      </c>
      <c r="F87" s="39" t="s">
        <v>351</v>
      </c>
      <c r="G87" s="39"/>
      <c r="H87" s="51">
        <f>I87/AJ87</f>
        <v>6595.0481859111933</v>
      </c>
      <c r="I87" s="52">
        <f>SUM(J87:Q87)*IF(입력란!C$15=1,1.04,IF(입력란!C$15=2,1.1,IF(입력란!C$15=3,1.2,1)))*IF(입력란!$C$17&lt;&gt;0,0.98,1)</f>
        <v>126322.49832540125</v>
      </c>
      <c r="J87" s="29">
        <f>S87*(1+IF($AK87+IF(입력란!$C$19=1,10,0)+IF(MID(E87,3,1)="2",IF(MID(E87,1,1)="3",0,트라이포드!L$9),0)&gt;100,100,$AK87+IF(입력란!$C$19=1,10,0)+IF(MID(E87,3,1)="2",IF(MID(E87,1,1)="3",0,트라이포드!L$9),0))/100*($AL87/100-1))</f>
        <v>126322.49832540125</v>
      </c>
      <c r="K87" s="29"/>
      <c r="L87" s="29"/>
      <c r="M87" s="29"/>
      <c r="N87" s="38"/>
      <c r="O87" s="38"/>
      <c r="P87" s="38"/>
      <c r="Q87" s="29"/>
      <c r="R87" s="23">
        <f>SUM(S87:Z87)</f>
        <v>87886.018189587179</v>
      </c>
      <c r="S87" s="29">
        <f>AN87*IF(MID(E87,1,1)="3",트라이포드!$H$9,트라이포드!$G$9)*IF(MID(E87,3,1)="3",트라이포드!$N$9,트라이포드!$M$9)*IF(MID(E87,5,1)="1",트라이포드!$P$9,IF(MID(E87,5,1)="2",트라이포드!$R$9,트라이포드!$O$9))</f>
        <v>87886.018189587179</v>
      </c>
      <c r="T87" s="29"/>
      <c r="U87" s="29"/>
      <c r="V87" s="29"/>
      <c r="W87" s="38"/>
      <c r="X87" s="38"/>
      <c r="Y87" s="38"/>
      <c r="Z87" s="24"/>
      <c r="AA87" s="29">
        <f>SUM(AB87:AI87)</f>
        <v>175772.03637917436</v>
      </c>
      <c r="AB87" s="29">
        <f>S87*2</f>
        <v>175772.03637917436</v>
      </c>
      <c r="AC87" s="29"/>
      <c r="AD87" s="25"/>
      <c r="AE87" s="25"/>
      <c r="AF87" s="38"/>
      <c r="AG87" s="38"/>
      <c r="AH87" s="38"/>
      <c r="AI87" s="24"/>
      <c r="AJ87" s="25">
        <f>AR87*(1-입력란!$C$29/100)</f>
        <v>19.154143345800001</v>
      </c>
      <c r="AK8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7" s="25">
        <f>입력란!$C$37+입력란!$C$31+IF(입력란!$C$17=1,10,IF(입력란!$C$17=2,25,IF(입력란!$C$17=3,50,0)))</f>
        <v>295.58728189999999</v>
      </c>
      <c r="AM87" s="29">
        <f>SUM(AN87:AP87)</f>
        <v>73238.348491322657</v>
      </c>
      <c r="AN87" s="29">
        <f>(VLOOKUP(C87,$B$4:$AK$7,6,FALSE)+VLOOKUP(C87,$B$8:$AK$11,6,FALSE)*입력란!$C$23)*입력란!$C$38/100</f>
        <v>73238.348491322657</v>
      </c>
      <c r="AO87" s="25"/>
      <c r="AP87" s="29"/>
      <c r="AQ87" s="29"/>
      <c r="AR87" s="27">
        <v>20</v>
      </c>
    </row>
    <row r="88" spans="2:44" ht="13.5" customHeight="1" x14ac:dyDescent="0.3">
      <c r="B88" s="30">
        <v>73</v>
      </c>
      <c r="C88" s="35">
        <v>7</v>
      </c>
      <c r="D88" s="36" t="s">
        <v>109</v>
      </c>
      <c r="E88" s="37" t="s">
        <v>90</v>
      </c>
      <c r="F88" s="39"/>
      <c r="G88" s="39"/>
      <c r="H88" s="51">
        <f>I88/AJ88</f>
        <v>8177.8597505298794</v>
      </c>
      <c r="I88" s="52">
        <f>SUM(J88:Q88)*IF(입력란!C$15=1,1.04,IF(입력란!C$15=2,1.1,IF(입력란!C$15=3,1.2,1)))*IF(입력란!$C$17&lt;&gt;0,0.98,1)</f>
        <v>156639.89792349754</v>
      </c>
      <c r="J88" s="29">
        <f>S88*(1+IF($AK88+IF(입력란!$C$19=1,10,0)+IF(MID(E88,3,1)="2",IF(MID(E88,1,1)="3",0,트라이포드!L$9),0)&gt;100,100,$AK88+IF(입력란!$C$19=1,10,0)+IF(MID(E88,3,1)="2",IF(MID(E88,1,1)="3",0,트라이포드!L$9),0))/100*($AL88/100-1))</f>
        <v>156639.89792349754</v>
      </c>
      <c r="K88" s="29"/>
      <c r="L88" s="29"/>
      <c r="M88" s="29"/>
      <c r="N88" s="38"/>
      <c r="O88" s="38"/>
      <c r="P88" s="38"/>
      <c r="Q88" s="29"/>
      <c r="R88" s="23">
        <f>SUM(S88:Z88)</f>
        <v>108978.6625550881</v>
      </c>
      <c r="S88" s="29">
        <f>AN88*IF(MID(E88,1,1)="3",트라이포드!$H$9,트라이포드!$G$9)*IF(MID(E88,3,1)="3",트라이포드!$N$9,트라이포드!$M$9)*IF(MID(E88,5,1)="1",트라이포드!$P$9,IF(MID(E88,5,1)="2",트라이포드!$R$9,트라이포드!$O$9))</f>
        <v>108978.6625550881</v>
      </c>
      <c r="T88" s="29"/>
      <c r="U88" s="29"/>
      <c r="V88" s="29"/>
      <c r="W88" s="38"/>
      <c r="X88" s="38"/>
      <c r="Y88" s="38"/>
      <c r="Z88" s="24"/>
      <c r="AA88" s="29">
        <f>SUM(AB88:AI88)</f>
        <v>217957.3251101762</v>
      </c>
      <c r="AB88" s="29">
        <f>S88*2</f>
        <v>217957.3251101762</v>
      </c>
      <c r="AC88" s="29"/>
      <c r="AD88" s="25"/>
      <c r="AE88" s="25"/>
      <c r="AF88" s="38"/>
      <c r="AG88" s="38"/>
      <c r="AH88" s="38"/>
      <c r="AI88" s="24"/>
      <c r="AJ88" s="25">
        <f>AR88*(1-입력란!$C$29/100)</f>
        <v>19.154143345800001</v>
      </c>
      <c r="AK8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8" s="25">
        <f>입력란!$C$37+입력란!$C$31+IF(입력란!$C$17=1,10,IF(입력란!$C$17=2,25,IF(입력란!$C$17=3,50,0)))</f>
        <v>295.58728189999999</v>
      </c>
      <c r="AM88" s="29">
        <f>SUM(AN88:AP88)</f>
        <v>73238.348491322657</v>
      </c>
      <c r="AN88" s="29">
        <f>(VLOOKUP(C88,$B$4:$AK$7,6,FALSE)+VLOOKUP(C88,$B$8:$AK$11,6,FALSE)*입력란!$C$23)*입력란!$C$38/100</f>
        <v>73238.348491322657</v>
      </c>
      <c r="AO88" s="25"/>
      <c r="AP88" s="29"/>
      <c r="AQ88" s="29"/>
      <c r="AR88" s="28">
        <v>20</v>
      </c>
    </row>
    <row r="89" spans="2:44" ht="13.5" customHeight="1" x14ac:dyDescent="0.3">
      <c r="B89" s="30">
        <v>74</v>
      </c>
      <c r="C89" s="35">
        <v>10</v>
      </c>
      <c r="D89" s="36" t="s">
        <v>109</v>
      </c>
      <c r="E89" s="37" t="s">
        <v>75</v>
      </c>
      <c r="F89" s="39"/>
      <c r="G89" s="39"/>
      <c r="H89" s="51">
        <f>I89/AJ89</f>
        <v>5502.537122486624</v>
      </c>
      <c r="I89" s="52">
        <f>SUM(J89:Q89)*IF(입력란!C$15=1,1.04,IF(입력란!C$15=2,1.1,IF(입력란!C$15=3,1.2,1)))*IF(입력란!$C$17&lt;&gt;0,0.98,1)</f>
        <v>105396.38480969466</v>
      </c>
      <c r="J89" s="29">
        <f>S89*(1+IF($AK89+IF(입력란!$C$19=1,10,0)+IF(MID(E89,3,1)="2",IF(MID(E89,1,1)="3",0,트라이포드!L$9),0)&gt;100,100,$AK89+IF(입력란!$C$19=1,10,0)+IF(MID(E89,3,1)="2",IF(MID(E89,1,1)="3",0,트라이포드!L$9),0))/100*($AL89/100-1))</f>
        <v>105396.38480969466</v>
      </c>
      <c r="K89" s="29"/>
      <c r="L89" s="29"/>
      <c r="M89" s="29"/>
      <c r="N89" s="38"/>
      <c r="O89" s="38"/>
      <c r="P89" s="38"/>
      <c r="Q89" s="29"/>
      <c r="R89" s="23">
        <f>SUM(S89:Z89)</f>
        <v>73327.14849132266</v>
      </c>
      <c r="S89" s="29">
        <f>AN89*IF(MID(E89,1,1)="3",트라이포드!$H$9,트라이포드!$G$9)*IF(MID(E89,3,1)="3",트라이포드!$N$9,트라이포드!$M$9)*IF(MID(E89,5,1)="1",트라이포드!$P$9,IF(MID(E89,5,1)="2",트라이포드!$R$9,트라이포드!$O$9))</f>
        <v>73327.14849132266</v>
      </c>
      <c r="T89" s="29"/>
      <c r="U89" s="29"/>
      <c r="V89" s="29"/>
      <c r="W89" s="38"/>
      <c r="X89" s="38"/>
      <c r="Y89" s="38"/>
      <c r="Z89" s="24"/>
      <c r="AA89" s="29">
        <f>SUM(AB89:AI89)</f>
        <v>146654.29698264532</v>
      </c>
      <c r="AB89" s="29">
        <f>S89*2</f>
        <v>146654.29698264532</v>
      </c>
      <c r="AC89" s="29"/>
      <c r="AD89" s="25"/>
      <c r="AE89" s="25"/>
      <c r="AF89" s="38"/>
      <c r="AG89" s="38"/>
      <c r="AH89" s="38"/>
      <c r="AI89" s="24"/>
      <c r="AJ89" s="25">
        <f>AR89*(1-입력란!$C$29/100)</f>
        <v>19.154143345800001</v>
      </c>
      <c r="AK8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89" s="25">
        <f>입력란!$C$37+입력란!$C$31+IF(입력란!$C$17=1,10,IF(입력란!$C$17=2,25,IF(입력란!$C$17=3,50,0)))</f>
        <v>295.58728189999999</v>
      </c>
      <c r="AM89" s="29">
        <f>SUM(AN89:AP89)</f>
        <v>73327.14849132266</v>
      </c>
      <c r="AN89" s="29">
        <f>(VLOOKUP(C89,$B$4:$AK$7,6,FALSE)+VLOOKUP(C89,$B$8:$AK$11,6,FALSE)*입력란!$C$23)*입력란!$C$38/100</f>
        <v>73327.14849132266</v>
      </c>
      <c r="AO89" s="25"/>
      <c r="AP89" s="29"/>
      <c r="AQ89" s="29"/>
      <c r="AR89" s="27">
        <v>20</v>
      </c>
    </row>
    <row r="90" spans="2:44" ht="13.5" customHeight="1" x14ac:dyDescent="0.3">
      <c r="B90" s="30">
        <v>75</v>
      </c>
      <c r="C90" s="35">
        <v>10</v>
      </c>
      <c r="D90" s="36" t="s">
        <v>109</v>
      </c>
      <c r="E90" s="37" t="s">
        <v>76</v>
      </c>
      <c r="F90" s="39" t="s">
        <v>112</v>
      </c>
      <c r="G90" s="39"/>
      <c r="H90" s="51">
        <f>I90/AJ90</f>
        <v>6603.0445469839497</v>
      </c>
      <c r="I90" s="52">
        <f>SUM(J90:Q90)*IF(입력란!C$15=1,1.04,IF(입력란!C$15=2,1.1,IF(입력란!C$15=3,1.2,1)))*IF(입력란!$C$17&lt;&gt;0,0.98,1)</f>
        <v>126475.6617716336</v>
      </c>
      <c r="J90" s="29">
        <f>S90*(1+IF($AK90+IF(입력란!$C$19=1,10,0)+IF(MID(E90,3,1)="2",IF(MID(E90,1,1)="3",0,트라이포드!L$9),0)&gt;100,100,$AK90+IF(입력란!$C$19=1,10,0)+IF(MID(E90,3,1)="2",IF(MID(E90,1,1)="3",0,트라이포드!L$9),0))/100*($AL90/100-1))</f>
        <v>126475.6617716336</v>
      </c>
      <c r="K90" s="29"/>
      <c r="L90" s="29"/>
      <c r="M90" s="29"/>
      <c r="N90" s="38"/>
      <c r="O90" s="38"/>
      <c r="P90" s="38"/>
      <c r="Q90" s="29"/>
      <c r="R90" s="23">
        <f>SUM(S90:Z90)</f>
        <v>87992.578189587191</v>
      </c>
      <c r="S90" s="29">
        <f>AN90*IF(MID(E90,1,1)="3",트라이포드!$H$9,트라이포드!$G$9)*IF(MID(E90,3,1)="3",트라이포드!$N$9,트라이포드!$M$9)*IF(MID(E90,5,1)="1",트라이포드!$P$9,IF(MID(E90,5,1)="2",트라이포드!$R$9,트라이포드!$O$9))</f>
        <v>87992.578189587191</v>
      </c>
      <c r="T90" s="29"/>
      <c r="U90" s="29"/>
      <c r="V90" s="29"/>
      <c r="W90" s="38"/>
      <c r="X90" s="38"/>
      <c r="Y90" s="38"/>
      <c r="Z90" s="24"/>
      <c r="AA90" s="29">
        <f>SUM(AB90:AI90)</f>
        <v>175985.15637917438</v>
      </c>
      <c r="AB90" s="29">
        <f>S90*2</f>
        <v>175985.15637917438</v>
      </c>
      <c r="AC90" s="29"/>
      <c r="AD90" s="25"/>
      <c r="AE90" s="25"/>
      <c r="AF90" s="38"/>
      <c r="AG90" s="38"/>
      <c r="AH90" s="38"/>
      <c r="AI90" s="24"/>
      <c r="AJ90" s="25">
        <f>AR90*(1-입력란!$C$29/100)</f>
        <v>19.154143345800001</v>
      </c>
      <c r="AK9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0" s="25">
        <f>입력란!$C$37+입력란!$C$31+IF(입력란!$C$17=1,10,IF(입력란!$C$17=2,25,IF(입력란!$C$17=3,50,0)))</f>
        <v>295.58728189999999</v>
      </c>
      <c r="AM90" s="29">
        <f>SUM(AN90:AP90)</f>
        <v>73327.14849132266</v>
      </c>
      <c r="AN90" s="29">
        <f>(VLOOKUP(C90,$B$4:$AK$7,6,FALSE)+VLOOKUP(C90,$B$8:$AK$11,6,FALSE)*입력란!$C$23)*입력란!$C$38/100</f>
        <v>73327.14849132266</v>
      </c>
      <c r="AO90" s="25"/>
      <c r="AP90" s="29"/>
      <c r="AQ90" s="29"/>
      <c r="AR90" s="28">
        <v>20</v>
      </c>
    </row>
    <row r="91" spans="2:44" ht="13.5" customHeight="1" x14ac:dyDescent="0.3">
      <c r="B91" s="30">
        <v>76</v>
      </c>
      <c r="C91" s="35">
        <v>10</v>
      </c>
      <c r="D91" s="36" t="s">
        <v>109</v>
      </c>
      <c r="E91" s="37" t="s">
        <v>100</v>
      </c>
      <c r="F91" s="39"/>
      <c r="G91" s="39"/>
      <c r="H91" s="51">
        <f>I91/AJ91</f>
        <v>9904.566820475924</v>
      </c>
      <c r="I91" s="52">
        <f>SUM(J91:Q91)*IF(입력란!C$15=1,1.04,IF(입력란!C$15=2,1.1,IF(입력란!C$15=3,1.2,1)))*IF(입력란!$C$17&lt;&gt;0,0.98,1)</f>
        <v>189713.49265745041</v>
      </c>
      <c r="J91" s="29">
        <f>S91*(1+IF($AK91+IF(입력란!$C$19=1,10,0)+IF(MID(E91,3,1)="2",IF(MID(E91,1,1)="3",0,트라이포드!L$9),0)&gt;100,100,$AK91+IF(입력란!$C$19=1,10,0)+IF(MID(E91,3,1)="2",IF(MID(E91,1,1)="3",0,트라이포드!L$9),0))/100*($AL91/100-1))</f>
        <v>189713.49265745041</v>
      </c>
      <c r="K91" s="29"/>
      <c r="L91" s="29"/>
      <c r="M91" s="29"/>
      <c r="N91" s="38"/>
      <c r="O91" s="38"/>
      <c r="P91" s="38"/>
      <c r="Q91" s="29"/>
      <c r="R91" s="23">
        <f>SUM(S91:Z91)</f>
        <v>131988.8672843808</v>
      </c>
      <c r="S91" s="29">
        <f>AN91*IF(MID(E91,1,1)="3",트라이포드!$H$9,트라이포드!$G$9)*IF(MID(E91,3,1)="3",트라이포드!$N$9,트라이포드!$M$9)*IF(MID(E91,5,1)="1",트라이포드!$P$9,IF(MID(E91,5,1)="2",트라이포드!$R$9,트라이포드!$O$9))</f>
        <v>131988.8672843808</v>
      </c>
      <c r="T91" s="29"/>
      <c r="U91" s="29"/>
      <c r="V91" s="29"/>
      <c r="W91" s="38"/>
      <c r="X91" s="38"/>
      <c r="Y91" s="38"/>
      <c r="Z91" s="24"/>
      <c r="AA91" s="29">
        <f>SUM(AB91:AI91)</f>
        <v>263977.7345687616</v>
      </c>
      <c r="AB91" s="29">
        <f>S91*2</f>
        <v>263977.7345687616</v>
      </c>
      <c r="AC91" s="29"/>
      <c r="AD91" s="25"/>
      <c r="AE91" s="25"/>
      <c r="AF91" s="38"/>
      <c r="AG91" s="38"/>
      <c r="AH91" s="38"/>
      <c r="AI91" s="24"/>
      <c r="AJ91" s="25">
        <f>AR91*(1-입력란!$C$29/100)</f>
        <v>19.154143345800001</v>
      </c>
      <c r="AK9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1" s="25">
        <f>입력란!$C$37+입력란!$C$31+IF(입력란!$C$17=1,10,IF(입력란!$C$17=2,25,IF(입력란!$C$17=3,50,0)))</f>
        <v>295.58728189999999</v>
      </c>
      <c r="AM91" s="29">
        <f>SUM(AN91:AP91)</f>
        <v>73327.14849132266</v>
      </c>
      <c r="AN91" s="29">
        <f>(VLOOKUP(C91,$B$4:$AK$7,6,FALSE)+VLOOKUP(C91,$B$8:$AK$11,6,FALSE)*입력란!$C$23)*입력란!$C$38/100</f>
        <v>73327.14849132266</v>
      </c>
      <c r="AO91" s="25"/>
      <c r="AP91" s="29"/>
      <c r="AQ91" s="29"/>
      <c r="AR91" s="27">
        <v>20</v>
      </c>
    </row>
    <row r="92" spans="2:44" ht="13.5" customHeight="1" x14ac:dyDescent="0.3">
      <c r="B92" s="30">
        <v>77</v>
      </c>
      <c r="C92" s="35">
        <v>10</v>
      </c>
      <c r="D92" s="36" t="s">
        <v>109</v>
      </c>
      <c r="E92" s="37" t="s">
        <v>101</v>
      </c>
      <c r="F92" s="39"/>
      <c r="G92" s="39"/>
      <c r="H92" s="51">
        <f>I92/AJ92</f>
        <v>8804.0593959785983</v>
      </c>
      <c r="I92" s="52">
        <f>SUM(J92:Q92)*IF(입력란!C$15=1,1.04,IF(입력란!C$15=2,1.1,IF(입력란!C$15=3,1.2,1)))*IF(입력란!$C$17&lt;&gt;0,0.98,1)</f>
        <v>168634.21569551146</v>
      </c>
      <c r="J92" s="29">
        <f>S92*(1+IF($AK92+IF(입력란!$C$19=1,10,0)+IF(MID(E92,3,1)="2",IF(MID(E92,1,1)="3",0,트라이포드!L$9),0)&gt;100,100,$AK92+IF(입력란!$C$19=1,10,0)+IF(MID(E92,3,1)="2",IF(MID(E92,1,1)="3",0,트라이포드!L$9),0))/100*($AL92/100-1))</f>
        <v>168634.21569551146</v>
      </c>
      <c r="K92" s="29"/>
      <c r="L92" s="29"/>
      <c r="M92" s="29"/>
      <c r="N92" s="38"/>
      <c r="O92" s="38"/>
      <c r="P92" s="38"/>
      <c r="Q92" s="29"/>
      <c r="R92" s="23">
        <f>SUM(S92:Z92)</f>
        <v>117323.43758611626</v>
      </c>
      <c r="S92" s="29">
        <f>AN92*IF(MID(E92,1,1)="3",트라이포드!$H$9,트라이포드!$G$9)*IF(MID(E92,3,1)="3",트라이포드!$N$9,트라이포드!$M$9)*IF(MID(E92,5,1)="1",트라이포드!$P$9,IF(MID(E92,5,1)="2",트라이포드!$R$9,트라이포드!$O$9))</f>
        <v>117323.43758611626</v>
      </c>
      <c r="T92" s="29"/>
      <c r="U92" s="29"/>
      <c r="V92" s="29"/>
      <c r="W92" s="38"/>
      <c r="X92" s="38"/>
      <c r="Y92" s="38"/>
      <c r="Z92" s="24"/>
      <c r="AA92" s="29">
        <f>SUM(AB92:AI92)</f>
        <v>234646.87517223251</v>
      </c>
      <c r="AB92" s="29">
        <f>S92*2</f>
        <v>234646.87517223251</v>
      </c>
      <c r="AC92" s="29"/>
      <c r="AD92" s="25"/>
      <c r="AE92" s="25"/>
      <c r="AF92" s="38"/>
      <c r="AG92" s="38"/>
      <c r="AH92" s="38"/>
      <c r="AI92" s="24"/>
      <c r="AJ92" s="25">
        <f>AR92*(1-입력란!$C$29/100)</f>
        <v>19.154143345800001</v>
      </c>
      <c r="AK9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2" s="25">
        <f>입력란!$C$37+입력란!$C$31+IF(입력란!$C$17=1,10,IF(입력란!$C$17=2,25,IF(입력란!$C$17=3,50,0)))</f>
        <v>295.58728189999999</v>
      </c>
      <c r="AM92" s="29">
        <f>SUM(AN92:AP92)</f>
        <v>73327.14849132266</v>
      </c>
      <c r="AN92" s="29">
        <f>(VLOOKUP(C92,$B$4:$AK$7,6,FALSE)+VLOOKUP(C92,$B$8:$AK$11,6,FALSE)*입력란!$C$23)*입력란!$C$38/100</f>
        <v>73327.14849132266</v>
      </c>
      <c r="AO92" s="25"/>
      <c r="AP92" s="29"/>
      <c r="AQ92" s="29"/>
      <c r="AR92" s="28">
        <v>20</v>
      </c>
    </row>
    <row r="93" spans="2:44" ht="13.5" customHeight="1" x14ac:dyDescent="0.3">
      <c r="B93" s="30">
        <v>78</v>
      </c>
      <c r="C93" s="35">
        <v>10</v>
      </c>
      <c r="D93" s="36" t="s">
        <v>109</v>
      </c>
      <c r="E93" s="37" t="s">
        <v>91</v>
      </c>
      <c r="F93" s="39" t="s">
        <v>112</v>
      </c>
      <c r="G93" s="39"/>
      <c r="H93" s="51">
        <f>I93/AJ93</f>
        <v>11885.480184571108</v>
      </c>
      <c r="I93" s="52">
        <f>SUM(J93:Q93)*IF(입력란!C$15=1,1.04,IF(입력란!C$15=2,1.1,IF(입력란!C$15=3,1.2,1)))*IF(입력란!$C$17&lt;&gt;0,0.98,1)</f>
        <v>227656.19118894046</v>
      </c>
      <c r="J93" s="29">
        <f>S93*(1+IF($AK93+IF(입력란!$C$19=1,10,0)+IF(MID(E93,3,1)="2",IF(MID(E93,1,1)="3",0,트라이포드!L$9),0)&gt;100,100,$AK93+IF(입력란!$C$19=1,10,0)+IF(MID(E93,3,1)="2",IF(MID(E93,1,1)="3",0,트라이포드!L$9),0))/100*($AL93/100-1))</f>
        <v>227656.19118894046</v>
      </c>
      <c r="K93" s="29"/>
      <c r="L93" s="29"/>
      <c r="M93" s="29"/>
      <c r="N93" s="38"/>
      <c r="O93" s="38"/>
      <c r="P93" s="38"/>
      <c r="Q93" s="29"/>
      <c r="R93" s="23">
        <f>SUM(S93:Z93)</f>
        <v>158386.64074125694</v>
      </c>
      <c r="S93" s="29">
        <f>AN93*IF(MID(E93,1,1)="3",트라이포드!$H$9,트라이포드!$G$9)*IF(MID(E93,3,1)="3",트라이포드!$N$9,트라이포드!$M$9)*IF(MID(E93,5,1)="1",트라이포드!$P$9,IF(MID(E93,5,1)="2",트라이포드!$R$9,트라이포드!$O$9))</f>
        <v>158386.64074125694</v>
      </c>
      <c r="T93" s="29"/>
      <c r="U93" s="29"/>
      <c r="V93" s="29"/>
      <c r="W93" s="38"/>
      <c r="X93" s="38"/>
      <c r="Y93" s="38"/>
      <c r="Z93" s="24"/>
      <c r="AA93" s="29">
        <f>SUM(AB93:AI93)</f>
        <v>316773.28148251388</v>
      </c>
      <c r="AB93" s="29">
        <f>S93*2</f>
        <v>316773.28148251388</v>
      </c>
      <c r="AC93" s="29"/>
      <c r="AD93" s="25"/>
      <c r="AE93" s="25"/>
      <c r="AF93" s="38"/>
      <c r="AG93" s="38"/>
      <c r="AH93" s="38"/>
      <c r="AI93" s="24"/>
      <c r="AJ93" s="25">
        <f>AR93*(1-입력란!$C$29/100)</f>
        <v>19.154143345800001</v>
      </c>
      <c r="AK9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3" s="25">
        <f>입력란!$C$37+입력란!$C$31+IF(입력란!$C$17=1,10,IF(입력란!$C$17=2,25,IF(입력란!$C$17=3,50,0)))</f>
        <v>295.58728189999999</v>
      </c>
      <c r="AM93" s="29">
        <f>SUM(AN93:AP93)</f>
        <v>73327.14849132266</v>
      </c>
      <c r="AN93" s="29">
        <f>(VLOOKUP(C93,$B$4:$AK$7,6,FALSE)+VLOOKUP(C93,$B$8:$AK$11,6,FALSE)*입력란!$C$23)*입력란!$C$38/100</f>
        <v>73327.14849132266</v>
      </c>
      <c r="AO93" s="25"/>
      <c r="AP93" s="29"/>
      <c r="AQ93" s="29"/>
      <c r="AR93" s="27">
        <v>20</v>
      </c>
    </row>
    <row r="94" spans="2:44" ht="13.5" customHeight="1" x14ac:dyDescent="0.3">
      <c r="B94" s="30">
        <v>79</v>
      </c>
      <c r="C94" s="35">
        <v>10</v>
      </c>
      <c r="D94" s="36" t="s">
        <v>109</v>
      </c>
      <c r="E94" s="37" t="s">
        <v>92</v>
      </c>
      <c r="F94" s="39" t="s">
        <v>112</v>
      </c>
      <c r="G94" s="39"/>
      <c r="H94" s="51">
        <f>I94/AJ94</f>
        <v>10564.871275174321</v>
      </c>
      <c r="I94" s="52">
        <f>SUM(J94:Q94)*IF(입력란!C$15=1,1.04,IF(입력란!C$15=2,1.1,IF(입력란!C$15=3,1.2,1)))*IF(입력란!$C$17&lt;&gt;0,0.98,1)</f>
        <v>202361.0588346138</v>
      </c>
      <c r="J94" s="29">
        <f>S94*(1+IF($AK94+IF(입력란!$C$19=1,10,0)+IF(MID(E94,3,1)="2",IF(MID(E94,1,1)="3",0,트라이포드!L$9),0)&gt;100,100,$AK94+IF(입력란!$C$19=1,10,0)+IF(MID(E94,3,1)="2",IF(MID(E94,1,1)="3",0,트라이포드!L$9),0))/100*($AL94/100-1))</f>
        <v>202361.0588346138</v>
      </c>
      <c r="K94" s="29"/>
      <c r="L94" s="29"/>
      <c r="M94" s="29"/>
      <c r="N94" s="38"/>
      <c r="O94" s="38"/>
      <c r="P94" s="38"/>
      <c r="Q94" s="29"/>
      <c r="R94" s="23">
        <f>SUM(S94:Z94)</f>
        <v>140788.12510333952</v>
      </c>
      <c r="S94" s="29">
        <f>AN94*IF(MID(E94,1,1)="3",트라이포드!$H$9,트라이포드!$G$9)*IF(MID(E94,3,1)="3",트라이포드!$N$9,트라이포드!$M$9)*IF(MID(E94,5,1)="1",트라이포드!$P$9,IF(MID(E94,5,1)="2",트라이포드!$R$9,트라이포드!$O$9))</f>
        <v>140788.12510333952</v>
      </c>
      <c r="T94" s="29"/>
      <c r="U94" s="29"/>
      <c r="V94" s="29"/>
      <c r="W94" s="38"/>
      <c r="X94" s="38"/>
      <c r="Y94" s="38"/>
      <c r="Z94" s="24"/>
      <c r="AA94" s="29">
        <f>SUM(AB94:AI94)</f>
        <v>281576.25020667905</v>
      </c>
      <c r="AB94" s="29">
        <f>S94*2</f>
        <v>281576.25020667905</v>
      </c>
      <c r="AC94" s="29"/>
      <c r="AD94" s="25"/>
      <c r="AE94" s="25"/>
      <c r="AF94" s="38"/>
      <c r="AG94" s="38"/>
      <c r="AH94" s="38"/>
      <c r="AI94" s="24"/>
      <c r="AJ94" s="25">
        <f>AR94*(1-입력란!$C$29/100)</f>
        <v>19.154143345800001</v>
      </c>
      <c r="AK9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4" s="25">
        <f>입력란!$C$37+입력란!$C$31+IF(입력란!$C$17=1,10,IF(입력란!$C$17=2,25,IF(입력란!$C$17=3,50,0)))</f>
        <v>295.58728189999999</v>
      </c>
      <c r="AM94" s="29">
        <f>SUM(AN94:AP94)</f>
        <v>73327.14849132266</v>
      </c>
      <c r="AN94" s="29">
        <f>(VLOOKUP(C94,$B$4:$AK$7,6,FALSE)+VLOOKUP(C94,$B$8:$AK$11,6,FALSE)*입력란!$C$23)*입력란!$C$38/100</f>
        <v>73327.14849132266</v>
      </c>
      <c r="AO94" s="25"/>
      <c r="AP94" s="29"/>
      <c r="AQ94" s="29"/>
      <c r="AR94" s="28">
        <v>20</v>
      </c>
    </row>
    <row r="95" spans="2:44" ht="13.5" customHeight="1" x14ac:dyDescent="0.3">
      <c r="B95" s="30">
        <v>80</v>
      </c>
      <c r="C95" s="35">
        <v>10</v>
      </c>
      <c r="D95" s="36" t="s">
        <v>109</v>
      </c>
      <c r="E95" s="37" t="s">
        <v>110</v>
      </c>
      <c r="F95" s="39" t="s">
        <v>352</v>
      </c>
      <c r="G95" s="39"/>
      <c r="H95" s="51">
        <f>I95/AJ95</f>
        <v>11885.480184571108</v>
      </c>
      <c r="I95" s="52">
        <f>SUM(J95:Q95)*IF(입력란!C$15=1,1.04,IF(입력란!C$15=2,1.1,IF(입력란!C$15=3,1.2,1)))*IF(입력란!$C$17&lt;&gt;0,0.98,1)</f>
        <v>227656.19118894046</v>
      </c>
      <c r="J95" s="29">
        <f>S95*(1+IF($AK95+IF(입력란!$C$19=1,10,0)+IF(MID(E95,3,1)="2",IF(MID(E95,1,1)="3",0,트라이포드!L$9),0)&gt;100,100,$AK95+IF(입력란!$C$19=1,10,0)+IF(MID(E95,3,1)="2",IF(MID(E95,1,1)="3",0,트라이포드!L$9),0))/100*($AL95/100-1))</f>
        <v>227656.19118894046</v>
      </c>
      <c r="K95" s="29"/>
      <c r="L95" s="29"/>
      <c r="M95" s="29"/>
      <c r="N95" s="38"/>
      <c r="O95" s="38"/>
      <c r="P95" s="38"/>
      <c r="Q95" s="29"/>
      <c r="R95" s="23">
        <f>SUM(S95:Z95)</f>
        <v>158386.64074125694</v>
      </c>
      <c r="S95" s="29">
        <f>AN95*IF(MID(E95,1,1)="3",트라이포드!$H$9,트라이포드!$G$9)*IF(MID(E95,3,1)="3",트라이포드!$N$9,트라이포드!$M$9)*IF(MID(E95,5,1)="1",트라이포드!$P$9,IF(MID(E95,5,1)="2",트라이포드!$R$9,트라이포드!$O$9))</f>
        <v>158386.64074125694</v>
      </c>
      <c r="T95" s="29"/>
      <c r="U95" s="29"/>
      <c r="V95" s="29"/>
      <c r="W95" s="38"/>
      <c r="X95" s="38"/>
      <c r="Y95" s="38"/>
      <c r="Z95" s="24"/>
      <c r="AA95" s="29">
        <f>SUM(AB95:AI95)</f>
        <v>316773.28148251388</v>
      </c>
      <c r="AB95" s="29">
        <f>S95*2</f>
        <v>316773.28148251388</v>
      </c>
      <c r="AC95" s="29"/>
      <c r="AD95" s="25"/>
      <c r="AE95" s="25"/>
      <c r="AF95" s="38"/>
      <c r="AG95" s="38"/>
      <c r="AH95" s="38"/>
      <c r="AI95" s="24"/>
      <c r="AJ95" s="25">
        <f>AR95*(1-입력란!$C$29/100)</f>
        <v>19.154143345800001</v>
      </c>
      <c r="AK9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5" s="25">
        <f>입력란!$C$37+입력란!$C$31+IF(입력란!$C$17=1,10,IF(입력란!$C$17=2,25,IF(입력란!$C$17=3,50,0)))</f>
        <v>295.58728189999999</v>
      </c>
      <c r="AM95" s="29">
        <f>SUM(AN95:AP95)</f>
        <v>73327.14849132266</v>
      </c>
      <c r="AN95" s="29">
        <f>(VLOOKUP(C95,$B$4:$AK$7,6,FALSE)+VLOOKUP(C95,$B$8:$AK$11,6,FALSE)*입력란!$C$23)*입력란!$C$38/100</f>
        <v>73327.14849132266</v>
      </c>
      <c r="AO95" s="25"/>
      <c r="AP95" s="29"/>
      <c r="AQ95" s="29"/>
      <c r="AR95" s="27">
        <v>20</v>
      </c>
    </row>
    <row r="96" spans="2:44" ht="13.5" customHeight="1" x14ac:dyDescent="0.3">
      <c r="B96" s="30">
        <v>81</v>
      </c>
      <c r="C96" s="35">
        <v>10</v>
      </c>
      <c r="D96" s="36" t="s">
        <v>109</v>
      </c>
      <c r="E96" s="37" t="s">
        <v>111</v>
      </c>
      <c r="F96" s="39" t="s">
        <v>352</v>
      </c>
      <c r="G96" s="39"/>
      <c r="H96" s="51">
        <f>I96/AJ96</f>
        <v>10564.871275174321</v>
      </c>
      <c r="I96" s="52">
        <f>SUM(J96:Q96)*IF(입력란!C$15=1,1.04,IF(입력란!C$15=2,1.1,IF(입력란!C$15=3,1.2,1)))*IF(입력란!$C$17&lt;&gt;0,0.98,1)</f>
        <v>202361.0588346138</v>
      </c>
      <c r="J96" s="29">
        <f>S96*(1+IF($AK96+IF(입력란!$C$19=1,10,0)+IF(MID(E96,3,1)="2",IF(MID(E96,1,1)="3",0,트라이포드!L$9),0)&gt;100,100,$AK96+IF(입력란!$C$19=1,10,0)+IF(MID(E96,3,1)="2",IF(MID(E96,1,1)="3",0,트라이포드!L$9),0))/100*($AL96/100-1))</f>
        <v>202361.0588346138</v>
      </c>
      <c r="K96" s="29"/>
      <c r="L96" s="29"/>
      <c r="M96" s="29"/>
      <c r="N96" s="38"/>
      <c r="O96" s="38"/>
      <c r="P96" s="38"/>
      <c r="Q96" s="29"/>
      <c r="R96" s="23">
        <f>SUM(S96:Z96)</f>
        <v>140788.12510333952</v>
      </c>
      <c r="S96" s="29">
        <f>AN96*IF(MID(E96,1,1)="3",트라이포드!$H$9,트라이포드!$G$9)*IF(MID(E96,3,1)="3",트라이포드!$N$9,트라이포드!$M$9)*IF(MID(E96,5,1)="1",트라이포드!$P$9,IF(MID(E96,5,1)="2",트라이포드!$R$9,트라이포드!$O$9))</f>
        <v>140788.12510333952</v>
      </c>
      <c r="T96" s="29"/>
      <c r="U96" s="29"/>
      <c r="V96" s="29"/>
      <c r="W96" s="38"/>
      <c r="X96" s="38"/>
      <c r="Y96" s="38"/>
      <c r="Z96" s="24"/>
      <c r="AA96" s="29">
        <f>SUM(AB96:AI96)</f>
        <v>281576.25020667905</v>
      </c>
      <c r="AB96" s="29">
        <f>S96*2</f>
        <v>281576.25020667905</v>
      </c>
      <c r="AC96" s="29"/>
      <c r="AD96" s="25"/>
      <c r="AE96" s="25"/>
      <c r="AF96" s="38"/>
      <c r="AG96" s="38"/>
      <c r="AH96" s="38"/>
      <c r="AI96" s="24"/>
      <c r="AJ96" s="25">
        <f>AR96*(1-입력란!$C$29/100)</f>
        <v>19.154143345800001</v>
      </c>
      <c r="AK9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6" s="25">
        <f>입력란!$C$37+입력란!$C$31+IF(입력란!$C$17=1,10,IF(입력란!$C$17=2,25,IF(입력란!$C$17=3,50,0)))</f>
        <v>295.58728189999999</v>
      </c>
      <c r="AM96" s="29">
        <f>SUM(AN96:AP96)</f>
        <v>73327.14849132266</v>
      </c>
      <c r="AN96" s="29">
        <f>(VLOOKUP(C96,$B$4:$AK$7,6,FALSE)+VLOOKUP(C96,$B$8:$AK$11,6,FALSE)*입력란!$C$23)*입력란!$C$38/100</f>
        <v>73327.14849132266</v>
      </c>
      <c r="AO96" s="25"/>
      <c r="AP96" s="29"/>
      <c r="AQ96" s="29"/>
      <c r="AR96" s="28">
        <v>20</v>
      </c>
    </row>
    <row r="97" spans="2:44" ht="13.5" customHeight="1" x14ac:dyDescent="0.3">
      <c r="B97" s="30">
        <v>82</v>
      </c>
      <c r="C97" s="35">
        <v>10</v>
      </c>
      <c r="D97" s="36" t="s">
        <v>109</v>
      </c>
      <c r="E97" s="37" t="s">
        <v>97</v>
      </c>
      <c r="F97" s="39" t="s">
        <v>112</v>
      </c>
      <c r="G97" s="39"/>
      <c r="H97" s="51">
        <f>I97/AJ97</f>
        <v>14737.995428868173</v>
      </c>
      <c r="I97" s="52">
        <f>SUM(J97:Q97)*IF(입력란!C$15=1,1.04,IF(입력란!C$15=2,1.1,IF(입력란!C$15=3,1.2,1)))*IF(입력란!$C$17&lt;&gt;0,0.98,1)</f>
        <v>282293.67707428616</v>
      </c>
      <c r="J97" s="29">
        <f>S97*(1+IF($AK97+IF(입력란!$C$19=1,10,0)+IF(MID(E97,3,1)="2",IF(MID(E97,1,1)="3",0,트라이포드!L$9),0)&gt;100,100,$AK97+IF(입력란!$C$19=1,10,0)+IF(MID(E97,3,1)="2",IF(MID(E97,1,1)="3",0,트라이포드!L$9),0))/100*($AL97/100-1))</f>
        <v>282293.67707428616</v>
      </c>
      <c r="K97" s="29"/>
      <c r="L97" s="29"/>
      <c r="M97" s="29"/>
      <c r="N97" s="38"/>
      <c r="O97" s="38"/>
      <c r="P97" s="38"/>
      <c r="Q97" s="29"/>
      <c r="R97" s="23">
        <f>SUM(S97:Z97)</f>
        <v>196399.43451915859</v>
      </c>
      <c r="S97" s="29">
        <f>AN97*IF(MID(E97,1,1)="3",트라이포드!$H$9,트라이포드!$G$9)*IF(MID(E97,3,1)="3",트라이포드!$N$9,트라이포드!$M$9)*IF(MID(E97,5,1)="1",트라이포드!$P$9,IF(MID(E97,5,1)="2",트라이포드!$R$9,트라이포드!$O$9))</f>
        <v>196399.43451915859</v>
      </c>
      <c r="T97" s="29"/>
      <c r="U97" s="29"/>
      <c r="V97" s="29"/>
      <c r="W97" s="38"/>
      <c r="X97" s="38"/>
      <c r="Y97" s="38"/>
      <c r="Z97" s="24"/>
      <c r="AA97" s="29">
        <f>SUM(AB97:AI97)</f>
        <v>392798.86903831718</v>
      </c>
      <c r="AB97" s="29">
        <f>S97*2</f>
        <v>392798.86903831718</v>
      </c>
      <c r="AC97" s="29"/>
      <c r="AD97" s="25"/>
      <c r="AE97" s="25"/>
      <c r="AF97" s="38"/>
      <c r="AG97" s="38"/>
      <c r="AH97" s="38"/>
      <c r="AI97" s="24"/>
      <c r="AJ97" s="25">
        <f>AR97*(1-입력란!$C$29/100)</f>
        <v>19.154143345800001</v>
      </c>
      <c r="AK9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7" s="25">
        <f>입력란!$C$37+입력란!$C$31+IF(입력란!$C$17=1,10,IF(입력란!$C$17=2,25,IF(입력란!$C$17=3,50,0)))</f>
        <v>295.58728189999999</v>
      </c>
      <c r="AM97" s="29">
        <f>SUM(AN97:AP97)</f>
        <v>73327.14849132266</v>
      </c>
      <c r="AN97" s="29">
        <f>(VLOOKUP(C97,$B$4:$AK$7,6,FALSE)+VLOOKUP(C97,$B$8:$AK$11,6,FALSE)*입력란!$C$23)*입력란!$C$38/100</f>
        <v>73327.14849132266</v>
      </c>
      <c r="AO97" s="25"/>
      <c r="AP97" s="29"/>
      <c r="AQ97" s="29"/>
      <c r="AR97" s="27">
        <v>20</v>
      </c>
    </row>
    <row r="98" spans="2:44" ht="13.5" customHeight="1" x14ac:dyDescent="0.3">
      <c r="B98" s="30">
        <v>83</v>
      </c>
      <c r="C98" s="35">
        <v>10</v>
      </c>
      <c r="D98" s="36" t="s">
        <v>109</v>
      </c>
      <c r="E98" s="37" t="s">
        <v>98</v>
      </c>
      <c r="F98" s="39" t="s">
        <v>112</v>
      </c>
      <c r="G98" s="39"/>
      <c r="H98" s="51">
        <f>I98/AJ98</f>
        <v>13100.440381216156</v>
      </c>
      <c r="I98" s="52">
        <f>SUM(J98:Q98)*IF(입력란!C$15=1,1.04,IF(입력란!C$15=2,1.1,IF(입력란!C$15=3,1.2,1)))*IF(입력란!$C$17&lt;&gt;0,0.98,1)</f>
        <v>250927.71295492107</v>
      </c>
      <c r="J98" s="29">
        <f>S98*(1+IF($AK98+IF(입력란!$C$19=1,10,0)+IF(MID(E98,3,1)="2",IF(MID(E98,1,1)="3",0,트라이포드!L$9),0)&gt;100,100,$AK98+IF(입력란!$C$19=1,10,0)+IF(MID(E98,3,1)="2",IF(MID(E98,1,1)="3",0,트라이포드!L$9),0))/100*($AL98/100-1))</f>
        <v>250927.71295492107</v>
      </c>
      <c r="K98" s="29"/>
      <c r="L98" s="29"/>
      <c r="M98" s="29"/>
      <c r="N98" s="38"/>
      <c r="O98" s="38"/>
      <c r="P98" s="38"/>
      <c r="Q98" s="29"/>
      <c r="R98" s="23">
        <f>SUM(S98:Z98)</f>
        <v>174577.27512814099</v>
      </c>
      <c r="S98" s="29">
        <f>AN98*IF(MID(E98,1,1)="3",트라이포드!$H$9,트라이포드!$G$9)*IF(MID(E98,3,1)="3",트라이포드!$N$9,트라이포드!$M$9)*IF(MID(E98,5,1)="1",트라이포드!$P$9,IF(MID(E98,5,1)="2",트라이포드!$R$9,트라이포드!$O$9))</f>
        <v>174577.27512814099</v>
      </c>
      <c r="T98" s="29"/>
      <c r="U98" s="29"/>
      <c r="V98" s="29"/>
      <c r="W98" s="38"/>
      <c r="X98" s="38"/>
      <c r="Y98" s="38"/>
      <c r="Z98" s="24"/>
      <c r="AA98" s="29">
        <f>SUM(AB98:AI98)</f>
        <v>349154.55025628197</v>
      </c>
      <c r="AB98" s="29">
        <f>S98*2</f>
        <v>349154.55025628197</v>
      </c>
      <c r="AC98" s="29"/>
      <c r="AD98" s="25"/>
      <c r="AE98" s="25"/>
      <c r="AF98" s="38"/>
      <c r="AG98" s="38"/>
      <c r="AH98" s="38"/>
      <c r="AI98" s="24"/>
      <c r="AJ98" s="25">
        <f>AR98*(1-입력란!$C$29/100)</f>
        <v>19.154143345800001</v>
      </c>
      <c r="AK9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8" s="25">
        <f>입력란!$C$37+입력란!$C$31+IF(입력란!$C$17=1,10,IF(입력란!$C$17=2,25,IF(입력란!$C$17=3,50,0)))</f>
        <v>295.58728189999999</v>
      </c>
      <c r="AM98" s="29">
        <f>SUM(AN98:AP98)</f>
        <v>73327.14849132266</v>
      </c>
      <c r="AN98" s="29">
        <f>(VLOOKUP(C98,$B$4:$AK$7,6,FALSE)+VLOOKUP(C98,$B$8:$AK$11,6,FALSE)*입력란!$C$23)*입력란!$C$38/100</f>
        <v>73327.14849132266</v>
      </c>
      <c r="AO98" s="25"/>
      <c r="AP98" s="29"/>
      <c r="AQ98" s="29"/>
      <c r="AR98" s="28">
        <v>20</v>
      </c>
    </row>
    <row r="99" spans="2:44" ht="13.5" customHeight="1" x14ac:dyDescent="0.3">
      <c r="B99" s="30">
        <v>84</v>
      </c>
      <c r="C99" s="35">
        <v>1</v>
      </c>
      <c r="D99" s="36" t="s">
        <v>114</v>
      </c>
      <c r="E99" s="37" t="s">
        <v>75</v>
      </c>
      <c r="F99" s="39"/>
      <c r="G99" s="39"/>
      <c r="H99" s="51">
        <f>I99/AJ99</f>
        <v>3769.0932795018848</v>
      </c>
      <c r="I99" s="52">
        <f>SUM(J99:Q99)*IF(입력란!C$15=1,1.04,IF(입력란!C$15=2,1.1,IF(입력란!C$15=3,1.2,1)))*IF(입력란!$C$17&lt;&gt;0,0.98,1)</f>
        <v>32487.188831671741</v>
      </c>
      <c r="J99" s="29">
        <f>S99*(1+IF($AK99+IF(입력란!$C$19=1,10,0)+IF(MID(E99,3,1)="2",트라이포드!L$10,0)&gt;100,100,$AK99+IF(입력란!$C$19=1,10,0)+IF(MID(E99,3,1)="2",트라이포드!L$10,0))/100*($AL99/100-1))</f>
        <v>32487.188831671741</v>
      </c>
      <c r="K99" s="29"/>
      <c r="L99" s="29"/>
      <c r="M99" s="29"/>
      <c r="N99" s="38"/>
      <c r="O99" s="38"/>
      <c r="P99" s="38"/>
      <c r="Q99" s="29">
        <f>Z99*(1+IF($AK99+IF(입력란!$C$19=1,10,0)&gt;100,100,$AK99+IF(입력란!$C$19=1,10,0))/100*($AL99/100-1))</f>
        <v>0</v>
      </c>
      <c r="R99" s="23">
        <f>SUM(S99:Z99)</f>
        <v>22602.22609937672</v>
      </c>
      <c r="S99" s="29">
        <f>AN99*IF(MID(E99,5,1)="1",트라이포드!$P$10,트라이포드!$O$10)</f>
        <v>22602.22609937672</v>
      </c>
      <c r="T99" s="29"/>
      <c r="U99" s="29"/>
      <c r="V99" s="29"/>
      <c r="W99" s="38"/>
      <c r="X99" s="38"/>
      <c r="Y99" s="38"/>
      <c r="Z99" s="24">
        <f>AN99*IF(MID(E99,3,1)="1",트라이포드!$J$10,트라이포드!$I$10)</f>
        <v>0</v>
      </c>
      <c r="AA99" s="29">
        <f>SUM(AB99:AI99)</f>
        <v>45204.452198753439</v>
      </c>
      <c r="AB99" s="29">
        <f>S99*2</f>
        <v>45204.452198753439</v>
      </c>
      <c r="AC99" s="29"/>
      <c r="AD99" s="25"/>
      <c r="AE99" s="25"/>
      <c r="AF99" s="38"/>
      <c r="AG99" s="38"/>
      <c r="AH99" s="38"/>
      <c r="AI99" s="24">
        <f>Z99*2</f>
        <v>0</v>
      </c>
      <c r="AJ99" s="25">
        <f>(AR99-IF(MID(E99,5,1)="2",트라이포드!R$10,0))*(1-입력란!$C$29/100)</f>
        <v>8.619364505610001</v>
      </c>
      <c r="AK9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99" s="25">
        <f>입력란!$C$37+입력란!$C$31+IF(입력란!$C$17=1,10,IF(입력란!$C$17=2,25,IF(입력란!$C$17=3,50,0)))</f>
        <v>295.58728189999999</v>
      </c>
      <c r="AM99" s="29">
        <f>SUM(AN99:AP99)</f>
        <v>22602.22609937672</v>
      </c>
      <c r="AN99" s="29">
        <f>(VLOOKUP(C99,$B$4:$AK$7,7,FALSE)+VLOOKUP(C99,$B$8:$AK$11,7,FALSE)*입력란!$C$23)*입력란!$C$38/100</f>
        <v>22602.22609937672</v>
      </c>
      <c r="AO99" s="25"/>
      <c r="AP99" s="29"/>
      <c r="AQ99" s="29"/>
      <c r="AR99" s="28">
        <v>9</v>
      </c>
    </row>
    <row r="100" spans="2:44" ht="13.5" customHeight="1" x14ac:dyDescent="0.3">
      <c r="B100" s="30">
        <v>85</v>
      </c>
      <c r="C100" s="35">
        <v>4</v>
      </c>
      <c r="D100" s="36" t="s">
        <v>114</v>
      </c>
      <c r="E100" s="37" t="s">
        <v>75</v>
      </c>
      <c r="F100" s="39"/>
      <c r="G100" s="39"/>
      <c r="H100" s="51">
        <f>I100/AJ100</f>
        <v>3784.7684951516808</v>
      </c>
      <c r="I100" s="52">
        <f>SUM(J100:Q100)*IF(입력란!C$15=1,1.04,IF(입력란!C$15=2,1.1,IF(입력란!C$15=3,1.2,1)))*IF(입력란!$C$17&lt;&gt;0,0.98,1)</f>
        <v>32622.299229061373</v>
      </c>
      <c r="J100" s="29">
        <f>S100*(1+IF($AK100+IF(입력란!$C$19=1,10,0)+IF(MID(E100,3,1)="2",트라이포드!L$10,0)&gt;100,100,$AK100+IF(입력란!$C$19=1,10,0)+IF(MID(E100,3,1)="2",트라이포드!L$10,0))/100*($AL100/100-1))</f>
        <v>32622.299229061373</v>
      </c>
      <c r="K100" s="29"/>
      <c r="L100" s="29"/>
      <c r="M100" s="29"/>
      <c r="N100" s="38"/>
      <c r="O100" s="38"/>
      <c r="P100" s="38"/>
      <c r="Q100" s="29">
        <f>Z100*(1+IF($AK100+IF(입력란!$C$19=1,10,0)&gt;100,100,$AK100+IF(입력란!$C$19=1,10,0))/100*($AL100/100-1))</f>
        <v>0</v>
      </c>
      <c r="R100" s="23">
        <f>SUM(S100:Z100)</f>
        <v>22696.22609937672</v>
      </c>
      <c r="S100" s="29">
        <f>AN100*IF(MID(E100,5,1)="1",트라이포드!$P$10,트라이포드!$O$10)</f>
        <v>22696.22609937672</v>
      </c>
      <c r="T100" s="29"/>
      <c r="U100" s="29"/>
      <c r="V100" s="29"/>
      <c r="W100" s="38"/>
      <c r="X100" s="38"/>
      <c r="Y100" s="38"/>
      <c r="Z100" s="24">
        <f>AN100*IF(MID(E100,3,1)="1",트라이포드!$J$10,트라이포드!$I$10)</f>
        <v>0</v>
      </c>
      <c r="AA100" s="29">
        <f>SUM(AB100:AI100)</f>
        <v>45392.452198753439</v>
      </c>
      <c r="AB100" s="29">
        <f>S100*2</f>
        <v>45392.452198753439</v>
      </c>
      <c r="AC100" s="29"/>
      <c r="AD100" s="25"/>
      <c r="AE100" s="25"/>
      <c r="AF100" s="38"/>
      <c r="AG100" s="38"/>
      <c r="AH100" s="38"/>
      <c r="AI100" s="24">
        <f>Z100*2</f>
        <v>0</v>
      </c>
      <c r="AJ100" s="25">
        <f>(AR100-IF(MID(E100,5,1)="2",트라이포드!R$10,0))*(1-입력란!$C$29/100)</f>
        <v>8.619364505610001</v>
      </c>
      <c r="AK10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0" s="25">
        <f>입력란!$C$37+입력란!$C$31+IF(입력란!$C$17=1,10,IF(입력란!$C$17=2,25,IF(입력란!$C$17=3,50,0)))</f>
        <v>295.58728189999999</v>
      </c>
      <c r="AM100" s="29">
        <f>SUM(AN100:AP100)</f>
        <v>22696.22609937672</v>
      </c>
      <c r="AN100" s="29">
        <f>(VLOOKUP(C100,$B$4:$AK$7,7,FALSE)+VLOOKUP(C100,$B$8:$AK$11,7,FALSE)*입력란!$C$23)*입력란!$C$38/100</f>
        <v>22696.22609937672</v>
      </c>
      <c r="AO100" s="25"/>
      <c r="AP100" s="29"/>
      <c r="AQ100" s="29"/>
      <c r="AR100" s="28">
        <v>9</v>
      </c>
    </row>
    <row r="101" spans="2:44" ht="13.5" customHeight="1" x14ac:dyDescent="0.3">
      <c r="B101" s="30">
        <v>86</v>
      </c>
      <c r="C101" s="35">
        <v>7</v>
      </c>
      <c r="D101" s="36" t="s">
        <v>114</v>
      </c>
      <c r="E101" s="37" t="s">
        <v>293</v>
      </c>
      <c r="F101" s="39" t="s">
        <v>302</v>
      </c>
      <c r="G101" s="39"/>
      <c r="H101" s="51">
        <f>I101/AJ101</f>
        <v>6067.1558784736881</v>
      </c>
      <c r="I101" s="52">
        <f>SUM(J101:Q101)*IF(입력란!C$15=1,1.04,IF(입력란!C$15=2,1.1,IF(입력란!C$15=3,1.2,1)))*IF(입력란!$C$17&lt;&gt;0,0.98,1)</f>
        <v>52295.028028919172</v>
      </c>
      <c r="J101" s="29">
        <f>S101*(1+IF($AK101+IF(입력란!$C$19=1,10,0)+IF(MID(E101,3,1)="2",트라이포드!L$10,0)&gt;100,100,$AK101+IF(입력란!$C$19=1,10,0)+IF(MID(E101,3,1)="2",트라이포드!L$10,0))/100*($AL101/100-1))</f>
        <v>32684.392518074485</v>
      </c>
      <c r="K101" s="29"/>
      <c r="L101" s="29"/>
      <c r="M101" s="29"/>
      <c r="N101" s="38"/>
      <c r="O101" s="38"/>
      <c r="P101" s="38"/>
      <c r="Q101" s="29">
        <f>Z101*(1+IF($AK101+IF(입력란!$C$19=1,10,0)&gt;100,100,$AK101+IF(입력란!$C$19=1,10,0))/100*($AL101/100-1))</f>
        <v>19610.635510844691</v>
      </c>
      <c r="R101" s="23">
        <f>SUM(S101:Z101)</f>
        <v>36383.081759002751</v>
      </c>
      <c r="S101" s="29">
        <f>AN101*IF(MID(E101,5,1)="1",트라이포드!$P$10,트라이포드!$O$10)</f>
        <v>22739.42609937672</v>
      </c>
      <c r="T101" s="29"/>
      <c r="U101" s="29"/>
      <c r="V101" s="29"/>
      <c r="W101" s="38"/>
      <c r="X101" s="38"/>
      <c r="Y101" s="38"/>
      <c r="Z101" s="24">
        <f>AN101*IF(MID(E101,3,1)="1",트라이포드!$J$10,트라이포드!$I$10)</f>
        <v>13643.655659626033</v>
      </c>
      <c r="AA101" s="29">
        <f>SUM(AB101:AI101)</f>
        <v>72766.163518005502</v>
      </c>
      <c r="AB101" s="29">
        <f>S101*2</f>
        <v>45478.85219875344</v>
      </c>
      <c r="AC101" s="29"/>
      <c r="AD101" s="25"/>
      <c r="AE101" s="25"/>
      <c r="AF101" s="38"/>
      <c r="AG101" s="38"/>
      <c r="AH101" s="38"/>
      <c r="AI101" s="24">
        <f>Z101*2</f>
        <v>27287.311319252065</v>
      </c>
      <c r="AJ101" s="25">
        <f>(AR101-IF(MID(E101,5,1)="2",트라이포드!R$10,0))*(1-입력란!$C$29/100)</f>
        <v>8.619364505610001</v>
      </c>
      <c r="AK10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1" s="25">
        <f>입력란!$C$37+입력란!$C$31+IF(입력란!$C$17=1,10,IF(입력란!$C$17=2,25,IF(입력란!$C$17=3,50,0)))</f>
        <v>295.58728189999999</v>
      </c>
      <c r="AM101" s="29">
        <f>SUM(AN101:AP101)</f>
        <v>22739.42609937672</v>
      </c>
      <c r="AN101" s="29">
        <f>(VLOOKUP(C101,$B$4:$AK$7,7,FALSE)+VLOOKUP(C101,$B$8:$AK$11,7,FALSE)*입력란!$C$23)*입력란!$C$38/100</f>
        <v>22739.42609937672</v>
      </c>
      <c r="AO101" s="25"/>
      <c r="AP101" s="29"/>
      <c r="AQ101" s="29"/>
      <c r="AR101" s="28">
        <v>9</v>
      </c>
    </row>
    <row r="102" spans="2:44" ht="13.5" customHeight="1" x14ac:dyDescent="0.3">
      <c r="B102" s="30">
        <v>87</v>
      </c>
      <c r="C102" s="35">
        <v>7</v>
      </c>
      <c r="D102" s="36" t="s">
        <v>114</v>
      </c>
      <c r="E102" s="37" t="s">
        <v>292</v>
      </c>
      <c r="F102" s="39"/>
      <c r="G102" s="39"/>
      <c r="H102" s="51">
        <f>I102/AJ102</f>
        <v>3791.9724240460555</v>
      </c>
      <c r="I102" s="52">
        <f>SUM(J102:Q102)*IF(입력란!C$15=1,1.04,IF(입력란!C$15=2,1.1,IF(입력란!C$15=3,1.2,1)))*IF(입력란!$C$17&lt;&gt;0,0.98,1)</f>
        <v>32684.392518074485</v>
      </c>
      <c r="J102" s="29">
        <f>S102*(1+IF($AK102+IF(입력란!$C$19=1,10,0)+IF(MID(E102,3,1)="2",트라이포드!L$10,0)&gt;100,100,$AK102+IF(입력란!$C$19=1,10,0)+IF(MID(E102,3,1)="2",트라이포드!L$10,0))/100*($AL102/100-1))</f>
        <v>32684.392518074485</v>
      </c>
      <c r="K102" s="29"/>
      <c r="L102" s="29"/>
      <c r="M102" s="29"/>
      <c r="N102" s="38"/>
      <c r="O102" s="38"/>
      <c r="P102" s="38"/>
      <c r="Q102" s="29">
        <f>Z102*(1+IF($AK102+IF(입력란!$C$19=1,10,0)&gt;100,100,$AK102+IF(입력란!$C$19=1,10,0))/100*($AL102/100-1))</f>
        <v>0</v>
      </c>
      <c r="R102" s="23">
        <f>SUM(S102:Z102)</f>
        <v>22739.42609937672</v>
      </c>
      <c r="S102" s="29">
        <f>AN102*IF(MID(E102,5,1)="1",트라이포드!$P$10,트라이포드!$O$10)</f>
        <v>22739.42609937672</v>
      </c>
      <c r="T102" s="29"/>
      <c r="U102" s="29"/>
      <c r="V102" s="29"/>
      <c r="W102" s="38"/>
      <c r="X102" s="38"/>
      <c r="Y102" s="38"/>
      <c r="Z102" s="24">
        <f>AN102*IF(MID(E102,3,1)="1",트라이포드!$J$10,트라이포드!$I$10)</f>
        <v>0</v>
      </c>
      <c r="AA102" s="29">
        <f>SUM(AB102:AI102)</f>
        <v>45478.85219875344</v>
      </c>
      <c r="AB102" s="29">
        <f>S102*2</f>
        <v>45478.85219875344</v>
      </c>
      <c r="AC102" s="29"/>
      <c r="AD102" s="25"/>
      <c r="AE102" s="25"/>
      <c r="AF102" s="38"/>
      <c r="AG102" s="38"/>
      <c r="AH102" s="38"/>
      <c r="AI102" s="24">
        <f>Z102*2</f>
        <v>0</v>
      </c>
      <c r="AJ102" s="25">
        <f>(AR102-IF(MID(E102,5,1)="2",트라이포드!R$10,0))*(1-입력란!$C$29/100)</f>
        <v>8.619364505610001</v>
      </c>
      <c r="AK10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2" s="25">
        <f>입력란!$C$37+입력란!$C$31+IF(입력란!$C$17=1,10,IF(입력란!$C$17=2,25,IF(입력란!$C$17=3,50,0)))</f>
        <v>295.58728189999999</v>
      </c>
      <c r="AM102" s="29">
        <f>SUM(AN102:AP102)</f>
        <v>22739.42609937672</v>
      </c>
      <c r="AN102" s="29">
        <f>(VLOOKUP(C102,$B$4:$AK$7,7,FALSE)+VLOOKUP(C102,$B$8:$AK$11,7,FALSE)*입력란!$C$23)*입력란!$C$38/100</f>
        <v>22739.42609937672</v>
      </c>
      <c r="AO102" s="25"/>
      <c r="AP102" s="29"/>
      <c r="AQ102" s="29"/>
      <c r="AR102" s="28">
        <v>9</v>
      </c>
    </row>
    <row r="103" spans="2:44" ht="13.5" customHeight="1" x14ac:dyDescent="0.3">
      <c r="B103" s="30">
        <v>88</v>
      </c>
      <c r="C103" s="35">
        <v>7</v>
      </c>
      <c r="D103" s="36" t="s">
        <v>114</v>
      </c>
      <c r="E103" s="37" t="s">
        <v>78</v>
      </c>
      <c r="F103" s="39"/>
      <c r="G103" s="39"/>
      <c r="H103" s="51">
        <f>I103/AJ103</f>
        <v>6371.9436851803785</v>
      </c>
      <c r="I103" s="52">
        <f>SUM(J103:Q103)*IF(입력란!C$15=1,1.04,IF(입력란!C$15=2,1.1,IF(입력란!C$15=3,1.2,1)))*IF(입력란!$C$17&lt;&gt;0,0.98,1)</f>
        <v>54922.105231789537</v>
      </c>
      <c r="J103" s="29">
        <f>S103*(1+IF($AK103+IF(입력란!$C$19=1,10,0)+IF(MID(E103,3,1)="2",트라이포드!L$10,0)&gt;100,100,$AK103+IF(입력란!$C$19=1,10,0)+IF(MID(E103,3,1)="2",트라이포드!L$10,0))/100*($AL103/100-1))</f>
        <v>54922.105231789537</v>
      </c>
      <c r="K103" s="29"/>
      <c r="L103" s="29"/>
      <c r="M103" s="29"/>
      <c r="N103" s="38"/>
      <c r="O103" s="38"/>
      <c r="P103" s="38"/>
      <c r="Q103" s="29">
        <f>Z103*(1+IF($AK103+IF(입력란!$C$19=1,10,0)&gt;100,100,$AK103+IF(입력란!$C$19=1,10,0))/100*($AL103/100-1))</f>
        <v>0</v>
      </c>
      <c r="R103" s="23">
        <f>SUM(S103:Z103)</f>
        <v>22739.42609937672</v>
      </c>
      <c r="S103" s="29">
        <f>AN103*IF(MID(E103,5,1)="1",트라이포드!$P$10,트라이포드!$O$10)</f>
        <v>22739.42609937672</v>
      </c>
      <c r="T103" s="29"/>
      <c r="U103" s="29"/>
      <c r="V103" s="29"/>
      <c r="W103" s="38"/>
      <c r="X103" s="38"/>
      <c r="Y103" s="38"/>
      <c r="Z103" s="24">
        <f>AN103*IF(MID(E103,3,1)="1",트라이포드!$J$10,트라이포드!$I$10)</f>
        <v>0</v>
      </c>
      <c r="AA103" s="29">
        <f>SUM(AB103:AI103)</f>
        <v>45478.85219875344</v>
      </c>
      <c r="AB103" s="29">
        <f>S103*2</f>
        <v>45478.85219875344</v>
      </c>
      <c r="AC103" s="29"/>
      <c r="AD103" s="25"/>
      <c r="AE103" s="25"/>
      <c r="AF103" s="38"/>
      <c r="AG103" s="38"/>
      <c r="AH103" s="38"/>
      <c r="AI103" s="24">
        <f>Z103*2</f>
        <v>0</v>
      </c>
      <c r="AJ103" s="25">
        <f>(AR103-IF(MID(E103,5,1)="2",트라이포드!R$10,0))*(1-입력란!$C$29/100)</f>
        <v>8.619364505610001</v>
      </c>
      <c r="AK10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3" s="25">
        <f>입력란!$C$37+입력란!$C$31+IF(입력란!$C$17=1,10,IF(입력란!$C$17=2,25,IF(입력란!$C$17=3,50,0)))</f>
        <v>295.58728189999999</v>
      </c>
      <c r="AM103" s="29">
        <f>SUM(AN103:AP103)</f>
        <v>22739.42609937672</v>
      </c>
      <c r="AN103" s="29">
        <f>(VLOOKUP(C103,$B$4:$AK$7,7,FALSE)+VLOOKUP(C103,$B$8:$AK$11,7,FALSE)*입력란!$C$23)*입력란!$C$38/100</f>
        <v>22739.42609937672</v>
      </c>
      <c r="AO103" s="25"/>
      <c r="AP103" s="29"/>
      <c r="AQ103" s="29"/>
      <c r="AR103" s="28">
        <v>9</v>
      </c>
    </row>
    <row r="104" spans="2:44" ht="13.5" customHeight="1" x14ac:dyDescent="0.3">
      <c r="B104" s="30">
        <v>89</v>
      </c>
      <c r="C104" s="35">
        <v>10</v>
      </c>
      <c r="D104" s="36" t="s">
        <v>114</v>
      </c>
      <c r="E104" s="37" t="s">
        <v>75</v>
      </c>
      <c r="F104" s="39"/>
      <c r="G104" s="39"/>
      <c r="H104" s="51">
        <f>I104/AJ104</f>
        <v>3796.6416372183348</v>
      </c>
      <c r="I104" s="52">
        <f>SUM(J104:Q104)*IF(입력란!C$15=1,1.04,IF(입력란!C$15=2,1.1,IF(입력란!C$15=3,1.2,1)))*IF(입력란!$C$17&lt;&gt;0,0.98,1)</f>
        <v>32724.638168360758</v>
      </c>
      <c r="J104" s="29">
        <f>S104*(1+IF($AK104+IF(입력란!$C$19=1,10,0)+IF(MID(E104,3,1)="2",트라이포드!L$10,0)&gt;100,100,$AK104+IF(입력란!$C$19=1,10,0)+IF(MID(E104,3,1)="2",트라이포드!L$10,0))/100*($AL104/100-1))</f>
        <v>32724.638168360758</v>
      </c>
      <c r="K104" s="29"/>
      <c r="L104" s="29"/>
      <c r="M104" s="29"/>
      <c r="N104" s="38"/>
      <c r="O104" s="38"/>
      <c r="P104" s="38"/>
      <c r="Q104" s="29">
        <f>Z104*(1+IF($AK104+IF(입력란!$C$19=1,10,0)&gt;100,100,$AK104+IF(입력란!$C$19=1,10,0))/100*($AL104/100-1))</f>
        <v>0</v>
      </c>
      <c r="R104" s="23">
        <f>SUM(S104:Z104)</f>
        <v>22767.42609937672</v>
      </c>
      <c r="S104" s="29">
        <f>AN104*IF(MID(E104,5,1)="1",트라이포드!$P$10,트라이포드!$O$10)</f>
        <v>22767.42609937672</v>
      </c>
      <c r="T104" s="29"/>
      <c r="U104" s="29"/>
      <c r="V104" s="29"/>
      <c r="W104" s="38"/>
      <c r="X104" s="38"/>
      <c r="Y104" s="38"/>
      <c r="Z104" s="24">
        <f>AN104*IF(MID(E104,3,1)="1",트라이포드!$J$10,트라이포드!$I$10)</f>
        <v>0</v>
      </c>
      <c r="AA104" s="29">
        <f>SUM(AB104:AI104)</f>
        <v>45534.85219875344</v>
      </c>
      <c r="AB104" s="29">
        <f>S104*2</f>
        <v>45534.85219875344</v>
      </c>
      <c r="AC104" s="29"/>
      <c r="AD104" s="25"/>
      <c r="AE104" s="25"/>
      <c r="AF104" s="38"/>
      <c r="AG104" s="38"/>
      <c r="AH104" s="38"/>
      <c r="AI104" s="24">
        <f>Z104*2</f>
        <v>0</v>
      </c>
      <c r="AJ104" s="25">
        <f>(AR104-IF(MID(E104,5,1)="2",트라이포드!R$10,0))*(1-입력란!$C$29/100)</f>
        <v>8.619364505610001</v>
      </c>
      <c r="AK10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4" s="25">
        <f>입력란!$C$37+입력란!$C$31+IF(입력란!$C$17=1,10,IF(입력란!$C$17=2,25,IF(입력란!$C$17=3,50,0)))</f>
        <v>295.58728189999999</v>
      </c>
      <c r="AM104" s="29">
        <f>SUM(AN104:AP104)</f>
        <v>22767.42609937672</v>
      </c>
      <c r="AN104" s="29">
        <f>(VLOOKUP(C104,$B$4:$AK$7,7,FALSE)+VLOOKUP(C104,$B$8:$AK$11,7,FALSE)*입력란!$C$23)*입력란!$C$38/100</f>
        <v>22767.42609937672</v>
      </c>
      <c r="AO104" s="25"/>
      <c r="AP104" s="29"/>
      <c r="AQ104" s="29"/>
      <c r="AR104" s="28">
        <v>9</v>
      </c>
    </row>
    <row r="105" spans="2:44" ht="13.5" customHeight="1" x14ac:dyDescent="0.3">
      <c r="B105" s="30">
        <v>90</v>
      </c>
      <c r="C105" s="35">
        <v>10</v>
      </c>
      <c r="D105" s="36" t="s">
        <v>114</v>
      </c>
      <c r="E105" s="37" t="s">
        <v>293</v>
      </c>
      <c r="F105" s="39" t="s">
        <v>302</v>
      </c>
      <c r="G105" s="39"/>
      <c r="H105" s="51">
        <f>I105/AJ105</f>
        <v>6074.6266195493354</v>
      </c>
      <c r="I105" s="52">
        <f>SUM(J105:Q105)*IF(입력란!C$15=1,1.04,IF(입력란!C$15=2,1.1,IF(입력란!C$15=3,1.2,1)))*IF(입력란!$C$17&lt;&gt;0,0.98,1)</f>
        <v>52359.421069377211</v>
      </c>
      <c r="J105" s="29">
        <f>S105*(1+IF($AK105+IF(입력란!$C$19=1,10,0)+IF(MID(E105,3,1)="2",트라이포드!L$10,0)&gt;100,100,$AK105+IF(입력란!$C$19=1,10,0)+IF(MID(E105,3,1)="2",트라이포드!L$10,0))/100*($AL105/100-1))</f>
        <v>32724.638168360758</v>
      </c>
      <c r="K105" s="29"/>
      <c r="L105" s="29"/>
      <c r="M105" s="29"/>
      <c r="N105" s="38"/>
      <c r="O105" s="38"/>
      <c r="P105" s="38"/>
      <c r="Q105" s="29">
        <f>Z105*(1+IF($AK105+IF(입력란!$C$19=1,10,0)&gt;100,100,$AK105+IF(입력란!$C$19=1,10,0))/100*($AL105/100-1))</f>
        <v>19634.782901016453</v>
      </c>
      <c r="R105" s="23">
        <f>SUM(S105:Z105)</f>
        <v>36427.881759002754</v>
      </c>
      <c r="S105" s="29">
        <f>AN105*IF(MID(E105,5,1)="1",트라이포드!$P$10,트라이포드!$O$10)</f>
        <v>22767.42609937672</v>
      </c>
      <c r="T105" s="29"/>
      <c r="U105" s="29"/>
      <c r="V105" s="29"/>
      <c r="W105" s="38"/>
      <c r="X105" s="38"/>
      <c r="Y105" s="38"/>
      <c r="Z105" s="24">
        <f>AN105*IF(MID(E105,3,1)="1",트라이포드!$J$10,트라이포드!$I$10)</f>
        <v>13660.455659626032</v>
      </c>
      <c r="AA105" s="29">
        <f>SUM(AB105:AI105)</f>
        <v>72855.763518005508</v>
      </c>
      <c r="AB105" s="29">
        <f>S105*2</f>
        <v>45534.85219875344</v>
      </c>
      <c r="AC105" s="29"/>
      <c r="AD105" s="25"/>
      <c r="AE105" s="25"/>
      <c r="AF105" s="38"/>
      <c r="AG105" s="38"/>
      <c r="AH105" s="38"/>
      <c r="AI105" s="24">
        <f>Z105*2</f>
        <v>27320.911319252064</v>
      </c>
      <c r="AJ105" s="25">
        <f>(AR105-IF(MID(E105,5,1)="2",트라이포드!R$10,0))*(1-입력란!$C$29/100)</f>
        <v>8.619364505610001</v>
      </c>
      <c r="AK10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5" s="25">
        <f>입력란!$C$37+입력란!$C$31+IF(입력란!$C$17=1,10,IF(입력란!$C$17=2,25,IF(입력란!$C$17=3,50,0)))</f>
        <v>295.58728189999999</v>
      </c>
      <c r="AM105" s="29">
        <f>SUM(AN105:AP105)</f>
        <v>22767.42609937672</v>
      </c>
      <c r="AN105" s="29">
        <f>(VLOOKUP(C105,$B$4:$AK$7,7,FALSE)+VLOOKUP(C105,$B$8:$AK$11,7,FALSE)*입력란!$C$23)*입력란!$C$38/100</f>
        <v>22767.42609937672</v>
      </c>
      <c r="AO105" s="25"/>
      <c r="AP105" s="29"/>
      <c r="AQ105" s="29"/>
      <c r="AR105" s="28">
        <v>9</v>
      </c>
    </row>
    <row r="106" spans="2:44" ht="13.5" customHeight="1" x14ac:dyDescent="0.3">
      <c r="B106" s="30">
        <v>91</v>
      </c>
      <c r="C106" s="35">
        <v>10</v>
      </c>
      <c r="D106" s="36" t="s">
        <v>114</v>
      </c>
      <c r="E106" s="37" t="s">
        <v>291</v>
      </c>
      <c r="F106" s="39"/>
      <c r="G106" s="39"/>
      <c r="H106" s="51">
        <f>I106/AJ106</f>
        <v>6379.7897241439541</v>
      </c>
      <c r="I106" s="52">
        <f>SUM(J106:Q106)*IF(입력란!C$15=1,1.04,IF(입력란!C$15=2,1.1,IF(입력란!C$15=3,1.2,1)))*IF(입력란!$C$17&lt;&gt;0,0.98,1)</f>
        <v>54989.733101541817</v>
      </c>
      <c r="J106" s="29">
        <f>S106*(1+IF($AK106+IF(입력란!$C$19=1,10,0)+IF(MID(E106,3,1)="2",트라이포드!L$10,0)&gt;100,100,$AK106+IF(입력란!$C$19=1,10,0)+IF(MID(E106,3,1)="2",트라이포드!L$10,0))/100*($AL106/100-1))</f>
        <v>54989.733101541817</v>
      </c>
      <c r="K106" s="29"/>
      <c r="L106" s="29"/>
      <c r="M106" s="29"/>
      <c r="N106" s="38"/>
      <c r="O106" s="38"/>
      <c r="P106" s="38"/>
      <c r="Q106" s="29">
        <f>Z106*(1+IF($AK106+IF(입력란!$C$19=1,10,0)&gt;100,100,$AK106+IF(입력란!$C$19=1,10,0))/100*($AL106/100-1))</f>
        <v>0</v>
      </c>
      <c r="R106" s="23">
        <f>SUM(S106:Z106)</f>
        <v>22767.42609937672</v>
      </c>
      <c r="S106" s="29">
        <f>AN106*IF(MID(E106,5,1)="1",트라이포드!$P$10,트라이포드!$O$10)</f>
        <v>22767.42609937672</v>
      </c>
      <c r="T106" s="29"/>
      <c r="U106" s="29"/>
      <c r="V106" s="29"/>
      <c r="W106" s="38"/>
      <c r="X106" s="38"/>
      <c r="Y106" s="38"/>
      <c r="Z106" s="24">
        <f>AN106*IF(MID(E106,3,1)="1",트라이포드!$J$10,트라이포드!$I$10)</f>
        <v>0</v>
      </c>
      <c r="AA106" s="29">
        <f>SUM(AB106:AI106)</f>
        <v>45534.85219875344</v>
      </c>
      <c r="AB106" s="29">
        <f>S106*2</f>
        <v>45534.85219875344</v>
      </c>
      <c r="AC106" s="29"/>
      <c r="AD106" s="25"/>
      <c r="AE106" s="25"/>
      <c r="AF106" s="38"/>
      <c r="AG106" s="38"/>
      <c r="AH106" s="38"/>
      <c r="AI106" s="24">
        <f>Z106*2</f>
        <v>0</v>
      </c>
      <c r="AJ106" s="25">
        <f>(AR106-IF(MID(E106,5,1)="2",트라이포드!R$10,0))*(1-입력란!$C$29/100)</f>
        <v>8.619364505610001</v>
      </c>
      <c r="AK10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6" s="25">
        <f>입력란!$C$37+입력란!$C$31+IF(입력란!$C$17=1,10,IF(입력란!$C$17=2,25,IF(입력란!$C$17=3,50,0)))</f>
        <v>295.58728189999999</v>
      </c>
      <c r="AM106" s="29">
        <f>SUM(AN106:AP106)</f>
        <v>22767.42609937672</v>
      </c>
      <c r="AN106" s="29">
        <f>(VLOOKUP(C106,$B$4:$AK$7,7,FALSE)+VLOOKUP(C106,$B$8:$AK$11,7,FALSE)*입력란!$C$23)*입력란!$C$38/100</f>
        <v>22767.42609937672</v>
      </c>
      <c r="AO106" s="25"/>
      <c r="AP106" s="29"/>
      <c r="AQ106" s="29"/>
      <c r="AR106" s="28">
        <v>9</v>
      </c>
    </row>
    <row r="107" spans="2:44" ht="13.5" customHeight="1" x14ac:dyDescent="0.3">
      <c r="B107" s="30">
        <v>92</v>
      </c>
      <c r="C107" s="35">
        <v>10</v>
      </c>
      <c r="D107" s="36" t="s">
        <v>114</v>
      </c>
      <c r="E107" s="37" t="s">
        <v>121</v>
      </c>
      <c r="F107" s="39" t="s">
        <v>302</v>
      </c>
      <c r="G107" s="39"/>
      <c r="H107" s="51">
        <f>I107/AJ107</f>
        <v>9871.2682567676693</v>
      </c>
      <c r="I107" s="52">
        <f>SUM(J107:Q107)*IF(입력란!C$15=1,1.04,IF(입력란!C$15=2,1.1,IF(입력란!C$15=3,1.2,1)))*IF(입력란!$C$17&lt;&gt;0,0.98,1)</f>
        <v>85084.059237737965</v>
      </c>
      <c r="J107" s="29">
        <f>S107*(1+IF($AK107+IF(입력란!$C$19=1,10,0)+IF(MID(E107,3,1)="2",트라이포드!L$10,0)&gt;100,100,$AK107+IF(입력란!$C$19=1,10,0)+IF(MID(E107,3,1)="2",트라이포드!L$10,0))/100*($AL107/100-1))</f>
        <v>65449.276336721516</v>
      </c>
      <c r="K107" s="29"/>
      <c r="L107" s="29"/>
      <c r="M107" s="29"/>
      <c r="N107" s="38"/>
      <c r="O107" s="38"/>
      <c r="P107" s="38"/>
      <c r="Q107" s="29">
        <f>Z107*(1+IF($AK107+IF(입력란!$C$19=1,10,0)&gt;100,100,$AK107+IF(입력란!$C$19=1,10,0))/100*($AL107/100-1))</f>
        <v>19634.782901016453</v>
      </c>
      <c r="R107" s="23">
        <f>SUM(S107:Z107)</f>
        <v>59195.30785837947</v>
      </c>
      <c r="S107" s="29">
        <f>AN107*IF(MID(E107,5,1)="1",트라이포드!$P$10,트라이포드!$O$10)</f>
        <v>45534.85219875344</v>
      </c>
      <c r="T107" s="29"/>
      <c r="U107" s="29"/>
      <c r="V107" s="29"/>
      <c r="W107" s="38"/>
      <c r="X107" s="38"/>
      <c r="Y107" s="38"/>
      <c r="Z107" s="24">
        <f>AN107*IF(MID(E107,3,1)="1",트라이포드!$J$10,트라이포드!$I$10)</f>
        <v>13660.455659626032</v>
      </c>
      <c r="AA107" s="29">
        <f>SUM(AB107:AI107)</f>
        <v>118390.61571675894</v>
      </c>
      <c r="AB107" s="29">
        <f>S107*2</f>
        <v>91069.704397506881</v>
      </c>
      <c r="AC107" s="29"/>
      <c r="AD107" s="25"/>
      <c r="AE107" s="25"/>
      <c r="AF107" s="38"/>
      <c r="AG107" s="38"/>
      <c r="AH107" s="38"/>
      <c r="AI107" s="24">
        <f>Z107*2</f>
        <v>27320.911319252064</v>
      </c>
      <c r="AJ107" s="25">
        <f>(AR107-IF(MID(E107,5,1)="2",트라이포드!R$10,0))*(1-입력란!$C$29/100)</f>
        <v>8.619364505610001</v>
      </c>
      <c r="AK10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7" s="25">
        <f>입력란!$C$37+입력란!$C$31+IF(입력란!$C$17=1,10,IF(입력란!$C$17=2,25,IF(입력란!$C$17=3,50,0)))</f>
        <v>295.58728189999999</v>
      </c>
      <c r="AM107" s="29">
        <f>SUM(AN107:AP107)</f>
        <v>22767.42609937672</v>
      </c>
      <c r="AN107" s="29">
        <f>(VLOOKUP(C107,$B$4:$AK$7,7,FALSE)+VLOOKUP(C107,$B$8:$AK$11,7,FALSE)*입력란!$C$23)*입력란!$C$38/100</f>
        <v>22767.42609937672</v>
      </c>
      <c r="AO107" s="25"/>
      <c r="AP107" s="29"/>
      <c r="AQ107" s="29"/>
      <c r="AR107" s="28">
        <v>9</v>
      </c>
    </row>
    <row r="108" spans="2:44" ht="13.5" customHeight="1" x14ac:dyDescent="0.3">
      <c r="B108" s="30">
        <v>93</v>
      </c>
      <c r="C108" s="35">
        <v>10</v>
      </c>
      <c r="D108" s="36" t="s">
        <v>114</v>
      </c>
      <c r="E108" s="37" t="s">
        <v>294</v>
      </c>
      <c r="F108" s="39"/>
      <c r="G108" s="39"/>
      <c r="H108" s="51">
        <f>I108/AJ108</f>
        <v>12759.579448287908</v>
      </c>
      <c r="I108" s="52">
        <f>SUM(J108:Q108)*IF(입력란!C$15=1,1.04,IF(입력란!C$15=2,1.1,IF(입력란!C$15=3,1.2,1)))*IF(입력란!$C$17&lt;&gt;0,0.98,1)</f>
        <v>109979.46620308363</v>
      </c>
      <c r="J108" s="29">
        <f>S108*(1+IF($AK108+IF(입력란!$C$19=1,10,0)+IF(MID(E108,3,1)="2",트라이포드!L$10,0)&gt;100,100,$AK108+IF(입력란!$C$19=1,10,0)+IF(MID(E108,3,1)="2",트라이포드!L$10,0))/100*($AL108/100-1))</f>
        <v>109979.46620308363</v>
      </c>
      <c r="K108" s="29"/>
      <c r="L108" s="29"/>
      <c r="M108" s="29"/>
      <c r="N108" s="38"/>
      <c r="O108" s="38"/>
      <c r="P108" s="38"/>
      <c r="Q108" s="29">
        <f>Z108*(1+IF($AK108+IF(입력란!$C$19=1,10,0)&gt;100,100,$AK108+IF(입력란!$C$19=1,10,0))/100*($AL108/100-1))</f>
        <v>0</v>
      </c>
      <c r="R108" s="23">
        <f>SUM(S108:Z108)</f>
        <v>45534.85219875344</v>
      </c>
      <c r="S108" s="29">
        <f>AN108*IF(MID(E108,5,1)="1",트라이포드!$P$10,트라이포드!$O$10)</f>
        <v>45534.85219875344</v>
      </c>
      <c r="T108" s="29"/>
      <c r="U108" s="29"/>
      <c r="V108" s="29"/>
      <c r="W108" s="38"/>
      <c r="X108" s="38"/>
      <c r="Y108" s="38"/>
      <c r="Z108" s="24">
        <f>AN108*IF(MID(E108,3,1)="1",트라이포드!$J$10,트라이포드!$I$10)</f>
        <v>0</v>
      </c>
      <c r="AA108" s="29">
        <f>SUM(AB108:AI108)</f>
        <v>91069.704397506881</v>
      </c>
      <c r="AB108" s="29">
        <f>S108*2</f>
        <v>91069.704397506881</v>
      </c>
      <c r="AC108" s="29"/>
      <c r="AD108" s="25"/>
      <c r="AE108" s="25"/>
      <c r="AF108" s="38"/>
      <c r="AG108" s="38"/>
      <c r="AH108" s="38"/>
      <c r="AI108" s="24">
        <f>Z108*2</f>
        <v>0</v>
      </c>
      <c r="AJ108" s="25">
        <f>(AR108-IF(MID(E108,5,1)="2",트라이포드!R$10,0))*(1-입력란!$C$29/100)</f>
        <v>8.619364505610001</v>
      </c>
      <c r="AK10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8" s="25">
        <f>입력란!$C$37+입력란!$C$31+IF(입력란!$C$17=1,10,IF(입력란!$C$17=2,25,IF(입력란!$C$17=3,50,0)))</f>
        <v>295.58728189999999</v>
      </c>
      <c r="AM108" s="29">
        <f>SUM(AN108:AP108)</f>
        <v>22767.42609937672</v>
      </c>
      <c r="AN108" s="29">
        <f>(VLOOKUP(C108,$B$4:$AK$7,7,FALSE)+VLOOKUP(C108,$B$8:$AK$11,7,FALSE)*입력란!$C$23)*입력란!$C$38/100</f>
        <v>22767.42609937672</v>
      </c>
      <c r="AO108" s="25"/>
      <c r="AP108" s="29"/>
      <c r="AQ108" s="29"/>
      <c r="AR108" s="28">
        <v>9</v>
      </c>
    </row>
    <row r="109" spans="2:44" ht="13.5" customHeight="1" x14ac:dyDescent="0.3">
      <c r="B109" s="30">
        <v>94</v>
      </c>
      <c r="C109" s="35">
        <v>10</v>
      </c>
      <c r="D109" s="36" t="s">
        <v>114</v>
      </c>
      <c r="E109" s="37" t="s">
        <v>295</v>
      </c>
      <c r="F109" s="39" t="s">
        <v>302</v>
      </c>
      <c r="G109" s="39"/>
      <c r="H109" s="51">
        <f>I109/AJ109</f>
        <v>9111.939929324004</v>
      </c>
      <c r="I109" s="52">
        <f>SUM(J109:Q109)*IF(입력란!C$15=1,1.04,IF(입력란!C$15=2,1.1,IF(입력란!C$15=3,1.2,1)))*IF(입력란!$C$17&lt;&gt;0,0.98,1)</f>
        <v>52359.421069377211</v>
      </c>
      <c r="J109" s="29">
        <f>S109*(1+IF($AK109+IF(입력란!$C$19=1,10,0)+IF(MID(E109,3,1)="2",트라이포드!L$10,0)&gt;100,100,$AK109+IF(입력란!$C$19=1,10,0)+IF(MID(E109,3,1)="2",트라이포드!L$10,0))/100*($AL109/100-1))</f>
        <v>32724.638168360758</v>
      </c>
      <c r="K109" s="29"/>
      <c r="L109" s="29"/>
      <c r="M109" s="29"/>
      <c r="N109" s="38"/>
      <c r="O109" s="38"/>
      <c r="P109" s="38"/>
      <c r="Q109" s="29">
        <f>Z109*(1+IF($AK109+IF(입력란!$C$19=1,10,0)&gt;100,100,$AK109+IF(입력란!$C$19=1,10,0))/100*($AL109/100-1))</f>
        <v>19634.782901016453</v>
      </c>
      <c r="R109" s="23">
        <f>SUM(S109:Z109)</f>
        <v>36427.881759002754</v>
      </c>
      <c r="S109" s="29">
        <f>AN109*IF(MID(E109,5,1)="1",트라이포드!$P$10,트라이포드!$O$10)</f>
        <v>22767.42609937672</v>
      </c>
      <c r="T109" s="29"/>
      <c r="U109" s="29"/>
      <c r="V109" s="29"/>
      <c r="W109" s="38"/>
      <c r="X109" s="38"/>
      <c r="Y109" s="38"/>
      <c r="Z109" s="24">
        <f>AN109*IF(MID(E109,3,1)="1",트라이포드!$J$10,트라이포드!$I$10)</f>
        <v>13660.455659626032</v>
      </c>
      <c r="AA109" s="29">
        <f>SUM(AB109:AI109)</f>
        <v>72855.763518005508</v>
      </c>
      <c r="AB109" s="29">
        <f>S109*2</f>
        <v>45534.85219875344</v>
      </c>
      <c r="AC109" s="29"/>
      <c r="AD109" s="25"/>
      <c r="AE109" s="25"/>
      <c r="AF109" s="38"/>
      <c r="AG109" s="38"/>
      <c r="AH109" s="38"/>
      <c r="AI109" s="24">
        <f>Z109*2</f>
        <v>27320.911319252064</v>
      </c>
      <c r="AJ109" s="25">
        <f>(AR109-IF(MID(E109,5,1)="2",트라이포드!R$10,0))*(1-입력란!$C$29/100)</f>
        <v>5.7462430037400001</v>
      </c>
      <c r="AK10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09" s="25">
        <f>입력란!$C$37+입력란!$C$31+IF(입력란!$C$17=1,10,IF(입력란!$C$17=2,25,IF(입력란!$C$17=3,50,0)))</f>
        <v>295.58728189999999</v>
      </c>
      <c r="AM109" s="29">
        <f>SUM(AN109:AP109)</f>
        <v>22767.42609937672</v>
      </c>
      <c r="AN109" s="29">
        <f>(VLOOKUP(C109,$B$4:$AK$7,7,FALSE)+VLOOKUP(C109,$B$8:$AK$11,7,FALSE)*입력란!$C$23)*입력란!$C$38/100</f>
        <v>22767.42609937672</v>
      </c>
      <c r="AO109" s="25"/>
      <c r="AP109" s="29"/>
      <c r="AQ109" s="29"/>
      <c r="AR109" s="28">
        <v>9</v>
      </c>
    </row>
    <row r="110" spans="2:44" ht="13.5" customHeight="1" x14ac:dyDescent="0.3">
      <c r="B110" s="30">
        <v>95</v>
      </c>
      <c r="C110" s="35">
        <v>10</v>
      </c>
      <c r="D110" s="36" t="s">
        <v>114</v>
      </c>
      <c r="E110" s="37" t="s">
        <v>296</v>
      </c>
      <c r="F110" s="39"/>
      <c r="G110" s="39"/>
      <c r="H110" s="51">
        <f>I110/AJ110</f>
        <v>9569.6845862159316</v>
      </c>
      <c r="I110" s="52">
        <f>SUM(J110:Q110)*IF(입력란!C$15=1,1.04,IF(입력란!C$15=2,1.1,IF(입력란!C$15=3,1.2,1)))*IF(입력란!$C$17&lt;&gt;0,0.98,1)</f>
        <v>54989.733101541817</v>
      </c>
      <c r="J110" s="29">
        <f>S110*(1+IF($AK110+IF(입력란!$C$19=1,10,0)+IF(MID(E110,3,1)="2",트라이포드!L$10,0)&gt;100,100,$AK110+IF(입력란!$C$19=1,10,0)+IF(MID(E110,3,1)="2",트라이포드!L$10,0))/100*($AL110/100-1))</f>
        <v>54989.733101541817</v>
      </c>
      <c r="K110" s="29"/>
      <c r="L110" s="29"/>
      <c r="M110" s="29"/>
      <c r="N110" s="38"/>
      <c r="O110" s="38"/>
      <c r="P110" s="38"/>
      <c r="Q110" s="26">
        <f>Z110*(1+IF($AK110+IF(입력란!$C$19=1,10,0)&gt;100,100,$AK110+IF(입력란!$C$19=1,10,0))/100*($AL110/100-1))</f>
        <v>0</v>
      </c>
      <c r="R110" s="23">
        <f>SUM(S110:Z110)</f>
        <v>22767.42609937672</v>
      </c>
      <c r="S110" s="29">
        <f>AN110*IF(MID(E110,5,1)="1",트라이포드!$P$10,트라이포드!$O$10)</f>
        <v>22767.42609937672</v>
      </c>
      <c r="T110" s="29"/>
      <c r="U110" s="29"/>
      <c r="V110" s="29"/>
      <c r="W110" s="38"/>
      <c r="X110" s="38"/>
      <c r="Y110" s="38"/>
      <c r="Z110" s="24">
        <f>AN110*IF(MID(E110,3,1)="1",트라이포드!$J$10,트라이포드!$I$10)</f>
        <v>0</v>
      </c>
      <c r="AA110" s="29">
        <f>SUM(AB110:AI110)</f>
        <v>45534.85219875344</v>
      </c>
      <c r="AB110" s="29">
        <f>S110*2</f>
        <v>45534.85219875344</v>
      </c>
      <c r="AC110" s="29"/>
      <c r="AD110" s="25"/>
      <c r="AE110" s="25"/>
      <c r="AF110" s="38"/>
      <c r="AG110" s="38"/>
      <c r="AH110" s="38"/>
      <c r="AI110" s="24">
        <f>Z110*2</f>
        <v>0</v>
      </c>
      <c r="AJ110" s="25">
        <f>(AR110-IF(MID(E110,5,1)="2",트라이포드!R$10,0))*(1-입력란!$C$29/100)</f>
        <v>5.7462430037400001</v>
      </c>
      <c r="AK11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0" s="25">
        <f>입력란!$C$37+입력란!$C$31+IF(입력란!$C$17=1,10,IF(입력란!$C$17=2,25,IF(입력란!$C$17=3,50,0)))</f>
        <v>295.58728189999999</v>
      </c>
      <c r="AM110" s="29">
        <f>SUM(AN110:AP110)</f>
        <v>22767.42609937672</v>
      </c>
      <c r="AN110" s="29">
        <f>(VLOOKUP(C110,$B$4:$AK$7,7,FALSE)+VLOOKUP(C110,$B$8:$AK$11,7,FALSE)*입력란!$C$23)*입력란!$C$38/100</f>
        <v>22767.42609937672</v>
      </c>
      <c r="AO110" s="25"/>
      <c r="AP110" s="29"/>
      <c r="AQ110" s="29"/>
      <c r="AR110" s="28">
        <v>9</v>
      </c>
    </row>
    <row r="111" spans="2:44" ht="13.5" customHeight="1" x14ac:dyDescent="0.3">
      <c r="B111" s="30">
        <v>96</v>
      </c>
      <c r="C111" s="35">
        <v>1</v>
      </c>
      <c r="D111" s="36" t="s">
        <v>118</v>
      </c>
      <c r="E111" s="37" t="s">
        <v>75</v>
      </c>
      <c r="F111" s="39"/>
      <c r="G111" s="39"/>
      <c r="H111" s="51">
        <f>I111/AJ111</f>
        <v>6829.1070576516149</v>
      </c>
      <c r="I111" s="52">
        <f>SUM(J111:Q111)*IF(입력란!C$15=1,1.04,IF(입력란!C$15=2,1.1,IF(입력란!C$15=3,1.2,1)))*IF(입력란!$C$17&lt;&gt;0,0.98,1)</f>
        <v>104644.5564048588</v>
      </c>
      <c r="J111" s="29">
        <f>S111*(1+IF($AK111+IF(입력란!$C$19=1,10,0)+IF(입력란!$C$9=1,10,0)+IF(MID($E111,5,1)="2",트라이포드!R$11,0)&gt;100,100,$AK111+IF(입력란!$C$19=1,10,0)+IF(입력란!$C$9=1,10,0)+IF(MID($E111,5,1)="2",트라이포드!R$11,0))/100*(($AL111+IF(MID($E111,3,1)="3",트라이포드!$N$11,트라이포드!$M$11))/100-1))</f>
        <v>26161.1391012147</v>
      </c>
      <c r="K111" s="29">
        <f>T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26161.1391012147</v>
      </c>
      <c r="L111" s="29">
        <f>U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26161.1391012147</v>
      </c>
      <c r="M111" s="29">
        <f>V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26161.1391012147</v>
      </c>
      <c r="N111" s="29">
        <f>W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0</v>
      </c>
      <c r="O111" s="29">
        <f>X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0</v>
      </c>
      <c r="P111" s="29">
        <f>Y111*(1+IF($AK111+IF(입력란!$C$19=1,10,IF(MID($E111,1,1)="2",10,0))+IF(입력란!$C$9=1,10,0)+IF(MID($E111,5,1)="2",트라이포드!$R$11,0)&gt;100,100,$AK111+IF(입력란!$C$19=1,10,IF(MID($E111,1,1)="2",10,0))+IF(입력란!$C$9=1,10,0)+IF(MID($E111,5,1)="2",트라이포드!$R$11,0))/100*(($AL111+IF(MID($E111,3,1)="3",트라이포드!$N$11,트라이포드!$M$11))/100-1))</f>
        <v>0</v>
      </c>
      <c r="Q111" s="26">
        <f>Z111*(1+IF($AK111+IF(입력란!$C$19=1,10,IF(MID($E111,1,1)="2",10,0))&gt;100,100,$AK111+IF(입력란!$C$19=1,10,IF(MID($E111,1,1)="2",10,0)))/100*($AL111/100-1))</f>
        <v>0</v>
      </c>
      <c r="R111" s="23">
        <f>SUM(S111:Z111)</f>
        <v>72804.080900523069</v>
      </c>
      <c r="S111" s="29">
        <f>AN111*IF(MID(E111,3,1)="1",트라이포드!$J$11,트라이포드!$I$11)*IF(MID(E111,3,1)="2",트라이포드!$L$11,트라이포드!$K$11)*IF(입력란!$C$9=1,IF(입력란!$C$14=0,1.05,IF(입력란!$C$14=1,1.05*1.05,IF(입력란!$C$14=2,1.05*1.12,IF(입력란!$C$14=3,1.05*1.25)))),1)/IF(MID(E111,3,1)="1",7,4)</f>
        <v>18201.020225130767</v>
      </c>
      <c r="T111" s="29">
        <f>S111</f>
        <v>18201.020225130767</v>
      </c>
      <c r="U111" s="29">
        <f>T111</f>
        <v>18201.020225130767</v>
      </c>
      <c r="V111" s="29">
        <f>U111</f>
        <v>18201.020225130767</v>
      </c>
      <c r="W111" s="38">
        <f>IF(MID($E111,3,1)="1",$S111,0)</f>
        <v>0</v>
      </c>
      <c r="X111" s="38">
        <f>IF(MID($E111,3,1)="1",$S111,0)</f>
        <v>0</v>
      </c>
      <c r="Y111" s="38">
        <f>IF(MID($E111,3,1)="1",$S111,0)</f>
        <v>0</v>
      </c>
      <c r="Z111" s="24">
        <f>AN111*IF(MID(E111,5,1)="1",트라이포드!$P$11*IF(MID(E111,3,1)="1",7,4)*5,트라이포드!$O$11)</f>
        <v>0</v>
      </c>
      <c r="AA111" s="29">
        <f>SUM(AB111:AI111)</f>
        <v>145608.16180104614</v>
      </c>
      <c r="AB111" s="29">
        <f>S111*2</f>
        <v>36402.040450261535</v>
      </c>
      <c r="AC111" s="29">
        <f>T111*2</f>
        <v>36402.040450261535</v>
      </c>
      <c r="AD111" s="29">
        <f>U111*2</f>
        <v>36402.040450261535</v>
      </c>
      <c r="AE111" s="29">
        <f>V111*2</f>
        <v>36402.040450261535</v>
      </c>
      <c r="AF111" s="29">
        <f>W111*2</f>
        <v>0</v>
      </c>
      <c r="AG111" s="29">
        <f>X111*2</f>
        <v>0</v>
      </c>
      <c r="AH111" s="29">
        <f>Y111*2</f>
        <v>0</v>
      </c>
      <c r="AI111" s="24">
        <f>Z111*2</f>
        <v>0</v>
      </c>
      <c r="AJ111" s="25">
        <f>AR111*(1-입력란!$C$29/100)</f>
        <v>15.323314676640001</v>
      </c>
      <c r="AK11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1" s="25">
        <f>입력란!$C$37+입력란!$C$31+IF(입력란!$C$17=1,10,IF(입력란!$C$17=2,25,IF(입력란!$C$17=3,50,0)))</f>
        <v>295.58728189999999</v>
      </c>
      <c r="AM111" s="29">
        <f>SUM(AN111:AP111)</f>
        <v>72804.080900523069</v>
      </c>
      <c r="AN111" s="29">
        <f>(VLOOKUP(C111,$B$4:$AK$7,8,FALSE)+VLOOKUP(C111,$B$8:$AK$11,8,FALSE)*입력란!$C$23)*입력란!$C$38/100</f>
        <v>72804.080900523069</v>
      </c>
      <c r="AO111" s="25"/>
      <c r="AP111" s="29"/>
      <c r="AQ111" s="29"/>
      <c r="AR111" s="28">
        <v>16</v>
      </c>
    </row>
    <row r="112" spans="2:44" ht="13.5" customHeight="1" x14ac:dyDescent="0.3">
      <c r="B112" s="30">
        <v>97</v>
      </c>
      <c r="C112" s="35">
        <v>4</v>
      </c>
      <c r="D112" s="36" t="s">
        <v>118</v>
      </c>
      <c r="E112" s="37" t="s">
        <v>75</v>
      </c>
      <c r="F112" s="39"/>
      <c r="G112" s="39"/>
      <c r="H112" s="51">
        <f>I112/AJ112</f>
        <v>6857.1723639692809</v>
      </c>
      <c r="I112" s="52">
        <f>SUM(J112:Q112)*IF(입력란!C$15=1,1.04,IF(입력란!C$15=2,1.1,IF(입력란!C$15=3,1.2,1)))*IF(입력란!$C$17&lt;&gt;0,0.98,1)</f>
        <v>105074.60992506069</v>
      </c>
      <c r="J112" s="29">
        <f>S112*(1+IF($AK112+IF(입력란!$C$19=1,10,0)+IF(입력란!$C$9=1,10,0)+IF(MID($E112,5,1)="2",트라이포드!R$11,0)&gt;100,100,$AK112+IF(입력란!$C$19=1,10,0)+IF(입력란!$C$9=1,10,0)+IF(MID($E112,5,1)="2",트라이포드!R$11,0))/100*(($AL112+IF(MID($E112,3,1)="3",트라이포드!$N$11,트라이포드!$M$11))/100-1))</f>
        <v>26268.652481265173</v>
      </c>
      <c r="K112" s="29">
        <f>T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26268.652481265173</v>
      </c>
      <c r="L112" s="29">
        <f>U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26268.652481265173</v>
      </c>
      <c r="M112" s="29">
        <f>V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26268.652481265173</v>
      </c>
      <c r="N112" s="29">
        <f>W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0</v>
      </c>
      <c r="O112" s="29">
        <f>X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0</v>
      </c>
      <c r="P112" s="29">
        <f>Y112*(1+IF($AK112+IF(입력란!$C$19=1,10,IF(MID($E112,1,1)="2",10,0))+IF(입력란!$C$9=1,10,0)+IF(MID($E112,5,1)="2",트라이포드!$R$11,0)&gt;100,100,$AK112+IF(입력란!$C$19=1,10,IF(MID($E112,1,1)="2",10,0))+IF(입력란!$C$9=1,10,0)+IF(MID($E112,5,1)="2",트라이포드!$R$11,0))/100*(($AL112+IF(MID($E112,3,1)="3",트라이포드!$N$11,트라이포드!$M$11))/100-1))</f>
        <v>0</v>
      </c>
      <c r="Q112" s="26">
        <f>Z112*(1+IF($AK112+IF(입력란!$C$19=1,10,IF(MID($E112,1,1)="2",10,0))&gt;100,100,$AK112+IF(입력란!$C$19=1,10,IF(MID($E112,1,1)="2",10,0)))/100*($AL112/100-1))</f>
        <v>0</v>
      </c>
      <c r="R112" s="23">
        <f>SUM(S112:Z112)</f>
        <v>73103.280900523067</v>
      </c>
      <c r="S112" s="29">
        <f>AN112*IF(MID(E112,3,1)="1",트라이포드!$J$11,트라이포드!$I$11)*IF(MID(E112,3,1)="2",트라이포드!$L$11,트라이포드!$K$11)*IF(입력란!$C$9=1,IF(입력란!$C$14=0,1.05,IF(입력란!$C$14=1,1.05*1.05,IF(입력란!$C$14=2,1.05*1.12,IF(입력란!$C$14=3,1.05*1.25)))),1)/IF(MID(E112,3,1)="1",7,4)</f>
        <v>18275.820225130767</v>
      </c>
      <c r="T112" s="29">
        <f>S112</f>
        <v>18275.820225130767</v>
      </c>
      <c r="U112" s="29">
        <f>T112</f>
        <v>18275.820225130767</v>
      </c>
      <c r="V112" s="29">
        <f>U112</f>
        <v>18275.820225130767</v>
      </c>
      <c r="W112" s="38">
        <f>IF(MID($E112,3,1)="1",$S112,0)</f>
        <v>0</v>
      </c>
      <c r="X112" s="38">
        <f>IF(MID($E112,3,1)="1",$S112,0)</f>
        <v>0</v>
      </c>
      <c r="Y112" s="38">
        <f>IF(MID($E112,3,1)="1",$S112,0)</f>
        <v>0</v>
      </c>
      <c r="Z112" s="24">
        <f>AN112*IF(MID(E112,5,1)="1",트라이포드!$P$11*IF(MID(E112,3,1)="1",7,4)*5,트라이포드!$O$11)</f>
        <v>0</v>
      </c>
      <c r="AA112" s="29">
        <f>SUM(AB112:AI112)</f>
        <v>146206.56180104613</v>
      </c>
      <c r="AB112" s="29">
        <f>S112*2</f>
        <v>36551.640450261533</v>
      </c>
      <c r="AC112" s="29">
        <f>T112*2</f>
        <v>36551.640450261533</v>
      </c>
      <c r="AD112" s="29">
        <f>U112*2</f>
        <v>36551.640450261533</v>
      </c>
      <c r="AE112" s="29">
        <f>V112*2</f>
        <v>36551.640450261533</v>
      </c>
      <c r="AF112" s="29">
        <f>W112*2</f>
        <v>0</v>
      </c>
      <c r="AG112" s="29">
        <f>X112*2</f>
        <v>0</v>
      </c>
      <c r="AH112" s="29">
        <f>Y112*2</f>
        <v>0</v>
      </c>
      <c r="AI112" s="24">
        <f>Z112*2</f>
        <v>0</v>
      </c>
      <c r="AJ112" s="25">
        <f>AR112*(1-입력란!$C$29/100)</f>
        <v>15.323314676640001</v>
      </c>
      <c r="AK11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2" s="25">
        <f>입력란!$C$37+입력란!$C$31+IF(입력란!$C$17=1,10,IF(입력란!$C$17=2,25,IF(입력란!$C$17=3,50,0)))</f>
        <v>295.58728189999999</v>
      </c>
      <c r="AM112" s="29">
        <f>SUM(AN112:AP112)</f>
        <v>73103.280900523067</v>
      </c>
      <c r="AN112" s="29">
        <f>(VLOOKUP(C112,$B$4:$AK$7,8,FALSE)+VLOOKUP(C112,$B$8:$AK$11,8,FALSE)*입력란!$C$23)*입력란!$C$38/100</f>
        <v>73103.280900523067</v>
      </c>
      <c r="AO112" s="25"/>
      <c r="AP112" s="29"/>
      <c r="AQ112" s="29"/>
      <c r="AR112" s="28">
        <v>16</v>
      </c>
    </row>
    <row r="113" spans="2:44" ht="13.5" customHeight="1" x14ac:dyDescent="0.3">
      <c r="B113" s="30">
        <v>98</v>
      </c>
      <c r="C113" s="35">
        <v>4</v>
      </c>
      <c r="D113" s="36" t="s">
        <v>118</v>
      </c>
      <c r="E113" s="37" t="s">
        <v>86</v>
      </c>
      <c r="F113" s="39"/>
      <c r="G113" s="39"/>
      <c r="H113" s="51">
        <f>I113/AJ113</f>
        <v>7556.9918373190585</v>
      </c>
      <c r="I113" s="52">
        <f>SUM(J113:Q113)*IF(입력란!C$15=1,1.04,IF(입력란!C$15=2,1.1,IF(입력란!C$15=3,1.2,1)))*IF(입력란!$C$17&lt;&gt;0,0.98,1)</f>
        <v>115798.16393203981</v>
      </c>
      <c r="J113" s="29">
        <f>S113*(1+IF($AK113+IF(입력란!$C$19=1,10,0)+IF(입력란!$C$9=1,10,0)+IF(MID($E113,5,1)="2",트라이포드!R$11,0)&gt;100,100,$AK113+IF(입력란!$C$19=1,10,0)+IF(입력란!$C$9=1,10,0)+IF(MID($E113,5,1)="2",트라이포드!R$11,0))/100*(($AL113+IF(MID($E113,3,1)="3",트라이포드!$N$11,트라이포드!$M$11))/100-1))</f>
        <v>26268.652481265173</v>
      </c>
      <c r="K113" s="29">
        <f>T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29843.170483591548</v>
      </c>
      <c r="L113" s="29">
        <f>U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29843.170483591548</v>
      </c>
      <c r="M113" s="29">
        <f>V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29843.170483591548</v>
      </c>
      <c r="N113" s="29">
        <f>W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0</v>
      </c>
      <c r="O113" s="29">
        <f>X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0</v>
      </c>
      <c r="P113" s="29">
        <f>Y113*(1+IF($AK113+IF(입력란!$C$19=1,10,IF(MID($E113,1,1)="2",10,0))+IF(입력란!$C$9=1,10,0)+IF(MID($E113,5,1)="2",트라이포드!$R$11,0)&gt;100,100,$AK113+IF(입력란!$C$19=1,10,IF(MID($E113,1,1)="2",10,0))+IF(입력란!$C$9=1,10,0)+IF(MID($E113,5,1)="2",트라이포드!$R$11,0))/100*(($AL113+IF(MID($E113,3,1)="3",트라이포드!$N$11,트라이포드!$M$11))/100-1))</f>
        <v>0</v>
      </c>
      <c r="Q113" s="26">
        <f>Z113*(1+IF($AK113+IF(입력란!$C$19=1,10,IF(MID($E113,1,1)="2",10,0))&gt;100,100,$AK113+IF(입력란!$C$19=1,10,IF(MID($E113,1,1)="2",10,0)))/100*($AL113/100-1))</f>
        <v>0</v>
      </c>
      <c r="R113" s="23">
        <f>SUM(S113:Z113)</f>
        <v>73103.280900523067</v>
      </c>
      <c r="S113" s="29">
        <f>AN113*IF(MID(E113,3,1)="1",트라이포드!$J$11,트라이포드!$I$11)*IF(MID(E113,3,1)="2",트라이포드!$L$11,트라이포드!$K$11)*IF(입력란!$C$9=1,IF(입력란!$C$14=0,1.05,IF(입력란!$C$14=1,1.05*1.05,IF(입력란!$C$14=2,1.05*1.12,IF(입력란!$C$14=3,1.05*1.25)))),1)/IF(MID(E113,3,1)="1",7,4)</f>
        <v>18275.820225130767</v>
      </c>
      <c r="T113" s="29">
        <f>S113</f>
        <v>18275.820225130767</v>
      </c>
      <c r="U113" s="29">
        <f>T113</f>
        <v>18275.820225130767</v>
      </c>
      <c r="V113" s="29">
        <f>U113</f>
        <v>18275.820225130767</v>
      </c>
      <c r="W113" s="38">
        <f>IF(MID($E113,3,1)="1",$S113,0)</f>
        <v>0</v>
      </c>
      <c r="X113" s="38">
        <f>IF(MID($E113,3,1)="1",$S113,0)</f>
        <v>0</v>
      </c>
      <c r="Y113" s="38">
        <f>IF(MID($E113,3,1)="1",$S113,0)</f>
        <v>0</v>
      </c>
      <c r="Z113" s="24">
        <f>AN113*IF(MID(E113,5,1)="1",트라이포드!$P$11*IF(MID(E113,3,1)="1",7,4)*5,트라이포드!$O$11)</f>
        <v>0</v>
      </c>
      <c r="AA113" s="29">
        <f>SUM(AB113:AI113)</f>
        <v>146206.56180104613</v>
      </c>
      <c r="AB113" s="29">
        <f>S113*2</f>
        <v>36551.640450261533</v>
      </c>
      <c r="AC113" s="29">
        <f>T113*2</f>
        <v>36551.640450261533</v>
      </c>
      <c r="AD113" s="29">
        <f>U113*2</f>
        <v>36551.640450261533</v>
      </c>
      <c r="AE113" s="29">
        <f>V113*2</f>
        <v>36551.640450261533</v>
      </c>
      <c r="AF113" s="29">
        <f>W113*2</f>
        <v>0</v>
      </c>
      <c r="AG113" s="29">
        <f>X113*2</f>
        <v>0</v>
      </c>
      <c r="AH113" s="29">
        <f>Y113*2</f>
        <v>0</v>
      </c>
      <c r="AI113" s="24">
        <f>Z113*2</f>
        <v>0</v>
      </c>
      <c r="AJ113" s="25">
        <f>AR113*(1-입력란!$C$29/100)</f>
        <v>15.323314676640001</v>
      </c>
      <c r="AK11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3" s="25">
        <f>입력란!$C$37+입력란!$C$31+IF(입력란!$C$17=1,10,IF(입력란!$C$17=2,25,IF(입력란!$C$17=3,50,0)))</f>
        <v>295.58728189999999</v>
      </c>
      <c r="AM113" s="29">
        <f>SUM(AN113:AP113)</f>
        <v>73103.280900523067</v>
      </c>
      <c r="AN113" s="29">
        <f>(VLOOKUP(C113,$B$4:$AK$7,8,FALSE)+VLOOKUP(C113,$B$8:$AK$11,8,FALSE)*입력란!$C$23)*입력란!$C$38/100</f>
        <v>73103.280900523067</v>
      </c>
      <c r="AO113" s="25"/>
      <c r="AP113" s="29"/>
      <c r="AQ113" s="29"/>
      <c r="AR113" s="28">
        <v>16</v>
      </c>
    </row>
    <row r="114" spans="2:44" ht="13.5" customHeight="1" x14ac:dyDescent="0.3">
      <c r="B114" s="30">
        <v>99</v>
      </c>
      <c r="C114" s="35">
        <v>7</v>
      </c>
      <c r="D114" s="36" t="s">
        <v>118</v>
      </c>
      <c r="E114" s="37" t="s">
        <v>75</v>
      </c>
      <c r="F114" s="39"/>
      <c r="G114" s="39"/>
      <c r="H114" s="51">
        <f>I114/AJ114</f>
        <v>6870.3045260163171</v>
      </c>
      <c r="I114" s="52">
        <f>SUM(J114:Q114)*IF(입력란!C$15=1,1.04,IF(입력란!C$15=2,1.1,IF(입력란!C$15=3,1.2,1)))*IF(입력란!$C$17&lt;&gt;0,0.98,1)</f>
        <v>105275.83817649206</v>
      </c>
      <c r="J114" s="29">
        <f>S114*(1+IF($AK114+IF(입력란!$C$19=1,10,0)+IF(입력란!$C$9=1,10,0)+IF(MID($E114,5,1)="2",트라이포드!R$11,0)&gt;100,100,$AK114+IF(입력란!$C$19=1,10,0)+IF(입력란!$C$9=1,10,0)+IF(MID($E114,5,1)="2",트라이포드!R$11,0))/100*(($AL114+IF(MID($E114,3,1)="3",트라이포드!$N$11,트라이포드!$M$11))/100-1))</f>
        <v>26318.959544123016</v>
      </c>
      <c r="K114" s="29">
        <f>T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26318.959544123016</v>
      </c>
      <c r="L114" s="29">
        <f>U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26318.959544123016</v>
      </c>
      <c r="M114" s="29">
        <f>V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26318.959544123016</v>
      </c>
      <c r="N114" s="29">
        <f>W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0</v>
      </c>
      <c r="O114" s="29">
        <f>X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0</v>
      </c>
      <c r="P114" s="29">
        <f>Y114*(1+IF($AK114+IF(입력란!$C$19=1,10,IF(MID($E114,1,1)="2",10,0))+IF(입력란!$C$9=1,10,0)+IF(MID($E114,5,1)="2",트라이포드!$R$11,0)&gt;100,100,$AK114+IF(입력란!$C$19=1,10,IF(MID($E114,1,1)="2",10,0))+IF(입력란!$C$9=1,10,0)+IF(MID($E114,5,1)="2",트라이포드!$R$11,0))/100*(($AL114+IF(MID($E114,3,1)="3",트라이포드!$N$11,트라이포드!$M$11))/100-1))</f>
        <v>0</v>
      </c>
      <c r="Q114" s="26">
        <f>Z114*(1+IF($AK114+IF(입력란!$C$19=1,10,IF(MID($E114,1,1)="2",10,0))&gt;100,100,$AK114+IF(입력란!$C$19=1,10,IF(MID($E114,1,1)="2",10,0)))/100*($AL114/100-1))</f>
        <v>0</v>
      </c>
      <c r="R114" s="23">
        <f>SUM(S114:Z114)</f>
        <v>73243.280900523067</v>
      </c>
      <c r="S114" s="29">
        <f>AN114*IF(MID(E114,3,1)="1",트라이포드!$J$11,트라이포드!$I$11)*IF(MID(E114,3,1)="2",트라이포드!$L$11,트라이포드!$K$11)*IF(입력란!$C$9=1,IF(입력란!$C$14=0,1.05,IF(입력란!$C$14=1,1.05*1.05,IF(입력란!$C$14=2,1.05*1.12,IF(입력란!$C$14=3,1.05*1.25)))),1)/IF(MID(E114,3,1)="1",7,4)</f>
        <v>18310.820225130767</v>
      </c>
      <c r="T114" s="29">
        <f>S114</f>
        <v>18310.820225130767</v>
      </c>
      <c r="U114" s="29">
        <f>T114</f>
        <v>18310.820225130767</v>
      </c>
      <c r="V114" s="29">
        <f>U114</f>
        <v>18310.820225130767</v>
      </c>
      <c r="W114" s="38">
        <f>IF(MID($E114,3,1)="1",$S114,0)</f>
        <v>0</v>
      </c>
      <c r="X114" s="38">
        <f>IF(MID($E114,3,1)="1",$S114,0)</f>
        <v>0</v>
      </c>
      <c r="Y114" s="38">
        <f>IF(MID($E114,3,1)="1",$S114,0)</f>
        <v>0</v>
      </c>
      <c r="Z114" s="24">
        <f>AN114*IF(MID(E114,5,1)="1",트라이포드!$P$11*IF(MID(E114,3,1)="1",7,4)*5,트라이포드!$O$11)</f>
        <v>0</v>
      </c>
      <c r="AA114" s="29">
        <f>SUM(AB114:AI114)</f>
        <v>146486.56180104613</v>
      </c>
      <c r="AB114" s="29">
        <f>S114*2</f>
        <v>36621.640450261533</v>
      </c>
      <c r="AC114" s="29">
        <f>T114*2</f>
        <v>36621.640450261533</v>
      </c>
      <c r="AD114" s="29">
        <f>U114*2</f>
        <v>36621.640450261533</v>
      </c>
      <c r="AE114" s="29">
        <f>V114*2</f>
        <v>36621.640450261533</v>
      </c>
      <c r="AF114" s="29">
        <f>W114*2</f>
        <v>0</v>
      </c>
      <c r="AG114" s="29">
        <f>X114*2</f>
        <v>0</v>
      </c>
      <c r="AH114" s="29">
        <f>Y114*2</f>
        <v>0</v>
      </c>
      <c r="AI114" s="24">
        <f>Z114*2</f>
        <v>0</v>
      </c>
      <c r="AJ114" s="25">
        <f>AR114*(1-입력란!$C$29/100)</f>
        <v>15.323314676640001</v>
      </c>
      <c r="AK11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4" s="25">
        <f>입력란!$C$37+입력란!$C$31+IF(입력란!$C$17=1,10,IF(입력란!$C$17=2,25,IF(입력란!$C$17=3,50,0)))</f>
        <v>295.58728189999999</v>
      </c>
      <c r="AM114" s="29">
        <f>SUM(AN114:AP114)</f>
        <v>73243.280900523067</v>
      </c>
      <c r="AN114" s="29">
        <f>(VLOOKUP(C114,$B$4:$AK$7,8,FALSE)+VLOOKUP(C114,$B$8:$AK$11,8,FALSE)*입력란!$C$23)*입력란!$C$38/100</f>
        <v>73243.280900523067</v>
      </c>
      <c r="AO114" s="25"/>
      <c r="AP114" s="29"/>
      <c r="AQ114" s="29"/>
      <c r="AR114" s="28">
        <v>16</v>
      </c>
    </row>
    <row r="115" spans="2:44" ht="13.5" customHeight="1" x14ac:dyDescent="0.3">
      <c r="B115" s="30">
        <v>100</v>
      </c>
      <c r="C115" s="35">
        <v>7</v>
      </c>
      <c r="D115" s="36" t="s">
        <v>118</v>
      </c>
      <c r="E115" s="37" t="s">
        <v>77</v>
      </c>
      <c r="F115" s="39"/>
      <c r="G115" s="39"/>
      <c r="H115" s="51">
        <f>I115/AJ115</f>
        <v>10992.48724162611</v>
      </c>
      <c r="I115" s="52">
        <f>SUM(J115:Q115)*IF(입력란!C$15=1,1.04,IF(입력란!C$15=2,1.1,IF(입력란!C$15=3,1.2,1)))*IF(입력란!$C$17&lt;&gt;0,0.98,1)</f>
        <v>168441.34108238731</v>
      </c>
      <c r="J115" s="29">
        <f>S115*(1+IF($AK115+IF(입력란!$C$19=1,10,0)+IF(입력란!$C$9=1,10,0)+IF(MID($E115,5,1)="2",트라이포드!R$11,0)&gt;100,100,$AK115+IF(입력란!$C$19=1,10,0)+IF(입력란!$C$9=1,10,0)+IF(MID($E115,5,1)="2",트라이포드!R$11,0))/100*(($AL115+IF(MID($E115,3,1)="3",트라이포드!$N$11,트라이포드!$M$11))/100-1))</f>
        <v>24063.048726055331</v>
      </c>
      <c r="K115" s="29">
        <f>T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L115" s="29">
        <f>U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M115" s="29">
        <f>V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N115" s="29">
        <f>W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O115" s="29">
        <f>X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P115" s="29">
        <f>Y115*(1+IF($AK115+IF(입력란!$C$19=1,10,IF(MID($E115,1,1)="2",10,0))+IF(입력란!$C$9=1,10,0)+IF(MID($E115,5,1)="2",트라이포드!$R$11,0)&gt;100,100,$AK115+IF(입력란!$C$19=1,10,IF(MID($E115,1,1)="2",10,0))+IF(입력란!$C$9=1,10,0)+IF(MID($E115,5,1)="2",트라이포드!$R$11,0))/100*(($AL115+IF(MID($E115,3,1)="3",트라이포드!$N$11,트라이포드!$M$11))/100-1))</f>
        <v>24063.048726055331</v>
      </c>
      <c r="Q115" s="26">
        <f>Z115*(1+IF($AK115+IF(입력란!$C$19=1,10,IF(MID($E115,1,1)="2",10,0))&gt;100,100,$AK115+IF(입력란!$C$19=1,10,IF(MID($E115,1,1)="2",10,0)))/100*($AL115/100-1))</f>
        <v>0</v>
      </c>
      <c r="R115" s="23">
        <f>SUM(S115:Z115)</f>
        <v>117189.24944083689</v>
      </c>
      <c r="S115" s="29">
        <f>AN115*IF(MID(E115,3,1)="1",트라이포드!$J$11,트라이포드!$I$11)*IF(MID(E115,3,1)="2",트라이포드!$L$11,트라이포드!$K$11)*IF(입력란!$C$9=1,IF(입력란!$C$14=0,1.05,IF(입력란!$C$14=1,1.05*1.05,IF(입력란!$C$14=2,1.05*1.12,IF(입력란!$C$14=3,1.05*1.25)))),1)/IF(MID(E115,3,1)="1",7,4)</f>
        <v>16741.321348690988</v>
      </c>
      <c r="T115" s="29">
        <f>S115</f>
        <v>16741.321348690988</v>
      </c>
      <c r="U115" s="29">
        <f>T115</f>
        <v>16741.321348690988</v>
      </c>
      <c r="V115" s="29">
        <f>U115</f>
        <v>16741.321348690988</v>
      </c>
      <c r="W115" s="38">
        <f>IF(MID($E115,3,1)="1",$S115,0)</f>
        <v>16741.321348690988</v>
      </c>
      <c r="X115" s="38">
        <f>IF(MID($E115,3,1)="1",$S115,0)</f>
        <v>16741.321348690988</v>
      </c>
      <c r="Y115" s="38">
        <f>IF(MID($E115,3,1)="1",$S115,0)</f>
        <v>16741.321348690988</v>
      </c>
      <c r="Z115" s="24">
        <f>AN115*IF(MID(E115,5,1)="1",트라이포드!$P$11*IF(MID(E115,3,1)="1",7,4)*5,트라이포드!$O$11)</f>
        <v>0</v>
      </c>
      <c r="AA115" s="29">
        <f>SUM(AB115:AI115)</f>
        <v>234378.49888167379</v>
      </c>
      <c r="AB115" s="29">
        <f>S115*2</f>
        <v>33482.642697381976</v>
      </c>
      <c r="AC115" s="29">
        <f>T115*2</f>
        <v>33482.642697381976</v>
      </c>
      <c r="AD115" s="29">
        <f>U115*2</f>
        <v>33482.642697381976</v>
      </c>
      <c r="AE115" s="29">
        <f>V115*2</f>
        <v>33482.642697381976</v>
      </c>
      <c r="AF115" s="29">
        <f>W115*2</f>
        <v>33482.642697381976</v>
      </c>
      <c r="AG115" s="29">
        <f>X115*2</f>
        <v>33482.642697381976</v>
      </c>
      <c r="AH115" s="29">
        <f>Y115*2</f>
        <v>33482.642697381976</v>
      </c>
      <c r="AI115" s="24">
        <f>Z115*2</f>
        <v>0</v>
      </c>
      <c r="AJ115" s="25">
        <f>AR115*(1-입력란!$C$29/100)</f>
        <v>15.323314676640001</v>
      </c>
      <c r="AK11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5" s="25">
        <f>입력란!$C$37+입력란!$C$31+IF(입력란!$C$17=1,10,IF(입력란!$C$17=2,25,IF(입력란!$C$17=3,50,0)))</f>
        <v>295.58728189999999</v>
      </c>
      <c r="AM115" s="29">
        <f>SUM(AN115:AP115)</f>
        <v>73243.280900523067</v>
      </c>
      <c r="AN115" s="29">
        <f>(VLOOKUP(C115,$B$4:$AK$7,8,FALSE)+VLOOKUP(C115,$B$8:$AK$11,8,FALSE)*입력란!$C$23)*입력란!$C$38/100</f>
        <v>73243.280900523067</v>
      </c>
      <c r="AO115" s="25"/>
      <c r="AP115" s="29"/>
      <c r="AQ115" s="29"/>
      <c r="AR115" s="28">
        <v>16</v>
      </c>
    </row>
    <row r="116" spans="2:44" ht="13.5" customHeight="1" x14ac:dyDescent="0.3">
      <c r="B116" s="30">
        <v>101</v>
      </c>
      <c r="C116" s="35">
        <v>7</v>
      </c>
      <c r="D116" s="36" t="s">
        <v>118</v>
      </c>
      <c r="E116" s="37" t="s">
        <v>78</v>
      </c>
      <c r="F116" s="39" t="s">
        <v>305</v>
      </c>
      <c r="G116" s="39"/>
      <c r="H116" s="51">
        <f>I116/AJ116</f>
        <v>13740.609052032634</v>
      </c>
      <c r="I116" s="52">
        <f>SUM(J116:Q116)*IF(입력란!C$15=1,1.04,IF(입력란!C$15=2,1.1,IF(입력란!C$15=3,1.2,1)))*IF(입력란!$C$17&lt;&gt;0,0.98,1)</f>
        <v>210551.67635298413</v>
      </c>
      <c r="J116" s="29">
        <f>S116*(1+IF($AK116+IF(입력란!$C$19=1,10,0)+IF(입력란!$C$9=1,10,0)+IF(MID($E116,5,1)="2",트라이포드!R$11,0)&gt;100,100,$AK116+IF(입력란!$C$19=1,10,0)+IF(입력란!$C$9=1,10,0)+IF(MID($E116,5,1)="2",트라이포드!R$11,0))/100*(($AL116+IF(MID($E116,3,1)="3",트라이포드!$N$11,트라이포드!$M$11))/100-1))</f>
        <v>52637.919088246032</v>
      </c>
      <c r="K116" s="29">
        <f>T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52637.919088246032</v>
      </c>
      <c r="L116" s="29">
        <f>U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52637.919088246032</v>
      </c>
      <c r="M116" s="29">
        <f>V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52637.919088246032</v>
      </c>
      <c r="N116" s="29">
        <f>W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0</v>
      </c>
      <c r="O116" s="29">
        <f>X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0</v>
      </c>
      <c r="P116" s="29">
        <f>Y116*(1+IF($AK116+IF(입력란!$C$19=1,10,IF(MID($E116,1,1)="2",10,0))+IF(입력란!$C$9=1,10,0)+IF(MID($E116,5,1)="2",트라이포드!$R$11,0)&gt;100,100,$AK116+IF(입력란!$C$19=1,10,IF(MID($E116,1,1)="2",10,0))+IF(입력란!$C$9=1,10,0)+IF(MID($E116,5,1)="2",트라이포드!$R$11,0))/100*(($AL116+IF(MID($E116,3,1)="3",트라이포드!$N$11,트라이포드!$M$11))/100-1))</f>
        <v>0</v>
      </c>
      <c r="Q116" s="26">
        <f>Z116*(1+IF($AK116+IF(입력란!$C$19=1,10,IF(MID($E116,1,1)="2",10,0))&gt;100,100,$AK116+IF(입력란!$C$19=1,10,IF(MID($E116,1,1)="2",10,0)))/100*($AL116/100-1))</f>
        <v>0</v>
      </c>
      <c r="R116" s="23">
        <f>SUM(S116:Z116)</f>
        <v>146486.56180104613</v>
      </c>
      <c r="S116" s="29">
        <f>AN116*IF(MID(E116,3,1)="1",트라이포드!$J$11,트라이포드!$I$11)*IF(MID(E116,3,1)="2",트라이포드!$L$11,트라이포드!$K$11)*IF(입력란!$C$9=1,IF(입력란!$C$14=0,1.05,IF(입력란!$C$14=1,1.05*1.05,IF(입력란!$C$14=2,1.05*1.12,IF(입력란!$C$14=3,1.05*1.25)))),1)/IF(MID(E116,3,1)="1",7,4)</f>
        <v>36621.640450261533</v>
      </c>
      <c r="T116" s="29">
        <f>S116</f>
        <v>36621.640450261533</v>
      </c>
      <c r="U116" s="29">
        <f>T116</f>
        <v>36621.640450261533</v>
      </c>
      <c r="V116" s="29">
        <f>U116</f>
        <v>36621.640450261533</v>
      </c>
      <c r="W116" s="38">
        <f>IF(MID($E116,3,1)="1",$S116,0)</f>
        <v>0</v>
      </c>
      <c r="X116" s="38">
        <f>IF(MID($E116,3,1)="1",$S116,0)</f>
        <v>0</v>
      </c>
      <c r="Y116" s="38">
        <f>IF(MID($E116,3,1)="1",$S116,0)</f>
        <v>0</v>
      </c>
      <c r="Z116" s="24">
        <f>AN116*IF(MID(E116,5,1)="1",트라이포드!$P$11*IF(MID(E116,3,1)="1",7,4)*5,트라이포드!$O$11)</f>
        <v>0</v>
      </c>
      <c r="AA116" s="29">
        <f>SUM(AB116:AI116)</f>
        <v>292973.12360209227</v>
      </c>
      <c r="AB116" s="29">
        <f>S116*2</f>
        <v>73243.280900523067</v>
      </c>
      <c r="AC116" s="29">
        <f>T116*2</f>
        <v>73243.280900523067</v>
      </c>
      <c r="AD116" s="29">
        <f>U116*2</f>
        <v>73243.280900523067</v>
      </c>
      <c r="AE116" s="29">
        <f>V116*2</f>
        <v>73243.280900523067</v>
      </c>
      <c r="AF116" s="29">
        <f>W116*2</f>
        <v>0</v>
      </c>
      <c r="AG116" s="29">
        <f>X116*2</f>
        <v>0</v>
      </c>
      <c r="AH116" s="29">
        <f>Y116*2</f>
        <v>0</v>
      </c>
      <c r="AI116" s="24">
        <f>Z116*2</f>
        <v>0</v>
      </c>
      <c r="AJ116" s="25">
        <f>AR116*(1-입력란!$C$29/100)</f>
        <v>15.323314676640001</v>
      </c>
      <c r="AK11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6" s="25">
        <f>입력란!$C$37+입력란!$C$31+IF(입력란!$C$17=1,10,IF(입력란!$C$17=2,25,IF(입력란!$C$17=3,50,0)))</f>
        <v>295.58728189999999</v>
      </c>
      <c r="AM116" s="29">
        <f>SUM(AN116:AP116)</f>
        <v>73243.280900523067</v>
      </c>
      <c r="AN116" s="29">
        <f>(VLOOKUP(C116,$B$4:$AK$7,8,FALSE)+VLOOKUP(C116,$B$8:$AK$11,8,FALSE)*입력란!$C$23)*입력란!$C$38/100</f>
        <v>73243.280900523067</v>
      </c>
      <c r="AO116" s="25"/>
      <c r="AP116" s="29"/>
      <c r="AQ116" s="29"/>
      <c r="AR116" s="28">
        <v>16</v>
      </c>
    </row>
    <row r="117" spans="2:44" ht="13.5" customHeight="1" x14ac:dyDescent="0.3">
      <c r="B117" s="30">
        <v>102</v>
      </c>
      <c r="C117" s="35">
        <v>7</v>
      </c>
      <c r="D117" s="36" t="s">
        <v>118</v>
      </c>
      <c r="E117" s="37" t="s">
        <v>303</v>
      </c>
      <c r="F117" s="39"/>
      <c r="G117" s="39"/>
      <c r="H117" s="51">
        <f>I117/AJ117</f>
        <v>7939.1090411777486</v>
      </c>
      <c r="I117" s="52">
        <f>SUM(J117:Q117)*IF(입력란!C$15=1,1.04,IF(입력란!C$15=2,1.1,IF(입력란!C$15=3,1.2,1)))*IF(입력란!$C$17&lt;&gt;0,0.98,1)</f>
        <v>121653.46609012432</v>
      </c>
      <c r="J117" s="29">
        <f>S117*(1+IF($AK117+IF(입력란!$C$19=1,10,0)+IF(입력란!$C$9=1,10,0)+IF(MID($E117,5,1)="2",트라이포드!R$11,0)&gt;100,100,$AK117+IF(입력란!$C$19=1,10,0)+IF(입력란!$C$9=1,10,0)+IF(MID($E117,5,1)="2",트라이포드!R$11,0))/100*(($AL117+IF(MID($E117,3,1)="3",트라이포드!$N$11,트라이포드!$M$11))/100-1))</f>
        <v>30413.36652253108</v>
      </c>
      <c r="K117" s="29">
        <f>T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30413.36652253108</v>
      </c>
      <c r="L117" s="29">
        <f>U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30413.36652253108</v>
      </c>
      <c r="M117" s="29">
        <f>V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30413.36652253108</v>
      </c>
      <c r="N117" s="29">
        <f>W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0</v>
      </c>
      <c r="O117" s="29">
        <f>X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0</v>
      </c>
      <c r="P117" s="29">
        <f>Y117*(1+IF($AK117+IF(입력란!$C$19=1,10,IF(MID($E117,1,1)="2",10,0))+IF(입력란!$C$9=1,10,0)+IF(MID($E117,5,1)="2",트라이포드!$R$11,0)&gt;100,100,$AK117+IF(입력란!$C$19=1,10,IF(MID($E117,1,1)="2",10,0))+IF(입력란!$C$9=1,10,0)+IF(MID($E117,5,1)="2",트라이포드!$R$11,0))/100*(($AL117+IF(MID($E117,3,1)="3",트라이포드!$N$11,트라이포드!$M$11))/100-1))</f>
        <v>0</v>
      </c>
      <c r="Q117" s="26">
        <f>Z117*(1+IF($AK117+IF(입력란!$C$19=1,10,IF(MID($E117,1,1)="2",10,0))&gt;100,100,$AK117+IF(입력란!$C$19=1,10,IF(MID($E117,1,1)="2",10,0)))/100*($AL117/100-1))</f>
        <v>0</v>
      </c>
      <c r="R117" s="23">
        <f>SUM(S117:Z117)</f>
        <v>73243.280900523067</v>
      </c>
      <c r="S117" s="29">
        <f>AN117*IF(MID(E117,3,1)="1",트라이포드!$J$11,트라이포드!$I$11)*IF(MID(E117,3,1)="2",트라이포드!$L$11,트라이포드!$K$11)*IF(입력란!$C$9=1,IF(입력란!$C$14=0,1.05,IF(입력란!$C$14=1,1.05*1.05,IF(입력란!$C$14=2,1.05*1.12,IF(입력란!$C$14=3,1.05*1.25)))),1)/IF(MID(E117,3,1)="1",7,4)</f>
        <v>18310.820225130767</v>
      </c>
      <c r="T117" s="29">
        <f>S117</f>
        <v>18310.820225130767</v>
      </c>
      <c r="U117" s="29">
        <f>T117</f>
        <v>18310.820225130767</v>
      </c>
      <c r="V117" s="29">
        <f>U117</f>
        <v>18310.820225130767</v>
      </c>
      <c r="W117" s="38">
        <f>IF(MID($E117,3,1)="1",$S117,0)</f>
        <v>0</v>
      </c>
      <c r="X117" s="38">
        <f>IF(MID($E117,3,1)="1",$S117,0)</f>
        <v>0</v>
      </c>
      <c r="Y117" s="38">
        <f>IF(MID($E117,3,1)="1",$S117,0)</f>
        <v>0</v>
      </c>
      <c r="Z117" s="24">
        <f>AN117*IF(MID(E117,5,1)="1",트라이포드!$P$11*IF(MID(E117,3,1)="1",7,4)*5,트라이포드!$O$11)</f>
        <v>0</v>
      </c>
      <c r="AA117" s="29">
        <f>SUM(AB117:AI117)</f>
        <v>146486.56180104613</v>
      </c>
      <c r="AB117" s="29">
        <f>S117*2</f>
        <v>36621.640450261533</v>
      </c>
      <c r="AC117" s="29">
        <f>T117*2</f>
        <v>36621.640450261533</v>
      </c>
      <c r="AD117" s="29">
        <f>U117*2</f>
        <v>36621.640450261533</v>
      </c>
      <c r="AE117" s="29">
        <f>V117*2</f>
        <v>36621.640450261533</v>
      </c>
      <c r="AF117" s="29">
        <f>W117*2</f>
        <v>0</v>
      </c>
      <c r="AG117" s="29">
        <f>X117*2</f>
        <v>0</v>
      </c>
      <c r="AH117" s="29">
        <f>Y117*2</f>
        <v>0</v>
      </c>
      <c r="AI117" s="24">
        <f>Z117*2</f>
        <v>0</v>
      </c>
      <c r="AJ117" s="25">
        <f>AR117*(1-입력란!$C$29/100)</f>
        <v>15.323314676640001</v>
      </c>
      <c r="AK11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7" s="25">
        <f>입력란!$C$37+입력란!$C$31+IF(입력란!$C$17=1,10,IF(입력란!$C$17=2,25,IF(입력란!$C$17=3,50,0)))</f>
        <v>295.58728189999999</v>
      </c>
      <c r="AM117" s="29">
        <f>SUM(AN117:AP117)</f>
        <v>73243.280900523067</v>
      </c>
      <c r="AN117" s="29">
        <f>(VLOOKUP(C117,$B$4:$AK$7,8,FALSE)+VLOOKUP(C117,$B$8:$AK$11,8,FALSE)*입력란!$C$23)*입력란!$C$38/100</f>
        <v>73243.280900523067</v>
      </c>
      <c r="AO117" s="25"/>
      <c r="AP117" s="29"/>
      <c r="AQ117" s="29"/>
      <c r="AR117" s="28">
        <v>16</v>
      </c>
    </row>
    <row r="118" spans="2:44" ht="13.5" customHeight="1" x14ac:dyDescent="0.3">
      <c r="B118" s="30">
        <v>103</v>
      </c>
      <c r="C118" s="35">
        <v>7</v>
      </c>
      <c r="D118" s="36" t="s">
        <v>118</v>
      </c>
      <c r="E118" s="37" t="s">
        <v>119</v>
      </c>
      <c r="F118" s="39"/>
      <c r="G118" s="39"/>
      <c r="H118" s="51">
        <f>I118/AJ118</f>
        <v>7571.4642227467975</v>
      </c>
      <c r="I118" s="52">
        <f>SUM(J118:Q118)*IF(입력란!C$15=1,1.04,IF(입력란!C$15=2,1.1,IF(입력란!C$15=3,1.2,1)))*IF(입력란!$C$17&lt;&gt;0,0.98,1)</f>
        <v>116019.92884807067</v>
      </c>
      <c r="J118" s="29">
        <f>S118*(1+IF($AK118+IF(입력란!$C$19=1,10,0)+IF(입력란!$C$9=1,10,0)+IF(MID($E118,5,1)="2",트라이포드!R$11,0)&gt;100,100,$AK118+IF(입력란!$C$19=1,10,0)+IF(입력란!$C$9=1,10,0)+IF(MID($E118,5,1)="2",트라이포드!R$11,0))/100*(($AL118+IF(MID($E118,3,1)="3",트라이포드!$N$11,트라이포드!$M$11))/100-1))</f>
        <v>26318.959544123016</v>
      </c>
      <c r="K118" s="29">
        <f>T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29900.323101315887</v>
      </c>
      <c r="L118" s="29">
        <f>U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29900.323101315887</v>
      </c>
      <c r="M118" s="29">
        <f>V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29900.323101315887</v>
      </c>
      <c r="N118" s="29">
        <f>W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0</v>
      </c>
      <c r="O118" s="29">
        <f>X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0</v>
      </c>
      <c r="P118" s="29">
        <f>Y118*(1+IF($AK118+IF(입력란!$C$19=1,10,IF(MID($E118,1,1)="2",10,0))+IF(입력란!$C$9=1,10,0)+IF(MID($E118,5,1)="2",트라이포드!$R$11,0)&gt;100,100,$AK118+IF(입력란!$C$19=1,10,IF(MID($E118,1,1)="2",10,0))+IF(입력란!$C$9=1,10,0)+IF(MID($E118,5,1)="2",트라이포드!$R$11,0))/100*(($AL118+IF(MID($E118,3,1)="3",트라이포드!$N$11,트라이포드!$M$11))/100-1))</f>
        <v>0</v>
      </c>
      <c r="Q118" s="26">
        <f>Z118*(1+IF($AK118+IF(입력란!$C$19=1,10,IF(MID($E118,1,1)="2",10,0))&gt;100,100,$AK118+IF(입력란!$C$19=1,10,IF(MID($E118,1,1)="2",10,0)))/100*($AL118/100-1))</f>
        <v>0</v>
      </c>
      <c r="R118" s="23">
        <f>SUM(S118:Z118)</f>
        <v>73243.280900523067</v>
      </c>
      <c r="S118" s="29">
        <f>AN118*IF(MID(E118,3,1)="1",트라이포드!$J$11,트라이포드!$I$11)*IF(MID(E118,3,1)="2",트라이포드!$L$11,트라이포드!$K$11)*IF(입력란!$C$9=1,IF(입력란!$C$14=0,1.05,IF(입력란!$C$14=1,1.05*1.05,IF(입력란!$C$14=2,1.05*1.12,IF(입력란!$C$14=3,1.05*1.25)))),1)/IF(MID(E118,3,1)="1",7,4)</f>
        <v>18310.820225130767</v>
      </c>
      <c r="T118" s="29">
        <f>S118</f>
        <v>18310.820225130767</v>
      </c>
      <c r="U118" s="29">
        <f>T118</f>
        <v>18310.820225130767</v>
      </c>
      <c r="V118" s="29">
        <f>U118</f>
        <v>18310.820225130767</v>
      </c>
      <c r="W118" s="38">
        <f>IF(MID($E118,3,1)="1",$S118,0)</f>
        <v>0</v>
      </c>
      <c r="X118" s="38">
        <f>IF(MID($E118,3,1)="1",$S118,0)</f>
        <v>0</v>
      </c>
      <c r="Y118" s="38">
        <f>IF(MID($E118,3,1)="1",$S118,0)</f>
        <v>0</v>
      </c>
      <c r="Z118" s="24">
        <f>AN118*IF(MID(E118,5,1)="1",트라이포드!$P$11*IF(MID(E118,3,1)="1",7,4)*5,트라이포드!$O$11)</f>
        <v>0</v>
      </c>
      <c r="AA118" s="29">
        <f>SUM(AB118:AI118)</f>
        <v>146486.56180104613</v>
      </c>
      <c r="AB118" s="29">
        <f>S118*2</f>
        <v>36621.640450261533</v>
      </c>
      <c r="AC118" s="29">
        <f>T118*2</f>
        <v>36621.640450261533</v>
      </c>
      <c r="AD118" s="29">
        <f>U118*2</f>
        <v>36621.640450261533</v>
      </c>
      <c r="AE118" s="29">
        <f>V118*2</f>
        <v>36621.640450261533</v>
      </c>
      <c r="AF118" s="29">
        <f>W118*2</f>
        <v>0</v>
      </c>
      <c r="AG118" s="29">
        <f>X118*2</f>
        <v>0</v>
      </c>
      <c r="AH118" s="29">
        <f>Y118*2</f>
        <v>0</v>
      </c>
      <c r="AI118" s="24">
        <f>Z118*2</f>
        <v>0</v>
      </c>
      <c r="AJ118" s="25">
        <f>AR118*(1-입력란!$C$29/100)</f>
        <v>15.323314676640001</v>
      </c>
      <c r="AK11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8" s="25">
        <f>입력란!$C$37+입력란!$C$31+IF(입력란!$C$17=1,10,IF(입력란!$C$17=2,25,IF(입력란!$C$17=3,50,0)))</f>
        <v>295.58728189999999</v>
      </c>
      <c r="AM118" s="29">
        <f>SUM(AN118:AP118)</f>
        <v>73243.280900523067</v>
      </c>
      <c r="AN118" s="29">
        <f>(VLOOKUP(C118,$B$4:$AK$7,8,FALSE)+VLOOKUP(C118,$B$8:$AK$11,8,FALSE)*입력란!$C$23)*입력란!$C$38/100</f>
        <v>73243.280900523067</v>
      </c>
      <c r="AO118" s="25"/>
      <c r="AP118" s="29"/>
      <c r="AQ118" s="29"/>
      <c r="AR118" s="28">
        <v>16</v>
      </c>
    </row>
    <row r="119" spans="2:44" ht="13.5" customHeight="1" x14ac:dyDescent="0.3">
      <c r="B119" s="30">
        <v>104</v>
      </c>
      <c r="C119" s="35">
        <v>7</v>
      </c>
      <c r="D119" s="36" t="s">
        <v>118</v>
      </c>
      <c r="E119" s="37" t="s">
        <v>120</v>
      </c>
      <c r="F119" s="39"/>
      <c r="G119" s="39"/>
      <c r="H119" s="51">
        <f>I119/AJ119</f>
        <v>12274.607829933273</v>
      </c>
      <c r="I119" s="52">
        <f>SUM(J119:Q119)*IF(입력란!C$15=1,1.04,IF(입력란!C$15=2,1.1,IF(입력란!C$15=3,1.2,1)))*IF(입력란!$C$17&lt;&gt;0,0.98,1)</f>
        <v>188087.67831041678</v>
      </c>
      <c r="J119" s="29">
        <f>S119*(1+IF($AK119+IF(입력란!$C$19=1,10,0)+IF(입력란!$C$9=1,10,0)+IF(MID($E119,5,1)="2",트라이포드!R$11,0)&gt;100,100,$AK119+IF(입력란!$C$19=1,10,0)+IF(입력란!$C$9=1,10,0)+IF(MID($E119,5,1)="2",트라이포드!R$11,0))/100*(($AL119+IF(MID($E119,3,1)="3",트라이포드!$N$11,트라이포드!$M$11))/100-1))</f>
        <v>24063.048726055331</v>
      </c>
      <c r="K119" s="29">
        <f>T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L119" s="29">
        <f>U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M119" s="29">
        <f>V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N119" s="29">
        <f>W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O119" s="29">
        <f>X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P119" s="29">
        <f>Y119*(1+IF($AK119+IF(입력란!$C$19=1,10,IF(MID($E119,1,1)="2",10,0))+IF(입력란!$C$9=1,10,0)+IF(MID($E119,5,1)="2",트라이포드!$R$11,0)&gt;100,100,$AK119+IF(입력란!$C$19=1,10,IF(MID($E119,1,1)="2",10,0))+IF(입력란!$C$9=1,10,0)+IF(MID($E119,5,1)="2",트라이포드!$R$11,0))/100*(($AL119+IF(MID($E119,3,1)="3",트라이포드!$N$11,트라이포드!$M$11))/100-1))</f>
        <v>27337.438264060245</v>
      </c>
      <c r="Q119" s="26">
        <f>Z119*(1+IF($AK119+IF(입력란!$C$19=1,10,IF(MID($E119,1,1)="2",10,0))&gt;100,100,$AK119+IF(입력란!$C$19=1,10,IF(MID($E119,1,1)="2",10,0)))/100*($AL119/100-1))</f>
        <v>0</v>
      </c>
      <c r="R119" s="23">
        <f>SUM(S119:Z119)</f>
        <v>117189.24944083689</v>
      </c>
      <c r="S119" s="29">
        <f>AN119*IF(MID(E119,3,1)="1",트라이포드!$J$11,트라이포드!$I$11)*IF(MID(E119,3,1)="2",트라이포드!$L$11,트라이포드!$K$11)*IF(입력란!$C$9=1,IF(입력란!$C$14=0,1.05,IF(입력란!$C$14=1,1.05*1.05,IF(입력란!$C$14=2,1.05*1.12,IF(입력란!$C$14=3,1.05*1.25)))),1)/IF(MID(E119,3,1)="1",7,4)</f>
        <v>16741.321348690988</v>
      </c>
      <c r="T119" s="29">
        <f>S119</f>
        <v>16741.321348690988</v>
      </c>
      <c r="U119" s="29">
        <f>T119</f>
        <v>16741.321348690988</v>
      </c>
      <c r="V119" s="29">
        <f>U119</f>
        <v>16741.321348690988</v>
      </c>
      <c r="W119" s="38">
        <f>IF(MID($E119,3,1)="1",$S119,0)</f>
        <v>16741.321348690988</v>
      </c>
      <c r="X119" s="38">
        <f>IF(MID($E119,3,1)="1",$S119,0)</f>
        <v>16741.321348690988</v>
      </c>
      <c r="Y119" s="38">
        <f>IF(MID($E119,3,1)="1",$S119,0)</f>
        <v>16741.321348690988</v>
      </c>
      <c r="Z119" s="24">
        <f>AN119*IF(MID(E119,5,1)="1",트라이포드!$P$11*IF(MID(E119,3,1)="1",7,4)*5,트라이포드!$O$11)</f>
        <v>0</v>
      </c>
      <c r="AA119" s="29">
        <f>SUM(AB119:AI119)</f>
        <v>234378.49888167379</v>
      </c>
      <c r="AB119" s="29">
        <f>S119*2</f>
        <v>33482.642697381976</v>
      </c>
      <c r="AC119" s="29">
        <f>T119*2</f>
        <v>33482.642697381976</v>
      </c>
      <c r="AD119" s="29">
        <f>U119*2</f>
        <v>33482.642697381976</v>
      </c>
      <c r="AE119" s="29">
        <f>V119*2</f>
        <v>33482.642697381976</v>
      </c>
      <c r="AF119" s="29">
        <f>W119*2</f>
        <v>33482.642697381976</v>
      </c>
      <c r="AG119" s="29">
        <f>X119*2</f>
        <v>33482.642697381976</v>
      </c>
      <c r="AH119" s="29">
        <f>Y119*2</f>
        <v>33482.642697381976</v>
      </c>
      <c r="AI119" s="24">
        <f>Z119*2</f>
        <v>0</v>
      </c>
      <c r="AJ119" s="25">
        <f>AR119*(1-입력란!$C$29/100)</f>
        <v>15.323314676640001</v>
      </c>
      <c r="AK11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19" s="25">
        <f>입력란!$C$37+입력란!$C$31+IF(입력란!$C$17=1,10,IF(입력란!$C$17=2,25,IF(입력란!$C$17=3,50,0)))</f>
        <v>295.58728189999999</v>
      </c>
      <c r="AM119" s="29">
        <f>SUM(AN119:AP119)</f>
        <v>73243.280900523067</v>
      </c>
      <c r="AN119" s="29">
        <f>(VLOOKUP(C119,$B$4:$AK$7,8,FALSE)+VLOOKUP(C119,$B$8:$AK$11,8,FALSE)*입력란!$C$23)*입력란!$C$38/100</f>
        <v>73243.280900523067</v>
      </c>
      <c r="AO119" s="25"/>
      <c r="AP119" s="29"/>
      <c r="AQ119" s="29"/>
      <c r="AR119" s="28">
        <v>16</v>
      </c>
    </row>
    <row r="120" spans="2:44" ht="13.5" customHeight="1" x14ac:dyDescent="0.3">
      <c r="B120" s="30">
        <v>105</v>
      </c>
      <c r="C120" s="35">
        <v>7</v>
      </c>
      <c r="D120" s="36" t="s">
        <v>118</v>
      </c>
      <c r="E120" s="37" t="s">
        <v>115</v>
      </c>
      <c r="F120" s="39" t="s">
        <v>305</v>
      </c>
      <c r="G120" s="39"/>
      <c r="H120" s="51">
        <f>I120/AJ120</f>
        <v>15142.928445493595</v>
      </c>
      <c r="I120" s="52">
        <f>SUM(J120:Q120)*IF(입력란!C$15=1,1.04,IF(입력란!C$15=2,1.1,IF(입력란!C$15=3,1.2,1)))*IF(입력란!$C$17&lt;&gt;0,0.98,1)</f>
        <v>232039.85769614135</v>
      </c>
      <c r="J120" s="29">
        <f>S120*(1+IF($AK120+IF(입력란!$C$19=1,10,0)+IF(입력란!$C$9=1,10,0)+IF(MID($E120,5,1)="2",트라이포드!R$11,0)&gt;100,100,$AK120+IF(입력란!$C$19=1,10,0)+IF(입력란!$C$9=1,10,0)+IF(MID($E120,5,1)="2",트라이포드!R$11,0))/100*(($AL120+IF(MID($E120,3,1)="3",트라이포드!$N$11,트라이포드!$M$11))/100-1))</f>
        <v>52637.919088246032</v>
      </c>
      <c r="K120" s="29">
        <f>T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59800.646202631775</v>
      </c>
      <c r="L120" s="29">
        <f>U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59800.646202631775</v>
      </c>
      <c r="M120" s="29">
        <f>V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59800.646202631775</v>
      </c>
      <c r="N120" s="29">
        <f>W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0</v>
      </c>
      <c r="O120" s="29">
        <f>X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0</v>
      </c>
      <c r="P120" s="29">
        <f>Y120*(1+IF($AK120+IF(입력란!$C$19=1,10,IF(MID($E120,1,1)="2",10,0))+IF(입력란!$C$9=1,10,0)+IF(MID($E120,5,1)="2",트라이포드!$R$11,0)&gt;100,100,$AK120+IF(입력란!$C$19=1,10,IF(MID($E120,1,1)="2",10,0))+IF(입력란!$C$9=1,10,0)+IF(MID($E120,5,1)="2",트라이포드!$R$11,0))/100*(($AL120+IF(MID($E120,3,1)="3",트라이포드!$N$11,트라이포드!$M$11))/100-1))</f>
        <v>0</v>
      </c>
      <c r="Q120" s="26">
        <f>Z120*(1+IF($AK120+IF(입력란!$C$19=1,10,IF(MID($E120,1,1)="2",10,0))&gt;100,100,$AK120+IF(입력란!$C$19=1,10,IF(MID($E120,1,1)="2",10,0)))/100*($AL120/100-1))</f>
        <v>0</v>
      </c>
      <c r="R120" s="23">
        <f>SUM(S120:Z120)</f>
        <v>146486.56180104613</v>
      </c>
      <c r="S120" s="29">
        <f>AN120*IF(MID(E120,3,1)="1",트라이포드!$J$11,트라이포드!$I$11)*IF(MID(E120,3,1)="2",트라이포드!$L$11,트라이포드!$K$11)*IF(입력란!$C$9=1,IF(입력란!$C$14=0,1.05,IF(입력란!$C$14=1,1.05*1.05,IF(입력란!$C$14=2,1.05*1.12,IF(입력란!$C$14=3,1.05*1.25)))),1)/IF(MID(E120,3,1)="1",7,4)</f>
        <v>36621.640450261533</v>
      </c>
      <c r="T120" s="29">
        <f>S120</f>
        <v>36621.640450261533</v>
      </c>
      <c r="U120" s="29">
        <f>T120</f>
        <v>36621.640450261533</v>
      </c>
      <c r="V120" s="29">
        <f>U120</f>
        <v>36621.640450261533</v>
      </c>
      <c r="W120" s="38">
        <f>IF(MID($E120,3,1)="1",$S120,0)</f>
        <v>0</v>
      </c>
      <c r="X120" s="38">
        <f>IF(MID($E120,3,1)="1",$S120,0)</f>
        <v>0</v>
      </c>
      <c r="Y120" s="38">
        <f>IF(MID($E120,3,1)="1",$S120,0)</f>
        <v>0</v>
      </c>
      <c r="Z120" s="24">
        <f>AN120*IF(MID(E120,5,1)="1",트라이포드!$P$11*IF(MID(E120,3,1)="1",7,4)*5,트라이포드!$O$11)</f>
        <v>0</v>
      </c>
      <c r="AA120" s="29">
        <f>SUM(AB120:AI120)</f>
        <v>292973.12360209227</v>
      </c>
      <c r="AB120" s="29">
        <f>S120*2</f>
        <v>73243.280900523067</v>
      </c>
      <c r="AC120" s="29">
        <f>T120*2</f>
        <v>73243.280900523067</v>
      </c>
      <c r="AD120" s="29">
        <f>U120*2</f>
        <v>73243.280900523067</v>
      </c>
      <c r="AE120" s="29">
        <f>V120*2</f>
        <v>73243.280900523067</v>
      </c>
      <c r="AF120" s="29">
        <f>W120*2</f>
        <v>0</v>
      </c>
      <c r="AG120" s="29">
        <f>X120*2</f>
        <v>0</v>
      </c>
      <c r="AH120" s="29">
        <f>Y120*2</f>
        <v>0</v>
      </c>
      <c r="AI120" s="24">
        <f>Z120*2</f>
        <v>0</v>
      </c>
      <c r="AJ120" s="25">
        <f>AR120*(1-입력란!$C$29/100)</f>
        <v>15.323314676640001</v>
      </c>
      <c r="AK12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0" s="25">
        <f>입력란!$C$37+입력란!$C$31+IF(입력란!$C$17=1,10,IF(입력란!$C$17=2,25,IF(입력란!$C$17=3,50,0)))</f>
        <v>295.58728189999999</v>
      </c>
      <c r="AM120" s="29">
        <f>SUM(AN120:AP120)</f>
        <v>73243.280900523067</v>
      </c>
      <c r="AN120" s="29">
        <f>(VLOOKUP(C120,$B$4:$AK$7,8,FALSE)+VLOOKUP(C120,$B$8:$AK$11,8,FALSE)*입력란!$C$23)*입력란!$C$38/100</f>
        <v>73243.280900523067</v>
      </c>
      <c r="AO120" s="25"/>
      <c r="AP120" s="29"/>
      <c r="AQ120" s="29"/>
      <c r="AR120" s="28">
        <v>16</v>
      </c>
    </row>
    <row r="121" spans="2:44" ht="13.5" customHeight="1" x14ac:dyDescent="0.3">
      <c r="B121" s="30">
        <v>106</v>
      </c>
      <c r="C121" s="35">
        <v>7</v>
      </c>
      <c r="D121" s="36" t="s">
        <v>118</v>
      </c>
      <c r="E121" s="37" t="s">
        <v>304</v>
      </c>
      <c r="F121" s="39"/>
      <c r="G121" s="39"/>
      <c r="H121" s="51">
        <f>I121/AJ121</f>
        <v>8998.7581498572963</v>
      </c>
      <c r="I121" s="52">
        <f>SUM(J121:Q121)*IF(입력란!C$15=1,1.04,IF(입력란!C$15=2,1.1,IF(입력란!C$15=3,1.2,1)))*IF(입력란!$C$17&lt;&gt;0,0.98,1)</f>
        <v>137890.80282924214</v>
      </c>
      <c r="J121" s="29">
        <f>S121*(1+IF($AK121+IF(입력란!$C$19=1,10,0)+IF(입력란!$C$9=1,10,0)+IF(MID($E121,5,1)="2",트라이포드!R$11,0)&gt;100,100,$AK121+IF(입력란!$C$19=1,10,0)+IF(입력란!$C$9=1,10,0)+IF(MID($E121,5,1)="2",트라이포드!R$11,0))/100*(($AL121+IF(MID($E121,3,1)="3",트라이포드!$N$11,트라이포드!$M$11))/100-1))</f>
        <v>30413.36652253108</v>
      </c>
      <c r="K121" s="29">
        <f>T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35825.812102237025</v>
      </c>
      <c r="L121" s="29">
        <f>U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35825.812102237025</v>
      </c>
      <c r="M121" s="29">
        <f>V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35825.812102237025</v>
      </c>
      <c r="N121" s="29">
        <f>W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0</v>
      </c>
      <c r="O121" s="29">
        <f>X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0</v>
      </c>
      <c r="P121" s="29">
        <f>Y121*(1+IF($AK121+IF(입력란!$C$19=1,10,IF(MID($E121,1,1)="2",10,0))+IF(입력란!$C$9=1,10,0)+IF(MID($E121,5,1)="2",트라이포드!$R$11,0)&gt;100,100,$AK121+IF(입력란!$C$19=1,10,IF(MID($E121,1,1)="2",10,0))+IF(입력란!$C$9=1,10,0)+IF(MID($E121,5,1)="2",트라이포드!$R$11,0))/100*(($AL121+IF(MID($E121,3,1)="3",트라이포드!$N$11,트라이포드!$M$11))/100-1))</f>
        <v>0</v>
      </c>
      <c r="Q121" s="26">
        <f>Z121*(1+IF($AK121+IF(입력란!$C$19=1,10,IF(MID($E121,1,1)="2",10,0))&gt;100,100,$AK121+IF(입력란!$C$19=1,10,IF(MID($E121,1,1)="2",10,0)))/100*($AL121/100-1))</f>
        <v>0</v>
      </c>
      <c r="R121" s="23">
        <f>SUM(S121:Z121)</f>
        <v>73243.280900523067</v>
      </c>
      <c r="S121" s="29">
        <f>AN121*IF(MID(E121,3,1)="1",트라이포드!$J$11,트라이포드!$I$11)*IF(MID(E121,3,1)="2",트라이포드!$L$11,트라이포드!$K$11)*IF(입력란!$C$9=1,IF(입력란!$C$14=0,1.05,IF(입력란!$C$14=1,1.05*1.05,IF(입력란!$C$14=2,1.05*1.12,IF(입력란!$C$14=3,1.05*1.25)))),1)/IF(MID(E121,3,1)="1",7,4)</f>
        <v>18310.820225130767</v>
      </c>
      <c r="T121" s="29">
        <f>S121</f>
        <v>18310.820225130767</v>
      </c>
      <c r="U121" s="29">
        <f>T121</f>
        <v>18310.820225130767</v>
      </c>
      <c r="V121" s="29">
        <f>U121</f>
        <v>18310.820225130767</v>
      </c>
      <c r="W121" s="38">
        <f>IF(MID($E121,3,1)="1",$S121,0)</f>
        <v>0</v>
      </c>
      <c r="X121" s="38">
        <f>IF(MID($E121,3,1)="1",$S121,0)</f>
        <v>0</v>
      </c>
      <c r="Y121" s="38">
        <f>IF(MID($E121,3,1)="1",$S121,0)</f>
        <v>0</v>
      </c>
      <c r="Z121" s="24">
        <f>AN121*IF(MID(E121,5,1)="1",트라이포드!$P$11*IF(MID(E121,3,1)="1",7,4)*5,트라이포드!$O$11)</f>
        <v>0</v>
      </c>
      <c r="AA121" s="29">
        <f>SUM(AB121:AI121)</f>
        <v>146486.56180104613</v>
      </c>
      <c r="AB121" s="29">
        <f>S121*2</f>
        <v>36621.640450261533</v>
      </c>
      <c r="AC121" s="29">
        <f>T121*2</f>
        <v>36621.640450261533</v>
      </c>
      <c r="AD121" s="29">
        <f>U121*2</f>
        <v>36621.640450261533</v>
      </c>
      <c r="AE121" s="29">
        <f>V121*2</f>
        <v>36621.640450261533</v>
      </c>
      <c r="AF121" s="29">
        <f>W121*2</f>
        <v>0</v>
      </c>
      <c r="AG121" s="29">
        <f>X121*2</f>
        <v>0</v>
      </c>
      <c r="AH121" s="29">
        <f>Y121*2</f>
        <v>0</v>
      </c>
      <c r="AI121" s="24">
        <f>Z121*2</f>
        <v>0</v>
      </c>
      <c r="AJ121" s="25">
        <f>AR121*(1-입력란!$C$29/100)</f>
        <v>15.323314676640001</v>
      </c>
      <c r="AK12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1" s="25">
        <f>입력란!$C$37+입력란!$C$31+IF(입력란!$C$17=1,10,IF(입력란!$C$17=2,25,IF(입력란!$C$17=3,50,0)))</f>
        <v>295.58728189999999</v>
      </c>
      <c r="AM121" s="29">
        <f>SUM(AN121:AP121)</f>
        <v>73243.280900523067</v>
      </c>
      <c r="AN121" s="29">
        <f>(VLOOKUP(C121,$B$4:$AK$7,8,FALSE)+VLOOKUP(C121,$B$8:$AK$11,8,FALSE)*입력란!$C$23)*입력란!$C$38/100</f>
        <v>73243.280900523067</v>
      </c>
      <c r="AO121" s="25"/>
      <c r="AP121" s="29"/>
      <c r="AQ121" s="29"/>
      <c r="AR121" s="28">
        <v>16</v>
      </c>
    </row>
    <row r="122" spans="2:44" ht="13.5" customHeight="1" x14ac:dyDescent="0.3">
      <c r="B122" s="30">
        <v>107</v>
      </c>
      <c r="C122" s="35">
        <v>10</v>
      </c>
      <c r="D122" s="36" t="s">
        <v>118</v>
      </c>
      <c r="E122" s="37" t="s">
        <v>75</v>
      </c>
      <c r="F122" s="39"/>
      <c r="G122" s="39"/>
      <c r="H122" s="51">
        <f>I122/AJ122</f>
        <v>6878.6340688004384</v>
      </c>
      <c r="I122" s="52">
        <f>SUM(J122:Q122)*IF(입력란!C$15=1,1.04,IF(입력란!C$15=2,1.1,IF(입력란!C$15=3,1.2,1)))*IF(입력란!$C$17&lt;&gt;0,0.98,1)</f>
        <v>105403.47438168568</v>
      </c>
      <c r="J122" s="29">
        <f>S122*(1+IF($AK122+IF(입력란!$C$19=1,10,0)+IF(입력란!$C$9=1,10,0)+IF(MID($E122,5,1)="2",트라이포드!R$11,0)&gt;100,100,$AK122+IF(입력란!$C$19=1,10,0)+IF(입력란!$C$9=1,10,0)+IF(MID($E122,5,1)="2",트라이포드!R$11,0))/100*(($AL122+IF(MID($E122,3,1)="3",트라이포드!$N$11,트라이포드!$M$11))/100-1))</f>
        <v>26350.86859542142</v>
      </c>
      <c r="K122" s="29">
        <f>T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26350.86859542142</v>
      </c>
      <c r="L122" s="29">
        <f>U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26350.86859542142</v>
      </c>
      <c r="M122" s="29">
        <f>V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26350.86859542142</v>
      </c>
      <c r="N122" s="29">
        <f>W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0</v>
      </c>
      <c r="O122" s="29">
        <f>X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0</v>
      </c>
      <c r="P122" s="29">
        <f>Y122*(1+IF($AK122+IF(입력란!$C$19=1,10,IF(MID($E122,1,1)="2",10,0))+IF(입력란!$C$9=1,10,0)+IF(MID($E122,5,1)="2",트라이포드!$R$11,0)&gt;100,100,$AK122+IF(입력란!$C$19=1,10,IF(MID($E122,1,1)="2",10,0))+IF(입력란!$C$9=1,10,0)+IF(MID($E122,5,1)="2",트라이포드!$R$11,0))/100*(($AL122+IF(MID($E122,3,1)="3",트라이포드!$N$11,트라이포드!$M$11))/100-1))</f>
        <v>0</v>
      </c>
      <c r="Q122" s="26">
        <f>Z122*(1+IF($AK122+IF(입력란!$C$19=1,10,IF(MID($E122,1,1)="2",10,0))&gt;100,100,$AK122+IF(입력란!$C$19=1,10,IF(MID($E122,1,1)="2",10,0)))/100*($AL122/100-1))</f>
        <v>0</v>
      </c>
      <c r="R122" s="23">
        <f>SUM(S122:Z122)</f>
        <v>73332.080900523069</v>
      </c>
      <c r="S122" s="29">
        <f>AN122*IF(MID(E122,3,1)="1",트라이포드!$J$11,트라이포드!$I$11)*IF(MID(E122,3,1)="2",트라이포드!$L$11,트라이포드!$K$11)*IF(입력란!$C$9=1,IF(입력란!$C$14=0,1.05,IF(입력란!$C$14=1,1.05*1.05,IF(입력란!$C$14=2,1.05*1.12,IF(입력란!$C$14=3,1.05*1.25)))),1)/IF(MID(E122,3,1)="1",7,4)</f>
        <v>18333.020225130767</v>
      </c>
      <c r="T122" s="29">
        <f>S122</f>
        <v>18333.020225130767</v>
      </c>
      <c r="U122" s="29">
        <f>T122</f>
        <v>18333.020225130767</v>
      </c>
      <c r="V122" s="29">
        <f>U122</f>
        <v>18333.020225130767</v>
      </c>
      <c r="W122" s="38">
        <f>IF(MID($E122,3,1)="1",$S122,0)</f>
        <v>0</v>
      </c>
      <c r="X122" s="38">
        <f>IF(MID($E122,3,1)="1",$S122,0)</f>
        <v>0</v>
      </c>
      <c r="Y122" s="38">
        <f>IF(MID($E122,3,1)="1",$S122,0)</f>
        <v>0</v>
      </c>
      <c r="Z122" s="24">
        <f>AN122*IF(MID(E122,5,1)="1",트라이포드!$P$11*IF(MID(E122,3,1)="1",7,4)*5,트라이포드!$O$11)</f>
        <v>0</v>
      </c>
      <c r="AA122" s="29">
        <f>SUM(AB122:AI122)</f>
        <v>146664.16180104614</v>
      </c>
      <c r="AB122" s="29">
        <f>S122*2</f>
        <v>36666.040450261535</v>
      </c>
      <c r="AC122" s="29">
        <f>T122*2</f>
        <v>36666.040450261535</v>
      </c>
      <c r="AD122" s="29">
        <f>U122*2</f>
        <v>36666.040450261535</v>
      </c>
      <c r="AE122" s="29">
        <f>V122*2</f>
        <v>36666.040450261535</v>
      </c>
      <c r="AF122" s="29">
        <f>W122*2</f>
        <v>0</v>
      </c>
      <c r="AG122" s="29">
        <f>X122*2</f>
        <v>0</v>
      </c>
      <c r="AH122" s="29">
        <f>Y122*2</f>
        <v>0</v>
      </c>
      <c r="AI122" s="24">
        <f>Z122*2</f>
        <v>0</v>
      </c>
      <c r="AJ122" s="25">
        <f>AR122*(1-입력란!$C$29/100)</f>
        <v>15.323314676640001</v>
      </c>
      <c r="AK12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2" s="25">
        <f>입력란!$C$37+입력란!$C$31+IF(입력란!$C$17=1,10,IF(입력란!$C$17=2,25,IF(입력란!$C$17=3,50,0)))</f>
        <v>295.58728189999999</v>
      </c>
      <c r="AM122" s="29">
        <f>SUM(AN122:AP122)</f>
        <v>73332.080900523069</v>
      </c>
      <c r="AN122" s="29">
        <f>(VLOOKUP(C122,$B$4:$AK$7,8,FALSE)+VLOOKUP(C122,$B$8:$AK$11,8,FALSE)*입력란!$C$23)*입력란!$C$38/100</f>
        <v>73332.080900523069</v>
      </c>
      <c r="AO122" s="25"/>
      <c r="AP122" s="29"/>
      <c r="AQ122" s="29"/>
      <c r="AR122" s="28">
        <v>16</v>
      </c>
    </row>
    <row r="123" spans="2:44" ht="13.5" customHeight="1" x14ac:dyDescent="0.3">
      <c r="B123" s="30">
        <v>108</v>
      </c>
      <c r="C123" s="35">
        <v>10</v>
      </c>
      <c r="D123" s="36" t="s">
        <v>118</v>
      </c>
      <c r="E123" s="37" t="s">
        <v>100</v>
      </c>
      <c r="F123" s="39" t="s">
        <v>302</v>
      </c>
      <c r="G123" s="39"/>
      <c r="H123" s="51">
        <f>I123/AJ123</f>
        <v>11005.814510080701</v>
      </c>
      <c r="I123" s="52">
        <f>SUM(J123:Q123)*IF(입력란!C$15=1,1.04,IF(입력란!C$15=2,1.1,IF(입력란!C$15=3,1.2,1)))*IF(입력란!$C$17&lt;&gt;0,0.98,1)</f>
        <v>168645.55901069709</v>
      </c>
      <c r="J123" s="29">
        <f>S123*(1+IF($AK123+IF(입력란!$C$19=1,10,0)+IF(입력란!$C$9=1,10,0)+IF(MID($E123,5,1)="2",트라이포드!R$11,0)&gt;100,100,$AK123+IF(입력란!$C$19=1,10,0)+IF(입력란!$C$9=1,10,0)+IF(MID($E123,5,1)="2",트라이포드!R$11,0))/100*(($AL123+IF(MID($E123,3,1)="3",트라이포드!$N$11,트라이포드!$M$11))/100-1))</f>
        <v>26350.86859542142</v>
      </c>
      <c r="K123" s="29">
        <f>T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26350.86859542142</v>
      </c>
      <c r="L123" s="29">
        <f>U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26350.86859542142</v>
      </c>
      <c r="M123" s="29">
        <f>V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26350.86859542142</v>
      </c>
      <c r="N123" s="29">
        <f>W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0</v>
      </c>
      <c r="O123" s="29">
        <f>X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0</v>
      </c>
      <c r="P123" s="29">
        <f>Y123*(1+IF($AK123+IF(입력란!$C$19=1,10,IF(MID($E123,1,1)="2",10,0))+IF(입력란!$C$9=1,10,0)+IF(MID($E123,5,1)="2",트라이포드!$R$11,0)&gt;100,100,$AK123+IF(입력란!$C$19=1,10,IF(MID($E123,1,1)="2",10,0))+IF(입력란!$C$9=1,10,0)+IF(MID($E123,5,1)="2",트라이포드!$R$11,0))/100*(($AL123+IF(MID($E123,3,1)="3",트라이포드!$N$11,트라이포드!$M$11))/100-1))</f>
        <v>0</v>
      </c>
      <c r="Q123" s="26">
        <f>Z123*(1+IF($AK123+IF(입력란!$C$19=1,10,IF(MID($E123,1,1)="2",10,0))&gt;100,100,$AK123+IF(입력란!$C$19=1,10,IF(MID($E123,1,1)="2",10,0)))/100*($AL123/100-1))</f>
        <v>63242.084629011413</v>
      </c>
      <c r="R123" s="23">
        <f>SUM(S123:Z123)</f>
        <v>117331.32944083691</v>
      </c>
      <c r="S123" s="29">
        <f>AN123*IF(MID(E123,3,1)="1",트라이포드!$J$11,트라이포드!$I$11)*IF(MID(E123,3,1)="2",트라이포드!$L$11,트라이포드!$K$11)*IF(입력란!$C$9=1,IF(입력란!$C$14=0,1.05,IF(입력란!$C$14=1,1.05*1.05,IF(입력란!$C$14=2,1.05*1.12,IF(입력란!$C$14=3,1.05*1.25)))),1)/IF(MID(E123,3,1)="1",7,4)</f>
        <v>18333.020225130767</v>
      </c>
      <c r="T123" s="29">
        <f>S123</f>
        <v>18333.020225130767</v>
      </c>
      <c r="U123" s="29">
        <f>T123</f>
        <v>18333.020225130767</v>
      </c>
      <c r="V123" s="29">
        <f>U123</f>
        <v>18333.020225130767</v>
      </c>
      <c r="W123" s="38">
        <f>IF(MID($E123,3,1)="1",$S123,0)</f>
        <v>0</v>
      </c>
      <c r="X123" s="38">
        <f>IF(MID($E123,3,1)="1",$S123,0)</f>
        <v>0</v>
      </c>
      <c r="Y123" s="38">
        <f>IF(MID($E123,3,1)="1",$S123,0)</f>
        <v>0</v>
      </c>
      <c r="Z123" s="24">
        <f>AN123*IF(MID(E123,5,1)="1",트라이포드!$P$11*IF(MID(E123,3,1)="1",7,4)*5,트라이포드!$O$11)</f>
        <v>43999.248540313842</v>
      </c>
      <c r="AA123" s="29">
        <f>SUM(AB123:AI123)</f>
        <v>234662.65888167382</v>
      </c>
      <c r="AB123" s="29">
        <f>S123*2</f>
        <v>36666.040450261535</v>
      </c>
      <c r="AC123" s="29">
        <f>T123*2</f>
        <v>36666.040450261535</v>
      </c>
      <c r="AD123" s="29">
        <f>U123*2</f>
        <v>36666.040450261535</v>
      </c>
      <c r="AE123" s="29">
        <f>V123*2</f>
        <v>36666.040450261535</v>
      </c>
      <c r="AF123" s="29">
        <f>W123*2</f>
        <v>0</v>
      </c>
      <c r="AG123" s="29">
        <f>X123*2</f>
        <v>0</v>
      </c>
      <c r="AH123" s="29">
        <f>Y123*2</f>
        <v>0</v>
      </c>
      <c r="AI123" s="24">
        <f>Z123*2</f>
        <v>87998.497080627683</v>
      </c>
      <c r="AJ123" s="25">
        <f>AR123*(1-입력란!$C$29/100)</f>
        <v>15.323314676640001</v>
      </c>
      <c r="AK12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3" s="25">
        <f>입력란!$C$37+입력란!$C$31+IF(입력란!$C$17=1,10,IF(입력란!$C$17=2,25,IF(입력란!$C$17=3,50,0)))</f>
        <v>295.58728189999999</v>
      </c>
      <c r="AM123" s="29">
        <f>SUM(AN123:AP123)</f>
        <v>73332.080900523069</v>
      </c>
      <c r="AN123" s="29">
        <f>(VLOOKUP(C123,$B$4:$AK$7,8,FALSE)+VLOOKUP(C123,$B$8:$AK$11,8,FALSE)*입력란!$C$23)*입력란!$C$38/100</f>
        <v>73332.080900523069</v>
      </c>
      <c r="AO123" s="25"/>
      <c r="AP123" s="29"/>
      <c r="AQ123" s="29"/>
      <c r="AR123" s="28">
        <v>16</v>
      </c>
    </row>
    <row r="124" spans="2:44" ht="13.5" customHeight="1" x14ac:dyDescent="0.3">
      <c r="B124" s="30">
        <v>109</v>
      </c>
      <c r="C124" s="35">
        <v>10</v>
      </c>
      <c r="D124" s="36" t="s">
        <v>118</v>
      </c>
      <c r="E124" s="37" t="s">
        <v>101</v>
      </c>
      <c r="F124" s="39"/>
      <c r="G124" s="39"/>
      <c r="H124" s="51">
        <f>I124/AJ124</f>
        <v>12494.712318998931</v>
      </c>
      <c r="I124" s="52">
        <f>SUM(J124:Q124)*IF(입력란!C$15=1,1.04,IF(입력란!C$15=2,1.1,IF(입력란!C$15=3,1.2,1)))*IF(입력란!$C$17&lt;&gt;0,0.98,1)</f>
        <v>191460.40865811094</v>
      </c>
      <c r="J124" s="29">
        <f>S124*(1+IF($AK124+IF(입력란!$C$19=1,10,0)+IF(입력란!$C$9=1,10,0)+IF(MID($E124,5,1)="2",트라이포드!R$11,0)&gt;100,100,$AK124+IF(입력란!$C$19=1,10,0)+IF(입력란!$C$9=1,10,0)+IF(MID($E124,5,1)="2",트라이포드!R$11,0))/100*(($AL124+IF(MID($E124,3,1)="3",트라이포드!$N$11,트라이포드!$M$11))/100-1))</f>
        <v>47865.102164527736</v>
      </c>
      <c r="K124" s="29">
        <f>T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47865.102164527736</v>
      </c>
      <c r="L124" s="29">
        <f>U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47865.102164527736</v>
      </c>
      <c r="M124" s="29">
        <f>V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47865.102164527736</v>
      </c>
      <c r="N124" s="29">
        <f>W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0</v>
      </c>
      <c r="O124" s="29">
        <f>X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0</v>
      </c>
      <c r="P124" s="29">
        <f>Y124*(1+IF($AK124+IF(입력란!$C$19=1,10,IF(MID($E124,1,1)="2",10,0))+IF(입력란!$C$9=1,10,0)+IF(MID($E124,5,1)="2",트라이포드!$R$11,0)&gt;100,100,$AK124+IF(입력란!$C$19=1,10,IF(MID($E124,1,1)="2",10,0))+IF(입력란!$C$9=1,10,0)+IF(MID($E124,5,1)="2",트라이포드!$R$11,0))/100*(($AL124+IF(MID($E124,3,1)="3",트라이포드!$N$11,트라이포드!$M$11))/100-1))</f>
        <v>0</v>
      </c>
      <c r="Q124" s="26">
        <f>Z124*(1+IF($AK124+IF(입력란!$C$19=1,10,IF(MID($E124,1,1)="2",10,0))&gt;100,100,$AK124+IF(입력란!$C$19=1,10,IF(MID($E124,1,1)="2",10,0)))/100*($AL124/100-1))</f>
        <v>0</v>
      </c>
      <c r="R124" s="23">
        <f>SUM(S124:Z124)</f>
        <v>73332.080900523069</v>
      </c>
      <c r="S124" s="29">
        <f>AN124*IF(MID(E124,3,1)="1",트라이포드!$J$11,트라이포드!$I$11)*IF(MID(E124,3,1)="2",트라이포드!$L$11,트라이포드!$K$11)*IF(입력란!$C$9=1,IF(입력란!$C$14=0,1.05,IF(입력란!$C$14=1,1.05*1.05,IF(입력란!$C$14=2,1.05*1.12,IF(입력란!$C$14=3,1.05*1.25)))),1)/IF(MID(E124,3,1)="1",7,4)</f>
        <v>18333.020225130767</v>
      </c>
      <c r="T124" s="29">
        <f>S124</f>
        <v>18333.020225130767</v>
      </c>
      <c r="U124" s="29">
        <f>T124</f>
        <v>18333.020225130767</v>
      </c>
      <c r="V124" s="29">
        <f>U124</f>
        <v>18333.020225130767</v>
      </c>
      <c r="W124" s="38">
        <f>IF(MID($E124,3,1)="1",$S124,0)</f>
        <v>0</v>
      </c>
      <c r="X124" s="38">
        <f>IF(MID($E124,3,1)="1",$S124,0)</f>
        <v>0</v>
      </c>
      <c r="Y124" s="38">
        <f>IF(MID($E124,3,1)="1",$S124,0)</f>
        <v>0</v>
      </c>
      <c r="Z124" s="24">
        <f>AN124*IF(MID(E124,5,1)="1",트라이포드!$P$11*IF(MID(E124,3,1)="1",7,4)*5,트라이포드!$O$11)</f>
        <v>0</v>
      </c>
      <c r="AA124" s="29">
        <f>SUM(AB124:AI124)</f>
        <v>146664.16180104614</v>
      </c>
      <c r="AB124" s="29">
        <f>S124*2</f>
        <v>36666.040450261535</v>
      </c>
      <c r="AC124" s="29">
        <f>T124*2</f>
        <v>36666.040450261535</v>
      </c>
      <c r="AD124" s="29">
        <f>U124*2</f>
        <v>36666.040450261535</v>
      </c>
      <c r="AE124" s="29">
        <f>V124*2</f>
        <v>36666.040450261535</v>
      </c>
      <c r="AF124" s="29">
        <f>W124*2</f>
        <v>0</v>
      </c>
      <c r="AG124" s="29">
        <f>X124*2</f>
        <v>0</v>
      </c>
      <c r="AH124" s="29">
        <f>Y124*2</f>
        <v>0</v>
      </c>
      <c r="AI124" s="24">
        <f>Z124*2</f>
        <v>0</v>
      </c>
      <c r="AJ124" s="25">
        <f>AR124*(1-입력란!$C$29/100)</f>
        <v>15.323314676640001</v>
      </c>
      <c r="AK12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4" s="25">
        <f>입력란!$C$37+입력란!$C$31+IF(입력란!$C$17=1,10,IF(입력란!$C$17=2,25,IF(입력란!$C$17=3,50,0)))</f>
        <v>295.58728189999999</v>
      </c>
      <c r="AM124" s="29">
        <f>SUM(AN124:AP124)</f>
        <v>73332.080900523069</v>
      </c>
      <c r="AN124" s="29">
        <f>(VLOOKUP(C124,$B$4:$AK$7,8,FALSE)+VLOOKUP(C124,$B$8:$AK$11,8,FALSE)*입력란!$C$23)*입력란!$C$38/100</f>
        <v>73332.080900523069</v>
      </c>
      <c r="AO124" s="25"/>
      <c r="AP124" s="29"/>
      <c r="AQ124" s="29"/>
      <c r="AR124" s="28">
        <v>16</v>
      </c>
    </row>
    <row r="125" spans="2:44" ht="13.5" customHeight="1" x14ac:dyDescent="0.3">
      <c r="B125" s="30">
        <v>110</v>
      </c>
      <c r="C125" s="35">
        <v>10</v>
      </c>
      <c r="D125" s="36" t="s">
        <v>118</v>
      </c>
      <c r="E125" s="37" t="s">
        <v>121</v>
      </c>
      <c r="F125" s="39" t="s">
        <v>302</v>
      </c>
      <c r="G125" s="39"/>
      <c r="H125" s="51">
        <f>I125/AJ125</f>
        <v>18228.380282321163</v>
      </c>
      <c r="I125" s="52">
        <f>SUM(J125:Q125)*IF(입력란!C$15=1,1.04,IF(입력란!C$15=2,1.1,IF(입력란!C$15=3,1.2,1)))*IF(입력란!$C$17&lt;&gt;0,0.98,1)</f>
        <v>279319.20711146708</v>
      </c>
      <c r="J125" s="29">
        <f>S125*(1+IF($AK125+IF(입력란!$C$19=1,10,0)+IF(입력란!$C$9=1,10,0)+IF(MID($E125,5,1)="2",트라이포드!R$11,0)&gt;100,100,$AK125+IF(입력란!$C$19=1,10,0)+IF(입력란!$C$9=1,10,0)+IF(MID($E125,5,1)="2",트라이포드!R$11,0))/100*(($AL125+IF(MID($E125,3,1)="3",트라이포드!$N$11,트라이포드!$M$11))/100-1))</f>
        <v>24092.222715813874</v>
      </c>
      <c r="K125" s="29">
        <f>T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L125" s="29">
        <f>U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M125" s="29">
        <f>V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N125" s="29">
        <f>W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O125" s="29">
        <f>X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P125" s="29">
        <f>Y125*(1+IF($AK125+IF(입력란!$C$19=1,10,IF(MID($E125,1,1)="2",10,0))+IF(입력란!$C$9=1,10,0)+IF(MID($E125,5,1)="2",트라이포드!$R$11,0)&gt;100,100,$AK125+IF(입력란!$C$19=1,10,IF(MID($E125,1,1)="2",10,0))+IF(입력란!$C$9=1,10,0)+IF(MID($E125,5,1)="2",트라이포드!$R$11,0))/100*(($AL125+IF(MID($E125,3,1)="3",트라이포드!$N$11,트라이포드!$M$11))/100-1))</f>
        <v>24092.222715813874</v>
      </c>
      <c r="Q125" s="26">
        <f>Z125*(1+IF($AK125+IF(입력란!$C$19=1,10,IF(MID($E125,1,1)="2",10,0))&gt;100,100,$AK125+IF(입력란!$C$19=1,10,IF(MID($E125,1,1)="2",10,0)))/100*($AL125/100-1))</f>
        <v>110673.64810076996</v>
      </c>
      <c r="R125" s="23">
        <f>SUM(S125:Z125)</f>
        <v>194330.01438638614</v>
      </c>
      <c r="S125" s="29">
        <f>AN125*IF(MID(E125,3,1)="1",트라이포드!$J$11,트라이포드!$I$11)*IF(MID(E125,3,1)="2",트라이포드!$L$11,트라이포드!$K$11)*IF(입력란!$C$9=1,IF(입력란!$C$14=0,1.05,IF(입력란!$C$14=1,1.05*1.05,IF(입력란!$C$14=2,1.05*1.12,IF(입력란!$C$14=3,1.05*1.25)))),1)/IF(MID(E125,3,1)="1",7,4)</f>
        <v>16761.618491548132</v>
      </c>
      <c r="T125" s="29">
        <f>S125</f>
        <v>16761.618491548132</v>
      </c>
      <c r="U125" s="29">
        <f>T125</f>
        <v>16761.618491548132</v>
      </c>
      <c r="V125" s="29">
        <f>U125</f>
        <v>16761.618491548132</v>
      </c>
      <c r="W125" s="38">
        <f>IF(MID($E125,3,1)="1",$S125,0)</f>
        <v>16761.618491548132</v>
      </c>
      <c r="X125" s="38">
        <f>IF(MID($E125,3,1)="1",$S125,0)</f>
        <v>16761.618491548132</v>
      </c>
      <c r="Y125" s="38">
        <f>IF(MID($E125,3,1)="1",$S125,0)</f>
        <v>16761.618491548132</v>
      </c>
      <c r="Z125" s="24">
        <f>AN125*IF(MID(E125,5,1)="1",트라이포드!$P$11*IF(MID(E125,3,1)="1",7,4)*5,트라이포드!$O$11)</f>
        <v>76998.684945549219</v>
      </c>
      <c r="AA125" s="29">
        <f>SUM(AB125:AI125)</f>
        <v>388660.02877277229</v>
      </c>
      <c r="AB125" s="29">
        <f>S125*2</f>
        <v>33523.236983096263</v>
      </c>
      <c r="AC125" s="29">
        <f>T125*2</f>
        <v>33523.236983096263</v>
      </c>
      <c r="AD125" s="29">
        <f>U125*2</f>
        <v>33523.236983096263</v>
      </c>
      <c r="AE125" s="29">
        <f>V125*2</f>
        <v>33523.236983096263</v>
      </c>
      <c r="AF125" s="29">
        <f>W125*2</f>
        <v>33523.236983096263</v>
      </c>
      <c r="AG125" s="29">
        <f>X125*2</f>
        <v>33523.236983096263</v>
      </c>
      <c r="AH125" s="29">
        <f>Y125*2</f>
        <v>33523.236983096263</v>
      </c>
      <c r="AI125" s="24">
        <f>Z125*2</f>
        <v>153997.36989109844</v>
      </c>
      <c r="AJ125" s="25">
        <f>AR125*(1-입력란!$C$29/100)</f>
        <v>15.323314676640001</v>
      </c>
      <c r="AK12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5" s="25">
        <f>입력란!$C$37+입력란!$C$31+IF(입력란!$C$17=1,10,IF(입력란!$C$17=2,25,IF(입력란!$C$17=3,50,0)))</f>
        <v>295.58728189999999</v>
      </c>
      <c r="AM125" s="29">
        <f>SUM(AN125:AP125)</f>
        <v>73332.080900523069</v>
      </c>
      <c r="AN125" s="29">
        <f>(VLOOKUP(C125,$B$4:$AK$7,8,FALSE)+VLOOKUP(C125,$B$8:$AK$11,8,FALSE)*입력란!$C$23)*입력란!$C$38/100</f>
        <v>73332.080900523069</v>
      </c>
      <c r="AO125" s="25"/>
      <c r="AP125" s="29"/>
      <c r="AQ125" s="29"/>
      <c r="AR125" s="28">
        <v>16</v>
      </c>
    </row>
    <row r="126" spans="2:44" ht="13.5" customHeight="1" x14ac:dyDescent="0.3">
      <c r="B126" s="30">
        <v>111</v>
      </c>
      <c r="C126" s="35">
        <v>10</v>
      </c>
      <c r="D126" s="36" t="s">
        <v>118</v>
      </c>
      <c r="E126" s="37" t="s">
        <v>122</v>
      </c>
      <c r="F126" s="39"/>
      <c r="G126" s="39"/>
      <c r="H126" s="51">
        <f>I126/AJ126</f>
        <v>19991.53971039829</v>
      </c>
      <c r="I126" s="52">
        <f>SUM(J126:Q126)*IF(입력란!C$15=1,1.04,IF(입력란!C$15=2,1.1,IF(입력란!C$15=3,1.2,1)))*IF(입력란!$C$17&lt;&gt;0,0.98,1)</f>
        <v>306336.6538529775</v>
      </c>
      <c r="J126" s="29">
        <f>S126*(1+IF($AK126+IF(입력란!$C$19=1,10,0)+IF(입력란!$C$9=1,10,0)+IF(MID($E126,5,1)="2",트라이포드!R$11,0)&gt;100,100,$AK126+IF(입력란!$C$19=1,10,0)+IF(입력란!$C$9=1,10,0)+IF(MID($E126,5,1)="2",트라이포드!R$11,0))/100*(($AL126+IF(MID($E126,3,1)="3",트라이포드!$N$11,트라이포드!$M$11))/100-1))</f>
        <v>43762.379121853934</v>
      </c>
      <c r="K126" s="29">
        <f>T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L126" s="29">
        <f>U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M126" s="29">
        <f>V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N126" s="29">
        <f>W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O126" s="29">
        <f>X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P126" s="29">
        <f>Y126*(1+IF($AK126+IF(입력란!$C$19=1,10,IF(MID($E126,1,1)="2",10,0))+IF(입력란!$C$9=1,10,0)+IF(MID($E126,5,1)="2",트라이포드!$R$11,0)&gt;100,100,$AK126+IF(입력란!$C$19=1,10,IF(MID($E126,1,1)="2",10,0))+IF(입력란!$C$9=1,10,0)+IF(MID($E126,5,1)="2",트라이포드!$R$11,0))/100*(($AL126+IF(MID($E126,3,1)="3",트라이포드!$N$11,트라이포드!$M$11))/100-1))</f>
        <v>43762.379121853934</v>
      </c>
      <c r="Q126" s="26">
        <f>Z126*(1+IF($AK126+IF(입력란!$C$19=1,10,IF(MID($E126,1,1)="2",10,0))&gt;100,100,$AK126+IF(입력란!$C$19=1,10,IF(MID($E126,1,1)="2",10,0)))/100*($AL126/100-1))</f>
        <v>0</v>
      </c>
      <c r="R126" s="23">
        <f>SUM(S126:Z126)</f>
        <v>117331.32944083691</v>
      </c>
      <c r="S126" s="29">
        <f>AN126*IF(MID(E126,3,1)="1",트라이포드!$J$11,트라이포드!$I$11)*IF(MID(E126,3,1)="2",트라이포드!$L$11,트라이포드!$K$11)*IF(입력란!$C$9=1,IF(입력란!$C$14=0,1.05,IF(입력란!$C$14=1,1.05*1.05,IF(입력란!$C$14=2,1.05*1.12,IF(입력란!$C$14=3,1.05*1.25)))),1)/IF(MID(E126,3,1)="1",7,4)</f>
        <v>16761.618491548132</v>
      </c>
      <c r="T126" s="29">
        <f>S126</f>
        <v>16761.618491548132</v>
      </c>
      <c r="U126" s="29">
        <f>T126</f>
        <v>16761.618491548132</v>
      </c>
      <c r="V126" s="29">
        <f>U126</f>
        <v>16761.618491548132</v>
      </c>
      <c r="W126" s="38">
        <f>IF(MID($E126,3,1)="1",$S126,0)</f>
        <v>16761.618491548132</v>
      </c>
      <c r="X126" s="38">
        <f>IF(MID($E126,3,1)="1",$S126,0)</f>
        <v>16761.618491548132</v>
      </c>
      <c r="Y126" s="38">
        <f>IF(MID($E126,3,1)="1",$S126,0)</f>
        <v>16761.618491548132</v>
      </c>
      <c r="Z126" s="24">
        <f>AN126*IF(MID(E126,5,1)="1",트라이포드!$P$11*IF(MID(E126,3,1)="1",7,4)*5,트라이포드!$O$11)</f>
        <v>0</v>
      </c>
      <c r="AA126" s="29">
        <f>SUM(AB126:AI126)</f>
        <v>234662.65888167382</v>
      </c>
      <c r="AB126" s="29">
        <f>S126*2</f>
        <v>33523.236983096263</v>
      </c>
      <c r="AC126" s="29">
        <f>T126*2</f>
        <v>33523.236983096263</v>
      </c>
      <c r="AD126" s="29">
        <f>U126*2</f>
        <v>33523.236983096263</v>
      </c>
      <c r="AE126" s="29">
        <f>V126*2</f>
        <v>33523.236983096263</v>
      </c>
      <c r="AF126" s="29">
        <f>W126*2</f>
        <v>33523.236983096263</v>
      </c>
      <c r="AG126" s="29">
        <f>X126*2</f>
        <v>33523.236983096263</v>
      </c>
      <c r="AH126" s="29">
        <f>Y126*2</f>
        <v>33523.236983096263</v>
      </c>
      <c r="AI126" s="24">
        <f>Z126*2</f>
        <v>0</v>
      </c>
      <c r="AJ126" s="25">
        <f>AR126*(1-입력란!$C$29/100)</f>
        <v>15.323314676640001</v>
      </c>
      <c r="AK12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6" s="25">
        <f>입력란!$C$37+입력란!$C$31+IF(입력란!$C$17=1,10,IF(입력란!$C$17=2,25,IF(입력란!$C$17=3,50,0)))</f>
        <v>295.58728189999999</v>
      </c>
      <c r="AM126" s="29">
        <f>SUM(AN126:AP126)</f>
        <v>73332.080900523069</v>
      </c>
      <c r="AN126" s="29">
        <f>(VLOOKUP(C126,$B$4:$AK$7,8,FALSE)+VLOOKUP(C126,$B$8:$AK$11,8,FALSE)*입력란!$C$23)*입력란!$C$38/100</f>
        <v>73332.080900523069</v>
      </c>
      <c r="AO126" s="25"/>
      <c r="AP126" s="29"/>
      <c r="AQ126" s="29"/>
      <c r="AR126" s="28">
        <v>16</v>
      </c>
    </row>
    <row r="127" spans="2:44" ht="13.5" customHeight="1" x14ac:dyDescent="0.3">
      <c r="B127" s="30">
        <v>112</v>
      </c>
      <c r="C127" s="35">
        <v>10</v>
      </c>
      <c r="D127" s="36" t="s">
        <v>118</v>
      </c>
      <c r="E127" s="37" t="s">
        <v>116</v>
      </c>
      <c r="F127" s="39" t="s">
        <v>306</v>
      </c>
      <c r="G127" s="39"/>
      <c r="H127" s="51">
        <f>I127/AJ127</f>
        <v>17884.44857888114</v>
      </c>
      <c r="I127" s="52">
        <f>SUM(J127:Q127)*IF(입력란!C$15=1,1.04,IF(입력란!C$15=2,1.1,IF(입력란!C$15=3,1.2,1)))*IF(입력란!$C$17&lt;&gt;0,0.98,1)</f>
        <v>274049.03339238279</v>
      </c>
      <c r="J127" s="29">
        <f>S127*(1+IF($AK127+IF(입력란!$C$19=1,10,0)+IF(입력란!$C$9=1,10,0)+IF(MID($E127,5,1)="2",트라이포드!R$11,0)&gt;100,100,$AK127+IF(입력란!$C$19=1,10,0)+IF(입력란!$C$9=1,10,0)+IF(MID($E127,5,1)="2",트라이포드!R$11,0))/100*(($AL127+IF(MID($E127,3,1)="3",트라이포드!$N$11,트라이포드!$M$11))/100-1))</f>
        <v>52701.737190842839</v>
      </c>
      <c r="K127" s="29">
        <f>T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52701.737190842839</v>
      </c>
      <c r="L127" s="29">
        <f>U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52701.737190842839</v>
      </c>
      <c r="M127" s="29">
        <f>V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52701.737190842839</v>
      </c>
      <c r="N127" s="29">
        <f>W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0</v>
      </c>
      <c r="O127" s="29">
        <f>X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0</v>
      </c>
      <c r="P127" s="29">
        <f>Y127*(1+IF($AK127+IF(입력란!$C$19=1,10,IF(MID($E127,1,1)="2",10,0))+IF(입력란!$C$9=1,10,0)+IF(MID($E127,5,1)="2",트라이포드!$R$11,0)&gt;100,100,$AK127+IF(입력란!$C$19=1,10,IF(MID($E127,1,1)="2",10,0))+IF(입력란!$C$9=1,10,0)+IF(MID($E127,5,1)="2",트라이포드!$R$11,0))/100*(($AL127+IF(MID($E127,3,1)="3",트라이포드!$N$11,트라이포드!$M$11))/100-1))</f>
        <v>0</v>
      </c>
      <c r="Q127" s="26">
        <f>Z127*(1+IF($AK127+IF(입력란!$C$19=1,10,IF(MID($E127,1,1)="2",10,0))&gt;100,100,$AK127+IF(입력란!$C$19=1,10,IF(MID($E127,1,1)="2",10,0)))/100*($AL127/100-1))</f>
        <v>63242.084629011413</v>
      </c>
      <c r="R127" s="23">
        <f>SUM(S127:Z127)</f>
        <v>190663.41034135997</v>
      </c>
      <c r="S127" s="29">
        <f>AN127*IF(MID(E127,3,1)="1",트라이포드!$J$11,트라이포드!$I$11)*IF(MID(E127,3,1)="2",트라이포드!$L$11,트라이포드!$K$11)*IF(입력란!$C$9=1,IF(입력란!$C$14=0,1.05,IF(입력란!$C$14=1,1.05*1.05,IF(입력란!$C$14=2,1.05*1.12,IF(입력란!$C$14=3,1.05*1.25)))),1)/IF(MID(E127,3,1)="1",7,4)</f>
        <v>36666.040450261535</v>
      </c>
      <c r="T127" s="29">
        <f>S127</f>
        <v>36666.040450261535</v>
      </c>
      <c r="U127" s="29">
        <f>T127</f>
        <v>36666.040450261535</v>
      </c>
      <c r="V127" s="29">
        <f>U127</f>
        <v>36666.040450261535</v>
      </c>
      <c r="W127" s="38">
        <f>IF(MID($E127,3,1)="1",$S127,0)</f>
        <v>0</v>
      </c>
      <c r="X127" s="38">
        <f>IF(MID($E127,3,1)="1",$S127,0)</f>
        <v>0</v>
      </c>
      <c r="Y127" s="38">
        <f>IF(MID($E127,3,1)="1",$S127,0)</f>
        <v>0</v>
      </c>
      <c r="Z127" s="24">
        <f>AN127*IF(MID(E127,5,1)="1",트라이포드!$P$11*IF(MID(E127,3,1)="1",7,4)*5,트라이포드!$O$11)</f>
        <v>43999.248540313842</v>
      </c>
      <c r="AA127" s="29">
        <f>SUM(AB127:AI127)</f>
        <v>381326.82068271993</v>
      </c>
      <c r="AB127" s="29">
        <f>S127*2</f>
        <v>73332.080900523069</v>
      </c>
      <c r="AC127" s="29">
        <f>T127*2</f>
        <v>73332.080900523069</v>
      </c>
      <c r="AD127" s="29">
        <f>U127*2</f>
        <v>73332.080900523069</v>
      </c>
      <c r="AE127" s="29">
        <f>V127*2</f>
        <v>73332.080900523069</v>
      </c>
      <c r="AF127" s="29">
        <f>W127*2</f>
        <v>0</v>
      </c>
      <c r="AG127" s="29">
        <f>X127*2</f>
        <v>0</v>
      </c>
      <c r="AH127" s="29">
        <f>Y127*2</f>
        <v>0</v>
      </c>
      <c r="AI127" s="24">
        <f>Z127*2</f>
        <v>87998.497080627683</v>
      </c>
      <c r="AJ127" s="25">
        <f>AR127*(1-입력란!$C$29/100)</f>
        <v>15.323314676640001</v>
      </c>
      <c r="AK12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7" s="25">
        <f>입력란!$C$37+입력란!$C$31+IF(입력란!$C$17=1,10,IF(입력란!$C$17=2,25,IF(입력란!$C$17=3,50,0)))</f>
        <v>295.58728189999999</v>
      </c>
      <c r="AM127" s="29">
        <f>SUM(AN127:AP127)</f>
        <v>73332.080900523069</v>
      </c>
      <c r="AN127" s="29">
        <f>(VLOOKUP(C127,$B$4:$AK$7,8,FALSE)+VLOOKUP(C127,$B$8:$AK$11,8,FALSE)*입력란!$C$23)*입력란!$C$38/100</f>
        <v>73332.080900523069</v>
      </c>
      <c r="AO127" s="25"/>
      <c r="AP127" s="29"/>
      <c r="AQ127" s="29"/>
      <c r="AR127" s="28">
        <v>16</v>
      </c>
    </row>
    <row r="128" spans="2:44" ht="13.5" customHeight="1" x14ac:dyDescent="0.3">
      <c r="B128" s="30">
        <v>113</v>
      </c>
      <c r="C128" s="35">
        <v>10</v>
      </c>
      <c r="D128" s="36" t="s">
        <v>118</v>
      </c>
      <c r="E128" s="37" t="s">
        <v>102</v>
      </c>
      <c r="F128" s="39" t="s">
        <v>302</v>
      </c>
      <c r="G128" s="39"/>
      <c r="H128" s="51">
        <f>I128/AJ128</f>
        <v>12075.914841592514</v>
      </c>
      <c r="I128" s="52">
        <f>SUM(J128:Q128)*IF(입력란!C$15=1,1.04,IF(입력란!C$15=2,1.1,IF(입력란!C$15=3,1.2,1)))*IF(입력란!$C$17&lt;&gt;0,0.98,1)</f>
        <v>185043.04312602937</v>
      </c>
      <c r="J128" s="29">
        <f>S128*(1+IF($AK128+IF(입력란!$C$19=1,10,0)+IF(입력란!$C$9=1,10,0)+IF(MID($E128,5,1)="2",트라이포드!R$11,0)&gt;100,100,$AK128+IF(입력란!$C$19=1,10,0)+IF(입력란!$C$9=1,10,0)+IF(MID($E128,5,1)="2",트라이포드!R$11,0))/100*(($AL128+IF(MID($E128,3,1)="3",트라이포드!$N$11,트라이포드!$M$11))/100-1))</f>
        <v>30450.239624254486</v>
      </c>
      <c r="K128" s="29">
        <f>T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30450.239624254486</v>
      </c>
      <c r="L128" s="29">
        <f>U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30450.239624254486</v>
      </c>
      <c r="M128" s="29">
        <f>V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30450.239624254486</v>
      </c>
      <c r="N128" s="29">
        <f>W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0</v>
      </c>
      <c r="O128" s="29">
        <f>X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0</v>
      </c>
      <c r="P128" s="29">
        <f>Y128*(1+IF($AK128+IF(입력란!$C$19=1,10,IF(MID($E128,1,1)="2",10,0))+IF(입력란!$C$9=1,10,0)+IF(MID($E128,5,1)="2",트라이포드!$R$11,0)&gt;100,100,$AK128+IF(입력란!$C$19=1,10,IF(MID($E128,1,1)="2",10,0))+IF(입력란!$C$9=1,10,0)+IF(MID($E128,5,1)="2",트라이포드!$R$11,0))/100*(($AL128+IF(MID($E128,3,1)="3",트라이포드!$N$11,트라이포드!$M$11))/100-1))</f>
        <v>0</v>
      </c>
      <c r="Q128" s="26">
        <f>Z128*(1+IF($AK128+IF(입력란!$C$19=1,10,IF(MID($E128,1,1)="2",10,0))&gt;100,100,$AK128+IF(입력란!$C$19=1,10,IF(MID($E128,1,1)="2",10,0)))/100*($AL128/100-1))</f>
        <v>63242.084629011413</v>
      </c>
      <c r="R128" s="23">
        <f>SUM(S128:Z128)</f>
        <v>117331.32944083691</v>
      </c>
      <c r="S128" s="29">
        <f>AN128*IF(MID(E128,3,1)="1",트라이포드!$J$11,트라이포드!$I$11)*IF(MID(E128,3,1)="2",트라이포드!$L$11,트라이포드!$K$11)*IF(입력란!$C$9=1,IF(입력란!$C$14=0,1.05,IF(입력란!$C$14=1,1.05*1.05,IF(입력란!$C$14=2,1.05*1.12,IF(입력란!$C$14=3,1.05*1.25)))),1)/IF(MID(E128,3,1)="1",7,4)</f>
        <v>18333.020225130767</v>
      </c>
      <c r="T128" s="29">
        <f>S128</f>
        <v>18333.020225130767</v>
      </c>
      <c r="U128" s="29">
        <f>T128</f>
        <v>18333.020225130767</v>
      </c>
      <c r="V128" s="29">
        <f>U128</f>
        <v>18333.020225130767</v>
      </c>
      <c r="W128" s="38">
        <f>IF(MID($E128,3,1)="1",$S128,0)</f>
        <v>0</v>
      </c>
      <c r="X128" s="38">
        <f>IF(MID($E128,3,1)="1",$S128,0)</f>
        <v>0</v>
      </c>
      <c r="Y128" s="38">
        <f>IF(MID($E128,3,1)="1",$S128,0)</f>
        <v>0</v>
      </c>
      <c r="Z128" s="24">
        <f>AN128*IF(MID(E128,5,1)="1",트라이포드!$P$11*IF(MID(E128,3,1)="1",7,4)*5,트라이포드!$O$11)</f>
        <v>43999.248540313842</v>
      </c>
      <c r="AA128" s="29">
        <f>SUM(AB128:AI128)</f>
        <v>234662.65888167382</v>
      </c>
      <c r="AB128" s="29">
        <f>S128*2</f>
        <v>36666.040450261535</v>
      </c>
      <c r="AC128" s="29">
        <f>T128*2</f>
        <v>36666.040450261535</v>
      </c>
      <c r="AD128" s="29">
        <f>U128*2</f>
        <v>36666.040450261535</v>
      </c>
      <c r="AE128" s="29">
        <f>V128*2</f>
        <v>36666.040450261535</v>
      </c>
      <c r="AF128" s="29">
        <f>W128*2</f>
        <v>0</v>
      </c>
      <c r="AG128" s="29">
        <f>X128*2</f>
        <v>0</v>
      </c>
      <c r="AH128" s="29">
        <f>Y128*2</f>
        <v>0</v>
      </c>
      <c r="AI128" s="24">
        <f>Z128*2</f>
        <v>87998.497080627683</v>
      </c>
      <c r="AJ128" s="25">
        <f>AR128*(1-입력란!$C$29/100)</f>
        <v>15.323314676640001</v>
      </c>
      <c r="AK12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8" s="25">
        <f>입력란!$C$37+입력란!$C$31+IF(입력란!$C$17=1,10,IF(입력란!$C$17=2,25,IF(입력란!$C$17=3,50,0)))</f>
        <v>295.58728189999999</v>
      </c>
      <c r="AM128" s="29">
        <f>SUM(AN128:AP128)</f>
        <v>73332.080900523069</v>
      </c>
      <c r="AN128" s="29">
        <f>(VLOOKUP(C128,$B$4:$AK$7,8,FALSE)+VLOOKUP(C128,$B$8:$AK$11,8,FALSE)*입력란!$C$23)*입력란!$C$38/100</f>
        <v>73332.080900523069</v>
      </c>
      <c r="AO128" s="25"/>
      <c r="AP128" s="29"/>
      <c r="AQ128" s="29"/>
      <c r="AR128" s="28">
        <v>16</v>
      </c>
    </row>
    <row r="129" spans="2:44" ht="13.5" customHeight="1" x14ac:dyDescent="0.3">
      <c r="B129" s="30">
        <v>114</v>
      </c>
      <c r="C129" s="35">
        <v>10</v>
      </c>
      <c r="D129" s="36" t="s">
        <v>118</v>
      </c>
      <c r="E129" s="37" t="s">
        <v>123</v>
      </c>
      <c r="F129" s="39" t="s">
        <v>305</v>
      </c>
      <c r="G129" s="39"/>
      <c r="H129" s="51">
        <f>I129/AJ129</f>
        <v>24989.424637997861</v>
      </c>
      <c r="I129" s="52">
        <f>SUM(J129:Q129)*IF(입력란!C$15=1,1.04,IF(입력란!C$15=2,1.1,IF(입력란!C$15=3,1.2,1)))*IF(입력란!$C$17&lt;&gt;0,0.98,1)</f>
        <v>382920.81731622189</v>
      </c>
      <c r="J129" s="29">
        <f>S129*(1+IF($AK129+IF(입력란!$C$19=1,10,0)+IF(입력란!$C$9=1,10,0)+IF(MID($E129,5,1)="2",트라이포드!R$11,0)&gt;100,100,$AK129+IF(입력란!$C$19=1,10,0)+IF(입력란!$C$9=1,10,0)+IF(MID($E129,5,1)="2",트라이포드!R$11,0))/100*(($AL129+IF(MID($E129,3,1)="3",트라이포드!$N$11,트라이포드!$M$11))/100-1))</f>
        <v>95730.204329055472</v>
      </c>
      <c r="K129" s="29">
        <f>T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95730.204329055472</v>
      </c>
      <c r="L129" s="29">
        <f>U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95730.204329055472</v>
      </c>
      <c r="M129" s="29">
        <f>V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95730.204329055472</v>
      </c>
      <c r="N129" s="29">
        <f>W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0</v>
      </c>
      <c r="O129" s="29">
        <f>X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0</v>
      </c>
      <c r="P129" s="29">
        <f>Y129*(1+IF($AK129+IF(입력란!$C$19=1,10,IF(MID($E129,1,1)="2",10,0))+IF(입력란!$C$9=1,10,0)+IF(MID($E129,5,1)="2",트라이포드!$R$11,0)&gt;100,100,$AK129+IF(입력란!$C$19=1,10,IF(MID($E129,1,1)="2",10,0))+IF(입력란!$C$9=1,10,0)+IF(MID($E129,5,1)="2",트라이포드!$R$11,0))/100*(($AL129+IF(MID($E129,3,1)="3",트라이포드!$N$11,트라이포드!$M$11))/100-1))</f>
        <v>0</v>
      </c>
      <c r="Q129" s="26">
        <f>Z129*(1+IF($AK129+IF(입력란!$C$19=1,10,IF(MID($E129,1,1)="2",10,0))&gt;100,100,$AK129+IF(입력란!$C$19=1,10,IF(MID($E129,1,1)="2",10,0)))/100*($AL129/100-1))</f>
        <v>0</v>
      </c>
      <c r="R129" s="23">
        <f>SUM(S129:Z129)</f>
        <v>146664.16180104614</v>
      </c>
      <c r="S129" s="29">
        <f>AN129*IF(MID(E129,3,1)="1",트라이포드!$J$11,트라이포드!$I$11)*IF(MID(E129,3,1)="2",트라이포드!$L$11,트라이포드!$K$11)*IF(입력란!$C$9=1,IF(입력란!$C$14=0,1.05,IF(입력란!$C$14=1,1.05*1.05,IF(입력란!$C$14=2,1.05*1.12,IF(입력란!$C$14=3,1.05*1.25)))),1)/IF(MID(E129,3,1)="1",7,4)</f>
        <v>36666.040450261535</v>
      </c>
      <c r="T129" s="29">
        <f>S129</f>
        <v>36666.040450261535</v>
      </c>
      <c r="U129" s="29">
        <f>T129</f>
        <v>36666.040450261535</v>
      </c>
      <c r="V129" s="29">
        <f>U129</f>
        <v>36666.040450261535</v>
      </c>
      <c r="W129" s="38">
        <f>IF(MID($E129,3,1)="1",$S129,0)</f>
        <v>0</v>
      </c>
      <c r="X129" s="38">
        <f>IF(MID($E129,3,1)="1",$S129,0)</f>
        <v>0</v>
      </c>
      <c r="Y129" s="38">
        <f>IF(MID($E129,3,1)="1",$S129,0)</f>
        <v>0</v>
      </c>
      <c r="Z129" s="24">
        <f>AN129*IF(MID(E129,5,1)="1",트라이포드!$P$11*IF(MID(E129,3,1)="1",7,4)*5,트라이포드!$O$11)</f>
        <v>0</v>
      </c>
      <c r="AA129" s="29">
        <f>SUM(AB129:AI129)</f>
        <v>293328.32360209228</v>
      </c>
      <c r="AB129" s="29">
        <f>S129*2</f>
        <v>73332.080900523069</v>
      </c>
      <c r="AC129" s="29">
        <f>T129*2</f>
        <v>73332.080900523069</v>
      </c>
      <c r="AD129" s="29">
        <f>U129*2</f>
        <v>73332.080900523069</v>
      </c>
      <c r="AE129" s="29">
        <f>V129*2</f>
        <v>73332.080900523069</v>
      </c>
      <c r="AF129" s="29">
        <f>W129*2</f>
        <v>0</v>
      </c>
      <c r="AG129" s="29">
        <f>X129*2</f>
        <v>0</v>
      </c>
      <c r="AH129" s="29">
        <f>Y129*2</f>
        <v>0</v>
      </c>
      <c r="AI129" s="24">
        <f>Z129*2</f>
        <v>0</v>
      </c>
      <c r="AJ129" s="25">
        <f>AR129*(1-입력란!$C$29/100)</f>
        <v>15.323314676640001</v>
      </c>
      <c r="AK12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29" s="25">
        <f>입력란!$C$37+입력란!$C$31+IF(입력란!$C$17=1,10,IF(입력란!$C$17=2,25,IF(입력란!$C$17=3,50,0)))</f>
        <v>295.58728189999999</v>
      </c>
      <c r="AM129" s="29">
        <f>SUM(AN129:AP129)</f>
        <v>73332.080900523069</v>
      </c>
      <c r="AN129" s="29">
        <f>(VLOOKUP(C129,$B$4:$AK$7,8,FALSE)+VLOOKUP(C129,$B$8:$AK$11,8,FALSE)*입력란!$C$23)*입력란!$C$38/100</f>
        <v>73332.080900523069</v>
      </c>
      <c r="AO129" s="25"/>
      <c r="AP129" s="29"/>
      <c r="AQ129" s="29"/>
      <c r="AR129" s="28">
        <v>16</v>
      </c>
    </row>
    <row r="130" spans="2:44" ht="13.5" customHeight="1" x14ac:dyDescent="0.3">
      <c r="B130" s="30">
        <v>115</v>
      </c>
      <c r="C130" s="35">
        <v>10</v>
      </c>
      <c r="D130" s="36" t="s">
        <v>118</v>
      </c>
      <c r="E130" s="37" t="s">
        <v>103</v>
      </c>
      <c r="F130" s="39"/>
      <c r="G130" s="39"/>
      <c r="H130" s="51">
        <f>I130/AJ130</f>
        <v>16436.205000586902</v>
      </c>
      <c r="I130" s="52">
        <f>SUM(J130:Q130)*IF(입력란!C$15=1,1.04,IF(입력란!C$15=2,1.1,IF(입력란!C$15=3,1.2,1)))*IF(입력란!$C$17&lt;&gt;0,0.98,1)</f>
        <v>251857.14131375705</v>
      </c>
      <c r="J130" s="29">
        <f>S130*(1+IF($AK130+IF(입력란!$C$19=1,10,0)+IF(입력란!$C$9=1,10,0)+IF(MID($E130,5,1)="2",트라이포드!R$11,0)&gt;100,100,$AK130+IF(입력란!$C$19=1,10,0)+IF(입력란!$C$9=1,10,0)+IF(MID($E130,5,1)="2",트라이포드!R$11,0))/100*(($AL130+IF(MID($E130,3,1)="3",트라이포드!$N$11,트라이포드!$M$11))/100-1))</f>
        <v>62964.285328439262</v>
      </c>
      <c r="K130" s="29">
        <f>T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62964.285328439262</v>
      </c>
      <c r="L130" s="29">
        <f>U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62964.285328439262</v>
      </c>
      <c r="M130" s="29">
        <f>V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62964.285328439262</v>
      </c>
      <c r="N130" s="29">
        <f>W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0</v>
      </c>
      <c r="O130" s="29">
        <f>X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0</v>
      </c>
      <c r="P130" s="29">
        <f>Y130*(1+IF($AK130+IF(입력란!$C$19=1,10,IF(MID($E130,1,1)="2",10,0))+IF(입력란!$C$9=1,10,0)+IF(MID($E130,5,1)="2",트라이포드!$R$11,0)&gt;100,100,$AK130+IF(입력란!$C$19=1,10,IF(MID($E130,1,1)="2",10,0))+IF(입력란!$C$9=1,10,0)+IF(MID($E130,5,1)="2",트라이포드!$R$11,0))/100*(($AL130+IF(MID($E130,3,1)="3",트라이포드!$N$11,트라이포드!$M$11))/100-1))</f>
        <v>0</v>
      </c>
      <c r="Q130" s="26">
        <f>Z130*(1+IF($AK130+IF(입력란!$C$19=1,10,IF(MID($E130,1,1)="2",10,0))&gt;100,100,$AK130+IF(입력란!$C$19=1,10,IF(MID($E130,1,1)="2",10,0)))/100*($AL130/100-1))</f>
        <v>0</v>
      </c>
      <c r="R130" s="23">
        <f>SUM(S130:Z130)</f>
        <v>73332.080900523069</v>
      </c>
      <c r="S130" s="29">
        <f>AN130*IF(MID(E130,3,1)="1",트라이포드!$J$11,트라이포드!$I$11)*IF(MID(E130,3,1)="2",트라이포드!$L$11,트라이포드!$K$11)*IF(입력란!$C$9=1,IF(입력란!$C$14=0,1.05,IF(입력란!$C$14=1,1.05*1.05,IF(입력란!$C$14=2,1.05*1.12,IF(입력란!$C$14=3,1.05*1.25)))),1)/IF(MID(E130,3,1)="1",7,4)</f>
        <v>18333.020225130767</v>
      </c>
      <c r="T130" s="29">
        <f>S130</f>
        <v>18333.020225130767</v>
      </c>
      <c r="U130" s="29">
        <f>T130</f>
        <v>18333.020225130767</v>
      </c>
      <c r="V130" s="29">
        <f>U130</f>
        <v>18333.020225130767</v>
      </c>
      <c r="W130" s="38">
        <f>IF(MID($E130,3,1)="1",$S130,0)</f>
        <v>0</v>
      </c>
      <c r="X130" s="38">
        <f>IF(MID($E130,3,1)="1",$S130,0)</f>
        <v>0</v>
      </c>
      <c r="Y130" s="38">
        <f>IF(MID($E130,3,1)="1",$S130,0)</f>
        <v>0</v>
      </c>
      <c r="Z130" s="24">
        <f>AN130*IF(MID(E130,5,1)="1",트라이포드!$P$11*IF(MID(E130,3,1)="1",7,4)*5,트라이포드!$O$11)</f>
        <v>0</v>
      </c>
      <c r="AA130" s="29">
        <f>SUM(AB130:AI130)</f>
        <v>146664.16180104614</v>
      </c>
      <c r="AB130" s="29">
        <f>S130*2</f>
        <v>36666.040450261535</v>
      </c>
      <c r="AC130" s="29">
        <f>T130*2</f>
        <v>36666.040450261535</v>
      </c>
      <c r="AD130" s="29">
        <f>U130*2</f>
        <v>36666.040450261535</v>
      </c>
      <c r="AE130" s="29">
        <f>V130*2</f>
        <v>36666.040450261535</v>
      </c>
      <c r="AF130" s="29">
        <f>W130*2</f>
        <v>0</v>
      </c>
      <c r="AG130" s="29">
        <f>X130*2</f>
        <v>0</v>
      </c>
      <c r="AH130" s="29">
        <f>Y130*2</f>
        <v>0</v>
      </c>
      <c r="AI130" s="24">
        <f>Z130*2</f>
        <v>0</v>
      </c>
      <c r="AJ130" s="25">
        <f>AR130*(1-입력란!$C$29/100)</f>
        <v>15.323314676640001</v>
      </c>
      <c r="AK13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0" s="25">
        <f>입력란!$C$37+입력란!$C$31+IF(입력란!$C$17=1,10,IF(입력란!$C$17=2,25,IF(입력란!$C$17=3,50,0)))</f>
        <v>295.58728189999999</v>
      </c>
      <c r="AM130" s="29">
        <f>SUM(AN130:AP130)</f>
        <v>73332.080900523069</v>
      </c>
      <c r="AN130" s="29">
        <f>(VLOOKUP(C130,$B$4:$AK$7,8,FALSE)+VLOOKUP(C130,$B$8:$AK$11,8,FALSE)*입력란!$C$23)*입력란!$C$38/100</f>
        <v>73332.080900523069</v>
      </c>
      <c r="AO130" s="25"/>
      <c r="AP130" s="29"/>
      <c r="AQ130" s="29"/>
      <c r="AR130" s="28">
        <v>16</v>
      </c>
    </row>
    <row r="131" spans="2:44" ht="13.5" customHeight="1" x14ac:dyDescent="0.3">
      <c r="B131" s="30">
        <v>116</v>
      </c>
      <c r="C131" s="35">
        <v>10</v>
      </c>
      <c r="D131" s="36" t="s">
        <v>118</v>
      </c>
      <c r="E131" s="37" t="s">
        <v>117</v>
      </c>
      <c r="F131" s="39" t="s">
        <v>302</v>
      </c>
      <c r="G131" s="39"/>
      <c r="H131" s="51">
        <f>I131/AJ131</f>
        <v>12269.432116375361</v>
      </c>
      <c r="I131" s="52">
        <f>SUM(J131:Q131)*IF(입력란!C$15=1,1.04,IF(입력란!C$15=2,1.1,IF(입력란!C$15=3,1.2,1)))*IF(입력란!$C$17&lt;&gt;0,0.98,1)</f>
        <v>188008.36922289277</v>
      </c>
      <c r="J131" s="29">
        <f>S131*(1+IF($AK131+IF(입력란!$C$19=1,10,0)+IF(입력란!$C$9=1,10,0)+IF(MID($E131,5,1)="2",트라이포드!R$11,0)&gt;100,100,$AK131+IF(입력란!$C$19=1,10,0)+IF(입력란!$C$9=1,10,0)+IF(MID($E131,5,1)="2",트라이포드!R$11,0))/100*(($AL131+IF(MID($E131,3,1)="3",트라이포드!$N$11,트라이포드!$M$11))/100-1))</f>
        <v>26350.86859542142</v>
      </c>
      <c r="K131" s="29">
        <f>T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29936.574190272473</v>
      </c>
      <c r="L131" s="29">
        <f>U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29936.574190272473</v>
      </c>
      <c r="M131" s="29">
        <f>V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29936.574190272473</v>
      </c>
      <c r="N131" s="29">
        <f>W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0</v>
      </c>
      <c r="O131" s="29">
        <f>X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0</v>
      </c>
      <c r="P131" s="29">
        <f>Y131*(1+IF($AK131+IF(입력란!$C$19=1,10,IF(MID($E131,1,1)="2",10,0))+IF(입력란!$C$9=1,10,0)+IF(MID($E131,5,1)="2",트라이포드!$R$11,0)&gt;100,100,$AK131+IF(입력란!$C$19=1,10,IF(MID($E131,1,1)="2",10,0))+IF(입력란!$C$9=1,10,0)+IF(MID($E131,5,1)="2",트라이포드!$R$11,0))/100*(($AL131+IF(MID($E131,3,1)="3",트라이포드!$N$11,트라이포드!$M$11))/100-1))</f>
        <v>0</v>
      </c>
      <c r="Q131" s="26">
        <f>Z131*(1+IF($AK131+IF(입력란!$C$19=1,10,IF(MID($E131,1,1)="2",10,0))&gt;100,100,$AK131+IF(입력란!$C$19=1,10,IF(MID($E131,1,1)="2",10,0)))/100*($AL131/100-1))</f>
        <v>71847.77805665393</v>
      </c>
      <c r="R131" s="23">
        <f>SUM(S131:Z131)</f>
        <v>117331.32944083691</v>
      </c>
      <c r="S131" s="29">
        <f>AN131*IF(MID(E131,3,1)="1",트라이포드!$J$11,트라이포드!$I$11)*IF(MID(E131,3,1)="2",트라이포드!$L$11,트라이포드!$K$11)*IF(입력란!$C$9=1,IF(입력란!$C$14=0,1.05,IF(입력란!$C$14=1,1.05*1.05,IF(입력란!$C$14=2,1.05*1.12,IF(입력란!$C$14=3,1.05*1.25)))),1)/IF(MID(E131,3,1)="1",7,4)</f>
        <v>18333.020225130767</v>
      </c>
      <c r="T131" s="29">
        <f>S131</f>
        <v>18333.020225130767</v>
      </c>
      <c r="U131" s="29">
        <f>T131</f>
        <v>18333.020225130767</v>
      </c>
      <c r="V131" s="29">
        <f>U131</f>
        <v>18333.020225130767</v>
      </c>
      <c r="W131" s="38">
        <f>IF(MID($E131,3,1)="1",$S131,0)</f>
        <v>0</v>
      </c>
      <c r="X131" s="38">
        <f>IF(MID($E131,3,1)="1",$S131,0)</f>
        <v>0</v>
      </c>
      <c r="Y131" s="38">
        <f>IF(MID($E131,3,1)="1",$S131,0)</f>
        <v>0</v>
      </c>
      <c r="Z131" s="24">
        <f>AN131*IF(MID(E131,5,1)="1",트라이포드!$P$11*IF(MID(E131,3,1)="1",7,4)*5,트라이포드!$O$11)</f>
        <v>43999.248540313842</v>
      </c>
      <c r="AA131" s="29">
        <f>SUM(AB131:AI131)</f>
        <v>234662.65888167382</v>
      </c>
      <c r="AB131" s="29">
        <f>S131*2</f>
        <v>36666.040450261535</v>
      </c>
      <c r="AC131" s="29">
        <f>T131*2</f>
        <v>36666.040450261535</v>
      </c>
      <c r="AD131" s="29">
        <f>U131*2</f>
        <v>36666.040450261535</v>
      </c>
      <c r="AE131" s="29">
        <f>V131*2</f>
        <v>36666.040450261535</v>
      </c>
      <c r="AF131" s="29">
        <f>W131*2</f>
        <v>0</v>
      </c>
      <c r="AG131" s="29">
        <f>X131*2</f>
        <v>0</v>
      </c>
      <c r="AH131" s="29">
        <f>Y131*2</f>
        <v>0</v>
      </c>
      <c r="AI131" s="24">
        <f>Z131*2</f>
        <v>87998.497080627683</v>
      </c>
      <c r="AJ131" s="25">
        <f>AR131*(1-입력란!$C$29/100)</f>
        <v>15.323314676640001</v>
      </c>
      <c r="AK13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1" s="25">
        <f>입력란!$C$37+입력란!$C$31+IF(입력란!$C$17=1,10,IF(입력란!$C$17=2,25,IF(입력란!$C$17=3,50,0)))</f>
        <v>295.58728189999999</v>
      </c>
      <c r="AM131" s="29">
        <f>SUM(AN131:AP131)</f>
        <v>73332.080900523069</v>
      </c>
      <c r="AN131" s="29">
        <f>(VLOOKUP(C131,$B$4:$AK$7,8,FALSE)+VLOOKUP(C131,$B$8:$AK$11,8,FALSE)*입력란!$C$23)*입력란!$C$38/100</f>
        <v>73332.080900523069</v>
      </c>
      <c r="AO131" s="25"/>
      <c r="AP131" s="29"/>
      <c r="AQ131" s="29"/>
      <c r="AR131" s="28">
        <v>16</v>
      </c>
    </row>
    <row r="132" spans="2:44" ht="13.5" customHeight="1" x14ac:dyDescent="0.3">
      <c r="B132" s="30">
        <v>117</v>
      </c>
      <c r="C132" s="35">
        <v>10</v>
      </c>
      <c r="D132" s="36" t="s">
        <v>118</v>
      </c>
      <c r="E132" s="37" t="s">
        <v>124</v>
      </c>
      <c r="F132" s="39"/>
      <c r="G132" s="39"/>
      <c r="H132" s="51">
        <f>I132/AJ132</f>
        <v>13196.722100273744</v>
      </c>
      <c r="I132" s="52">
        <f>SUM(J132:Q132)*IF(입력란!C$15=1,1.04,IF(입력란!C$15=2,1.1,IF(입력란!C$15=3,1.2,1)))*IF(입력란!$C$17&lt;&gt;0,0.98,1)</f>
        <v>202217.52544266413</v>
      </c>
      <c r="J132" s="29">
        <f>S132*(1+IF($AK132+IF(입력란!$C$19=1,10,0)+IF(입력란!$C$9=1,10,0)+IF(MID($E132,5,1)="2",트라이포드!R$11,0)&gt;100,100,$AK132+IF(입력란!$C$19=1,10,0)+IF(입력란!$C$9=1,10,0)+IF(MID($E132,5,1)="2",트라이포드!R$11,0))/100*(($AL132+IF(MID($E132,3,1)="3",트라이포드!$N$11,트라이포드!$M$11))/100-1))</f>
        <v>47865.102164527736</v>
      </c>
      <c r="K132" s="29">
        <f>T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51450.807759378797</v>
      </c>
      <c r="L132" s="29">
        <f>U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51450.807759378797</v>
      </c>
      <c r="M132" s="29">
        <f>V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51450.807759378797</v>
      </c>
      <c r="N132" s="29">
        <f>W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0</v>
      </c>
      <c r="O132" s="29">
        <f>X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0</v>
      </c>
      <c r="P132" s="29">
        <f>Y132*(1+IF($AK132+IF(입력란!$C$19=1,10,IF(MID($E132,1,1)="2",10,0))+IF(입력란!$C$9=1,10,0)+IF(MID($E132,5,1)="2",트라이포드!$R$11,0)&gt;100,100,$AK132+IF(입력란!$C$19=1,10,IF(MID($E132,1,1)="2",10,0))+IF(입력란!$C$9=1,10,0)+IF(MID($E132,5,1)="2",트라이포드!$R$11,0))/100*(($AL132+IF(MID($E132,3,1)="3",트라이포드!$N$11,트라이포드!$M$11))/100-1))</f>
        <v>0</v>
      </c>
      <c r="Q132" s="26">
        <f>Z132*(1+IF($AK132+IF(입력란!$C$19=1,10,IF(MID($E132,1,1)="2",10,0))&gt;100,100,$AK132+IF(입력란!$C$19=1,10,IF(MID($E132,1,1)="2",10,0)))/100*($AL132/100-1))</f>
        <v>0</v>
      </c>
      <c r="R132" s="23">
        <f>SUM(S132:Z132)</f>
        <v>73332.080900523069</v>
      </c>
      <c r="S132" s="29">
        <f>AN132*IF(MID(E132,3,1)="1",트라이포드!$J$11,트라이포드!$I$11)*IF(MID(E132,3,1)="2",트라이포드!$L$11,트라이포드!$K$11)*IF(입력란!$C$9=1,IF(입력란!$C$14=0,1.05,IF(입력란!$C$14=1,1.05*1.05,IF(입력란!$C$14=2,1.05*1.12,IF(입력란!$C$14=3,1.05*1.25)))),1)/IF(MID(E132,3,1)="1",7,4)</f>
        <v>18333.020225130767</v>
      </c>
      <c r="T132" s="29">
        <f>S132</f>
        <v>18333.020225130767</v>
      </c>
      <c r="U132" s="29">
        <f>T132</f>
        <v>18333.020225130767</v>
      </c>
      <c r="V132" s="29">
        <f>U132</f>
        <v>18333.020225130767</v>
      </c>
      <c r="W132" s="38">
        <f>IF(MID($E132,3,1)="1",$S132,0)</f>
        <v>0</v>
      </c>
      <c r="X132" s="38">
        <f>IF(MID($E132,3,1)="1",$S132,0)</f>
        <v>0</v>
      </c>
      <c r="Y132" s="38">
        <f>IF(MID($E132,3,1)="1",$S132,0)</f>
        <v>0</v>
      </c>
      <c r="Z132" s="24">
        <f>AN132*IF(MID(E132,5,1)="1",트라이포드!$P$11*IF(MID(E132,3,1)="1",7,4)*5,트라이포드!$O$11)</f>
        <v>0</v>
      </c>
      <c r="AA132" s="29">
        <f>SUM(AB132:AI132)</f>
        <v>146664.16180104614</v>
      </c>
      <c r="AB132" s="29">
        <f>S132*2</f>
        <v>36666.040450261535</v>
      </c>
      <c r="AC132" s="29">
        <f>T132*2</f>
        <v>36666.040450261535</v>
      </c>
      <c r="AD132" s="29">
        <f>U132*2</f>
        <v>36666.040450261535</v>
      </c>
      <c r="AE132" s="29">
        <f>V132*2</f>
        <v>36666.040450261535</v>
      </c>
      <c r="AF132" s="29">
        <f>W132*2</f>
        <v>0</v>
      </c>
      <c r="AG132" s="29">
        <f>X132*2</f>
        <v>0</v>
      </c>
      <c r="AH132" s="29">
        <f>Y132*2</f>
        <v>0</v>
      </c>
      <c r="AI132" s="24">
        <f>Z132*2</f>
        <v>0</v>
      </c>
      <c r="AJ132" s="25">
        <f>AR132*(1-입력란!$C$29/100)</f>
        <v>15.323314676640001</v>
      </c>
      <c r="AK13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2" s="25">
        <f>입력란!$C$37+입력란!$C$31+IF(입력란!$C$17=1,10,IF(입력란!$C$17=2,25,IF(입력란!$C$17=3,50,0)))</f>
        <v>295.58728189999999</v>
      </c>
      <c r="AM132" s="29">
        <f>SUM(AN132:AP132)</f>
        <v>73332.080900523069</v>
      </c>
      <c r="AN132" s="29">
        <f>(VLOOKUP(C132,$B$4:$AK$7,8,FALSE)+VLOOKUP(C132,$B$8:$AK$11,8,FALSE)*입력란!$C$23)*입력란!$C$38/100</f>
        <v>73332.080900523069</v>
      </c>
      <c r="AO132" s="25"/>
      <c r="AP132" s="29"/>
      <c r="AQ132" s="29"/>
      <c r="AR132" s="28">
        <v>16</v>
      </c>
    </row>
    <row r="133" spans="2:44" ht="13.5" customHeight="1" x14ac:dyDescent="0.3">
      <c r="B133" s="30">
        <v>118</v>
      </c>
      <c r="C133" s="35">
        <v>10</v>
      </c>
      <c r="D133" s="36" t="s">
        <v>118</v>
      </c>
      <c r="E133" s="37" t="s">
        <v>125</v>
      </c>
      <c r="F133" s="39" t="s">
        <v>302</v>
      </c>
      <c r="G133" s="39"/>
      <c r="H133" s="51">
        <f>I133/AJ133</f>
        <v>20494.869004722699</v>
      </c>
      <c r="I133" s="52">
        <f>SUM(J133:Q133)*IF(입력란!C$15=1,1.04,IF(입력란!C$15=2,1.1,IF(입력란!C$15=3,1.2,1)))*IF(입력란!$C$17&lt;&gt;0,0.98,1)</f>
        <v>314049.3270158816</v>
      </c>
      <c r="J133" s="29">
        <f>S133*(1+IF($AK133+IF(입력란!$C$19=1,10,0)+IF(입력란!$C$9=1,10,0)+IF(MID($E133,5,1)="2",트라이포드!R$11,0)&gt;100,100,$AK133+IF(입력란!$C$19=1,10,0)+IF(입력란!$C$9=1,10,0)+IF(MID($E133,5,1)="2",트라이포드!R$11,0))/100*(($AL133+IF(MID($E133,3,1)="3",트라이포드!$N$11,트라이포드!$M$11))/100-1))</f>
        <v>24092.222715813874</v>
      </c>
      <c r="K133" s="29">
        <f>T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L133" s="29">
        <f>U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M133" s="29">
        <f>V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N133" s="29">
        <f>W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O133" s="29">
        <f>X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P133" s="29">
        <f>Y133*(1+IF($AK133+IF(입력란!$C$19=1,10,IF(MID($E133,1,1)="2",10,0))+IF(입력란!$C$9=1,10,0)+IF(MID($E133,5,1)="2",트라이포드!$R$11,0)&gt;100,100,$AK133+IF(입력란!$C$19=1,10,IF(MID($E133,1,1)="2",10,0))+IF(입력란!$C$9=1,10,0)+IF(MID($E133,5,1)="2",트라이포드!$R$11,0))/100*(($AL133+IF(MID($E133,3,1)="3",트라이포드!$N$11,트라이포드!$M$11))/100-1))</f>
        <v>27370.582116820551</v>
      </c>
      <c r="Q133" s="26">
        <f>Z133*(1+IF($AK133+IF(입력란!$C$19=1,10,IF(MID($E133,1,1)="2",10,0))&gt;100,100,$AK133+IF(입력란!$C$19=1,10,IF(MID($E133,1,1)="2",10,0)))/100*($AL133/100-1))</f>
        <v>125733.61159914438</v>
      </c>
      <c r="R133" s="23">
        <f>SUM(S133:Z133)</f>
        <v>194330.01438638614</v>
      </c>
      <c r="S133" s="29">
        <f>AN133*IF(MID(E133,3,1)="1",트라이포드!$J$11,트라이포드!$I$11)*IF(MID(E133,3,1)="2",트라이포드!$L$11,트라이포드!$K$11)*IF(입력란!$C$9=1,IF(입력란!$C$14=0,1.05,IF(입력란!$C$14=1,1.05*1.05,IF(입력란!$C$14=2,1.05*1.12,IF(입력란!$C$14=3,1.05*1.25)))),1)/IF(MID(E133,3,1)="1",7,4)</f>
        <v>16761.618491548132</v>
      </c>
      <c r="T133" s="29">
        <f>S133</f>
        <v>16761.618491548132</v>
      </c>
      <c r="U133" s="29">
        <f>T133</f>
        <v>16761.618491548132</v>
      </c>
      <c r="V133" s="29">
        <f>U133</f>
        <v>16761.618491548132</v>
      </c>
      <c r="W133" s="38">
        <f>IF(MID($E133,3,1)="1",$S133,0)</f>
        <v>16761.618491548132</v>
      </c>
      <c r="X133" s="38">
        <f>IF(MID($E133,3,1)="1",$S133,0)</f>
        <v>16761.618491548132</v>
      </c>
      <c r="Y133" s="38">
        <f>IF(MID($E133,3,1)="1",$S133,0)</f>
        <v>16761.618491548132</v>
      </c>
      <c r="Z133" s="24">
        <f>AN133*IF(MID(E133,5,1)="1",트라이포드!$P$11*IF(MID(E133,3,1)="1",7,4)*5,트라이포드!$O$11)</f>
        <v>76998.684945549219</v>
      </c>
      <c r="AA133" s="29">
        <f>SUM(AB133:AI133)</f>
        <v>388660.02877277229</v>
      </c>
      <c r="AB133" s="29">
        <f>S133*2</f>
        <v>33523.236983096263</v>
      </c>
      <c r="AC133" s="29">
        <f>T133*2</f>
        <v>33523.236983096263</v>
      </c>
      <c r="AD133" s="29">
        <f>U133*2</f>
        <v>33523.236983096263</v>
      </c>
      <c r="AE133" s="29">
        <f>V133*2</f>
        <v>33523.236983096263</v>
      </c>
      <c r="AF133" s="29">
        <f>W133*2</f>
        <v>33523.236983096263</v>
      </c>
      <c r="AG133" s="29">
        <f>X133*2</f>
        <v>33523.236983096263</v>
      </c>
      <c r="AH133" s="29">
        <f>Y133*2</f>
        <v>33523.236983096263</v>
      </c>
      <c r="AI133" s="24">
        <f>Z133*2</f>
        <v>153997.36989109844</v>
      </c>
      <c r="AJ133" s="25">
        <f>AR133*(1-입력란!$C$29/100)</f>
        <v>15.323314676640001</v>
      </c>
      <c r="AK13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3" s="25">
        <f>입력란!$C$37+입력란!$C$31+IF(입력란!$C$17=1,10,IF(입력란!$C$17=2,25,IF(입력란!$C$17=3,50,0)))</f>
        <v>295.58728189999999</v>
      </c>
      <c r="AM133" s="29">
        <f>SUM(AN133:AP133)</f>
        <v>73332.080900523069</v>
      </c>
      <c r="AN133" s="29">
        <f>(VLOOKUP(C133,$B$4:$AK$7,8,FALSE)+VLOOKUP(C133,$B$8:$AK$11,8,FALSE)*입력란!$C$23)*입력란!$C$38/100</f>
        <v>73332.080900523069</v>
      </c>
      <c r="AO133" s="25"/>
      <c r="AP133" s="29"/>
      <c r="AQ133" s="29"/>
      <c r="AR133" s="28">
        <v>16</v>
      </c>
    </row>
    <row r="134" spans="2:44" ht="13.5" customHeight="1" x14ac:dyDescent="0.3">
      <c r="B134" s="30">
        <v>119</v>
      </c>
      <c r="C134" s="35">
        <v>10</v>
      </c>
      <c r="D134" s="36" t="s">
        <v>118</v>
      </c>
      <c r="E134" s="37" t="s">
        <v>126</v>
      </c>
      <c r="F134" s="39"/>
      <c r="G134" s="39"/>
      <c r="H134" s="51">
        <f>I134/AJ134</f>
        <v>21275.214739015097</v>
      </c>
      <c r="I134" s="52">
        <f>SUM(J134:Q134)*IF(입력란!C$15=1,1.04,IF(입력란!C$15=2,1.1,IF(입력란!C$15=3,1.2,1)))*IF(입력란!$C$17&lt;&gt;0,0.98,1)</f>
        <v>326006.81025901769</v>
      </c>
      <c r="J134" s="29">
        <f>S134*(1+IF($AK134+IF(입력란!$C$19=1,10,0)+IF(입력란!$C$9=1,10,0)+IF(MID($E134,5,1)="2",트라이포드!R$11,0)&gt;100,100,$AK134+IF(입력란!$C$19=1,10,0)+IF(입력란!$C$9=1,10,0)+IF(MID($E134,5,1)="2",트라이포드!R$11,0))/100*(($AL134+IF(MID($E134,3,1)="3",트라이포드!$N$11,트라이포드!$M$11))/100-1))</f>
        <v>43762.379121853934</v>
      </c>
      <c r="K134" s="29">
        <f>T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L134" s="29">
        <f>U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M134" s="29">
        <f>V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N134" s="29">
        <f>W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O134" s="29">
        <f>X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P134" s="29">
        <f>Y134*(1+IF($AK134+IF(입력란!$C$19=1,10,IF(MID($E134,1,1)="2",10,0))+IF(입력란!$C$9=1,10,0)+IF(MID($E134,5,1)="2",트라이포드!$R$11,0)&gt;100,100,$AK134+IF(입력란!$C$19=1,10,IF(MID($E134,1,1)="2",10,0))+IF(입력란!$C$9=1,10,0)+IF(MID($E134,5,1)="2",트라이포드!$R$11,0))/100*(($AL134+IF(MID($E134,3,1)="3",트라이포드!$N$11,트라이포드!$M$11))/100-1))</f>
        <v>47040.738522860614</v>
      </c>
      <c r="Q134" s="26">
        <f>Z134*(1+IF($AK134+IF(입력란!$C$19=1,10,IF(MID($E134,1,1)="2",10,0))&gt;100,100,$AK134+IF(입력란!$C$19=1,10,IF(MID($E134,1,1)="2",10,0)))/100*($AL134/100-1))</f>
        <v>0</v>
      </c>
      <c r="R134" s="23">
        <f>SUM(S134:Z134)</f>
        <v>117331.32944083691</v>
      </c>
      <c r="S134" s="29">
        <f>AN134*IF(MID(E134,3,1)="1",트라이포드!$J$11,트라이포드!$I$11)*IF(MID(E134,3,1)="2",트라이포드!$L$11,트라이포드!$K$11)*IF(입력란!$C$9=1,IF(입력란!$C$14=0,1.05,IF(입력란!$C$14=1,1.05*1.05,IF(입력란!$C$14=2,1.05*1.12,IF(입력란!$C$14=3,1.05*1.25)))),1)/IF(MID(E134,3,1)="1",7,4)</f>
        <v>16761.618491548132</v>
      </c>
      <c r="T134" s="29">
        <f>S134</f>
        <v>16761.618491548132</v>
      </c>
      <c r="U134" s="29">
        <f>T134</f>
        <v>16761.618491548132</v>
      </c>
      <c r="V134" s="29">
        <f>U134</f>
        <v>16761.618491548132</v>
      </c>
      <c r="W134" s="38">
        <f>IF(MID($E134,3,1)="1",$S134,0)</f>
        <v>16761.618491548132</v>
      </c>
      <c r="X134" s="38">
        <f>IF(MID($E134,3,1)="1",$S134,0)</f>
        <v>16761.618491548132</v>
      </c>
      <c r="Y134" s="38">
        <f>IF(MID($E134,3,1)="1",$S134,0)</f>
        <v>16761.618491548132</v>
      </c>
      <c r="Z134" s="24">
        <f>AN134*IF(MID(E134,5,1)="1",트라이포드!$P$11*IF(MID(E134,3,1)="1",7,4)*5,트라이포드!$O$11)</f>
        <v>0</v>
      </c>
      <c r="AA134" s="29">
        <f>SUM(AB134:AI134)</f>
        <v>234662.65888167382</v>
      </c>
      <c r="AB134" s="29">
        <f>S134*2</f>
        <v>33523.236983096263</v>
      </c>
      <c r="AC134" s="29">
        <f>T134*2</f>
        <v>33523.236983096263</v>
      </c>
      <c r="AD134" s="29">
        <f>U134*2</f>
        <v>33523.236983096263</v>
      </c>
      <c r="AE134" s="29">
        <f>V134*2</f>
        <v>33523.236983096263</v>
      </c>
      <c r="AF134" s="29">
        <f>W134*2</f>
        <v>33523.236983096263</v>
      </c>
      <c r="AG134" s="29">
        <f>X134*2</f>
        <v>33523.236983096263</v>
      </c>
      <c r="AH134" s="29">
        <f>Y134*2</f>
        <v>33523.236983096263</v>
      </c>
      <c r="AI134" s="24">
        <f>Z134*2</f>
        <v>0</v>
      </c>
      <c r="AJ134" s="25">
        <f>AR134*(1-입력란!$C$29/100)</f>
        <v>15.323314676640001</v>
      </c>
      <c r="AK13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4" s="25">
        <f>입력란!$C$37+입력란!$C$31+IF(입력란!$C$17=1,10,IF(입력란!$C$17=2,25,IF(입력란!$C$17=3,50,0)))</f>
        <v>295.58728189999999</v>
      </c>
      <c r="AM134" s="29">
        <f>SUM(AN134:AP134)</f>
        <v>73332.080900523069</v>
      </c>
      <c r="AN134" s="29">
        <f>(VLOOKUP(C134,$B$4:$AK$7,8,FALSE)+VLOOKUP(C134,$B$8:$AK$11,8,FALSE)*입력란!$C$23)*입력란!$C$38/100</f>
        <v>73332.080900523069</v>
      </c>
      <c r="AO134" s="25"/>
      <c r="AP134" s="29"/>
      <c r="AQ134" s="29"/>
      <c r="AR134" s="28">
        <v>16</v>
      </c>
    </row>
    <row r="135" spans="2:44" ht="13.5" customHeight="1" x14ac:dyDescent="0.3">
      <c r="B135" s="30">
        <v>120</v>
      </c>
      <c r="C135" s="35">
        <v>10</v>
      </c>
      <c r="D135" s="36" t="s">
        <v>118</v>
      </c>
      <c r="E135" s="37" t="s">
        <v>127</v>
      </c>
      <c r="F135" s="39" t="s">
        <v>306</v>
      </c>
      <c r="G135" s="39"/>
      <c r="H135" s="51">
        <f>I135/AJ135</f>
        <v>19850.075966450611</v>
      </c>
      <c r="I135" s="52">
        <f>SUM(J135:Q135)*IF(입력란!C$15=1,1.04,IF(입력란!C$15=2,1.1,IF(입력란!C$15=3,1.2,1)))*IF(입력란!$C$17&lt;&gt;0,0.98,1)</f>
        <v>304168.96038913162</v>
      </c>
      <c r="J135" s="29">
        <f>S135*(1+IF($AK135+IF(입력란!$C$19=1,10,0)+IF(입력란!$C$9=1,10,0)+IF(MID($E135,5,1)="2",트라이포드!R$11,0)&gt;100,100,$AK135+IF(입력란!$C$19=1,10,0)+IF(입력란!$C$9=1,10,0)+IF(MID($E135,5,1)="2",트라이포드!R$11,0))/100*(($AL135+IF(MID($E135,3,1)="3",트라이포드!$N$11,트라이포드!$M$11))/100-1))</f>
        <v>52701.737190842839</v>
      </c>
      <c r="K135" s="29">
        <f>T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59873.148380544946</v>
      </c>
      <c r="L135" s="29">
        <f>U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59873.148380544946</v>
      </c>
      <c r="M135" s="29">
        <f>V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59873.148380544946</v>
      </c>
      <c r="N135" s="29">
        <f>W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0</v>
      </c>
      <c r="O135" s="29">
        <f>X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0</v>
      </c>
      <c r="P135" s="29">
        <f>Y135*(1+IF($AK135+IF(입력란!$C$19=1,10,IF(MID($E135,1,1)="2",10,0))+IF(입력란!$C$9=1,10,0)+IF(MID($E135,5,1)="2",트라이포드!$R$11,0)&gt;100,100,$AK135+IF(입력란!$C$19=1,10,IF(MID($E135,1,1)="2",10,0))+IF(입력란!$C$9=1,10,0)+IF(MID($E135,5,1)="2",트라이포드!$R$11,0))/100*(($AL135+IF(MID($E135,3,1)="3",트라이포드!$N$11,트라이포드!$M$11))/100-1))</f>
        <v>0</v>
      </c>
      <c r="Q135" s="26">
        <f>Z135*(1+IF($AK135+IF(입력란!$C$19=1,10,IF(MID($E135,1,1)="2",10,0))&gt;100,100,$AK135+IF(입력란!$C$19=1,10,IF(MID($E135,1,1)="2",10,0)))/100*($AL135/100-1))</f>
        <v>71847.77805665393</v>
      </c>
      <c r="R135" s="23">
        <f>SUM(S135:Z135)</f>
        <v>190663.41034135997</v>
      </c>
      <c r="S135" s="29">
        <f>AN135*IF(MID(E135,3,1)="1",트라이포드!$J$11,트라이포드!$I$11)*IF(MID(E135,3,1)="2",트라이포드!$L$11,트라이포드!$K$11)*IF(입력란!$C$9=1,IF(입력란!$C$14=0,1.05,IF(입력란!$C$14=1,1.05*1.05,IF(입력란!$C$14=2,1.05*1.12,IF(입력란!$C$14=3,1.05*1.25)))),1)/IF(MID(E135,3,1)="1",7,4)</f>
        <v>36666.040450261535</v>
      </c>
      <c r="T135" s="29">
        <f>S135</f>
        <v>36666.040450261535</v>
      </c>
      <c r="U135" s="29">
        <f>T135</f>
        <v>36666.040450261535</v>
      </c>
      <c r="V135" s="29">
        <f>U135</f>
        <v>36666.040450261535</v>
      </c>
      <c r="W135" s="38">
        <f>IF(MID($E135,3,1)="1",$S135,0)</f>
        <v>0</v>
      </c>
      <c r="X135" s="38">
        <f>IF(MID($E135,3,1)="1",$S135,0)</f>
        <v>0</v>
      </c>
      <c r="Y135" s="38">
        <f>IF(MID($E135,3,1)="1",$S135,0)</f>
        <v>0</v>
      </c>
      <c r="Z135" s="24">
        <f>AN135*IF(MID(E135,5,1)="1",트라이포드!$P$11*IF(MID(E135,3,1)="1",7,4)*5,트라이포드!$O$11)</f>
        <v>43999.248540313842</v>
      </c>
      <c r="AA135" s="29">
        <f>SUM(AB135:AI135)</f>
        <v>381326.82068271993</v>
      </c>
      <c r="AB135" s="29">
        <f>S135*2</f>
        <v>73332.080900523069</v>
      </c>
      <c r="AC135" s="29">
        <f>T135*2</f>
        <v>73332.080900523069</v>
      </c>
      <c r="AD135" s="29">
        <f>U135*2</f>
        <v>73332.080900523069</v>
      </c>
      <c r="AE135" s="29">
        <f>V135*2</f>
        <v>73332.080900523069</v>
      </c>
      <c r="AF135" s="29">
        <f>W135*2</f>
        <v>0</v>
      </c>
      <c r="AG135" s="29">
        <f>X135*2</f>
        <v>0</v>
      </c>
      <c r="AH135" s="29">
        <f>Y135*2</f>
        <v>0</v>
      </c>
      <c r="AI135" s="24">
        <f>Z135*2</f>
        <v>87998.497080627683</v>
      </c>
      <c r="AJ135" s="25">
        <f>AR135*(1-입력란!$C$29/100)</f>
        <v>15.323314676640001</v>
      </c>
      <c r="AK13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5" s="25">
        <f>입력란!$C$37+입력란!$C$31+IF(입력란!$C$17=1,10,IF(입력란!$C$17=2,25,IF(입력란!$C$17=3,50,0)))</f>
        <v>295.58728189999999</v>
      </c>
      <c r="AM135" s="29">
        <f>SUM(AN135:AP135)</f>
        <v>73332.080900523069</v>
      </c>
      <c r="AN135" s="29">
        <f>(VLOOKUP(C135,$B$4:$AK$7,8,FALSE)+VLOOKUP(C135,$B$8:$AK$11,8,FALSE)*입력란!$C$23)*입력란!$C$38/100</f>
        <v>73332.080900523069</v>
      </c>
      <c r="AO135" s="25"/>
      <c r="AP135" s="29"/>
      <c r="AQ135" s="29"/>
      <c r="AR135" s="28">
        <v>16</v>
      </c>
    </row>
    <row r="136" spans="2:44" ht="13.5" customHeight="1" x14ac:dyDescent="0.3">
      <c r="B136" s="30">
        <v>121</v>
      </c>
      <c r="C136" s="35">
        <v>10</v>
      </c>
      <c r="D136" s="36" t="s">
        <v>118</v>
      </c>
      <c r="E136" s="37" t="s">
        <v>84</v>
      </c>
      <c r="F136" s="39" t="s">
        <v>302</v>
      </c>
      <c r="G136" s="39"/>
      <c r="H136" s="51">
        <f>I136/AJ136</f>
        <v>13698.45649164669</v>
      </c>
      <c r="I136" s="52">
        <f>SUM(J136:Q136)*IF(입력란!C$15=1,1.04,IF(입력란!C$15=2,1.1,IF(입력란!C$15=3,1.2,1)))*IF(입력란!$C$17&lt;&gt;0,0.98,1)</f>
        <v>209905.75940576423</v>
      </c>
      <c r="J136" s="29">
        <f>S136*(1+IF($AK136+IF(입력란!$C$19=1,10,0)+IF(입력란!$C$9=1,10,0)+IF(MID($E136,5,1)="2",트라이포드!R$11,0)&gt;100,100,$AK136+IF(입력란!$C$19=1,10,0)+IF(입력란!$C$9=1,10,0)+IF(MID($E136,5,1)="2",트라이포드!R$11,0))/100*(($AL136+IF(MID($E136,3,1)="3",트라이포드!$N$11,트라이포드!$M$11))/100-1))</f>
        <v>30450.239624254486</v>
      </c>
      <c r="K136" s="29">
        <f>T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35869.247241618614</v>
      </c>
      <c r="L136" s="29">
        <f>U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35869.247241618614</v>
      </c>
      <c r="M136" s="29">
        <f>V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35869.247241618614</v>
      </c>
      <c r="N136" s="29">
        <f>W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0</v>
      </c>
      <c r="O136" s="29">
        <f>X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0</v>
      </c>
      <c r="P136" s="29">
        <f>Y136*(1+IF($AK136+IF(입력란!$C$19=1,10,IF(MID($E136,1,1)="2",10,0))+IF(입력란!$C$9=1,10,0)+IF(MID($E136,5,1)="2",트라이포드!$R$11,0)&gt;100,100,$AK136+IF(입력란!$C$19=1,10,IF(MID($E136,1,1)="2",10,0))+IF(입력란!$C$9=1,10,0)+IF(MID($E136,5,1)="2",트라이포드!$R$11,0))/100*(($AL136+IF(MID($E136,3,1)="3",트라이포드!$N$11,트라이포드!$M$11))/100-1))</f>
        <v>0</v>
      </c>
      <c r="Q136" s="26">
        <f>Z136*(1+IF($AK136+IF(입력란!$C$19=1,10,IF(MID($E136,1,1)="2",10,0))&gt;100,100,$AK136+IF(입력란!$C$19=1,10,IF(MID($E136,1,1)="2",10,0)))/100*($AL136/100-1))</f>
        <v>71847.77805665393</v>
      </c>
      <c r="R136" s="23">
        <f>SUM(S136:Z136)</f>
        <v>117331.32944083691</v>
      </c>
      <c r="S136" s="29">
        <f>AN136*IF(MID(E136,3,1)="1",트라이포드!$J$11,트라이포드!$I$11)*IF(MID(E136,3,1)="2",트라이포드!$L$11,트라이포드!$K$11)*IF(입력란!$C$9=1,IF(입력란!$C$14=0,1.05,IF(입력란!$C$14=1,1.05*1.05,IF(입력란!$C$14=2,1.05*1.12,IF(입력란!$C$14=3,1.05*1.25)))),1)/IF(MID(E136,3,1)="1",7,4)</f>
        <v>18333.020225130767</v>
      </c>
      <c r="T136" s="29">
        <f>S136</f>
        <v>18333.020225130767</v>
      </c>
      <c r="U136" s="29">
        <f>T136</f>
        <v>18333.020225130767</v>
      </c>
      <c r="V136" s="29">
        <f>U136</f>
        <v>18333.020225130767</v>
      </c>
      <c r="W136" s="38">
        <f>IF(MID($E136,3,1)="1",$S136,0)</f>
        <v>0</v>
      </c>
      <c r="X136" s="38">
        <f>IF(MID($E136,3,1)="1",$S136,0)</f>
        <v>0</v>
      </c>
      <c r="Y136" s="38">
        <f>IF(MID($E136,3,1)="1",$S136,0)</f>
        <v>0</v>
      </c>
      <c r="Z136" s="24">
        <f>AN136*IF(MID(E136,5,1)="1",트라이포드!$P$11*IF(MID(E136,3,1)="1",7,4)*5,트라이포드!$O$11)</f>
        <v>43999.248540313842</v>
      </c>
      <c r="AA136" s="29">
        <f>SUM(AB136:AI136)</f>
        <v>234662.65888167382</v>
      </c>
      <c r="AB136" s="29">
        <f>S136*2</f>
        <v>36666.040450261535</v>
      </c>
      <c r="AC136" s="29">
        <f>T136*2</f>
        <v>36666.040450261535</v>
      </c>
      <c r="AD136" s="29">
        <f>U136*2</f>
        <v>36666.040450261535</v>
      </c>
      <c r="AE136" s="29">
        <f>V136*2</f>
        <v>36666.040450261535</v>
      </c>
      <c r="AF136" s="29">
        <f>W136*2</f>
        <v>0</v>
      </c>
      <c r="AG136" s="29">
        <f>X136*2</f>
        <v>0</v>
      </c>
      <c r="AH136" s="29">
        <f>Y136*2</f>
        <v>0</v>
      </c>
      <c r="AI136" s="24">
        <f>Z136*2</f>
        <v>87998.497080627683</v>
      </c>
      <c r="AJ136" s="25">
        <f>AR136*(1-입력란!$C$29/100)</f>
        <v>15.323314676640001</v>
      </c>
      <c r="AK13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6" s="25">
        <f>입력란!$C$37+입력란!$C$31+IF(입력란!$C$17=1,10,IF(입력란!$C$17=2,25,IF(입력란!$C$17=3,50,0)))</f>
        <v>295.58728189999999</v>
      </c>
      <c r="AM136" s="29">
        <f>SUM(AN136:AP136)</f>
        <v>73332.080900523069</v>
      </c>
      <c r="AN136" s="29">
        <f>(VLOOKUP(C136,$B$4:$AK$7,8,FALSE)+VLOOKUP(C136,$B$8:$AK$11,8,FALSE)*입력란!$C$23)*입력란!$C$38/100</f>
        <v>73332.080900523069</v>
      </c>
      <c r="AO136" s="25"/>
      <c r="AP136" s="29"/>
      <c r="AQ136" s="29"/>
      <c r="AR136" s="28">
        <v>16</v>
      </c>
    </row>
    <row r="137" spans="2:44" ht="13.5" customHeight="1" x14ac:dyDescent="0.3">
      <c r="B137" s="30">
        <v>122</v>
      </c>
      <c r="C137" s="35">
        <v>10</v>
      </c>
      <c r="D137" s="36" t="s">
        <v>118</v>
      </c>
      <c r="E137" s="37" t="s">
        <v>82</v>
      </c>
      <c r="F137" s="39" t="s">
        <v>305</v>
      </c>
      <c r="G137" s="39"/>
      <c r="H137" s="51">
        <f>I137/AJ137</f>
        <v>26393.444200547488</v>
      </c>
      <c r="I137" s="52">
        <f>SUM(J137:Q137)*IF(입력란!C$15=1,1.04,IF(입력란!C$15=2,1.1,IF(입력란!C$15=3,1.2,1)))*IF(입력란!$C$17&lt;&gt;0,0.98,1)</f>
        <v>404435.05088532827</v>
      </c>
      <c r="J137" s="29">
        <f>S137*(1+IF($AK137+IF(입력란!$C$19=1,10,0)+IF(입력란!$C$9=1,10,0)+IF(MID($E137,5,1)="2",트라이포드!R$11,0)&gt;100,100,$AK137+IF(입력란!$C$19=1,10,0)+IF(입력란!$C$9=1,10,0)+IF(MID($E137,5,1)="2",트라이포드!R$11,0))/100*(($AL137+IF(MID($E137,3,1)="3",트라이포드!$N$11,트라이포드!$M$11))/100-1))</f>
        <v>95730.204329055472</v>
      </c>
      <c r="K137" s="29">
        <f>T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102901.61551875759</v>
      </c>
      <c r="L137" s="29">
        <f>U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102901.61551875759</v>
      </c>
      <c r="M137" s="29">
        <f>V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102901.61551875759</v>
      </c>
      <c r="N137" s="29">
        <f>W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0</v>
      </c>
      <c r="O137" s="29">
        <f>X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0</v>
      </c>
      <c r="P137" s="29">
        <f>Y137*(1+IF($AK137+IF(입력란!$C$19=1,10,IF(MID($E137,1,1)="2",10,0))+IF(입력란!$C$9=1,10,0)+IF(MID($E137,5,1)="2",트라이포드!$R$11,0)&gt;100,100,$AK137+IF(입력란!$C$19=1,10,IF(MID($E137,1,1)="2",10,0))+IF(입력란!$C$9=1,10,0)+IF(MID($E137,5,1)="2",트라이포드!$R$11,0))/100*(($AL137+IF(MID($E137,3,1)="3",트라이포드!$N$11,트라이포드!$M$11))/100-1))</f>
        <v>0</v>
      </c>
      <c r="Q137" s="26">
        <f>Z137*(1+IF($AK137+IF(입력란!$C$19=1,10,IF(MID($E137,1,1)="2",10,0))&gt;100,100,$AK137+IF(입력란!$C$19=1,10,IF(MID($E137,1,1)="2",10,0)))/100*($AL137/100-1))</f>
        <v>0</v>
      </c>
      <c r="R137" s="23">
        <f>SUM(S137:Z137)</f>
        <v>146664.16180104614</v>
      </c>
      <c r="S137" s="29">
        <f>AN137*IF(MID(E137,3,1)="1",트라이포드!$J$11,트라이포드!$I$11)*IF(MID(E137,3,1)="2",트라이포드!$L$11,트라이포드!$K$11)*IF(입력란!$C$9=1,IF(입력란!$C$14=0,1.05,IF(입력란!$C$14=1,1.05*1.05,IF(입력란!$C$14=2,1.05*1.12,IF(입력란!$C$14=3,1.05*1.25)))),1)/IF(MID(E137,3,1)="1",7,4)</f>
        <v>36666.040450261535</v>
      </c>
      <c r="T137" s="29">
        <f>S137</f>
        <v>36666.040450261535</v>
      </c>
      <c r="U137" s="29">
        <f>T137</f>
        <v>36666.040450261535</v>
      </c>
      <c r="V137" s="29">
        <f>U137</f>
        <v>36666.040450261535</v>
      </c>
      <c r="W137" s="38">
        <f>IF(MID($E137,3,1)="1",$S137,0)</f>
        <v>0</v>
      </c>
      <c r="X137" s="38">
        <f>IF(MID($E137,3,1)="1",$S137,0)</f>
        <v>0</v>
      </c>
      <c r="Y137" s="38">
        <f>IF(MID($E137,3,1)="1",$S137,0)</f>
        <v>0</v>
      </c>
      <c r="Z137" s="24">
        <f>AN137*IF(MID(E137,5,1)="1",트라이포드!$P$11*IF(MID(E137,3,1)="1",7,4)*5,트라이포드!$O$11)</f>
        <v>0</v>
      </c>
      <c r="AA137" s="29">
        <f>SUM(AB137:AI137)</f>
        <v>293328.32360209228</v>
      </c>
      <c r="AB137" s="29">
        <f>S137*2</f>
        <v>73332.080900523069</v>
      </c>
      <c r="AC137" s="29">
        <f>T137*2</f>
        <v>73332.080900523069</v>
      </c>
      <c r="AD137" s="29">
        <f>U137*2</f>
        <v>73332.080900523069</v>
      </c>
      <c r="AE137" s="29">
        <f>V137*2</f>
        <v>73332.080900523069</v>
      </c>
      <c r="AF137" s="29">
        <f>W137*2</f>
        <v>0</v>
      </c>
      <c r="AG137" s="29">
        <f>X137*2</f>
        <v>0</v>
      </c>
      <c r="AH137" s="29">
        <f>Y137*2</f>
        <v>0</v>
      </c>
      <c r="AI137" s="24">
        <f>Z137*2</f>
        <v>0</v>
      </c>
      <c r="AJ137" s="25">
        <f>AR137*(1-입력란!$C$29/100)</f>
        <v>15.323314676640001</v>
      </c>
      <c r="AK13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7" s="25">
        <f>입력란!$C$37+입력란!$C$31+IF(입력란!$C$17=1,10,IF(입력란!$C$17=2,25,IF(입력란!$C$17=3,50,0)))</f>
        <v>295.58728189999999</v>
      </c>
      <c r="AM137" s="29">
        <f>SUM(AN137:AP137)</f>
        <v>73332.080900523069</v>
      </c>
      <c r="AN137" s="29">
        <f>(VLOOKUP(C137,$B$4:$AK$7,8,FALSE)+VLOOKUP(C137,$B$8:$AK$11,8,FALSE)*입력란!$C$23)*입력란!$C$38/100</f>
        <v>73332.080900523069</v>
      </c>
      <c r="AO137" s="25"/>
      <c r="AP137" s="29"/>
      <c r="AQ137" s="29"/>
      <c r="AR137" s="28">
        <v>16</v>
      </c>
    </row>
    <row r="138" spans="2:44" ht="13.5" customHeight="1" x14ac:dyDescent="0.3">
      <c r="B138" s="30">
        <v>123</v>
      </c>
      <c r="C138" s="35">
        <v>10</v>
      </c>
      <c r="D138" s="36" t="s">
        <v>118</v>
      </c>
      <c r="E138" s="37" t="s">
        <v>85</v>
      </c>
      <c r="F138" s="39"/>
      <c r="G138" s="39"/>
      <c r="H138" s="51">
        <f>I138/AJ138</f>
        <v>17497.138825621234</v>
      </c>
      <c r="I138" s="52">
        <f>SUM(J138:Q138)*IF(입력란!C$15=1,1.04,IF(입력란!C$15=2,1.1,IF(입력란!C$15=3,1.2,1)))*IF(입력란!$C$17&lt;&gt;0,0.98,1)</f>
        <v>268114.16416584945</v>
      </c>
      <c r="J138" s="29">
        <f>S138*(1+IF($AK138+IF(입력란!$C$19=1,10,0)+IF(입력란!$C$9=1,10,0)+IF(MID($E138,5,1)="2",트라이포드!R$11,0)&gt;100,100,$AK138+IF(입력란!$C$19=1,10,0)+IF(입력란!$C$9=1,10,0)+IF(MID($E138,5,1)="2",트라이포드!R$11,0))/100*(($AL138+IF(MID($E138,3,1)="3",트라이포드!$N$11,트라이포드!$M$11))/100-1))</f>
        <v>62964.285328439262</v>
      </c>
      <c r="K138" s="29">
        <f>T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68383.292945803405</v>
      </c>
      <c r="L138" s="29">
        <f>U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68383.292945803405</v>
      </c>
      <c r="M138" s="29">
        <f>V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68383.292945803405</v>
      </c>
      <c r="N138" s="29">
        <f>W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0</v>
      </c>
      <c r="O138" s="29">
        <f>X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0</v>
      </c>
      <c r="P138" s="29">
        <f>Y138*(1+IF($AK138+IF(입력란!$C$19=1,10,IF(MID($E138,1,1)="2",10,0))+IF(입력란!$C$9=1,10,0)+IF(MID($E138,5,1)="2",트라이포드!$R$11,0)&gt;100,100,$AK138+IF(입력란!$C$19=1,10,IF(MID($E138,1,1)="2",10,0))+IF(입력란!$C$9=1,10,0)+IF(MID($E138,5,1)="2",트라이포드!$R$11,0))/100*(($AL138+IF(MID($E138,3,1)="3",트라이포드!$N$11,트라이포드!$M$11))/100-1))</f>
        <v>0</v>
      </c>
      <c r="Q138" s="26">
        <f>Z138*(1+IF($AK138+IF(입력란!$C$19=1,10,IF(MID($E138,1,1)="2",10,0))&gt;100,100,$AK138+IF(입력란!$C$19=1,10,IF(MID($E138,1,1)="2",10,0)))/100*($AL138/100-1))</f>
        <v>0</v>
      </c>
      <c r="R138" s="23">
        <f>SUM(S138:Z138)</f>
        <v>73332.080900523069</v>
      </c>
      <c r="S138" s="29">
        <f>AN138*IF(MID(E138,3,1)="1",트라이포드!$J$11,트라이포드!$I$11)*IF(MID(E138,3,1)="2",트라이포드!$L$11,트라이포드!$K$11)*IF(입력란!$C$9=1,IF(입력란!$C$14=0,1.05,IF(입력란!$C$14=1,1.05*1.05,IF(입력란!$C$14=2,1.05*1.12,IF(입력란!$C$14=3,1.05*1.25)))),1)/IF(MID(E138,3,1)="1",7,4)</f>
        <v>18333.020225130767</v>
      </c>
      <c r="T138" s="29">
        <f>S138</f>
        <v>18333.020225130767</v>
      </c>
      <c r="U138" s="29">
        <f>T138</f>
        <v>18333.020225130767</v>
      </c>
      <c r="V138" s="29">
        <f>U138</f>
        <v>18333.020225130767</v>
      </c>
      <c r="W138" s="38">
        <f>IF(MID($E138,3,1)="1",$S138,0)</f>
        <v>0</v>
      </c>
      <c r="X138" s="38">
        <f>IF(MID($E138,3,1)="1",$S138,0)</f>
        <v>0</v>
      </c>
      <c r="Y138" s="38">
        <f>IF(MID($E138,3,1)="1",$S138,0)</f>
        <v>0</v>
      </c>
      <c r="Z138" s="24">
        <f>AN138*IF(MID(E138,5,1)="1",트라이포드!$P$11*IF(MID(E138,3,1)="1",7,4)*5,트라이포드!$O$11)</f>
        <v>0</v>
      </c>
      <c r="AA138" s="29">
        <f>SUM(AB138:AI138)</f>
        <v>146664.16180104614</v>
      </c>
      <c r="AB138" s="29">
        <f>S138*2</f>
        <v>36666.040450261535</v>
      </c>
      <c r="AC138" s="29">
        <f>T138*2</f>
        <v>36666.040450261535</v>
      </c>
      <c r="AD138" s="29">
        <f>U138*2</f>
        <v>36666.040450261535</v>
      </c>
      <c r="AE138" s="29">
        <f>V138*2</f>
        <v>36666.040450261535</v>
      </c>
      <c r="AF138" s="29">
        <f>W138*2</f>
        <v>0</v>
      </c>
      <c r="AG138" s="29">
        <f>X138*2</f>
        <v>0</v>
      </c>
      <c r="AH138" s="29">
        <f>Y138*2</f>
        <v>0</v>
      </c>
      <c r="AI138" s="24">
        <f>Z138*2</f>
        <v>0</v>
      </c>
      <c r="AJ138" s="25">
        <f>AR138*(1-입력란!$C$29/100)</f>
        <v>15.323314676640001</v>
      </c>
      <c r="AK13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8" s="25">
        <f>입력란!$C$37+입력란!$C$31+IF(입력란!$C$17=1,10,IF(입력란!$C$17=2,25,IF(입력란!$C$17=3,50,0)))</f>
        <v>295.58728189999999</v>
      </c>
      <c r="AM138" s="29">
        <f>SUM(AN138:AP138)</f>
        <v>73332.080900523069</v>
      </c>
      <c r="AN138" s="29">
        <f>(VLOOKUP(C138,$B$4:$AK$7,8,FALSE)+VLOOKUP(C138,$B$8:$AK$11,8,FALSE)*입력란!$C$23)*입력란!$C$38/100</f>
        <v>73332.080900523069</v>
      </c>
      <c r="AO138" s="25"/>
      <c r="AP138" s="29"/>
      <c r="AQ138" s="29"/>
      <c r="AR138" s="28">
        <v>16</v>
      </c>
    </row>
    <row r="139" spans="2:44" ht="13.5" customHeight="1" x14ac:dyDescent="0.3">
      <c r="B139" s="30">
        <v>124</v>
      </c>
      <c r="C139" s="35">
        <v>1</v>
      </c>
      <c r="D139" s="36" t="s">
        <v>133</v>
      </c>
      <c r="E139" s="37" t="s">
        <v>75</v>
      </c>
      <c r="F139" s="39"/>
      <c r="G139" s="39"/>
      <c r="H139" s="51">
        <f>I139/AJ139</f>
        <v>6745.6717975793545</v>
      </c>
      <c r="I139" s="52">
        <f>SUM(J139:Q139)*IF(입력란!C$15=1,1.04,IF(입력란!C$15=2,1.1,IF(입력란!C$15=3,1.2,1)))*IF(입력란!$C$17&lt;&gt;0,0.98,1)</f>
        <v>155049.07748946638</v>
      </c>
      <c r="J139" s="29">
        <f>S139*(1+IF($AK139+IF(입력란!$C$9=1,10,0)+IF(입력란!$C$19=1,10,0)+IF(MID(E139,1,1)="3",트라이포드!H$12,0)&gt;100,100,$AK139+IF(입력란!$C$9=1,10,0)+IF(입력란!$C$19=1,10,0)+IF(MID(E139,1,1)="3",트라이포드!H$12,0))/100*(($AL139+IF(MID(E139,5,1)="2",트라이포드!R$12,0))/100-1))</f>
        <v>99226.128574619885</v>
      </c>
      <c r="K139" s="29">
        <f>T139*(1+IF($AK139+IF(입력란!$C$19=1,10,0)+IF(입력란!$C$9=1,10,0)&gt;100,100,$AK139+IF(입력란!$C$19=1,10,0)+IF(입력란!$C$9=1,10,0))/100*($AL139/100-1))</f>
        <v>55822.948914846485</v>
      </c>
      <c r="L139" s="29"/>
      <c r="M139" s="29"/>
      <c r="N139" s="38"/>
      <c r="O139" s="38"/>
      <c r="P139" s="38"/>
      <c r="Q139" s="26">
        <f>Z139*(1+IF($AK139+IF(입력란!$C$19=1,10,0)&gt;100,100,$AK139+IF(입력란!$C$19=1,10,0))/100*($AL139/100-1))</f>
        <v>0</v>
      </c>
      <c r="R139" s="23">
        <f>SUM(S139:Z139)</f>
        <v>107871.88525527976</v>
      </c>
      <c r="S139" s="29">
        <f>AN139*IF(MID(E139,5,1)="2",트라이포드!$Q$12,1)*IF(입력란!$C$9=1,IF(입력란!$C$14=0,1.05,IF(입력란!$C$14=1,1.05*1.05,IF(입력란!$C$14=2,1.05*1.12,IF(입력란!$C$14=3,1.05*1.25)))),1)</f>
        <v>69034.33241422681</v>
      </c>
      <c r="T139" s="29">
        <f>AO139*IF(MID(E139,3,1)="1",트라이포드!$J$12,트라이포드!$I$12)*IF(MID(E139,3,1)="3",트라이포드!$N$12,트라이포드!$M$12)*IF(입력란!$C$9=1,IF(입력란!$C$14=0,1.05,IF(입력란!$C$14=1,1.05*1.05,IF(입력란!$C$14=2,1.05*1.12,IF(입력란!$C$14=3,1.05*1.25)))),1)</f>
        <v>38837.552841052951</v>
      </c>
      <c r="U139" s="29"/>
      <c r="V139" s="29"/>
      <c r="W139" s="38"/>
      <c r="X139" s="38"/>
      <c r="Y139" s="38"/>
      <c r="Z139" s="24">
        <f>AO139*IF(MID(E139,3,1)="1",0.6,0)</f>
        <v>0</v>
      </c>
      <c r="AA139" s="29">
        <f>SUM(AB139:AI139)</f>
        <v>215743.77051055952</v>
      </c>
      <c r="AB139" s="29">
        <f>S139*2</f>
        <v>138068.66482845362</v>
      </c>
      <c r="AC139" s="29">
        <f>T139*2</f>
        <v>77675.105682105903</v>
      </c>
      <c r="AD139" s="29"/>
      <c r="AE139" s="29"/>
      <c r="AF139" s="38"/>
      <c r="AG139" s="38"/>
      <c r="AH139" s="38"/>
      <c r="AI139" s="24">
        <f>Z139*2</f>
        <v>0</v>
      </c>
      <c r="AJ139" s="25">
        <f>AR139*(1-입력란!$C$29/100)</f>
        <v>22.98497201496</v>
      </c>
      <c r="AK13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39" s="25">
        <f>입력란!$C$37+입력란!$C$31+IF(입력란!$C$17=1,10,IF(입력란!$C$17=2,25,IF(입력란!$C$17=3,50,0)))</f>
        <v>295.58728189999999</v>
      </c>
      <c r="AM139" s="29">
        <f>SUM(AN139:AP139)</f>
        <v>107871.88525527976</v>
      </c>
      <c r="AN139" s="29">
        <f>(VLOOKUP(C139,$B$4:$AK$7,9,FALSE)+VLOOKUP(C139,$B$8:$AK$11,9,FALSE)*입력란!$C$23)*입력란!$C$38/100</f>
        <v>69034.33241422681</v>
      </c>
      <c r="AO139" s="29">
        <f>(VLOOKUP(C139,$B$4:$AK$7,10,FALSE)+VLOOKUP(C139,$B$8:$AK$11,10,FALSE)*입력란!$C$23)*입력란!$C$38/100</f>
        <v>38837.552841052951</v>
      </c>
      <c r="AP139" s="29"/>
      <c r="AQ139" s="29"/>
      <c r="AR139" s="28">
        <v>24</v>
      </c>
    </row>
    <row r="140" spans="2:44" ht="13.5" customHeight="1" x14ac:dyDescent="0.3">
      <c r="B140" s="30">
        <v>125</v>
      </c>
      <c r="C140" s="35">
        <v>4</v>
      </c>
      <c r="D140" s="36" t="s">
        <v>134</v>
      </c>
      <c r="E140" s="37" t="s">
        <v>75</v>
      </c>
      <c r="F140" s="39"/>
      <c r="G140" s="39"/>
      <c r="H140" s="51">
        <f>I140/AJ140</f>
        <v>6773.4869674770762</v>
      </c>
      <c r="I140" s="52">
        <f>SUM(J140:Q140)*IF(입력란!C$15=1,1.04,IF(입력란!C$15=2,1.1,IF(입력란!C$15=3,1.2,1)))*IF(입력란!$C$17&lt;&gt;0,0.98,1)</f>
        <v>155688.40839115687</v>
      </c>
      <c r="J140" s="29">
        <f>S140*(1+IF($AK140+IF(입력란!$C$9=1,10,0)+IF(입력란!$C$19=1,10,0)+IF(MID(E140,1,1)="3",트라이포드!H$12,0)&gt;100,100,$AK140+IF(입력란!$C$9=1,10,0)+IF(입력란!$C$19=1,10,0)+IF(MID(E140,1,1)="3",트라이포드!H$12,0))/100*(($AL140+IF(MID(E140,5,1)="2",트라이포드!R$12,0))/100-1))</f>
        <v>99634.909393956172</v>
      </c>
      <c r="K140" s="29">
        <f>T140*(1+IF($AK140+IF(입력란!$C$19=1,10,0)+IF(입력란!$C$9=1,10,0)&gt;100,100,$AK140+IF(입력란!$C$19=1,10,0)+IF(입력란!$C$9=1,10,0))/100*($AL140/100-1))</f>
        <v>56053.498997200702</v>
      </c>
      <c r="L140" s="29"/>
      <c r="M140" s="29"/>
      <c r="N140" s="38"/>
      <c r="O140" s="38"/>
      <c r="P140" s="38"/>
      <c r="Q140" s="26">
        <f>Z140*(1+IF($AK140+IF(입력란!$C$19=1,10,0)&gt;100,100,$AK140+IF(입력란!$C$19=1,10,0))/100*($AL140/100-1))</f>
        <v>0</v>
      </c>
      <c r="R140" s="23">
        <f>SUM(S140:Z140)</f>
        <v>108316.68525527975</v>
      </c>
      <c r="S140" s="29">
        <f>AN140*IF(MID(E140,5,1)="2",트라이포드!$Q$12,1)*IF(입력란!$C$9=1,IF(입력란!$C$14=0,1.05,IF(입력란!$C$14=1,1.05*1.05,IF(입력란!$C$14=2,1.05*1.12,IF(입력란!$C$14=3,1.05*1.25)))),1)</f>
        <v>69318.732414226804</v>
      </c>
      <c r="T140" s="29">
        <f>AO140*IF(MID(E140,3,1)="1",트라이포드!$J$12,트라이포드!$I$12)*IF(MID(E140,3,1)="3",트라이포드!$N$12,트라이포드!$M$12)*IF(입력란!$C$9=1,IF(입력란!$C$14=0,1.05,IF(입력란!$C$14=1,1.05*1.05,IF(입력란!$C$14=2,1.05*1.12,IF(입력란!$C$14=3,1.05*1.25)))),1)</f>
        <v>38997.952841052946</v>
      </c>
      <c r="U140" s="29"/>
      <c r="V140" s="29"/>
      <c r="W140" s="38"/>
      <c r="X140" s="38"/>
      <c r="Y140" s="38"/>
      <c r="Z140" s="24">
        <f>AO140*IF(MID(E140,3,1)="1",0.6,0)</f>
        <v>0</v>
      </c>
      <c r="AA140" s="29">
        <f>SUM(AB140:AI140)</f>
        <v>216633.3705105595</v>
      </c>
      <c r="AB140" s="29">
        <f>S140*2</f>
        <v>138637.46482845361</v>
      </c>
      <c r="AC140" s="29">
        <f>T140*2</f>
        <v>77995.905682105891</v>
      </c>
      <c r="AD140" s="29"/>
      <c r="AE140" s="29"/>
      <c r="AF140" s="38"/>
      <c r="AG140" s="38"/>
      <c r="AH140" s="38"/>
      <c r="AI140" s="24">
        <f>Z140*2</f>
        <v>0</v>
      </c>
      <c r="AJ140" s="25">
        <f>AR140*(1-입력란!$C$29/100)</f>
        <v>22.98497201496</v>
      </c>
      <c r="AK14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0" s="25">
        <f>입력란!$C$37+입력란!$C$31+IF(입력란!$C$17=1,10,IF(입력란!$C$17=2,25,IF(입력란!$C$17=3,50,0)))</f>
        <v>295.58728189999999</v>
      </c>
      <c r="AM140" s="29">
        <f>SUM(AN140:AP140)</f>
        <v>108316.68525527975</v>
      </c>
      <c r="AN140" s="29">
        <f>(VLOOKUP(C140,$B$4:$AK$7,9,FALSE)+VLOOKUP(C140,$B$8:$AK$11,9,FALSE)*입력란!$C$23)*입력란!$C$38/100</f>
        <v>69318.732414226804</v>
      </c>
      <c r="AO140" s="29">
        <f>(VLOOKUP(C140,$B$4:$AK$7,10,FALSE)+VLOOKUP(C140,$B$8:$AK$11,10,FALSE)*입력란!$C$23)*입력란!$C$38/100</f>
        <v>38997.952841052946</v>
      </c>
      <c r="AP140" s="29"/>
      <c r="AQ140" s="29"/>
      <c r="AR140" s="28">
        <v>24</v>
      </c>
    </row>
    <row r="141" spans="2:44" ht="13.5" customHeight="1" x14ac:dyDescent="0.3">
      <c r="B141" s="30">
        <v>126</v>
      </c>
      <c r="C141" s="35">
        <v>4</v>
      </c>
      <c r="D141" s="36" t="s">
        <v>134</v>
      </c>
      <c r="E141" s="37" t="s">
        <v>76</v>
      </c>
      <c r="F141" s="39"/>
      <c r="G141" s="39"/>
      <c r="H141" s="51">
        <f>I141/AJ141</f>
        <v>9132.9177205496089</v>
      </c>
      <c r="I141" s="52">
        <f>SUM(J141:Q141)*IF(입력란!C$15=1,1.04,IF(입력란!C$15=2,1.1,IF(입력란!C$15=3,1.2,1)))*IF(입력란!$C$17&lt;&gt;0,0.98,1)</f>
        <v>209919.85822176503</v>
      </c>
      <c r="J141" s="29">
        <f>S141*(1+IF($AK141+IF(입력란!$C$9=1,10,0)+IF(입력란!$C$19=1,10,0)+IF(MID(E141,1,1)="3",트라이포드!H$12,0)&gt;100,100,$AK141+IF(입력란!$C$9=1,10,0)+IF(입력란!$C$19=1,10,0)+IF(MID(E141,1,1)="3",트라이포드!H$12,0))/100*(($AL141+IF(MID(E141,5,1)="2",트라이포드!R$12,0))/100-1))</f>
        <v>153866.35922456434</v>
      </c>
      <c r="K141" s="29">
        <f>T141*(1+IF($AK141+IF(입력란!$C$19=1,10,0)+IF(입력란!$C$9=1,10,0)&gt;100,100,$AK141+IF(입력란!$C$19=1,10,0)+IF(입력란!$C$9=1,10,0))/100*($AL141/100-1))</f>
        <v>56053.498997200702</v>
      </c>
      <c r="L141" s="29"/>
      <c r="M141" s="29"/>
      <c r="N141" s="38"/>
      <c r="O141" s="38"/>
      <c r="P141" s="38"/>
      <c r="Q141" s="26">
        <f>Z141*(1+IF($AK141+IF(입력란!$C$19=1,10,0)&gt;100,100,$AK141+IF(입력란!$C$19=1,10,0))/100*($AL141/100-1))</f>
        <v>0</v>
      </c>
      <c r="R141" s="23">
        <f>SUM(S141:Z141)</f>
        <v>108316.68525527975</v>
      </c>
      <c r="S141" s="29">
        <f>AN141*IF(MID(E141,5,1)="2",트라이포드!$Q$12,1)*IF(입력란!$C$9=1,IF(입력란!$C$14=0,1.05,IF(입력란!$C$14=1,1.05*1.05,IF(입력란!$C$14=2,1.05*1.12,IF(입력란!$C$14=3,1.05*1.25)))),1)</f>
        <v>69318.732414226804</v>
      </c>
      <c r="T141" s="29">
        <f>AO141*IF(MID(E141,3,1)="1",트라이포드!$J$12,트라이포드!$I$12)*IF(MID(E141,3,1)="3",트라이포드!$N$12,트라이포드!$M$12)*IF(입력란!$C$9=1,IF(입력란!$C$14=0,1.05,IF(입력란!$C$14=1,1.05*1.05,IF(입력란!$C$14=2,1.05*1.12,IF(입력란!$C$14=3,1.05*1.25)))),1)</f>
        <v>38997.952841052946</v>
      </c>
      <c r="U141" s="29"/>
      <c r="V141" s="29"/>
      <c r="W141" s="38"/>
      <c r="X141" s="38"/>
      <c r="Y141" s="38"/>
      <c r="Z141" s="24">
        <f>AO141*IF(MID(E141,3,1)="1",0.6,0)</f>
        <v>0</v>
      </c>
      <c r="AA141" s="29">
        <f>SUM(AB141:AI141)</f>
        <v>216633.3705105595</v>
      </c>
      <c r="AB141" s="29">
        <f>S141*2</f>
        <v>138637.46482845361</v>
      </c>
      <c r="AC141" s="29">
        <f>T141*2</f>
        <v>77995.905682105891</v>
      </c>
      <c r="AD141" s="29"/>
      <c r="AE141" s="29"/>
      <c r="AF141" s="38"/>
      <c r="AG141" s="38"/>
      <c r="AH141" s="38"/>
      <c r="AI141" s="24">
        <f>Z141*2</f>
        <v>0</v>
      </c>
      <c r="AJ141" s="25">
        <f>AR141*(1-입력란!$C$29/100)</f>
        <v>22.98497201496</v>
      </c>
      <c r="AK14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1" s="25">
        <f>입력란!$C$37+입력란!$C$31+IF(입력란!$C$17=1,10,IF(입력란!$C$17=2,25,IF(입력란!$C$17=3,50,0)))</f>
        <v>295.58728189999999</v>
      </c>
      <c r="AM141" s="29">
        <f>SUM(AN141:AP141)</f>
        <v>108316.68525527975</v>
      </c>
      <c r="AN141" s="29">
        <f>(VLOOKUP(C141,$B$4:$AK$7,9,FALSE)+VLOOKUP(C141,$B$8:$AK$11,9,FALSE)*입력란!$C$23)*입력란!$C$38/100</f>
        <v>69318.732414226804</v>
      </c>
      <c r="AO141" s="29">
        <f>(VLOOKUP(C141,$B$4:$AK$7,10,FALSE)+VLOOKUP(C141,$B$8:$AK$11,10,FALSE)*입력란!$C$23)*입력란!$C$38/100</f>
        <v>38997.952841052946</v>
      </c>
      <c r="AP141" s="29"/>
      <c r="AQ141" s="29"/>
      <c r="AR141" s="28">
        <v>24</v>
      </c>
    </row>
    <row r="142" spans="2:44" ht="13.5" customHeight="1" x14ac:dyDescent="0.3">
      <c r="B142" s="30">
        <v>127</v>
      </c>
      <c r="C142" s="35">
        <v>7</v>
      </c>
      <c r="D142" s="36" t="s">
        <v>134</v>
      </c>
      <c r="E142" s="37" t="s">
        <v>75</v>
      </c>
      <c r="F142" s="39"/>
      <c r="G142" s="39"/>
      <c r="H142" s="51">
        <f>I142/AJ142</f>
        <v>6786.3439794621763</v>
      </c>
      <c r="I142" s="52">
        <f>SUM(J142:Q142)*IF(입력란!C$15=1,1.04,IF(입력란!C$15=2,1.1,IF(입력란!C$15=3,1.2,1)))*IF(입력란!$C$17&lt;&gt;0,0.98,1)</f>
        <v>155983.9264518304</v>
      </c>
      <c r="J142" s="29">
        <f>S142*(1+IF($AK142+IF(입력란!$C$9=1,10,0)+IF(입력란!$C$19=1,10,0)+IF(MID(E142,1,1)="3",트라이포드!H$12,0)&gt;100,100,$AK142+IF(입력란!$C$9=1,10,0)+IF(입력란!$C$19=1,10,0)+IF(MID(E142,1,1)="3",트라이포드!H$12,0))/100*(($AL142+IF(MID(E142,5,1)="2",트라이포드!R$12,0))/100-1))</f>
        <v>99823.489012440448</v>
      </c>
      <c r="K142" s="29">
        <f>T142*(1+IF($AK142+IF(입력란!$C$19=1,10,0)+IF(입력란!$C$9=1,10,0)&gt;100,100,$AK142+IF(입력란!$C$19=1,10,0)+IF(입력란!$C$9=1,10,0))/100*($AL142/100-1))</f>
        <v>56160.437439389949</v>
      </c>
      <c r="L142" s="29"/>
      <c r="M142" s="29"/>
      <c r="N142" s="38"/>
      <c r="O142" s="38"/>
      <c r="P142" s="38"/>
      <c r="Q142" s="26">
        <f>Z142*(1+IF($AK142+IF(입력란!$C$19=1,10,0)&gt;100,100,$AK142+IF(입력란!$C$19=1,10,0))/100*($AL142/100-1))</f>
        <v>0</v>
      </c>
      <c r="R142" s="23">
        <f>SUM(S142:Z142)</f>
        <v>108522.28525527977</v>
      </c>
      <c r="S142" s="29">
        <f>AN142*IF(MID(E142,5,1)="2",트라이포드!$Q$12,1)*IF(입력란!$C$9=1,IF(입력란!$C$14=0,1.05,IF(입력란!$C$14=1,1.05*1.05,IF(입력란!$C$14=2,1.05*1.12,IF(입력란!$C$14=3,1.05*1.25)))),1)</f>
        <v>69449.932414226816</v>
      </c>
      <c r="T142" s="29">
        <f>AO142*IF(MID(E142,3,1)="1",트라이포드!$J$12,트라이포드!$I$12)*IF(MID(E142,3,1)="3",트라이포드!$N$12,트라이포드!$M$12)*IF(입력란!$C$9=1,IF(입력란!$C$14=0,1.05,IF(입력란!$C$14=1,1.05*1.05,IF(입력란!$C$14=2,1.05*1.12,IF(입력란!$C$14=3,1.05*1.25)))),1)</f>
        <v>39072.352841052947</v>
      </c>
      <c r="U142" s="29"/>
      <c r="V142" s="29"/>
      <c r="W142" s="38"/>
      <c r="X142" s="38"/>
      <c r="Y142" s="38"/>
      <c r="Z142" s="24">
        <f>AO142*IF(MID(E142,3,1)="1",0.6,0)</f>
        <v>0</v>
      </c>
      <c r="AA142" s="29">
        <f>SUM(AB142:AI142)</f>
        <v>217044.57051055954</v>
      </c>
      <c r="AB142" s="29">
        <f>S142*2</f>
        <v>138899.86482845363</v>
      </c>
      <c r="AC142" s="29">
        <f>T142*2</f>
        <v>78144.705682105894</v>
      </c>
      <c r="AD142" s="29"/>
      <c r="AE142" s="29"/>
      <c r="AF142" s="38"/>
      <c r="AG142" s="38"/>
      <c r="AH142" s="38"/>
      <c r="AI142" s="24">
        <f>Z142*2</f>
        <v>0</v>
      </c>
      <c r="AJ142" s="25">
        <f>AR142*(1-입력란!$C$29/100)</f>
        <v>22.98497201496</v>
      </c>
      <c r="AK14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2" s="25">
        <f>입력란!$C$37+입력란!$C$31+IF(입력란!$C$17=1,10,IF(입력란!$C$17=2,25,IF(입력란!$C$17=3,50,0)))</f>
        <v>295.58728189999999</v>
      </c>
      <c r="AM142" s="29">
        <f>SUM(AN142:AP142)</f>
        <v>108522.28525527977</v>
      </c>
      <c r="AN142" s="29">
        <f>(VLOOKUP(C142,$B$4:$AK$7,9,FALSE)+VLOOKUP(C142,$B$8:$AK$11,9,FALSE)*입력란!$C$23)*입력란!$C$38/100</f>
        <v>69449.932414226816</v>
      </c>
      <c r="AO142" s="29">
        <f>(VLOOKUP(C142,$B$4:$AK$7,10,FALSE)+VLOOKUP(C142,$B$8:$AK$11,10,FALSE)*입력란!$C$23)*입력란!$C$38/100</f>
        <v>39072.352841052947</v>
      </c>
      <c r="AP142" s="29"/>
      <c r="AQ142" s="29"/>
      <c r="AR142" s="28">
        <v>24</v>
      </c>
    </row>
    <row r="143" spans="2:44" ht="13.5" customHeight="1" x14ac:dyDescent="0.3">
      <c r="B143" s="30">
        <v>128</v>
      </c>
      <c r="C143" s="35">
        <v>7</v>
      </c>
      <c r="D143" s="36" t="s">
        <v>134</v>
      </c>
      <c r="E143" s="37" t="s">
        <v>135</v>
      </c>
      <c r="F143" s="39" t="s">
        <v>179</v>
      </c>
      <c r="G143" s="39"/>
      <c r="H143" s="51">
        <f>I143/AJ143</f>
        <v>8985.3631326094419</v>
      </c>
      <c r="I143" s="52">
        <f>SUM(J143:Q143)*IF(입력란!C$15=1,1.04,IF(입력란!C$15=2,1.1,IF(입력란!C$15=3,1.2,1)))*IF(입력란!$C$17&lt;&gt;0,0.98,1)</f>
        <v>206528.32014728134</v>
      </c>
      <c r="J143" s="29">
        <f>S143*(1+IF($AK143+IF(입력란!$C$9=1,10,0)+IF(입력란!$C$19=1,10,0)+IF(MID(E143,1,1)="3",트라이포드!H$12,0)&gt;100,100,$AK143+IF(입력란!$C$9=1,10,0)+IF(입력란!$C$19=1,10,0)+IF(MID(E143,1,1)="3",트라이포드!H$12,0))/100*(($AL143+IF(MID(E143,5,1)="2",트라이포드!R$12,0))/100-1))</f>
        <v>99823.489012440448</v>
      </c>
      <c r="K143" s="29">
        <f>T143*(1+IF($AK143+IF(입력란!$C$19=1,10,0)+IF(입력란!$C$9=1,10,0)&gt;100,100,$AK143+IF(입력란!$C$19=1,10,0)+IF(입력란!$C$9=1,10,0))/100*($AL143/100-1))</f>
        <v>73008.568671206929</v>
      </c>
      <c r="L143" s="29"/>
      <c r="M143" s="29"/>
      <c r="N143" s="38"/>
      <c r="O143" s="38"/>
      <c r="P143" s="38"/>
      <c r="Q143" s="26">
        <f>Z143*(1+IF($AK143+IF(입력란!$C$19=1,10,0)&gt;100,100,$AK143+IF(입력란!$C$19=1,10,0))/100*($AL143/100-1))</f>
        <v>33696.262463633968</v>
      </c>
      <c r="R143" s="23">
        <f>SUM(S143:Z143)</f>
        <v>143687.4028122274</v>
      </c>
      <c r="S143" s="29">
        <f>AN143*IF(MID(E143,5,1)="2",트라이포드!$Q$12,1)*IF(입력란!$C$9=1,IF(입력란!$C$14=0,1.05,IF(입력란!$C$14=1,1.05*1.05,IF(입력란!$C$14=2,1.05*1.12,IF(입력란!$C$14=3,1.05*1.25)))),1)</f>
        <v>69449.932414226816</v>
      </c>
      <c r="T143" s="29">
        <f>AO143*IF(MID(E143,3,1)="1",트라이포드!$J$12,트라이포드!$I$12)*IF(MID(E143,3,1)="3",트라이포드!$N$12,트라이포드!$M$12)*IF(입력란!$C$9=1,IF(입력란!$C$14=0,1.05,IF(입력란!$C$14=1,1.05*1.05,IF(입력란!$C$14=2,1.05*1.12,IF(입력란!$C$14=3,1.05*1.25)))),1)</f>
        <v>50794.058693368832</v>
      </c>
      <c r="U143" s="29"/>
      <c r="V143" s="29"/>
      <c r="W143" s="38"/>
      <c r="X143" s="38"/>
      <c r="Y143" s="38"/>
      <c r="Z143" s="24">
        <f>AO143*IF(MID(E143,3,1)="1",0.6,0)</f>
        <v>23443.411704631766</v>
      </c>
      <c r="AA143" s="29">
        <f>SUM(AB143:AI143)</f>
        <v>287374.80562445481</v>
      </c>
      <c r="AB143" s="29">
        <f>S143*2</f>
        <v>138899.86482845363</v>
      </c>
      <c r="AC143" s="29">
        <f>T143*2</f>
        <v>101588.11738673766</v>
      </c>
      <c r="AD143" s="29"/>
      <c r="AE143" s="29"/>
      <c r="AF143" s="38"/>
      <c r="AG143" s="38"/>
      <c r="AH143" s="38"/>
      <c r="AI143" s="24">
        <f>Z143*2</f>
        <v>46886.823409263532</v>
      </c>
      <c r="AJ143" s="25">
        <f>AR143*(1-입력란!$C$29/100)</f>
        <v>22.98497201496</v>
      </c>
      <c r="AK14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3" s="25">
        <f>입력란!$C$37+입력란!$C$31+IF(입력란!$C$17=1,10,IF(입력란!$C$17=2,25,IF(입력란!$C$17=3,50,0)))</f>
        <v>295.58728189999999</v>
      </c>
      <c r="AM143" s="29">
        <f>SUM(AN143:AP143)</f>
        <v>108522.28525527977</v>
      </c>
      <c r="AN143" s="29">
        <f>(VLOOKUP(C143,$B$4:$AK$7,9,FALSE)+VLOOKUP(C143,$B$8:$AK$11,9,FALSE)*입력란!$C$23)*입력란!$C$38/100</f>
        <v>69449.932414226816</v>
      </c>
      <c r="AO143" s="29">
        <f>(VLOOKUP(C143,$B$4:$AK$7,10,FALSE)+VLOOKUP(C143,$B$8:$AK$11,10,FALSE)*입력란!$C$23)*입력란!$C$38/100</f>
        <v>39072.352841052947</v>
      </c>
      <c r="AP143" s="29"/>
      <c r="AQ143" s="29"/>
      <c r="AR143" s="28">
        <v>24</v>
      </c>
    </row>
    <row r="144" spans="2:44" ht="13.5" customHeight="1" x14ac:dyDescent="0.3">
      <c r="B144" s="30">
        <v>129</v>
      </c>
      <c r="C144" s="35">
        <v>7</v>
      </c>
      <c r="D144" s="36" t="s">
        <v>134</v>
      </c>
      <c r="E144" s="37" t="s">
        <v>79</v>
      </c>
      <c r="F144" s="39"/>
      <c r="G144" s="39"/>
      <c r="H144" s="51">
        <f>I144/AJ144</f>
        <v>9229.6985940702507</v>
      </c>
      <c r="I144" s="52">
        <f>SUM(J144:Q144)*IF(입력란!C$15=1,1.04,IF(입력란!C$15=2,1.1,IF(입력란!C$15=3,1.2,1)))*IF(입력란!$C$17&lt;&gt;0,0.98,1)</f>
        <v>212144.36389122036</v>
      </c>
      <c r="J144" s="29">
        <f>S144*(1+IF($AK144+IF(입력란!$C$9=1,10,0)+IF(입력란!$C$19=1,10,0)+IF(MID(E144,1,1)="3",트라이포드!H$12,0)&gt;100,100,$AK144+IF(입력란!$C$9=1,10,0)+IF(입력란!$C$19=1,10,0)+IF(MID(E144,1,1)="3",트라이포드!H$12,0))/100*(($AL144+IF(MID(E144,5,1)="2",트라이포드!R$12,0))/100-1))</f>
        <v>99823.489012440448</v>
      </c>
      <c r="K144" s="29">
        <f>T144*(1+IF($AK144+IF(입력란!$C$19=1,10,0)+IF(입력란!$C$9=1,10,0)&gt;100,100,$AK144+IF(입력란!$C$19=1,10,0)+IF(입력란!$C$9=1,10,0))/100*($AL144/100-1))</f>
        <v>112320.8748787799</v>
      </c>
      <c r="L144" s="29"/>
      <c r="M144" s="29"/>
      <c r="N144" s="38"/>
      <c r="O144" s="38"/>
      <c r="P144" s="38"/>
      <c r="Q144" s="26">
        <f>Z144*(1+IF($AK144+IF(입력란!$C$19=1,10,0)&gt;100,100,$AK144+IF(입력란!$C$19=1,10,0))/100*($AL144/100-1))</f>
        <v>0</v>
      </c>
      <c r="R144" s="23">
        <f>SUM(S144:Z144)</f>
        <v>147594.63809633272</v>
      </c>
      <c r="S144" s="29">
        <f>AN144*IF(MID(E144,5,1)="2",트라이포드!$Q$12,1)*IF(입력란!$C$9=1,IF(입력란!$C$14=0,1.05,IF(입력란!$C$14=1,1.05*1.05,IF(입력란!$C$14=2,1.05*1.12,IF(입력란!$C$14=3,1.05*1.25)))),1)</f>
        <v>69449.932414226816</v>
      </c>
      <c r="T144" s="29">
        <f>AO144*IF(MID(E144,3,1)="1",트라이포드!$J$12,트라이포드!$I$12)*IF(MID(E144,3,1)="3",트라이포드!$N$12,트라이포드!$M$12)*IF(입력란!$C$9=1,IF(입력란!$C$14=0,1.05,IF(입력란!$C$14=1,1.05*1.05,IF(입력란!$C$14=2,1.05*1.12,IF(입력란!$C$14=3,1.05*1.25)))),1)</f>
        <v>78144.705682105894</v>
      </c>
      <c r="U144" s="29"/>
      <c r="V144" s="29"/>
      <c r="W144" s="38"/>
      <c r="X144" s="38"/>
      <c r="Y144" s="38"/>
      <c r="Z144" s="24">
        <f>AO144*IF(MID(E144,3,1)="1",0.6,0)</f>
        <v>0</v>
      </c>
      <c r="AA144" s="29">
        <f>SUM(AB144:AI144)</f>
        <v>295189.27619266545</v>
      </c>
      <c r="AB144" s="29">
        <f>S144*2</f>
        <v>138899.86482845363</v>
      </c>
      <c r="AC144" s="29">
        <f>T144*2</f>
        <v>156289.41136421179</v>
      </c>
      <c r="AD144" s="29"/>
      <c r="AE144" s="29"/>
      <c r="AF144" s="38"/>
      <c r="AG144" s="38"/>
      <c r="AH144" s="38"/>
      <c r="AI144" s="24">
        <f>Z144*2</f>
        <v>0</v>
      </c>
      <c r="AJ144" s="25">
        <f>AR144*(1-입력란!$C$29/100)</f>
        <v>22.98497201496</v>
      </c>
      <c r="AK14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4" s="25">
        <f>입력란!$C$37+입력란!$C$31+IF(입력란!$C$17=1,10,IF(입력란!$C$17=2,25,IF(입력란!$C$17=3,50,0)))</f>
        <v>295.58728189999999</v>
      </c>
      <c r="AM144" s="29">
        <f>SUM(AN144:AP144)</f>
        <v>108522.28525527977</v>
      </c>
      <c r="AN144" s="29">
        <f>(VLOOKUP(C144,$B$4:$AK$7,9,FALSE)+VLOOKUP(C144,$B$8:$AK$11,9,FALSE)*입력란!$C$23)*입력란!$C$38/100</f>
        <v>69449.932414226816</v>
      </c>
      <c r="AO144" s="29">
        <f>(VLOOKUP(C144,$B$4:$AK$7,10,FALSE)+VLOOKUP(C144,$B$8:$AK$11,10,FALSE)*입력란!$C$23)*입력란!$C$38/100</f>
        <v>39072.352841052947</v>
      </c>
      <c r="AP144" s="29"/>
      <c r="AQ144" s="29"/>
      <c r="AR144" s="28">
        <v>24</v>
      </c>
    </row>
    <row r="145" spans="2:44" ht="13.5" customHeight="1" x14ac:dyDescent="0.3">
      <c r="B145" s="30">
        <v>130</v>
      </c>
      <c r="C145" s="35">
        <v>7</v>
      </c>
      <c r="D145" s="36" t="s">
        <v>134</v>
      </c>
      <c r="E145" s="37" t="s">
        <v>80</v>
      </c>
      <c r="F145" s="39" t="s">
        <v>179</v>
      </c>
      <c r="G145" s="39"/>
      <c r="H145" s="51">
        <f>I145/AJ145</f>
        <v>11349.259595080026</v>
      </c>
      <c r="I145" s="52">
        <f>SUM(J145:Q145)*IF(입력란!C$15=1,1.04,IF(입력란!C$15=2,1.1,IF(입력란!C$15=3,1.2,1)))*IF(입력란!$C$17&lt;&gt;0,0.98,1)</f>
        <v>260862.41418343066</v>
      </c>
      <c r="J145" s="29">
        <f>S145*(1+IF($AK145+IF(입력란!$C$9=1,10,0)+IF(입력란!$C$19=1,10,0)+IF(MID(E145,1,1)="3",트라이포드!H$12,0)&gt;100,100,$AK145+IF(입력란!$C$9=1,10,0)+IF(입력란!$C$19=1,10,0)+IF(MID(E145,1,1)="3",트라이포드!H$12,0))/100*(($AL145+IF(MID(E145,5,1)="2",트라이포드!R$12,0))/100-1))</f>
        <v>154157.58304858976</v>
      </c>
      <c r="K145" s="29">
        <f>T145*(1+IF($AK145+IF(입력란!$C$19=1,10,0)+IF(입력란!$C$9=1,10,0)&gt;100,100,$AK145+IF(입력란!$C$19=1,10,0)+IF(입력란!$C$9=1,10,0))/100*($AL145/100-1))</f>
        <v>73008.568671206929</v>
      </c>
      <c r="L145" s="29"/>
      <c r="M145" s="29"/>
      <c r="N145" s="38"/>
      <c r="O145" s="38"/>
      <c r="P145" s="38"/>
      <c r="Q145" s="26">
        <f>Z145*(1+IF($AK145+IF(입력란!$C$19=1,10,0)&gt;100,100,$AK145+IF(입력란!$C$19=1,10,0))/100*($AL145/100-1))</f>
        <v>33696.262463633968</v>
      </c>
      <c r="R145" s="23">
        <f>SUM(S145:Z145)</f>
        <v>143687.4028122274</v>
      </c>
      <c r="S145" s="29">
        <f>AN145*IF(MID(E145,5,1)="2",트라이포드!$Q$12,1)*IF(입력란!$C$9=1,IF(입력란!$C$14=0,1.05,IF(입력란!$C$14=1,1.05*1.05,IF(입력란!$C$14=2,1.05*1.12,IF(입력란!$C$14=3,1.05*1.25)))),1)</f>
        <v>69449.932414226816</v>
      </c>
      <c r="T145" s="29">
        <f>AO145*IF(MID(E145,3,1)="1",트라이포드!$J$12,트라이포드!$I$12)*IF(MID(E145,3,1)="3",트라이포드!$N$12,트라이포드!$M$12)*IF(입력란!$C$9=1,IF(입력란!$C$14=0,1.05,IF(입력란!$C$14=1,1.05*1.05,IF(입력란!$C$14=2,1.05*1.12,IF(입력란!$C$14=3,1.05*1.25)))),1)</f>
        <v>50794.058693368832</v>
      </c>
      <c r="U145" s="29"/>
      <c r="V145" s="29"/>
      <c r="W145" s="38"/>
      <c r="X145" s="38"/>
      <c r="Y145" s="38"/>
      <c r="Z145" s="24">
        <f>AO145*IF(MID(E145,3,1)="1",0.6,0)</f>
        <v>23443.411704631766</v>
      </c>
      <c r="AA145" s="29">
        <f>SUM(AB145:AI145)</f>
        <v>287374.80562445481</v>
      </c>
      <c r="AB145" s="29">
        <f>S145*2</f>
        <v>138899.86482845363</v>
      </c>
      <c r="AC145" s="29">
        <f>T145*2</f>
        <v>101588.11738673766</v>
      </c>
      <c r="AD145" s="29"/>
      <c r="AE145" s="29"/>
      <c r="AF145" s="38"/>
      <c r="AG145" s="38"/>
      <c r="AH145" s="38"/>
      <c r="AI145" s="24">
        <f>Z145*2</f>
        <v>46886.823409263532</v>
      </c>
      <c r="AJ145" s="25">
        <f>AR145*(1-입력란!$C$29/100)</f>
        <v>22.98497201496</v>
      </c>
      <c r="AK14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5" s="25">
        <f>입력란!$C$37+입력란!$C$31+IF(입력란!$C$17=1,10,IF(입력란!$C$17=2,25,IF(입력란!$C$17=3,50,0)))</f>
        <v>295.58728189999999</v>
      </c>
      <c r="AM145" s="29">
        <f>SUM(AN145:AP145)</f>
        <v>108522.28525527977</v>
      </c>
      <c r="AN145" s="29">
        <f>(VLOOKUP(C145,$B$4:$AK$7,9,FALSE)+VLOOKUP(C145,$B$8:$AK$11,9,FALSE)*입력란!$C$23)*입력란!$C$38/100</f>
        <v>69449.932414226816</v>
      </c>
      <c r="AO145" s="29">
        <f>(VLOOKUP(C145,$B$4:$AK$7,10,FALSE)+VLOOKUP(C145,$B$8:$AK$11,10,FALSE)*입력란!$C$23)*입력란!$C$38/100</f>
        <v>39072.352841052947</v>
      </c>
      <c r="AP145" s="29"/>
      <c r="AQ145" s="29"/>
      <c r="AR145" s="28">
        <v>24</v>
      </c>
    </row>
    <row r="146" spans="2:44" ht="13.5" customHeight="1" x14ac:dyDescent="0.3">
      <c r="B146" s="30">
        <v>131</v>
      </c>
      <c r="C146" s="35">
        <v>7</v>
      </c>
      <c r="D146" s="36" t="s">
        <v>134</v>
      </c>
      <c r="E146" s="37" t="s">
        <v>90</v>
      </c>
      <c r="F146" s="39"/>
      <c r="G146" s="39"/>
      <c r="H146" s="51">
        <f>I146/AJ146</f>
        <v>11593.595056540833</v>
      </c>
      <c r="I146" s="52">
        <f>SUM(J146:Q146)*IF(입력란!C$15=1,1.04,IF(입력란!C$15=2,1.1,IF(입력란!C$15=3,1.2,1)))*IF(입력란!$C$17&lt;&gt;0,0.98,1)</f>
        <v>266478.45792736963</v>
      </c>
      <c r="J146" s="29">
        <f>S146*(1+IF($AK146+IF(입력란!$C$9=1,10,0)+IF(입력란!$C$19=1,10,0)+IF(MID(E146,1,1)="3",트라이포드!H$12,0)&gt;100,100,$AK146+IF(입력란!$C$9=1,10,0)+IF(입력란!$C$19=1,10,0)+IF(MID(E146,1,1)="3",트라이포드!H$12,0))/100*(($AL146+IF(MID(E146,5,1)="2",트라이포드!R$12,0))/100-1))</f>
        <v>154157.58304858976</v>
      </c>
      <c r="K146" s="29">
        <f>T146*(1+IF($AK146+IF(입력란!$C$19=1,10,0)+IF(입력란!$C$9=1,10,0)&gt;100,100,$AK146+IF(입력란!$C$19=1,10,0)+IF(입력란!$C$9=1,10,0))/100*($AL146/100-1))</f>
        <v>112320.8748787799</v>
      </c>
      <c r="L146" s="29"/>
      <c r="M146" s="29"/>
      <c r="N146" s="38"/>
      <c r="O146" s="38"/>
      <c r="P146" s="38"/>
      <c r="Q146" s="26">
        <f>Z146*(1+IF($AK146+IF(입력란!$C$19=1,10,0)&gt;100,100,$AK146+IF(입력란!$C$19=1,10,0))/100*($AL146/100-1))</f>
        <v>0</v>
      </c>
      <c r="R146" s="23">
        <f>SUM(S146:Z146)</f>
        <v>147594.63809633272</v>
      </c>
      <c r="S146" s="29">
        <f>AN146*IF(MID(E146,5,1)="2",트라이포드!$Q$12,1)*IF(입력란!$C$9=1,IF(입력란!$C$14=0,1.05,IF(입력란!$C$14=1,1.05*1.05,IF(입력란!$C$14=2,1.05*1.12,IF(입력란!$C$14=3,1.05*1.25)))),1)</f>
        <v>69449.932414226816</v>
      </c>
      <c r="T146" s="29">
        <f>AO146*IF(MID(E146,3,1)="1",트라이포드!$J$12,트라이포드!$I$12)*IF(MID(E146,3,1)="3",트라이포드!$N$12,트라이포드!$M$12)*IF(입력란!$C$9=1,IF(입력란!$C$14=0,1.05,IF(입력란!$C$14=1,1.05*1.05,IF(입력란!$C$14=2,1.05*1.12,IF(입력란!$C$14=3,1.05*1.25)))),1)</f>
        <v>78144.705682105894</v>
      </c>
      <c r="U146" s="29"/>
      <c r="V146" s="29"/>
      <c r="W146" s="38"/>
      <c r="X146" s="38"/>
      <c r="Y146" s="38"/>
      <c r="Z146" s="24">
        <f>AO146*IF(MID(E146,3,1)="1",0.6,0)</f>
        <v>0</v>
      </c>
      <c r="AA146" s="29">
        <f>SUM(AB146:AI146)</f>
        <v>295189.27619266545</v>
      </c>
      <c r="AB146" s="29">
        <f>S146*2</f>
        <v>138899.86482845363</v>
      </c>
      <c r="AC146" s="29">
        <f>T146*2</f>
        <v>156289.41136421179</v>
      </c>
      <c r="AD146" s="29"/>
      <c r="AE146" s="29"/>
      <c r="AF146" s="38"/>
      <c r="AG146" s="38"/>
      <c r="AH146" s="38"/>
      <c r="AI146" s="24">
        <f>Z146*2</f>
        <v>0</v>
      </c>
      <c r="AJ146" s="25">
        <f>AR146*(1-입력란!$C$29/100)</f>
        <v>22.98497201496</v>
      </c>
      <c r="AK14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6" s="25">
        <f>입력란!$C$37+입력란!$C$31+IF(입력란!$C$17=1,10,IF(입력란!$C$17=2,25,IF(입력란!$C$17=3,50,0)))</f>
        <v>295.58728189999999</v>
      </c>
      <c r="AM146" s="29">
        <f>SUM(AN146:AP146)</f>
        <v>108522.28525527977</v>
      </c>
      <c r="AN146" s="29">
        <f>(VLOOKUP(C146,$B$4:$AK$7,9,FALSE)+VLOOKUP(C146,$B$8:$AK$11,9,FALSE)*입력란!$C$23)*입력란!$C$38/100</f>
        <v>69449.932414226816</v>
      </c>
      <c r="AO146" s="29">
        <f>(VLOOKUP(C146,$B$4:$AK$7,10,FALSE)+VLOOKUP(C146,$B$8:$AK$11,10,FALSE)*입력란!$C$23)*입력란!$C$38/100</f>
        <v>39072.352841052947</v>
      </c>
      <c r="AP146" s="29"/>
      <c r="AQ146" s="29"/>
      <c r="AR146" s="28">
        <v>24</v>
      </c>
    </row>
    <row r="147" spans="2:44" ht="13.5" customHeight="1" x14ac:dyDescent="0.3">
      <c r="B147" s="30">
        <v>132</v>
      </c>
      <c r="C147" s="35">
        <v>10</v>
      </c>
      <c r="D147" s="36" t="s">
        <v>134</v>
      </c>
      <c r="E147" s="37" t="s">
        <v>136</v>
      </c>
      <c r="F147" s="39"/>
      <c r="G147" s="39"/>
      <c r="H147" s="51">
        <f>I147/AJ147</f>
        <v>6794.3983721843579</v>
      </c>
      <c r="I147" s="52">
        <f>SUM(J147:Q147)*IF(입력란!C$15=1,1.04,IF(입력란!C$15=2,1.1,IF(입력란!C$15=3,1.2,1)))*IF(입력란!$C$17&lt;&gt;0,0.98,1)</f>
        <v>156169.05644314724</v>
      </c>
      <c r="J147" s="29">
        <f>S147*(1+IF($AK147+IF(입력란!$C$9=1,10,0)+IF(입력란!$C$19=1,10,0)+IF(MID(E147,1,1)="3",트라이포드!H$12,0)&gt;100,100,$AK147+IF(입력란!$C$9=1,10,0)+IF(입력란!$C$19=1,10,0)+IF(MID(E147,1,1)="3",트라이포드!H$12,0))/100*(($AL147+IF(MID(E147,5,1)="2",트라이포드!R$12,0))/100-1))</f>
        <v>99940.201398270641</v>
      </c>
      <c r="K147" s="29">
        <f>T147*(1+IF($AK147+IF(입력란!$C$19=1,10,0)+IF(입력란!$C$9=1,10,0)&gt;100,100,$AK147+IF(입력란!$C$19=1,10,0)+IF(입력란!$C$9=1,10,0))/100*($AL147/100-1))</f>
        <v>56228.855044876611</v>
      </c>
      <c r="L147" s="29"/>
      <c r="M147" s="29"/>
      <c r="N147" s="38"/>
      <c r="O147" s="38"/>
      <c r="P147" s="38"/>
      <c r="Q147" s="26">
        <f>Z147*(1+IF($AK147+IF(입력란!$C$19=1,10,0)&gt;100,100,$AK147+IF(입력란!$C$19=1,10,0))/100*($AL147/100-1))</f>
        <v>0</v>
      </c>
      <c r="R147" s="23">
        <f>SUM(S147:Z147)</f>
        <v>108651.08525527976</v>
      </c>
      <c r="S147" s="29">
        <f>AN147*IF(MID(E147,5,1)="2",트라이포드!$Q$12,1)*IF(입력란!$C$9=1,IF(입력란!$C$14=0,1.05,IF(입력란!$C$14=1,1.05*1.05,IF(입력란!$C$14=2,1.05*1.12,IF(입력란!$C$14=3,1.05*1.25)))),1)</f>
        <v>69531.132414226813</v>
      </c>
      <c r="T147" s="29">
        <f>AO147*IF(MID(E147,3,1)="1",트라이포드!$J$12,트라이포드!$I$12)*IF(MID(E147,3,1)="3",트라이포드!$N$12,트라이포드!$M$12)*IF(입력란!$C$9=1,IF(입력란!$C$14=0,1.05,IF(입력란!$C$14=1,1.05*1.05,IF(입력란!$C$14=2,1.05*1.12,IF(입력란!$C$14=3,1.05*1.25)))),1)</f>
        <v>39119.952841052946</v>
      </c>
      <c r="U147" s="29"/>
      <c r="V147" s="29"/>
      <c r="W147" s="38"/>
      <c r="X147" s="38"/>
      <c r="Y147" s="38"/>
      <c r="Z147" s="24">
        <f>AO147*IF(MID(E147,3,1)="1",0.6,0)</f>
        <v>0</v>
      </c>
      <c r="AA147" s="29">
        <f>SUM(AB147:AI147)</f>
        <v>217302.17051055952</v>
      </c>
      <c r="AB147" s="29">
        <f>S147*2</f>
        <v>139062.26482845363</v>
      </c>
      <c r="AC147" s="29">
        <f>T147*2</f>
        <v>78239.905682105891</v>
      </c>
      <c r="AD147" s="29"/>
      <c r="AE147" s="29"/>
      <c r="AF147" s="38"/>
      <c r="AG147" s="38"/>
      <c r="AH147" s="38"/>
      <c r="AI147" s="24">
        <f>Z147*2</f>
        <v>0</v>
      </c>
      <c r="AJ147" s="25">
        <f>AR147*(1-입력란!$C$29/100)</f>
        <v>22.98497201496</v>
      </c>
      <c r="AK14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7" s="25">
        <f>입력란!$C$37+입력란!$C$31+IF(입력란!$C$17=1,10,IF(입력란!$C$17=2,25,IF(입력란!$C$17=3,50,0)))</f>
        <v>295.58728189999999</v>
      </c>
      <c r="AM147" s="29">
        <f>SUM(AN147:AP147)</f>
        <v>108651.08525527976</v>
      </c>
      <c r="AN147" s="29">
        <f>(VLOOKUP(C147,$B$4:$AK$7,9,FALSE)+VLOOKUP(C147,$B$8:$AK$11,9,FALSE)*입력란!$C$23)*입력란!$C$38/100</f>
        <v>69531.132414226813</v>
      </c>
      <c r="AO147" s="29">
        <f>(VLOOKUP(C147,$B$4:$AK$7,10,FALSE)+VLOOKUP(C147,$B$8:$AK$11,10,FALSE)*입력란!$C$23)*입력란!$C$38/100</f>
        <v>39119.952841052946</v>
      </c>
      <c r="AP147" s="29"/>
      <c r="AQ147" s="29"/>
      <c r="AR147" s="28">
        <v>24</v>
      </c>
    </row>
    <row r="148" spans="2:44" ht="13.5" customHeight="1" x14ac:dyDescent="0.3">
      <c r="B148" s="30">
        <v>133</v>
      </c>
      <c r="C148" s="35">
        <v>10</v>
      </c>
      <c r="D148" s="36" t="s">
        <v>134</v>
      </c>
      <c r="E148" s="37" t="s">
        <v>137</v>
      </c>
      <c r="F148" s="39"/>
      <c r="G148" s="39"/>
      <c r="H148" s="51">
        <f>I148/AJ148</f>
        <v>8679.0819944171108</v>
      </c>
      <c r="I148" s="52">
        <f>SUM(J148:Q148)*IF(입력란!C$15=1,1.04,IF(입력란!C$15=2,1.1,IF(입력란!C$15=3,1.2,1)))*IF(입력란!$C$17&lt;&gt;0,0.98,1)</f>
        <v>199488.45675722053</v>
      </c>
      <c r="J148" s="29">
        <f>S148*(1+IF($AK148+IF(입력란!$C$9=1,10,0)+IF(입력란!$C$19=1,10,0)+IF(MID(E148,1,1)="3",트라이포드!H$12,0)&gt;100,100,$AK148+IF(입력란!$C$9=1,10,0)+IF(입력란!$C$19=1,10,0)+IF(MID(E148,1,1)="3",트라이포드!H$12,0))/100*(($AL148+IF(MID(E148,5,1)="2",트라이포드!R$12,0))/100-1))</f>
        <v>143259.60171234392</v>
      </c>
      <c r="K148" s="29">
        <f>T148*(1+IF($AK148+IF(입력란!$C$19=1,10,0)+IF(입력란!$C$9=1,10,0)&gt;100,100,$AK148+IF(입력란!$C$19=1,10,0)+IF(입력란!$C$9=1,10,0))/100*($AL148/100-1))</f>
        <v>56228.855044876611</v>
      </c>
      <c r="L148" s="29"/>
      <c r="M148" s="29"/>
      <c r="N148" s="38"/>
      <c r="O148" s="38"/>
      <c r="P148" s="38"/>
      <c r="Q148" s="26">
        <f>Z148*(1+IF($AK148+IF(입력란!$C$19=1,10,0)&gt;100,100,$AK148+IF(입력란!$C$19=1,10,0))/100*($AL148/100-1))</f>
        <v>0</v>
      </c>
      <c r="R148" s="23">
        <f>SUM(S148:Z148)</f>
        <v>131596.3589519746</v>
      </c>
      <c r="S148" s="29">
        <f>AN148*IF(MID(E148,5,1)="2",트라이포드!$Q$12,1)*IF(입력란!$C$9=1,IF(입력란!$C$14=0,1.05,IF(입력란!$C$14=1,1.05*1.05,IF(입력란!$C$14=2,1.05*1.12,IF(입력란!$C$14=3,1.05*1.25)))),1)</f>
        <v>92476.406110921671</v>
      </c>
      <c r="T148" s="29">
        <f>AO148*IF(MID(E148,3,1)="1",트라이포드!$J$12,트라이포드!$I$12)*IF(MID(E148,3,1)="3",트라이포드!$N$12,트라이포드!$M$12)*IF(입력란!$C$9=1,IF(입력란!$C$14=0,1.05,IF(입력란!$C$14=1,1.05*1.05,IF(입력란!$C$14=2,1.05*1.12,IF(입력란!$C$14=3,1.05*1.25)))),1)</f>
        <v>39119.952841052946</v>
      </c>
      <c r="U148" s="29"/>
      <c r="V148" s="29"/>
      <c r="W148" s="38"/>
      <c r="X148" s="38"/>
      <c r="Y148" s="38"/>
      <c r="Z148" s="24">
        <f>AO148*IF(MID(E148,3,1)="1",0.6,0)</f>
        <v>0</v>
      </c>
      <c r="AA148" s="29">
        <f>SUM(AB148:AI148)</f>
        <v>263192.7179039492</v>
      </c>
      <c r="AB148" s="29">
        <f>S148*2</f>
        <v>184952.81222184334</v>
      </c>
      <c r="AC148" s="29">
        <f>T148*2</f>
        <v>78239.905682105891</v>
      </c>
      <c r="AD148" s="29"/>
      <c r="AE148" s="29"/>
      <c r="AF148" s="38"/>
      <c r="AG148" s="38"/>
      <c r="AH148" s="38"/>
      <c r="AI148" s="24">
        <f>Z148*2</f>
        <v>0</v>
      </c>
      <c r="AJ148" s="25">
        <f>AR148*(1-입력란!$C$29/100)</f>
        <v>22.98497201496</v>
      </c>
      <c r="AK14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8" s="25">
        <f>입력란!$C$37+입력란!$C$31+IF(입력란!$C$17=1,10,IF(입력란!$C$17=2,25,IF(입력란!$C$17=3,50,0)))</f>
        <v>295.58728189999999</v>
      </c>
      <c r="AM148" s="29">
        <f>SUM(AN148:AP148)</f>
        <v>108651.08525527976</v>
      </c>
      <c r="AN148" s="29">
        <f>(VLOOKUP(C148,$B$4:$AK$7,9,FALSE)+VLOOKUP(C148,$B$8:$AK$11,9,FALSE)*입력란!$C$23)*입력란!$C$38/100</f>
        <v>69531.132414226813</v>
      </c>
      <c r="AO148" s="29">
        <f>(VLOOKUP(C148,$B$4:$AK$7,10,FALSE)+VLOOKUP(C148,$B$8:$AK$11,10,FALSE)*입력란!$C$23)*입력란!$C$38/100</f>
        <v>39119.952841052946</v>
      </c>
      <c r="AP148" s="29"/>
      <c r="AQ148" s="29"/>
      <c r="AR148" s="28">
        <v>24</v>
      </c>
    </row>
    <row r="149" spans="2:44" ht="13.5" customHeight="1" x14ac:dyDescent="0.3">
      <c r="B149" s="30">
        <v>134</v>
      </c>
      <c r="C149" s="35">
        <v>10</v>
      </c>
      <c r="D149" s="36" t="s">
        <v>134</v>
      </c>
      <c r="E149" s="37" t="s">
        <v>138</v>
      </c>
      <c r="F149" s="39" t="s">
        <v>179</v>
      </c>
      <c r="G149" s="39"/>
      <c r="H149" s="51">
        <f>I149/AJ149</f>
        <v>8996.0964863892204</v>
      </c>
      <c r="I149" s="52">
        <f>SUM(J149:Q149)*IF(입력란!C$15=1,1.04,IF(입력란!C$15=2,1.1,IF(입력란!C$15=3,1.2,1)))*IF(입력란!$C$17&lt;&gt;0,0.98,1)</f>
        <v>206775.02598353621</v>
      </c>
      <c r="J149" s="29">
        <f>S149*(1+IF($AK149+IF(입력란!$C$9=1,10,0)+IF(입력란!$C$19=1,10,0)+IF(MID(E149,1,1)="3",트라이포드!H$12,0)&gt;100,100,$AK149+IF(입력란!$C$9=1,10,0)+IF(입력란!$C$19=1,10,0)+IF(MID(E149,1,1)="3",트라이포드!H$12,0))/100*(($AL149+IF(MID(E149,5,1)="2",트라이포드!R$12,0))/100-1))</f>
        <v>99940.201398270641</v>
      </c>
      <c r="K149" s="29">
        <f>T149*(1+IF($AK149+IF(입력란!$C$19=1,10,0)+IF(입력란!$C$9=1,10,0)&gt;100,100,$AK149+IF(입력란!$C$19=1,10,0)+IF(입력란!$C$9=1,10,0))/100*($AL149/100-1))</f>
        <v>73097.511558339596</v>
      </c>
      <c r="L149" s="29"/>
      <c r="M149" s="29"/>
      <c r="N149" s="38"/>
      <c r="O149" s="38"/>
      <c r="P149" s="38"/>
      <c r="Q149" s="26">
        <f>Z149*(1+IF($AK149+IF(입력란!$C$19=1,10,0)&gt;100,100,$AK149+IF(입력란!$C$19=1,10,0))/100*($AL149/100-1))</f>
        <v>33737.313026925964</v>
      </c>
      <c r="R149" s="23">
        <f>SUM(S149:Z149)</f>
        <v>143859.04281222739</v>
      </c>
      <c r="S149" s="29">
        <f>AN149*IF(MID(E149,5,1)="2",트라이포드!$Q$12,1)*IF(입력란!$C$9=1,IF(입력란!$C$14=0,1.05,IF(입력란!$C$14=1,1.05*1.05,IF(입력란!$C$14=2,1.05*1.12,IF(입력란!$C$14=3,1.05*1.25)))),1)</f>
        <v>69531.132414226813</v>
      </c>
      <c r="T149" s="29">
        <f>AO149*IF(MID(E149,3,1)="1",트라이포드!$J$12,트라이포드!$I$12)*IF(MID(E149,3,1)="3",트라이포드!$N$12,트라이포드!$M$12)*IF(입력란!$C$9=1,IF(입력란!$C$14=0,1.05,IF(입력란!$C$14=1,1.05*1.05,IF(입력란!$C$14=2,1.05*1.12,IF(입력란!$C$14=3,1.05*1.25)))),1)</f>
        <v>50855.938693368829</v>
      </c>
      <c r="U149" s="29"/>
      <c r="V149" s="29"/>
      <c r="W149" s="38"/>
      <c r="X149" s="38"/>
      <c r="Y149" s="38"/>
      <c r="Z149" s="24">
        <f>AO149*IF(MID(E149,3,1)="1",0.6,0)</f>
        <v>23471.971704631767</v>
      </c>
      <c r="AA149" s="29">
        <f>SUM(AB149:AI149)</f>
        <v>287718.08562445478</v>
      </c>
      <c r="AB149" s="29">
        <f>S149*2</f>
        <v>139062.26482845363</v>
      </c>
      <c r="AC149" s="29">
        <f>T149*2</f>
        <v>101711.87738673766</v>
      </c>
      <c r="AD149" s="29"/>
      <c r="AE149" s="29"/>
      <c r="AF149" s="38"/>
      <c r="AG149" s="38"/>
      <c r="AH149" s="38"/>
      <c r="AI149" s="24">
        <f>Z149*2</f>
        <v>46943.943409263535</v>
      </c>
      <c r="AJ149" s="25">
        <f>AR149*(1-입력란!$C$29/100)</f>
        <v>22.98497201496</v>
      </c>
      <c r="AK14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49" s="25">
        <f>입력란!$C$37+입력란!$C$31+IF(입력란!$C$17=1,10,IF(입력란!$C$17=2,25,IF(입력란!$C$17=3,50,0)))</f>
        <v>295.58728189999999</v>
      </c>
      <c r="AM149" s="29">
        <f>SUM(AN149:AP149)</f>
        <v>108651.08525527976</v>
      </c>
      <c r="AN149" s="29">
        <f>(VLOOKUP(C149,$B$4:$AK$7,9,FALSE)+VLOOKUP(C149,$B$8:$AK$11,9,FALSE)*입력란!$C$23)*입력란!$C$38/100</f>
        <v>69531.132414226813</v>
      </c>
      <c r="AO149" s="29">
        <f>(VLOOKUP(C149,$B$4:$AK$7,10,FALSE)+VLOOKUP(C149,$B$8:$AK$11,10,FALSE)*입력란!$C$23)*입력란!$C$38/100</f>
        <v>39119.952841052946</v>
      </c>
      <c r="AP149" s="29"/>
      <c r="AQ149" s="29"/>
      <c r="AR149" s="28">
        <v>24</v>
      </c>
    </row>
    <row r="150" spans="2:44" ht="13.5" customHeight="1" x14ac:dyDescent="0.3">
      <c r="B150" s="30">
        <v>135</v>
      </c>
      <c r="C150" s="35">
        <v>10</v>
      </c>
      <c r="D150" s="36" t="s">
        <v>134</v>
      </c>
      <c r="E150" s="37" t="s">
        <v>139</v>
      </c>
      <c r="F150" s="39" t="s">
        <v>179</v>
      </c>
      <c r="G150" s="39"/>
      <c r="H150" s="51">
        <f>I150/AJ150</f>
        <v>10880.780108621972</v>
      </c>
      <c r="I150" s="52">
        <f>SUM(J150:Q150)*IF(입력란!C$15=1,1.04,IF(입력란!C$15=2,1.1,IF(입력란!C$15=3,1.2,1)))*IF(입력란!$C$17&lt;&gt;0,0.98,1)</f>
        <v>250094.42629760946</v>
      </c>
      <c r="J150" s="29">
        <f>S150*(1+IF($AK150+IF(입력란!$C$9=1,10,0)+IF(입력란!$C$19=1,10,0)+IF(MID(E150,1,1)="3",트라이포드!H$12,0)&gt;100,100,$AK150+IF(입력란!$C$9=1,10,0)+IF(입력란!$C$19=1,10,0)+IF(MID(E150,1,1)="3",트라이포드!H$12,0))/100*(($AL150+IF(MID(E150,5,1)="2",트라이포드!R$12,0))/100-1))</f>
        <v>143259.60171234392</v>
      </c>
      <c r="K150" s="29">
        <f>T150*(1+IF($AK150+IF(입력란!$C$19=1,10,0)+IF(입력란!$C$9=1,10,0)&gt;100,100,$AK150+IF(입력란!$C$19=1,10,0)+IF(입력란!$C$9=1,10,0))/100*($AL150/100-1))</f>
        <v>73097.511558339596</v>
      </c>
      <c r="L150" s="29"/>
      <c r="M150" s="29"/>
      <c r="N150" s="38"/>
      <c r="O150" s="38"/>
      <c r="P150" s="38"/>
      <c r="Q150" s="26">
        <f>Z150*(1+IF($AK150+IF(입력란!$C$19=1,10,0)&gt;100,100,$AK150+IF(입력란!$C$19=1,10,0))/100*($AL150/100-1))</f>
        <v>33737.313026925964</v>
      </c>
      <c r="R150" s="23">
        <f>SUM(S150:Z150)</f>
        <v>166804.31650892226</v>
      </c>
      <c r="S150" s="29">
        <f>AN150*IF(MID(E150,5,1)="2",트라이포드!$Q$12,1)*IF(입력란!$C$9=1,IF(입력란!$C$14=0,1.05,IF(입력란!$C$14=1,1.05*1.05,IF(입력란!$C$14=2,1.05*1.12,IF(입력란!$C$14=3,1.05*1.25)))),1)</f>
        <v>92476.406110921671</v>
      </c>
      <c r="T150" s="29">
        <f>AO150*IF(MID(E150,3,1)="1",트라이포드!$J$12,트라이포드!$I$12)*IF(MID(E150,3,1)="3",트라이포드!$N$12,트라이포드!$M$12)*IF(입력란!$C$9=1,IF(입력란!$C$14=0,1.05,IF(입력란!$C$14=1,1.05*1.05,IF(입력란!$C$14=2,1.05*1.12,IF(입력란!$C$14=3,1.05*1.25)))),1)</f>
        <v>50855.938693368829</v>
      </c>
      <c r="U150" s="29"/>
      <c r="V150" s="29"/>
      <c r="W150" s="38"/>
      <c r="X150" s="38"/>
      <c r="Y150" s="38"/>
      <c r="Z150" s="24">
        <f>AO150*IF(MID(E150,3,1)="1",0.6,0)</f>
        <v>23471.971704631767</v>
      </c>
      <c r="AA150" s="29">
        <f>SUM(AB150:AI150)</f>
        <v>333608.63301784452</v>
      </c>
      <c r="AB150" s="29">
        <f>S150*2</f>
        <v>184952.81222184334</v>
      </c>
      <c r="AC150" s="29">
        <f>T150*2</f>
        <v>101711.87738673766</v>
      </c>
      <c r="AD150" s="29"/>
      <c r="AE150" s="29"/>
      <c r="AF150" s="38"/>
      <c r="AG150" s="38"/>
      <c r="AH150" s="38"/>
      <c r="AI150" s="24">
        <f>Z150*2</f>
        <v>46943.943409263535</v>
      </c>
      <c r="AJ150" s="25">
        <f>AR150*(1-입력란!$C$29/100)</f>
        <v>22.98497201496</v>
      </c>
      <c r="AK15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0" s="25">
        <f>입력란!$C$37+입력란!$C$31+IF(입력란!$C$17=1,10,IF(입력란!$C$17=2,25,IF(입력란!$C$17=3,50,0)))</f>
        <v>295.58728189999999</v>
      </c>
      <c r="AM150" s="29">
        <f>SUM(AN150:AP150)</f>
        <v>108651.08525527976</v>
      </c>
      <c r="AN150" s="29">
        <f>(VLOOKUP(C150,$B$4:$AK$7,9,FALSE)+VLOOKUP(C150,$B$8:$AK$11,9,FALSE)*입력란!$C$23)*입력란!$C$38/100</f>
        <v>69531.132414226813</v>
      </c>
      <c r="AO150" s="29">
        <f>(VLOOKUP(C150,$B$4:$AK$7,10,FALSE)+VLOOKUP(C150,$B$8:$AK$11,10,FALSE)*입력란!$C$23)*입력란!$C$38/100</f>
        <v>39119.952841052946</v>
      </c>
      <c r="AP150" s="29"/>
      <c r="AQ150" s="29"/>
      <c r="AR150" s="28">
        <v>24</v>
      </c>
    </row>
    <row r="151" spans="2:44" ht="13.5" customHeight="1" x14ac:dyDescent="0.3">
      <c r="B151" s="30">
        <v>136</v>
      </c>
      <c r="C151" s="35">
        <v>10</v>
      </c>
      <c r="D151" s="36" t="s">
        <v>134</v>
      </c>
      <c r="E151" s="37" t="s">
        <v>79</v>
      </c>
      <c r="F151" s="39"/>
      <c r="G151" s="39"/>
      <c r="H151" s="51">
        <f>I151/AJ151</f>
        <v>9240.7296101897609</v>
      </c>
      <c r="I151" s="52">
        <f>SUM(J151:Q151)*IF(입력란!C$15=1,1.04,IF(입력란!C$15=2,1.1,IF(입력란!C$15=3,1.2,1)))*IF(입력란!$C$17&lt;&gt;0,0.98,1)</f>
        <v>212397.91148802388</v>
      </c>
      <c r="J151" s="29">
        <f>S151*(1+IF($AK151+IF(입력란!$C$9=1,10,0)+IF(입력란!$C$19=1,10,0)+IF(MID(E151,1,1)="3",트라이포드!H$12,0)&gt;100,100,$AK151+IF(입력란!$C$9=1,10,0)+IF(입력란!$C$19=1,10,0)+IF(MID(E151,1,1)="3",트라이포드!H$12,0))/100*(($AL151+IF(MID(E151,5,1)="2",트라이포드!R$12,0))/100-1))</f>
        <v>99940.201398270641</v>
      </c>
      <c r="K151" s="29">
        <f>T151*(1+IF($AK151+IF(입력란!$C$19=1,10,0)+IF(입력란!$C$9=1,10,0)&gt;100,100,$AK151+IF(입력란!$C$19=1,10,0)+IF(입력란!$C$9=1,10,0))/100*($AL151/100-1))</f>
        <v>112457.71008975322</v>
      </c>
      <c r="L151" s="29"/>
      <c r="M151" s="29"/>
      <c r="N151" s="38"/>
      <c r="O151" s="38"/>
      <c r="P151" s="38"/>
      <c r="Q151" s="26">
        <f>Z151*(1+IF($AK151+IF(입력란!$C$19=1,10,0)&gt;100,100,$AK151+IF(입력란!$C$19=1,10,0))/100*($AL151/100-1))</f>
        <v>0</v>
      </c>
      <c r="R151" s="23">
        <f>SUM(S151:Z151)</f>
        <v>147771.03809633269</v>
      </c>
      <c r="S151" s="29">
        <f>AN151*IF(MID(E151,5,1)="2",트라이포드!$Q$12,1)*IF(입력란!$C$9=1,IF(입력란!$C$14=0,1.05,IF(입력란!$C$14=1,1.05*1.05,IF(입력란!$C$14=2,1.05*1.12,IF(입력란!$C$14=3,1.05*1.25)))),1)</f>
        <v>69531.132414226813</v>
      </c>
      <c r="T151" s="29">
        <f>AO151*IF(MID(E151,3,1)="1",트라이포드!$J$12,트라이포드!$I$12)*IF(MID(E151,3,1)="3",트라이포드!$N$12,트라이포드!$M$12)*IF(입력란!$C$9=1,IF(입력란!$C$14=0,1.05,IF(입력란!$C$14=1,1.05*1.05,IF(입력란!$C$14=2,1.05*1.12,IF(입력란!$C$14=3,1.05*1.25)))),1)</f>
        <v>78239.905682105891</v>
      </c>
      <c r="U151" s="29"/>
      <c r="V151" s="29"/>
      <c r="W151" s="38"/>
      <c r="X151" s="38"/>
      <c r="Y151" s="38"/>
      <c r="Z151" s="24">
        <f>AO151*IF(MID(E151,3,1)="1",0.6,0)</f>
        <v>0</v>
      </c>
      <c r="AA151" s="29">
        <f>SUM(AB151:AI151)</f>
        <v>295542.07619266538</v>
      </c>
      <c r="AB151" s="29">
        <f>S151*2</f>
        <v>139062.26482845363</v>
      </c>
      <c r="AC151" s="29">
        <f>T151*2</f>
        <v>156479.81136421178</v>
      </c>
      <c r="AD151" s="29"/>
      <c r="AE151" s="29"/>
      <c r="AF151" s="38"/>
      <c r="AG151" s="38"/>
      <c r="AH151" s="38"/>
      <c r="AI151" s="24">
        <f>Z151*2</f>
        <v>0</v>
      </c>
      <c r="AJ151" s="25">
        <f>AR151*(1-입력란!$C$29/100)</f>
        <v>22.98497201496</v>
      </c>
      <c r="AK15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1" s="25">
        <f>입력란!$C$37+입력란!$C$31+IF(입력란!$C$17=1,10,IF(입력란!$C$17=2,25,IF(입력란!$C$17=3,50,0)))</f>
        <v>295.58728189999999</v>
      </c>
      <c r="AM151" s="29">
        <f>SUM(AN151:AP151)</f>
        <v>108651.08525527976</v>
      </c>
      <c r="AN151" s="29">
        <f>(VLOOKUP(C151,$B$4:$AK$7,9,FALSE)+VLOOKUP(C151,$B$8:$AK$11,9,FALSE)*입력란!$C$23)*입력란!$C$38/100</f>
        <v>69531.132414226813</v>
      </c>
      <c r="AO151" s="29">
        <f>(VLOOKUP(C151,$B$4:$AK$7,10,FALSE)+VLOOKUP(C151,$B$8:$AK$11,10,FALSE)*입력란!$C$23)*입력란!$C$38/100</f>
        <v>39119.952841052946</v>
      </c>
      <c r="AP151" s="29"/>
      <c r="AQ151" s="29"/>
      <c r="AR151" s="28">
        <v>24</v>
      </c>
    </row>
    <row r="152" spans="2:44" ht="13.5" customHeight="1" x14ac:dyDescent="0.3">
      <c r="B152" s="30">
        <v>137</v>
      </c>
      <c r="C152" s="35">
        <v>10</v>
      </c>
      <c r="D152" s="36" t="s">
        <v>134</v>
      </c>
      <c r="E152" s="37" t="s">
        <v>103</v>
      </c>
      <c r="F152" s="39"/>
      <c r="G152" s="39"/>
      <c r="H152" s="51">
        <f>I152/AJ152</f>
        <v>11125.413232422512</v>
      </c>
      <c r="I152" s="52">
        <f>SUM(J152:Q152)*IF(입력란!C$15=1,1.04,IF(입력란!C$15=2,1.1,IF(입력란!C$15=3,1.2,1)))*IF(입력란!$C$17&lt;&gt;0,0.98,1)</f>
        <v>255717.31180209713</v>
      </c>
      <c r="J152" s="29">
        <f>S152*(1+IF($AK152+IF(입력란!$C$9=1,10,0)+IF(입력란!$C$19=1,10,0)+IF(MID(E152,1,1)="3",트라이포드!H$12,0)&gt;100,100,$AK152+IF(입력란!$C$9=1,10,0)+IF(입력란!$C$19=1,10,0)+IF(MID(E152,1,1)="3",트라이포드!H$12,0))/100*(($AL152+IF(MID(E152,5,1)="2",트라이포드!R$12,0))/100-1))</f>
        <v>143259.60171234392</v>
      </c>
      <c r="K152" s="29">
        <f>T152*(1+IF($AK152+IF(입력란!$C$19=1,10,0)+IF(입력란!$C$9=1,10,0)&gt;100,100,$AK152+IF(입력란!$C$19=1,10,0)+IF(입력란!$C$9=1,10,0))/100*($AL152/100-1))</f>
        <v>112457.71008975322</v>
      </c>
      <c r="L152" s="29"/>
      <c r="M152" s="29"/>
      <c r="N152" s="38"/>
      <c r="O152" s="38"/>
      <c r="P152" s="38"/>
      <c r="Q152" s="26">
        <f>Z152*(1+IF($AK152+IF(입력란!$C$19=1,10,0)&gt;100,100,$AK152+IF(입력란!$C$19=1,10,0))/100*($AL152/100-1))</f>
        <v>0</v>
      </c>
      <c r="R152" s="23">
        <f>SUM(S152:Z152)</f>
        <v>170716.31179302756</v>
      </c>
      <c r="S152" s="29">
        <f>AN152*IF(MID(E152,5,1)="2",트라이포드!$Q$12,1)*IF(입력란!$C$9=1,IF(입력란!$C$14=0,1.05,IF(입력란!$C$14=1,1.05*1.05,IF(입력란!$C$14=2,1.05*1.12,IF(입력란!$C$14=3,1.05*1.25)))),1)</f>
        <v>92476.406110921671</v>
      </c>
      <c r="T152" s="29">
        <f>AO152*IF(MID(E152,3,1)="1",트라이포드!$J$12,트라이포드!$I$12)*IF(MID(E152,3,1)="3",트라이포드!$N$12,트라이포드!$M$12)*IF(입력란!$C$9=1,IF(입력란!$C$14=0,1.05,IF(입력란!$C$14=1,1.05*1.05,IF(입력란!$C$14=2,1.05*1.12,IF(입력란!$C$14=3,1.05*1.25)))),1)</f>
        <v>78239.905682105891</v>
      </c>
      <c r="U152" s="29"/>
      <c r="V152" s="29"/>
      <c r="W152" s="38"/>
      <c r="X152" s="38"/>
      <c r="Y152" s="38"/>
      <c r="Z152" s="24">
        <f>AO152*IF(MID(E152,3,1)="1",0.6,0)</f>
        <v>0</v>
      </c>
      <c r="AA152" s="29">
        <f>SUM(AB152:AI152)</f>
        <v>341432.62358605512</v>
      </c>
      <c r="AB152" s="29">
        <f>S152*2</f>
        <v>184952.81222184334</v>
      </c>
      <c r="AC152" s="29">
        <f>T152*2</f>
        <v>156479.81136421178</v>
      </c>
      <c r="AD152" s="29"/>
      <c r="AE152" s="29"/>
      <c r="AF152" s="38"/>
      <c r="AG152" s="38"/>
      <c r="AH152" s="38"/>
      <c r="AI152" s="24">
        <f>Z152*2</f>
        <v>0</v>
      </c>
      <c r="AJ152" s="25">
        <f>AR152*(1-입력란!$C$29/100)</f>
        <v>22.98497201496</v>
      </c>
      <c r="AK15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2" s="25">
        <f>입력란!$C$37+입력란!$C$31+IF(입력란!$C$17=1,10,IF(입력란!$C$17=2,25,IF(입력란!$C$17=3,50,0)))</f>
        <v>295.58728189999999</v>
      </c>
      <c r="AM152" s="29">
        <f>SUM(AN152:AP152)</f>
        <v>108651.08525527976</v>
      </c>
      <c r="AN152" s="29">
        <f>(VLOOKUP(C152,$B$4:$AK$7,9,FALSE)+VLOOKUP(C152,$B$8:$AK$11,9,FALSE)*입력란!$C$23)*입력란!$C$38/100</f>
        <v>69531.132414226813</v>
      </c>
      <c r="AO152" s="29">
        <f>(VLOOKUP(C152,$B$4:$AK$7,10,FALSE)+VLOOKUP(C152,$B$8:$AK$11,10,FALSE)*입력란!$C$23)*입력란!$C$38/100</f>
        <v>39119.952841052946</v>
      </c>
      <c r="AP152" s="29"/>
      <c r="AQ152" s="29"/>
      <c r="AR152" s="28">
        <v>24</v>
      </c>
    </row>
    <row r="153" spans="2:44" ht="13.5" customHeight="1" x14ac:dyDescent="0.3">
      <c r="B153" s="30">
        <v>138</v>
      </c>
      <c r="C153" s="35">
        <v>10</v>
      </c>
      <c r="D153" s="36" t="s">
        <v>134</v>
      </c>
      <c r="E153" s="37" t="s">
        <v>140</v>
      </c>
      <c r="F153" s="39"/>
      <c r="G153" s="39"/>
      <c r="H153" s="51">
        <f>I153/AJ153</f>
        <v>9161.0586730933683</v>
      </c>
      <c r="I153" s="52">
        <f>SUM(J153:Q153)*IF(입력란!C$15=1,1.04,IF(입력란!C$15=2,1.1,IF(입력란!C$15=3,1.2,1)))*IF(입력란!$C$17&lt;&gt;0,0.98,1)</f>
        <v>210566.67722845764</v>
      </c>
      <c r="J153" s="29">
        <f>S153*(1+IF($AK153+IF(입력란!$C$9=1,10,0)+IF(입력란!$C$19=1,10,0)+IF(MID(E153,1,1)="3",트라이포드!H$12,0)&gt;100,100,$AK153+IF(입력란!$C$9=1,10,0)+IF(입력란!$C$19=1,10,0)+IF(MID(E153,1,1)="3",트라이포드!H$12,0))/100*(($AL153+IF(MID(E153,5,1)="2",트라이포드!R$12,0))/100-1))</f>
        <v>154337.82218358104</v>
      </c>
      <c r="K153" s="29">
        <f>T153*(1+IF($AK153+IF(입력란!$C$19=1,10,0)+IF(입력란!$C$9=1,10,0)&gt;100,100,$AK153+IF(입력란!$C$19=1,10,0)+IF(입력란!$C$9=1,10,0))/100*($AL153/100-1))</f>
        <v>56228.855044876611</v>
      </c>
      <c r="L153" s="29"/>
      <c r="M153" s="29"/>
      <c r="N153" s="38"/>
      <c r="O153" s="38"/>
      <c r="P153" s="38"/>
      <c r="Q153" s="26">
        <f>Z153*(1+IF($AK153+IF(입력란!$C$19=1,10,0)&gt;100,100,$AK153+IF(입력란!$C$19=1,10,0))/100*($AL153/100-1))</f>
        <v>0</v>
      </c>
      <c r="R153" s="23">
        <f>SUM(S153:Z153)</f>
        <v>108651.08525527976</v>
      </c>
      <c r="S153" s="29">
        <f>AN153*IF(MID(E153,5,1)="2",트라이포드!$Q$12,1)*IF(입력란!$C$9=1,IF(입력란!$C$14=0,1.05,IF(입력란!$C$14=1,1.05*1.05,IF(입력란!$C$14=2,1.05*1.12,IF(입력란!$C$14=3,1.05*1.25)))),1)</f>
        <v>69531.132414226813</v>
      </c>
      <c r="T153" s="29">
        <f>AO153*IF(MID(E153,3,1)="1",트라이포드!$J$12,트라이포드!$I$12)*IF(MID(E153,3,1)="3",트라이포드!$N$12,트라이포드!$M$12)*IF(입력란!$C$9=1,IF(입력란!$C$14=0,1.05,IF(입력란!$C$14=1,1.05*1.05,IF(입력란!$C$14=2,1.05*1.12,IF(입력란!$C$14=3,1.05*1.25)))),1)</f>
        <v>39119.952841052946</v>
      </c>
      <c r="U153" s="29"/>
      <c r="V153" s="29"/>
      <c r="W153" s="38"/>
      <c r="X153" s="38"/>
      <c r="Y153" s="38"/>
      <c r="Z153" s="24">
        <f>AO153*IF(MID(E153,3,1)="1",0.6,0)</f>
        <v>0</v>
      </c>
      <c r="AA153" s="29">
        <f>SUM(AB153:AI153)</f>
        <v>217302.17051055952</v>
      </c>
      <c r="AB153" s="29">
        <f>S153*2</f>
        <v>139062.26482845363</v>
      </c>
      <c r="AC153" s="29">
        <f>T153*2</f>
        <v>78239.905682105891</v>
      </c>
      <c r="AD153" s="29"/>
      <c r="AE153" s="29"/>
      <c r="AF153" s="38"/>
      <c r="AG153" s="38"/>
      <c r="AH153" s="38"/>
      <c r="AI153" s="24">
        <f>Z153*2</f>
        <v>0</v>
      </c>
      <c r="AJ153" s="25">
        <f>AR153*(1-입력란!$C$29/100)</f>
        <v>22.98497201496</v>
      </c>
      <c r="AK15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3" s="25">
        <f>입력란!$C$37+입력란!$C$31+IF(입력란!$C$17=1,10,IF(입력란!$C$17=2,25,IF(입력란!$C$17=3,50,0)))</f>
        <v>295.58728189999999</v>
      </c>
      <c r="AM153" s="29">
        <f>SUM(AN153:AP153)</f>
        <v>108651.08525527976</v>
      </c>
      <c r="AN153" s="29">
        <f>(VLOOKUP(C153,$B$4:$AK$7,9,FALSE)+VLOOKUP(C153,$B$8:$AK$11,9,FALSE)*입력란!$C$23)*입력란!$C$38/100</f>
        <v>69531.132414226813</v>
      </c>
      <c r="AO153" s="29">
        <f>(VLOOKUP(C153,$B$4:$AK$7,10,FALSE)+VLOOKUP(C153,$B$8:$AK$11,10,FALSE)*입력란!$C$23)*입력란!$C$38/100</f>
        <v>39119.952841052946</v>
      </c>
      <c r="AP153" s="29"/>
      <c r="AQ153" s="29"/>
      <c r="AR153" s="28">
        <v>24</v>
      </c>
    </row>
    <row r="154" spans="2:44" ht="13.5" customHeight="1" x14ac:dyDescent="0.3">
      <c r="B154" s="30">
        <v>139</v>
      </c>
      <c r="C154" s="35">
        <v>10</v>
      </c>
      <c r="D154" s="36" t="s">
        <v>134</v>
      </c>
      <c r="E154" s="37" t="s">
        <v>141</v>
      </c>
      <c r="F154" s="39" t="s">
        <v>179</v>
      </c>
      <c r="G154" s="39"/>
      <c r="H154" s="51">
        <f>I154/AJ154</f>
        <v>11362.756787298229</v>
      </c>
      <c r="I154" s="52">
        <f>SUM(J154:Q154)*IF(입력란!C$15=1,1.04,IF(입력란!C$15=2,1.1,IF(입력란!C$15=3,1.2,1)))*IF(입력란!$C$17&lt;&gt;0,0.98,1)</f>
        <v>261172.64676884661</v>
      </c>
      <c r="J154" s="29">
        <f>S154*(1+IF($AK154+IF(입력란!$C$9=1,10,0)+IF(입력란!$C$19=1,10,0)+IF(MID(E154,1,1)="3",트라이포드!H$12,0)&gt;100,100,$AK154+IF(입력란!$C$9=1,10,0)+IF(입력란!$C$19=1,10,0)+IF(MID(E154,1,1)="3",트라이포드!H$12,0))/100*(($AL154+IF(MID(E154,5,1)="2",트라이포드!R$12,0))/100-1))</f>
        <v>154337.82218358104</v>
      </c>
      <c r="K154" s="29">
        <f>T154*(1+IF($AK154+IF(입력란!$C$19=1,10,0)+IF(입력란!$C$9=1,10,0)&gt;100,100,$AK154+IF(입력란!$C$19=1,10,0)+IF(입력란!$C$9=1,10,0))/100*($AL154/100-1))</f>
        <v>73097.511558339596</v>
      </c>
      <c r="L154" s="29"/>
      <c r="M154" s="29"/>
      <c r="N154" s="38"/>
      <c r="O154" s="38"/>
      <c r="P154" s="38"/>
      <c r="Q154" s="26">
        <f>Z154*(1+IF($AK154+IF(입력란!$C$19=1,10,0)&gt;100,100,$AK154+IF(입력란!$C$19=1,10,0))/100*($AL154/100-1))</f>
        <v>33737.313026925964</v>
      </c>
      <c r="R154" s="23">
        <f>SUM(S154:Z154)</f>
        <v>143859.04281222739</v>
      </c>
      <c r="S154" s="29">
        <f>AN154*IF(MID(E154,5,1)="2",트라이포드!$Q$12,1)*IF(입력란!$C$9=1,IF(입력란!$C$14=0,1.05,IF(입력란!$C$14=1,1.05*1.05,IF(입력란!$C$14=2,1.05*1.12,IF(입력란!$C$14=3,1.05*1.25)))),1)</f>
        <v>69531.132414226813</v>
      </c>
      <c r="T154" s="29">
        <f>AO154*IF(MID(E154,3,1)="1",트라이포드!$J$12,트라이포드!$I$12)*IF(MID(E154,3,1)="3",트라이포드!$N$12,트라이포드!$M$12)*IF(입력란!$C$9=1,IF(입력란!$C$14=0,1.05,IF(입력란!$C$14=1,1.05*1.05,IF(입력란!$C$14=2,1.05*1.12,IF(입력란!$C$14=3,1.05*1.25)))),1)</f>
        <v>50855.938693368829</v>
      </c>
      <c r="U154" s="29"/>
      <c r="V154" s="29"/>
      <c r="W154" s="38"/>
      <c r="X154" s="38"/>
      <c r="Y154" s="38"/>
      <c r="Z154" s="24">
        <f>AO154*IF(MID(E154,3,1)="1",0.6,0)</f>
        <v>23471.971704631767</v>
      </c>
      <c r="AA154" s="29">
        <f>SUM(AB154:AI154)</f>
        <v>287718.08562445478</v>
      </c>
      <c r="AB154" s="29">
        <f>S154*2</f>
        <v>139062.26482845363</v>
      </c>
      <c r="AC154" s="29">
        <f>T154*2</f>
        <v>101711.87738673766</v>
      </c>
      <c r="AD154" s="29"/>
      <c r="AE154" s="29"/>
      <c r="AF154" s="38"/>
      <c r="AG154" s="38"/>
      <c r="AH154" s="38"/>
      <c r="AI154" s="24">
        <f>Z154*2</f>
        <v>46943.943409263535</v>
      </c>
      <c r="AJ154" s="25">
        <f>AR154*(1-입력란!$C$29/100)</f>
        <v>22.98497201496</v>
      </c>
      <c r="AK15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4" s="25">
        <f>입력란!$C$37+입력란!$C$31+IF(입력란!$C$17=1,10,IF(입력란!$C$17=2,25,IF(입력란!$C$17=3,50,0)))</f>
        <v>295.58728189999999</v>
      </c>
      <c r="AM154" s="29">
        <f>SUM(AN154:AP154)</f>
        <v>108651.08525527976</v>
      </c>
      <c r="AN154" s="29">
        <f>(VLOOKUP(C154,$B$4:$AK$7,9,FALSE)+VLOOKUP(C154,$B$8:$AK$11,9,FALSE)*입력란!$C$23)*입력란!$C$38/100</f>
        <v>69531.132414226813</v>
      </c>
      <c r="AO154" s="29">
        <f>(VLOOKUP(C154,$B$4:$AK$7,10,FALSE)+VLOOKUP(C154,$B$8:$AK$11,10,FALSE)*입력란!$C$23)*입력란!$C$38/100</f>
        <v>39119.952841052946</v>
      </c>
      <c r="AP154" s="29"/>
      <c r="AQ154" s="29"/>
      <c r="AR154" s="28">
        <v>24</v>
      </c>
    </row>
    <row r="155" spans="2:44" ht="13.5" customHeight="1" x14ac:dyDescent="0.3">
      <c r="B155" s="30">
        <v>140</v>
      </c>
      <c r="C155" s="35">
        <v>10</v>
      </c>
      <c r="D155" s="36" t="s">
        <v>134</v>
      </c>
      <c r="E155" s="37" t="s">
        <v>142</v>
      </c>
      <c r="F155" s="39" t="s">
        <v>179</v>
      </c>
      <c r="G155" s="39"/>
      <c r="H155" s="51">
        <f>I155/AJ155</f>
        <v>14833.106733493234</v>
      </c>
      <c r="I155" s="52">
        <f>SUM(J155:Q155)*IF(입력란!C$15=1,1.04,IF(입력란!C$15=2,1.1,IF(입력란!C$15=3,1.2,1)))*IF(입력란!$C$17&lt;&gt;0,0.98,1)</f>
        <v>340938.54316425673</v>
      </c>
      <c r="J155" s="29">
        <f>S155*(1+IF($AK155+IF(입력란!$C$9=1,10,0)+IF(입력란!$C$19=1,10,0)+IF(MID(E155,1,1)="3",트라이포드!H$12,0)&gt;100,100,$AK155+IF(입력란!$C$9=1,10,0)+IF(입력란!$C$19=1,10,0)+IF(MID(E155,1,1)="3",트라이포드!H$12,0))/100*(($AL155+IF(MID(E155,5,1)="2",트라이포드!R$12,0))/100-1))</f>
        <v>234103.71857899116</v>
      </c>
      <c r="K155" s="29">
        <f>T155*(1+IF($AK155+IF(입력란!$C$19=1,10,0)+IF(입력란!$C$9=1,10,0)&gt;100,100,$AK155+IF(입력란!$C$19=1,10,0)+IF(입력란!$C$9=1,10,0))/100*($AL155/100-1))</f>
        <v>73097.511558339596</v>
      </c>
      <c r="L155" s="29"/>
      <c r="M155" s="29"/>
      <c r="N155" s="38"/>
      <c r="O155" s="38"/>
      <c r="P155" s="38"/>
      <c r="Q155" s="26">
        <f>Z155*(1+IF($AK155+IF(입력란!$C$19=1,10,0)&gt;100,100,$AK155+IF(입력란!$C$19=1,10,0))/100*($AL155/100-1))</f>
        <v>33737.313026925964</v>
      </c>
      <c r="R155" s="23">
        <f>SUM(S155:Z155)</f>
        <v>166804.31650892226</v>
      </c>
      <c r="S155" s="29">
        <f>AN155*IF(MID(E155,5,1)="2",트라이포드!$Q$12,1)*IF(입력란!$C$9=1,IF(입력란!$C$14=0,1.05,IF(입력란!$C$14=1,1.05*1.05,IF(입력란!$C$14=2,1.05*1.12,IF(입력란!$C$14=3,1.05*1.25)))),1)</f>
        <v>92476.406110921671</v>
      </c>
      <c r="T155" s="29">
        <f>AO155*IF(MID(E155,3,1)="1",트라이포드!$J$12,트라이포드!$I$12)*IF(MID(E155,3,1)="3",트라이포드!$N$12,트라이포드!$M$12)*IF(입력란!$C$9=1,IF(입력란!$C$14=0,1.05,IF(입력란!$C$14=1,1.05*1.05,IF(입력란!$C$14=2,1.05*1.12,IF(입력란!$C$14=3,1.05*1.25)))),1)</f>
        <v>50855.938693368829</v>
      </c>
      <c r="U155" s="29"/>
      <c r="V155" s="29"/>
      <c r="W155" s="38"/>
      <c r="X155" s="38"/>
      <c r="Y155" s="38"/>
      <c r="Z155" s="24">
        <f>AO155*IF(MID(E155,3,1)="1",0.6,0)</f>
        <v>23471.971704631767</v>
      </c>
      <c r="AA155" s="29">
        <f>SUM(AB155:AI155)</f>
        <v>333608.63301784452</v>
      </c>
      <c r="AB155" s="29">
        <f>S155*2</f>
        <v>184952.81222184334</v>
      </c>
      <c r="AC155" s="29">
        <f>T155*2</f>
        <v>101711.87738673766</v>
      </c>
      <c r="AD155" s="29"/>
      <c r="AE155" s="29"/>
      <c r="AF155" s="38"/>
      <c r="AG155" s="38"/>
      <c r="AH155" s="38"/>
      <c r="AI155" s="24">
        <f>Z155*2</f>
        <v>46943.943409263535</v>
      </c>
      <c r="AJ155" s="25">
        <f>AR155*(1-입력란!$C$29/100)</f>
        <v>22.98497201496</v>
      </c>
      <c r="AK15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5" s="25">
        <f>입력란!$C$37+입력란!$C$31+IF(입력란!$C$17=1,10,IF(입력란!$C$17=2,25,IF(입력란!$C$17=3,50,0)))</f>
        <v>295.58728189999999</v>
      </c>
      <c r="AM155" s="29">
        <f>SUM(AN155:AP155)</f>
        <v>108651.08525527976</v>
      </c>
      <c r="AN155" s="29">
        <f>(VLOOKUP(C155,$B$4:$AK$7,9,FALSE)+VLOOKUP(C155,$B$8:$AK$11,9,FALSE)*입력란!$C$23)*입력란!$C$38/100</f>
        <v>69531.132414226813</v>
      </c>
      <c r="AO155" s="29">
        <f>(VLOOKUP(C155,$B$4:$AK$7,10,FALSE)+VLOOKUP(C155,$B$8:$AK$11,10,FALSE)*입력란!$C$23)*입력란!$C$38/100</f>
        <v>39119.952841052946</v>
      </c>
      <c r="AP155" s="29"/>
      <c r="AQ155" s="29"/>
      <c r="AR155" s="28">
        <v>24</v>
      </c>
    </row>
    <row r="156" spans="2:44" ht="13.5" customHeight="1" x14ac:dyDescent="0.3">
      <c r="B156" s="30">
        <v>141</v>
      </c>
      <c r="C156" s="35">
        <v>10</v>
      </c>
      <c r="D156" s="36" t="s">
        <v>134</v>
      </c>
      <c r="E156" s="37" t="s">
        <v>90</v>
      </c>
      <c r="F156" s="39"/>
      <c r="G156" s="39"/>
      <c r="H156" s="51">
        <f>I156/AJ156</f>
        <v>11607.38991109877</v>
      </c>
      <c r="I156" s="52">
        <f>SUM(J156:Q156)*IF(입력란!C$15=1,1.04,IF(입력란!C$15=2,1.1,IF(입력란!C$15=3,1.2,1)))*IF(입력란!$C$17&lt;&gt;0,0.98,1)</f>
        <v>266795.53227333428</v>
      </c>
      <c r="J156" s="29">
        <f>S156*(1+IF($AK156+IF(입력란!$C$9=1,10,0)+IF(입력란!$C$19=1,10,0)+IF(MID(E156,1,1)="3",트라이포드!H$12,0)&gt;100,100,$AK156+IF(입력란!$C$9=1,10,0)+IF(입력란!$C$19=1,10,0)+IF(MID(E156,1,1)="3",트라이포드!H$12,0))/100*(($AL156+IF(MID(E156,5,1)="2",트라이포드!R$12,0))/100-1))</f>
        <v>154337.82218358104</v>
      </c>
      <c r="K156" s="29">
        <f>T156*(1+IF($AK156+IF(입력란!$C$19=1,10,0)+IF(입력란!$C$9=1,10,0)&gt;100,100,$AK156+IF(입력란!$C$19=1,10,0)+IF(입력란!$C$9=1,10,0))/100*($AL156/100-1))</f>
        <v>112457.71008975322</v>
      </c>
      <c r="L156" s="29"/>
      <c r="M156" s="29"/>
      <c r="N156" s="38"/>
      <c r="O156" s="38"/>
      <c r="P156" s="38"/>
      <c r="Q156" s="26">
        <f>Z156*(1+IF($AK156+IF(입력란!$C$19=1,10,0)&gt;100,100,$AK156+IF(입력란!$C$19=1,10,0))/100*($AL156/100-1))</f>
        <v>0</v>
      </c>
      <c r="R156" s="23">
        <f>SUM(S156:Z156)</f>
        <v>147771.03809633269</v>
      </c>
      <c r="S156" s="29">
        <f>AN156*IF(MID(E156,5,1)="2",트라이포드!$Q$12,1)*IF(입력란!$C$9=1,IF(입력란!$C$14=0,1.05,IF(입력란!$C$14=1,1.05*1.05,IF(입력란!$C$14=2,1.05*1.12,IF(입력란!$C$14=3,1.05*1.25)))),1)</f>
        <v>69531.132414226813</v>
      </c>
      <c r="T156" s="29">
        <f>AO156*IF(MID(E156,3,1)="1",트라이포드!$J$12,트라이포드!$I$12)*IF(MID(E156,3,1)="3",트라이포드!$N$12,트라이포드!$M$12)*IF(입력란!$C$9=1,IF(입력란!$C$14=0,1.05,IF(입력란!$C$14=1,1.05*1.05,IF(입력란!$C$14=2,1.05*1.12,IF(입력란!$C$14=3,1.05*1.25)))),1)</f>
        <v>78239.905682105891</v>
      </c>
      <c r="U156" s="29"/>
      <c r="V156" s="29"/>
      <c r="W156" s="38"/>
      <c r="X156" s="38"/>
      <c r="Y156" s="38"/>
      <c r="Z156" s="24">
        <f>AO156*IF(MID(E156,3,1)="1",0.6,0)</f>
        <v>0</v>
      </c>
      <c r="AA156" s="29">
        <f>SUM(AB156:AI156)</f>
        <v>295542.07619266538</v>
      </c>
      <c r="AB156" s="29">
        <f>S156*2</f>
        <v>139062.26482845363</v>
      </c>
      <c r="AC156" s="29">
        <f>T156*2</f>
        <v>156479.81136421178</v>
      </c>
      <c r="AD156" s="29"/>
      <c r="AE156" s="29"/>
      <c r="AF156" s="38"/>
      <c r="AG156" s="38"/>
      <c r="AH156" s="38"/>
      <c r="AI156" s="24">
        <f>Z156*2</f>
        <v>0</v>
      </c>
      <c r="AJ156" s="25">
        <f>AR156*(1-입력란!$C$29/100)</f>
        <v>22.98497201496</v>
      </c>
      <c r="AK15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6" s="25">
        <f>입력란!$C$37+입력란!$C$31+IF(입력란!$C$17=1,10,IF(입력란!$C$17=2,25,IF(입력란!$C$17=3,50,0)))</f>
        <v>295.58728189999999</v>
      </c>
      <c r="AM156" s="29">
        <f>SUM(AN156:AP156)</f>
        <v>108651.08525527976</v>
      </c>
      <c r="AN156" s="29">
        <f>(VLOOKUP(C156,$B$4:$AK$7,9,FALSE)+VLOOKUP(C156,$B$8:$AK$11,9,FALSE)*입력란!$C$23)*입력란!$C$38/100</f>
        <v>69531.132414226813</v>
      </c>
      <c r="AO156" s="29">
        <f>(VLOOKUP(C156,$B$4:$AK$7,10,FALSE)+VLOOKUP(C156,$B$8:$AK$11,10,FALSE)*입력란!$C$23)*입력란!$C$38/100</f>
        <v>39119.952841052946</v>
      </c>
      <c r="AP156" s="29"/>
      <c r="AQ156" s="29"/>
      <c r="AR156" s="28">
        <v>24</v>
      </c>
    </row>
    <row r="157" spans="2:44" ht="13.5" customHeight="1" x14ac:dyDescent="0.3">
      <c r="B157" s="30">
        <v>142</v>
      </c>
      <c r="C157" s="35">
        <v>10</v>
      </c>
      <c r="D157" s="36" t="s">
        <v>134</v>
      </c>
      <c r="E157" s="37" t="s">
        <v>98</v>
      </c>
      <c r="F157" s="39"/>
      <c r="G157" s="39"/>
      <c r="H157" s="51">
        <f>I157/AJ157</f>
        <v>15077.739857293775</v>
      </c>
      <c r="I157" s="52">
        <f>SUM(J157:Q157)*IF(입력란!C$15=1,1.04,IF(입력란!C$15=2,1.1,IF(입력란!C$15=3,1.2,1)))*IF(입력란!$C$17&lt;&gt;0,0.98,1)</f>
        <v>346561.4286687444</v>
      </c>
      <c r="J157" s="29">
        <f>S157*(1+IF($AK157+IF(입력란!$C$9=1,10,0)+IF(입력란!$C$19=1,10,0)+IF(MID(E157,1,1)="3",트라이포드!H$12,0)&gt;100,100,$AK157+IF(입력란!$C$9=1,10,0)+IF(입력란!$C$19=1,10,0)+IF(MID(E157,1,1)="3",트라이포드!H$12,0))/100*(($AL157+IF(MID(E157,5,1)="2",트라이포드!R$12,0))/100-1))</f>
        <v>234103.71857899116</v>
      </c>
      <c r="K157" s="29">
        <f>T157*(1+IF($AK157+IF(입력란!$C$19=1,10,0)+IF(입력란!$C$9=1,10,0)&gt;100,100,$AK157+IF(입력란!$C$19=1,10,0)+IF(입력란!$C$9=1,10,0))/100*($AL157/100-1))</f>
        <v>112457.71008975322</v>
      </c>
      <c r="L157" s="29"/>
      <c r="M157" s="29"/>
      <c r="N157" s="38"/>
      <c r="O157" s="38"/>
      <c r="P157" s="38"/>
      <c r="Q157" s="26">
        <f>Z157*(1+IF($AK157+IF(입력란!$C$19=1,10,0)&gt;100,100,$AK157+IF(입력란!$C$19=1,10,0))/100*($AL157/100-1))</f>
        <v>0</v>
      </c>
      <c r="R157" s="23">
        <f>SUM(S157:Z157)</f>
        <v>170716.31179302756</v>
      </c>
      <c r="S157" s="29">
        <f>AN157*IF(MID(E157,5,1)="2",트라이포드!$Q$12,1)*IF(입력란!$C$9=1,IF(입력란!$C$14=0,1.05,IF(입력란!$C$14=1,1.05*1.05,IF(입력란!$C$14=2,1.05*1.12,IF(입력란!$C$14=3,1.05*1.25)))),1)</f>
        <v>92476.406110921671</v>
      </c>
      <c r="T157" s="29">
        <f>AO157*IF(MID(E157,3,1)="1",트라이포드!$J$12,트라이포드!$I$12)*IF(MID(E157,3,1)="3",트라이포드!$N$12,트라이포드!$M$12)*IF(입력란!$C$9=1,IF(입력란!$C$14=0,1.05,IF(입력란!$C$14=1,1.05*1.05,IF(입력란!$C$14=2,1.05*1.12,IF(입력란!$C$14=3,1.05*1.25)))),1)</f>
        <v>78239.905682105891</v>
      </c>
      <c r="U157" s="29"/>
      <c r="V157" s="29"/>
      <c r="W157" s="38"/>
      <c r="X157" s="38"/>
      <c r="Y157" s="38"/>
      <c r="Z157" s="24">
        <f>AO157*IF(MID(E157,3,1)="1",0.6,0)</f>
        <v>0</v>
      </c>
      <c r="AA157" s="29">
        <f>SUM(AB157:AI157)</f>
        <v>341432.62358605512</v>
      </c>
      <c r="AB157" s="29">
        <f>S157*2</f>
        <v>184952.81222184334</v>
      </c>
      <c r="AC157" s="29">
        <f>T157*2</f>
        <v>156479.81136421178</v>
      </c>
      <c r="AD157" s="29"/>
      <c r="AE157" s="29"/>
      <c r="AF157" s="38"/>
      <c r="AG157" s="38"/>
      <c r="AH157" s="38"/>
      <c r="AI157" s="24">
        <f>Z157*2</f>
        <v>0</v>
      </c>
      <c r="AJ157" s="25">
        <f>AR157*(1-입력란!$C$29/100)</f>
        <v>22.98497201496</v>
      </c>
      <c r="AK15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7" s="25">
        <f>입력란!$C$37+입력란!$C$31+IF(입력란!$C$17=1,10,IF(입력란!$C$17=2,25,IF(입력란!$C$17=3,50,0)))</f>
        <v>295.58728189999999</v>
      </c>
      <c r="AM157" s="29">
        <f>SUM(AN157:AP157)</f>
        <v>108651.08525527976</v>
      </c>
      <c r="AN157" s="29">
        <f>(VLOOKUP(C157,$B$4:$AK$7,9,FALSE)+VLOOKUP(C157,$B$8:$AK$11,9,FALSE)*입력란!$C$23)*입력란!$C$38/100</f>
        <v>69531.132414226813</v>
      </c>
      <c r="AO157" s="29">
        <f>(VLOOKUP(C157,$B$4:$AK$7,10,FALSE)+VLOOKUP(C157,$B$8:$AK$11,10,FALSE)*입력란!$C$23)*입력란!$C$38/100</f>
        <v>39119.952841052946</v>
      </c>
      <c r="AP157" s="29"/>
      <c r="AQ157" s="29"/>
      <c r="AR157" s="28">
        <v>24</v>
      </c>
    </row>
    <row r="158" spans="2:44" ht="13.5" customHeight="1" x14ac:dyDescent="0.3">
      <c r="B158" s="30">
        <v>143</v>
      </c>
      <c r="C158" s="35">
        <v>1</v>
      </c>
      <c r="D158" s="36" t="s">
        <v>143</v>
      </c>
      <c r="E158" s="37" t="s">
        <v>75</v>
      </c>
      <c r="F158" s="39"/>
      <c r="G158" s="39"/>
      <c r="H158" s="51">
        <f>I158/AJ158</f>
        <v>6496.1538604006546</v>
      </c>
      <c r="I158" s="52">
        <f>SUM(J158:Q158)*IF(입력란!C$15=1,1.04,IF(입력란!C$15=2,1.1,IF(입력란!C$15=3,1.2,1)))*IF(입력란!$C$17&lt;&gt;0,0.98,1)</f>
        <v>37328.478671545854</v>
      </c>
      <c r="J158" s="29">
        <f>S158*(1+IF($AK158+IF(입력란!$C$9=1,10,0)+IF(입력란!$C$19=1,10,0)+IF(MID(E158,1,1)="3",트라이포드!$H$13,0)&gt;100,100,$AK158+IF(입력란!$C$9=1,10,0)+IF(입력란!$C$19=1,10,0)+IF(MID(E158,1,1)="3",트라이포드!$H$13,0))/100*($AL158/100-1))</f>
        <v>18664.239335772927</v>
      </c>
      <c r="K158" s="29">
        <f>T158*(1+IF($AK158+IF(입력란!$C$9=1,10,0)+IF(입력란!$C$19=1,10,0)+IF(MID(E158,1,1)="3",트라이포드!H$13,0)&gt;100,100,$AK158+IF(입력란!$C$9=1,10,0)+IF(입력란!$C$19=1,10,0)+IF(MID(E158,1,1)="3",트라이포드!H$13,0))/100*($AL158/100-1))</f>
        <v>18664.239335772927</v>
      </c>
      <c r="L158" s="29">
        <f>U158*(1+IF($AK158+IF(입력란!$C$9=1,10,0)+IF(입력란!$C$19=1,10,0)+IF(MID(E158,1,1)="3",트라이포드!H$13,0)&gt;100,100,$AK158+IF(입력란!$C$9=1,10,0)+IF(입력란!$C$19=1,10,0)+IF(MID(E158,1,1)="3",트라이포드!H$13,0))/100*($AL158/100-1))</f>
        <v>0</v>
      </c>
      <c r="M158" s="29"/>
      <c r="N158" s="38"/>
      <c r="O158" s="38"/>
      <c r="P158" s="38"/>
      <c r="Q158" s="26"/>
      <c r="R158" s="23">
        <f>SUM(S158:Z158)</f>
        <v>25970.443895641463</v>
      </c>
      <c r="S158" s="29">
        <f>AN158*IF(MID(E158,3,1)="1",트라이포드!$J$13,트라이포드!$I$13)*IF(MID(E158,5,1)="2",트라이포드!$R$13,트라이포드!$Q$13)*IF(입력란!$C$9=1,IF(입력란!$C$14=0,1.05,IF(입력란!$C$14=1,1.05*1.05,IF(입력란!$C$14=2,1.05*1.12,IF(입력란!$C$14=3,1.05*1.25)))),1)</f>
        <v>12985.221947820732</v>
      </c>
      <c r="T158" s="29">
        <f>AN158*IF(MID(E158,3,1)="1",트라이포드!$J$13,트라이포드!$I$13)*IF(MID(E158,5,1)="2",트라이포드!$R$13,트라이포드!$Q$13)*IF(입력란!$C$9=1,IF(입력란!$C$14=0,1.05,IF(입력란!$C$14=1,1.05*1.05,IF(입력란!$C$14=2,1.05*1.12,IF(입력란!$C$14=3,1.05*1.25)))),1)</f>
        <v>12985.221947820732</v>
      </c>
      <c r="U158" s="29">
        <f>AN158*IF(MID(E158,3,1)="1",트라이포드!$J$13,트라이포드!$I$13)*IF(MID(E158,5,1)="1",1,0)*IF(입력란!$C$9=1,IF(입력란!$C$14=0,1.05,IF(입력란!$C$14=1,1.05*1.05,IF(입력란!$C$14=2,1.05*1.12,IF(입력란!$C$14=3,1.05*1.25)))),1)</f>
        <v>0</v>
      </c>
      <c r="V158" s="29"/>
      <c r="W158" s="38"/>
      <c r="X158" s="38"/>
      <c r="Y158" s="38"/>
      <c r="Z158" s="24"/>
      <c r="AA158" s="29">
        <f>SUM(AB158:AI158)</f>
        <v>51940.887791282927</v>
      </c>
      <c r="AB158" s="29">
        <f>S158*2</f>
        <v>25970.443895641463</v>
      </c>
      <c r="AC158" s="29">
        <f>T158*2</f>
        <v>25970.443895641463</v>
      </c>
      <c r="AD158" s="29">
        <f>U158*2</f>
        <v>0</v>
      </c>
      <c r="AE158" s="29"/>
      <c r="AF158" s="38"/>
      <c r="AG158" s="38"/>
      <c r="AH158" s="38"/>
      <c r="AI158" s="24"/>
      <c r="AJ158" s="25">
        <f>AR158*(1-입력란!$C$29/100)</f>
        <v>5.7462430037400001</v>
      </c>
      <c r="AK15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8" s="25">
        <f>입력란!$C$37+입력란!$C$31+IF(입력란!$C$17=1,10,IF(입력란!$C$17=2,25,IF(입력란!$C$17=3,50,0)))</f>
        <v>295.58728189999999</v>
      </c>
      <c r="AM158" s="29">
        <f>SUM(AN158:AP158)</f>
        <v>12985.221947820732</v>
      </c>
      <c r="AN158" s="29">
        <f>(VLOOKUP(C158,$B$4:$AK$7,11,FALSE)+VLOOKUP(C158,$B$8:$AK$11,11,FALSE)*입력란!$C$23)*입력란!$C$38/100</f>
        <v>12985.221947820732</v>
      </c>
      <c r="AO158" s="29"/>
      <c r="AP158" s="29"/>
      <c r="AQ158" s="29"/>
      <c r="AR158" s="28">
        <v>6</v>
      </c>
    </row>
    <row r="159" spans="2:44" ht="13.5" customHeight="1" x14ac:dyDescent="0.3">
      <c r="B159" s="30">
        <v>144</v>
      </c>
      <c r="C159" s="35">
        <v>4</v>
      </c>
      <c r="D159" s="36" t="s">
        <v>143</v>
      </c>
      <c r="E159" s="37" t="s">
        <v>75</v>
      </c>
      <c r="F159" s="39"/>
      <c r="G159" s="39"/>
      <c r="H159" s="51">
        <f>I159/AJ159</f>
        <v>6522.7683754826485</v>
      </c>
      <c r="I159" s="52">
        <f>SUM(J159:Q159)*IF(입력란!C$15=1,1.04,IF(입력란!C$15=2,1.1,IF(입력란!C$15=3,1.2,1)))*IF(입력란!$C$17&lt;&gt;0,0.98,1)</f>
        <v>37481.412142633693</v>
      </c>
      <c r="J159" s="29">
        <f>S159*(1+IF($AK159+IF(입력란!$C$9=1,10,0)+IF(입력란!$C$19=1,10,0)+IF(MID(E159,1,1)="3",트라이포드!$H$13,0)&gt;100,100,$AK159+IF(입력란!$C$9=1,10,0)+IF(입력란!$C$19=1,10,0)+IF(MID(E159,1,1)="3",트라이포드!$H$13,0))/100*($AL159/100-1))</f>
        <v>18740.706071316847</v>
      </c>
      <c r="K159" s="29">
        <f>T159*(1+IF($AK159+IF(입력란!$C$9=1,10,0)+IF(입력란!$C$19=1,10,0)+IF(MID(E159,1,1)="3",트라이포드!H$13,0)&gt;100,100,$AK159+IF(입력란!$C$9=1,10,0)+IF(입력란!$C$19=1,10,0)+IF(MID(E159,1,1)="3",트라이포드!H$13,0))/100*($AL159/100-1))</f>
        <v>18740.706071316847</v>
      </c>
      <c r="L159" s="29">
        <f>U159*(1+IF($AK159+IF(입력란!$C$9=1,10,0)+IF(입력란!$C$19=1,10,0)+IF(MID(E159,1,1)="3",트라이포드!H$13,0)&gt;100,100,$AK159+IF(입력란!$C$9=1,10,0)+IF(입력란!$C$19=1,10,0)+IF(MID(E159,1,1)="3",트라이포드!H$13,0))/100*($AL159/100-1))</f>
        <v>0</v>
      </c>
      <c r="M159" s="29"/>
      <c r="N159" s="38"/>
      <c r="O159" s="38"/>
      <c r="P159" s="38"/>
      <c r="Q159" s="26"/>
      <c r="R159" s="23">
        <f>SUM(S159:Z159)</f>
        <v>26076.843895641461</v>
      </c>
      <c r="S159" s="29">
        <f>AN159*IF(MID(E159,3,1)="1",트라이포드!$J$13,트라이포드!$I$13)*IF(MID(E159,5,1)="2",트라이포드!$R$13,트라이포드!$Q$13)*IF(입력란!$C$9=1,IF(입력란!$C$14=0,1.05,IF(입력란!$C$14=1,1.05*1.05,IF(입력란!$C$14=2,1.05*1.12,IF(입력란!$C$14=3,1.05*1.25)))),1)</f>
        <v>13038.421947820731</v>
      </c>
      <c r="T159" s="29">
        <f>AN159*IF(MID(E159,3,1)="1",트라이포드!$J$13,트라이포드!$I$13)*IF(MID(E159,5,1)="2",트라이포드!$R$13,트라이포드!$Q$13)*IF(입력란!$C$9=1,IF(입력란!$C$14=0,1.05,IF(입력란!$C$14=1,1.05*1.05,IF(입력란!$C$14=2,1.05*1.12,IF(입력란!$C$14=3,1.05*1.25)))),1)</f>
        <v>13038.421947820731</v>
      </c>
      <c r="U159" s="29">
        <f>AN159*IF(MID(E159,3,1)="1",트라이포드!$J$13,트라이포드!$I$13)*IF(MID(E159,5,1)="1",1,0)*IF(입력란!$C$9=1,IF(입력란!$C$14=0,1.05,IF(입력란!$C$14=1,1.05*1.05,IF(입력란!$C$14=2,1.05*1.12,IF(입력란!$C$14=3,1.05*1.25)))),1)</f>
        <v>0</v>
      </c>
      <c r="V159" s="29"/>
      <c r="W159" s="38"/>
      <c r="X159" s="38"/>
      <c r="Y159" s="38"/>
      <c r="Z159" s="24"/>
      <c r="AA159" s="29">
        <f>SUM(AB159:AI159)</f>
        <v>52153.687791282922</v>
      </c>
      <c r="AB159" s="29">
        <f>S159*2</f>
        <v>26076.843895641461</v>
      </c>
      <c r="AC159" s="29">
        <f>T159*2</f>
        <v>26076.843895641461</v>
      </c>
      <c r="AD159" s="29">
        <f>U159*2</f>
        <v>0</v>
      </c>
      <c r="AE159" s="29"/>
      <c r="AF159" s="38"/>
      <c r="AG159" s="38"/>
      <c r="AH159" s="38"/>
      <c r="AI159" s="24"/>
      <c r="AJ159" s="25">
        <f>AR159*(1-입력란!$C$29/100)</f>
        <v>5.7462430037400001</v>
      </c>
      <c r="AK15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59" s="25">
        <f>입력란!$C$37+입력란!$C$31+IF(입력란!$C$17=1,10,IF(입력란!$C$17=2,25,IF(입력란!$C$17=3,50,0)))</f>
        <v>295.58728189999999</v>
      </c>
      <c r="AM159" s="29">
        <f>SUM(AN159:AP159)</f>
        <v>13038.421947820731</v>
      </c>
      <c r="AN159" s="29">
        <f>(VLOOKUP(C159,$B$4:$AK$7,11,FALSE)+VLOOKUP(C159,$B$8:$AK$11,11,FALSE)*입력란!$C$23)*입력란!$C$38/100</f>
        <v>13038.421947820731</v>
      </c>
      <c r="AO159" s="25"/>
      <c r="AP159" s="29"/>
      <c r="AQ159" s="29"/>
      <c r="AR159" s="28">
        <v>6</v>
      </c>
    </row>
    <row r="160" spans="2:44" ht="13.5" customHeight="1" x14ac:dyDescent="0.3">
      <c r="B160" s="30">
        <v>145</v>
      </c>
      <c r="C160" s="35">
        <v>4</v>
      </c>
      <c r="D160" s="36" t="s">
        <v>143</v>
      </c>
      <c r="E160" s="37" t="s">
        <v>76</v>
      </c>
      <c r="F160" s="39"/>
      <c r="G160" s="39"/>
      <c r="H160" s="51">
        <f>I160/AJ160</f>
        <v>7854.1510758208178</v>
      </c>
      <c r="I160" s="52">
        <f>SUM(J160:Q160)*IF(입력란!C$15=1,1.04,IF(입력란!C$15=2,1.1,IF(입력란!C$15=3,1.2,1)))*IF(입력란!$C$17&lt;&gt;0,0.98,1)</f>
        <v>45131.860669752372</v>
      </c>
      <c r="J160" s="29">
        <f>S160*(1+IF($AK160+IF(입력란!$C$9=1,10,0)+IF(입력란!$C$19=1,10,0)+IF(MID(E160,1,1)="3",트라이포드!$H$13,0)&gt;100,100,$AK160+IF(입력란!$C$9=1,10,0)+IF(입력란!$C$19=1,10,0)+IF(MID(E160,1,1)="3",트라이포드!$H$13,0))/100*($AL160/100-1))</f>
        <v>22565.930334876186</v>
      </c>
      <c r="K160" s="29">
        <f>T160*(1+IF($AK160+IF(입력란!$C$9=1,10,0)+IF(입력란!$C$19=1,10,0)+IF(MID(E160,1,1)="3",트라이포드!H$13,0)&gt;100,100,$AK160+IF(입력란!$C$9=1,10,0)+IF(입력란!$C$19=1,10,0)+IF(MID(E160,1,1)="3",트라이포드!H$13,0))/100*($AL160/100-1))</f>
        <v>22565.930334876186</v>
      </c>
      <c r="L160" s="29">
        <f>U160*(1+IF($AK160+IF(입력란!$C$9=1,10,0)+IF(입력란!$C$19=1,10,0)+IF(MID(E160,1,1)="3",트라이포드!H$13,0)&gt;100,100,$AK160+IF(입력란!$C$9=1,10,0)+IF(입력란!$C$19=1,10,0)+IF(MID(E160,1,1)="3",트라이포드!H$13,0))/100*($AL160/100-1))</f>
        <v>0</v>
      </c>
      <c r="M160" s="29"/>
      <c r="N160" s="38"/>
      <c r="O160" s="38"/>
      <c r="P160" s="38"/>
      <c r="Q160" s="26"/>
      <c r="R160" s="23">
        <f>SUM(S160:Z160)</f>
        <v>26076.843895641461</v>
      </c>
      <c r="S160" s="29">
        <f>AN160*IF(MID(E160,3,1)="1",트라이포드!$J$13,트라이포드!$I$13)*IF(MID(E160,5,1)="2",트라이포드!$R$13,트라이포드!$Q$13)*IF(입력란!$C$9=1,IF(입력란!$C$14=0,1.05,IF(입력란!$C$14=1,1.05*1.05,IF(입력란!$C$14=2,1.05*1.12,IF(입력란!$C$14=3,1.05*1.25)))),1)</f>
        <v>13038.421947820731</v>
      </c>
      <c r="T160" s="29">
        <f>AN160*IF(MID(E160,3,1)="1",트라이포드!$J$13,트라이포드!$I$13)*IF(MID(E160,5,1)="2",트라이포드!$R$13,트라이포드!$Q$13)*IF(입력란!$C$9=1,IF(입력란!$C$14=0,1.05,IF(입력란!$C$14=1,1.05*1.05,IF(입력란!$C$14=2,1.05*1.12,IF(입력란!$C$14=3,1.05*1.25)))),1)</f>
        <v>13038.421947820731</v>
      </c>
      <c r="U160" s="29">
        <f>AN160*IF(MID(E160,3,1)="1",트라이포드!$J$13,트라이포드!$I$13)*IF(MID(E160,5,1)="1",1,0)*IF(입력란!$C$9=1,IF(입력란!$C$14=0,1.05,IF(입력란!$C$14=1,1.05*1.05,IF(입력란!$C$14=2,1.05*1.12,IF(입력란!$C$14=3,1.05*1.25)))),1)</f>
        <v>0</v>
      </c>
      <c r="V160" s="29"/>
      <c r="W160" s="38"/>
      <c r="X160" s="38"/>
      <c r="Y160" s="38"/>
      <c r="Z160" s="24"/>
      <c r="AA160" s="29">
        <f>SUM(AB160:AI160)</f>
        <v>52153.687791282922</v>
      </c>
      <c r="AB160" s="29">
        <f>S160*2</f>
        <v>26076.843895641461</v>
      </c>
      <c r="AC160" s="29">
        <f>T160*2</f>
        <v>26076.843895641461</v>
      </c>
      <c r="AD160" s="29">
        <f>U160*2</f>
        <v>0</v>
      </c>
      <c r="AE160" s="29"/>
      <c r="AF160" s="38"/>
      <c r="AG160" s="38"/>
      <c r="AH160" s="38"/>
      <c r="AI160" s="24"/>
      <c r="AJ160" s="25">
        <f>AR160*(1-입력란!$C$29/100)</f>
        <v>5.7462430037400001</v>
      </c>
      <c r="AK16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0" s="25">
        <f>입력란!$C$37+입력란!$C$31+IF(입력란!$C$17=1,10,IF(입력란!$C$17=2,25,IF(입력란!$C$17=3,50,0)))</f>
        <v>295.58728189999999</v>
      </c>
      <c r="AM160" s="29">
        <f>SUM(AN160:AP160)</f>
        <v>13038.421947820731</v>
      </c>
      <c r="AN160" s="29">
        <f>(VLOOKUP(C160,$B$4:$AK$7,11,FALSE)+VLOOKUP(C160,$B$8:$AK$11,11,FALSE)*입력란!$C$23)*입력란!$C$38/100</f>
        <v>13038.421947820731</v>
      </c>
      <c r="AO160" s="25"/>
      <c r="AP160" s="29"/>
      <c r="AQ160" s="29"/>
      <c r="AR160" s="28">
        <v>6</v>
      </c>
    </row>
    <row r="161" spans="2:44" ht="13.5" customHeight="1" x14ac:dyDescent="0.3">
      <c r="B161" s="30">
        <v>146</v>
      </c>
      <c r="C161" s="35">
        <v>7</v>
      </c>
      <c r="D161" s="36" t="s">
        <v>143</v>
      </c>
      <c r="E161" s="37" t="s">
        <v>75</v>
      </c>
      <c r="F161" s="39"/>
      <c r="G161" s="39"/>
      <c r="H161" s="51">
        <f>I161/AJ161</f>
        <v>6535.3752510478034</v>
      </c>
      <c r="I161" s="52">
        <f>SUM(J161:Q161)*IF(입력란!C$15=1,1.04,IF(입력란!C$15=2,1.1,IF(입력란!C$15=3,1.2,1)))*IF(입력란!$C$17&lt;&gt;0,0.98,1)</f>
        <v>37553.854313148986</v>
      </c>
      <c r="J161" s="29">
        <f>S161*(1+IF($AK161+IF(입력란!$C$9=1,10,0)+IF(입력란!$C$19=1,10,0)+IF(MID(E161,1,1)="3",트라이포드!$H$13,0)&gt;100,100,$AK161+IF(입력란!$C$9=1,10,0)+IF(입력란!$C$19=1,10,0)+IF(MID(E161,1,1)="3",트라이포드!$H$13,0))/100*($AL161/100-1))</f>
        <v>18776.927156574493</v>
      </c>
      <c r="K161" s="29">
        <f>T161*(1+IF($AK161+IF(입력란!$C$9=1,10,0)+IF(입력란!$C$19=1,10,0)+IF(MID(E161,1,1)="3",트라이포드!H$13,0)&gt;100,100,$AK161+IF(입력란!$C$9=1,10,0)+IF(입력란!$C$19=1,10,0)+IF(MID(E161,1,1)="3",트라이포드!H$13,0))/100*($AL161/100-1))</f>
        <v>18776.927156574493</v>
      </c>
      <c r="L161" s="29">
        <f>U161*(1+IF($AK161+IF(입력란!$C$9=1,10,0)+IF(입력란!$C$19=1,10,0)+IF(MID(E161,1,1)="3",트라이포드!H$13,0)&gt;100,100,$AK161+IF(입력란!$C$9=1,10,0)+IF(입력란!$C$19=1,10,0)+IF(MID(E161,1,1)="3",트라이포드!H$13,0))/100*($AL161/100-1))</f>
        <v>0</v>
      </c>
      <c r="M161" s="29"/>
      <c r="N161" s="38"/>
      <c r="O161" s="38"/>
      <c r="P161" s="38"/>
      <c r="Q161" s="26"/>
      <c r="R161" s="23">
        <f>SUM(S161:Z161)</f>
        <v>26127.243895641463</v>
      </c>
      <c r="S161" s="29">
        <f>AN161*IF(MID(E161,3,1)="1",트라이포드!$J$13,트라이포드!$I$13)*IF(MID(E161,5,1)="2",트라이포드!$R$13,트라이포드!$Q$13)*IF(입력란!$C$9=1,IF(입력란!$C$14=0,1.05,IF(입력란!$C$14=1,1.05*1.05,IF(입력란!$C$14=2,1.05*1.12,IF(입력란!$C$14=3,1.05*1.25)))),1)</f>
        <v>13063.621947820731</v>
      </c>
      <c r="T161" s="29">
        <f>AN161*IF(MID(E161,3,1)="1",트라이포드!$J$13,트라이포드!$I$13)*IF(MID(E161,5,1)="2",트라이포드!$R$13,트라이포드!$Q$13)*IF(입력란!$C$9=1,IF(입력란!$C$14=0,1.05,IF(입력란!$C$14=1,1.05*1.05,IF(입력란!$C$14=2,1.05*1.12,IF(입력란!$C$14=3,1.05*1.25)))),1)</f>
        <v>13063.621947820731</v>
      </c>
      <c r="U161" s="29">
        <f>AN161*IF(MID(E161,3,1)="1",트라이포드!$J$13,트라이포드!$I$13)*IF(MID(E161,5,1)="1",1,0)*IF(입력란!$C$9=1,IF(입력란!$C$14=0,1.05,IF(입력란!$C$14=1,1.05*1.05,IF(입력란!$C$14=2,1.05*1.12,IF(입력란!$C$14=3,1.05*1.25)))),1)</f>
        <v>0</v>
      </c>
      <c r="V161" s="29"/>
      <c r="W161" s="38"/>
      <c r="X161" s="38"/>
      <c r="Y161" s="38"/>
      <c r="Z161" s="24"/>
      <c r="AA161" s="29">
        <f>SUM(AB161:AI161)</f>
        <v>52254.487791282925</v>
      </c>
      <c r="AB161" s="29">
        <f>S161*2</f>
        <v>26127.243895641463</v>
      </c>
      <c r="AC161" s="29">
        <f>T161*2</f>
        <v>26127.243895641463</v>
      </c>
      <c r="AD161" s="29">
        <f>U161*2</f>
        <v>0</v>
      </c>
      <c r="AE161" s="29"/>
      <c r="AF161" s="38"/>
      <c r="AG161" s="38"/>
      <c r="AH161" s="38"/>
      <c r="AI161" s="24"/>
      <c r="AJ161" s="25">
        <f>AR161*(1-입력란!$C$29/100)</f>
        <v>5.7462430037400001</v>
      </c>
      <c r="AK16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1" s="25">
        <f>입력란!$C$37+입력란!$C$31+IF(입력란!$C$17=1,10,IF(입력란!$C$17=2,25,IF(입력란!$C$17=3,50,0)))</f>
        <v>295.58728189999999</v>
      </c>
      <c r="AM161" s="29">
        <f>SUM(AN161:AP161)</f>
        <v>13063.621947820731</v>
      </c>
      <c r="AN161" s="29">
        <f>(VLOOKUP(C161,$B$4:$AK$7,11,FALSE)+VLOOKUP(C161,$B$8:$AK$11,11,FALSE)*입력란!$C$23)*입력란!$C$38/100</f>
        <v>13063.621947820731</v>
      </c>
      <c r="AO161" s="25"/>
      <c r="AP161" s="29"/>
      <c r="AQ161" s="29"/>
      <c r="AR161" s="28">
        <v>6</v>
      </c>
    </row>
    <row r="162" spans="2:44" ht="13.5" customHeight="1" x14ac:dyDescent="0.3">
      <c r="B162" s="30">
        <v>147</v>
      </c>
      <c r="C162" s="35">
        <v>7</v>
      </c>
      <c r="D162" s="36" t="s">
        <v>143</v>
      </c>
      <c r="E162" s="37" t="s">
        <v>77</v>
      </c>
      <c r="F162" s="39"/>
      <c r="G162" s="39"/>
      <c r="H162" s="51">
        <f>I162/AJ162</f>
        <v>9149.5253514669239</v>
      </c>
      <c r="I162" s="52">
        <f>SUM(J162:Q162)*IF(입력란!C$15=1,1.04,IF(입력란!C$15=2,1.1,IF(입력란!C$15=3,1.2,1)))*IF(입력란!$C$17&lt;&gt;0,0.98,1)</f>
        <v>52575.39603840858</v>
      </c>
      <c r="J162" s="29">
        <f>S162*(1+IF($AK162+IF(입력란!$C$9=1,10,0)+IF(입력란!$C$19=1,10,0)+IF(MID(E162,1,1)="3",트라이포드!$H$13,0)&gt;100,100,$AK162+IF(입력란!$C$9=1,10,0)+IF(입력란!$C$19=1,10,0)+IF(MID(E162,1,1)="3",트라이포드!$H$13,0))/100*($AL162/100-1))</f>
        <v>26287.69801920429</v>
      </c>
      <c r="K162" s="29">
        <f>T162*(1+IF($AK162+IF(입력란!$C$9=1,10,0)+IF(입력란!$C$19=1,10,0)+IF(MID(E162,1,1)="3",트라이포드!H$13,0)&gt;100,100,$AK162+IF(입력란!$C$9=1,10,0)+IF(입력란!$C$19=1,10,0)+IF(MID(E162,1,1)="3",트라이포드!H$13,0))/100*($AL162/100-1))</f>
        <v>26287.69801920429</v>
      </c>
      <c r="L162" s="29">
        <f>U162*(1+IF($AK162+IF(입력란!$C$9=1,10,0)+IF(입력란!$C$19=1,10,0)+IF(MID(E162,1,1)="3",트라이포드!H$13,0)&gt;100,100,$AK162+IF(입력란!$C$9=1,10,0)+IF(입력란!$C$19=1,10,0)+IF(MID(E162,1,1)="3",트라이포드!H$13,0))/100*($AL162/100-1))</f>
        <v>0</v>
      </c>
      <c r="M162" s="29"/>
      <c r="N162" s="38"/>
      <c r="O162" s="38"/>
      <c r="P162" s="38"/>
      <c r="Q162" s="26"/>
      <c r="R162" s="23">
        <f>SUM(S162:Z162)</f>
        <v>36578.141453898046</v>
      </c>
      <c r="S162" s="29">
        <f>AN162*IF(MID(E162,3,1)="1",트라이포드!$J$13,트라이포드!$I$13)*IF(MID(E162,5,1)="2",트라이포드!$R$13,트라이포드!$Q$13)*IF(입력란!$C$9=1,IF(입력란!$C$14=0,1.05,IF(입력란!$C$14=1,1.05*1.05,IF(입력란!$C$14=2,1.05*1.12,IF(입력란!$C$14=3,1.05*1.25)))),1)</f>
        <v>18289.070726949023</v>
      </c>
      <c r="T162" s="29">
        <f>AN162*IF(MID(E162,3,1)="1",트라이포드!$J$13,트라이포드!$I$13)*IF(MID(E162,5,1)="2",트라이포드!$R$13,트라이포드!$Q$13)*IF(입력란!$C$9=1,IF(입력란!$C$14=0,1.05,IF(입력란!$C$14=1,1.05*1.05,IF(입력란!$C$14=2,1.05*1.12,IF(입력란!$C$14=3,1.05*1.25)))),1)</f>
        <v>18289.070726949023</v>
      </c>
      <c r="U162" s="29">
        <f>AN162*IF(MID(E162,3,1)="1",트라이포드!$J$13,트라이포드!$I$13)*IF(MID(E162,5,1)="1",1,0)*IF(입력란!$C$9=1,IF(입력란!$C$14=0,1.05,IF(입력란!$C$14=1,1.05*1.05,IF(입력란!$C$14=2,1.05*1.12,IF(입력란!$C$14=3,1.05*1.25)))),1)</f>
        <v>0</v>
      </c>
      <c r="V162" s="29"/>
      <c r="W162" s="38"/>
      <c r="X162" s="38"/>
      <c r="Y162" s="38"/>
      <c r="Z162" s="24"/>
      <c r="AA162" s="29">
        <f>SUM(AB162:AI162)</f>
        <v>73156.282907796092</v>
      </c>
      <c r="AB162" s="29">
        <f>S162*2</f>
        <v>36578.141453898046</v>
      </c>
      <c r="AC162" s="29">
        <f>T162*2</f>
        <v>36578.141453898046</v>
      </c>
      <c r="AD162" s="29">
        <f>U162*2</f>
        <v>0</v>
      </c>
      <c r="AE162" s="29"/>
      <c r="AF162" s="38"/>
      <c r="AG162" s="38"/>
      <c r="AH162" s="38"/>
      <c r="AI162" s="24"/>
      <c r="AJ162" s="25">
        <f>AR162*(1-입력란!$C$29/100)</f>
        <v>5.7462430037400001</v>
      </c>
      <c r="AK16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2" s="25">
        <f>입력란!$C$37+입력란!$C$31+IF(입력란!$C$17=1,10,IF(입력란!$C$17=2,25,IF(입력란!$C$17=3,50,0)))</f>
        <v>295.58728189999999</v>
      </c>
      <c r="AM162" s="29">
        <f>SUM(AN162:AP162)</f>
        <v>13063.621947820731</v>
      </c>
      <c r="AN162" s="29">
        <f>(VLOOKUP(C162,$B$4:$AK$7,11,FALSE)+VLOOKUP(C162,$B$8:$AK$11,11,FALSE)*입력란!$C$23)*입력란!$C$38/100</f>
        <v>13063.621947820731</v>
      </c>
      <c r="AO162" s="25"/>
      <c r="AP162" s="29"/>
      <c r="AQ162" s="29"/>
      <c r="AR162" s="28">
        <v>6</v>
      </c>
    </row>
    <row r="163" spans="2:44" ht="13.5" customHeight="1" x14ac:dyDescent="0.3">
      <c r="B163" s="30">
        <v>148</v>
      </c>
      <c r="C163" s="35">
        <v>7</v>
      </c>
      <c r="D163" s="36" t="s">
        <v>143</v>
      </c>
      <c r="E163" s="37" t="s">
        <v>76</v>
      </c>
      <c r="F163" s="39"/>
      <c r="G163" s="39"/>
      <c r="H163" s="51">
        <f>I163/AJ163</f>
        <v>7869.3311802769231</v>
      </c>
      <c r="I163" s="52">
        <f>SUM(J163:Q163)*IF(입력란!C$15=1,1.04,IF(입력란!C$15=2,1.1,IF(입력란!C$15=3,1.2,1)))*IF(입력란!$C$17&lt;&gt;0,0.98,1)</f>
        <v>45219.089238779306</v>
      </c>
      <c r="J163" s="29">
        <f>S163*(1+IF($AK163+IF(입력란!$C$9=1,10,0)+IF(입력란!$C$19=1,10,0)+IF(MID(E163,1,1)="3",트라이포드!$H$13,0)&gt;100,100,$AK163+IF(입력란!$C$9=1,10,0)+IF(입력란!$C$19=1,10,0)+IF(MID(E163,1,1)="3",트라이포드!$H$13,0))/100*($AL163/100-1))</f>
        <v>22609.544619389653</v>
      </c>
      <c r="K163" s="29">
        <f>T163*(1+IF($AK163+IF(입력란!$C$9=1,10,0)+IF(입력란!$C$19=1,10,0)+IF(MID(E163,1,1)="3",트라이포드!H$13,0)&gt;100,100,$AK163+IF(입력란!$C$9=1,10,0)+IF(입력란!$C$19=1,10,0)+IF(MID(E163,1,1)="3",트라이포드!H$13,0))/100*($AL163/100-1))</f>
        <v>22609.544619389653</v>
      </c>
      <c r="L163" s="29">
        <f>U163*(1+IF($AK163+IF(입력란!$C$9=1,10,0)+IF(입력란!$C$19=1,10,0)+IF(MID(E163,1,1)="3",트라이포드!H$13,0)&gt;100,100,$AK163+IF(입력란!$C$9=1,10,0)+IF(입력란!$C$19=1,10,0)+IF(MID(E163,1,1)="3",트라이포드!H$13,0))/100*($AL163/100-1))</f>
        <v>0</v>
      </c>
      <c r="M163" s="29"/>
      <c r="N163" s="38"/>
      <c r="O163" s="38"/>
      <c r="P163" s="38"/>
      <c r="Q163" s="26"/>
      <c r="R163" s="23">
        <f>SUM(S163:Z163)</f>
        <v>26127.243895641463</v>
      </c>
      <c r="S163" s="29">
        <f>AN163*IF(MID(E163,3,1)="1",트라이포드!$J$13,트라이포드!$I$13)*IF(MID(E163,5,1)="2",트라이포드!$R$13,트라이포드!$Q$13)*IF(입력란!$C$9=1,IF(입력란!$C$14=0,1.05,IF(입력란!$C$14=1,1.05*1.05,IF(입력란!$C$14=2,1.05*1.12,IF(입력란!$C$14=3,1.05*1.25)))),1)</f>
        <v>13063.621947820731</v>
      </c>
      <c r="T163" s="29">
        <f>AN163*IF(MID(E163,3,1)="1",트라이포드!$J$13,트라이포드!$I$13)*IF(MID(E163,5,1)="2",트라이포드!$R$13,트라이포드!$Q$13)*IF(입력란!$C$9=1,IF(입력란!$C$14=0,1.05,IF(입력란!$C$14=1,1.05*1.05,IF(입력란!$C$14=2,1.05*1.12,IF(입력란!$C$14=3,1.05*1.25)))),1)</f>
        <v>13063.621947820731</v>
      </c>
      <c r="U163" s="29">
        <f>AN163*IF(MID(E163,3,1)="1",트라이포드!$J$13,트라이포드!$I$13)*IF(MID(E163,5,1)="1",1,0)*IF(입력란!$C$9=1,IF(입력란!$C$14=0,1.05,IF(입력란!$C$14=1,1.05*1.05,IF(입력란!$C$14=2,1.05*1.12,IF(입력란!$C$14=3,1.05*1.25)))),1)</f>
        <v>0</v>
      </c>
      <c r="V163" s="29"/>
      <c r="W163" s="38"/>
      <c r="X163" s="38"/>
      <c r="Y163" s="38"/>
      <c r="Z163" s="24"/>
      <c r="AA163" s="29">
        <f>SUM(AB163:AI163)</f>
        <v>52254.487791282925</v>
      </c>
      <c r="AB163" s="29">
        <f>S163*2</f>
        <v>26127.243895641463</v>
      </c>
      <c r="AC163" s="29">
        <f>T163*2</f>
        <v>26127.243895641463</v>
      </c>
      <c r="AD163" s="29">
        <f>U163*2</f>
        <v>0</v>
      </c>
      <c r="AE163" s="29"/>
      <c r="AF163" s="38"/>
      <c r="AG163" s="38"/>
      <c r="AH163" s="38"/>
      <c r="AI163" s="24"/>
      <c r="AJ163" s="25">
        <f>AR163*(1-입력란!$C$29/100)</f>
        <v>5.7462430037400001</v>
      </c>
      <c r="AK16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3" s="25">
        <f>입력란!$C$37+입력란!$C$31+IF(입력란!$C$17=1,10,IF(입력란!$C$17=2,25,IF(입력란!$C$17=3,50,0)))</f>
        <v>295.58728189999999</v>
      </c>
      <c r="AM163" s="29">
        <f>SUM(AN163:AP163)</f>
        <v>13063.621947820731</v>
      </c>
      <c r="AN163" s="29">
        <f>(VLOOKUP(C163,$B$4:$AK$7,11,FALSE)+VLOOKUP(C163,$B$8:$AK$11,11,FALSE)*입력란!$C$23)*입력란!$C$38/100</f>
        <v>13063.621947820731</v>
      </c>
      <c r="AO163" s="25"/>
      <c r="AP163" s="29"/>
      <c r="AQ163" s="29"/>
      <c r="AR163" s="28">
        <v>6</v>
      </c>
    </row>
    <row r="164" spans="2:44" ht="13.5" customHeight="1" x14ac:dyDescent="0.3">
      <c r="B164" s="30">
        <v>149</v>
      </c>
      <c r="C164" s="35">
        <v>7</v>
      </c>
      <c r="D164" s="36" t="s">
        <v>143</v>
      </c>
      <c r="E164" s="37" t="s">
        <v>80</v>
      </c>
      <c r="F164" s="39"/>
      <c r="G164" s="39"/>
      <c r="H164" s="51">
        <f>I164/AJ164</f>
        <v>11017.063652387691</v>
      </c>
      <c r="I164" s="52">
        <f>SUM(J164:Q164)*IF(입력란!C$15=1,1.04,IF(입력란!C$15=2,1.1,IF(입력란!C$15=3,1.2,1)))*IF(입력란!$C$17&lt;&gt;0,0.98,1)</f>
        <v>63306.724934291022</v>
      </c>
      <c r="J164" s="29">
        <f>S164*(1+IF($AK164+IF(입력란!$C$9=1,10,0)+IF(입력란!$C$19=1,10,0)+IF(MID(E164,1,1)="3",트라이포드!$H$13,0)&gt;100,100,$AK164+IF(입력란!$C$9=1,10,0)+IF(입력란!$C$19=1,10,0)+IF(MID(E164,1,1)="3",트라이포드!$H$13,0))/100*($AL164/100-1))</f>
        <v>31653.362467145511</v>
      </c>
      <c r="K164" s="29">
        <f>T164*(1+IF($AK164+IF(입력란!$C$9=1,10,0)+IF(입력란!$C$19=1,10,0)+IF(MID(E164,1,1)="3",트라이포드!H$13,0)&gt;100,100,$AK164+IF(입력란!$C$9=1,10,0)+IF(입력란!$C$19=1,10,0)+IF(MID(E164,1,1)="3",트라이포드!H$13,0))/100*($AL164/100-1))</f>
        <v>31653.362467145511</v>
      </c>
      <c r="L164" s="29">
        <f>U164*(1+IF($AK164+IF(입력란!$C$9=1,10,0)+IF(입력란!$C$19=1,10,0)+IF(MID(E164,1,1)="3",트라이포드!H$13,0)&gt;100,100,$AK164+IF(입력란!$C$9=1,10,0)+IF(입력란!$C$19=1,10,0)+IF(MID(E164,1,1)="3",트라이포드!H$13,0))/100*($AL164/100-1))</f>
        <v>0</v>
      </c>
      <c r="M164" s="29"/>
      <c r="N164" s="38"/>
      <c r="O164" s="38"/>
      <c r="P164" s="38"/>
      <c r="Q164" s="26"/>
      <c r="R164" s="23">
        <f>SUM(S164:Z164)</f>
        <v>36578.141453898046</v>
      </c>
      <c r="S164" s="29">
        <f>AN164*IF(MID(E164,3,1)="1",트라이포드!$J$13,트라이포드!$I$13)*IF(MID(E164,5,1)="2",트라이포드!$R$13,트라이포드!$Q$13)*IF(입력란!$C$9=1,IF(입력란!$C$14=0,1.05,IF(입력란!$C$14=1,1.05*1.05,IF(입력란!$C$14=2,1.05*1.12,IF(입력란!$C$14=3,1.05*1.25)))),1)</f>
        <v>18289.070726949023</v>
      </c>
      <c r="T164" s="29">
        <f>AN164*IF(MID(E164,3,1)="1",트라이포드!$J$13,트라이포드!$I$13)*IF(MID(E164,5,1)="2",트라이포드!$R$13,트라이포드!$Q$13)*IF(입력란!$C$9=1,IF(입력란!$C$14=0,1.05,IF(입력란!$C$14=1,1.05*1.05,IF(입력란!$C$14=2,1.05*1.12,IF(입력란!$C$14=3,1.05*1.25)))),1)</f>
        <v>18289.070726949023</v>
      </c>
      <c r="U164" s="29">
        <f>AN164*IF(MID(E164,3,1)="1",트라이포드!$J$13,트라이포드!$I$13)*IF(MID(E164,5,1)="1",1,0)*IF(입력란!$C$9=1,IF(입력란!$C$14=0,1.05,IF(입력란!$C$14=1,1.05*1.05,IF(입력란!$C$14=2,1.05*1.12,IF(입력란!$C$14=3,1.05*1.25)))),1)</f>
        <v>0</v>
      </c>
      <c r="V164" s="29"/>
      <c r="W164" s="38"/>
      <c r="X164" s="38"/>
      <c r="Y164" s="38"/>
      <c r="Z164" s="24"/>
      <c r="AA164" s="29">
        <f>SUM(AB164:AI164)</f>
        <v>73156.282907796092</v>
      </c>
      <c r="AB164" s="29">
        <f>S164*2</f>
        <v>36578.141453898046</v>
      </c>
      <c r="AC164" s="29">
        <f>T164*2</f>
        <v>36578.141453898046</v>
      </c>
      <c r="AD164" s="29">
        <f>U164*2</f>
        <v>0</v>
      </c>
      <c r="AE164" s="29"/>
      <c r="AF164" s="38"/>
      <c r="AG164" s="38"/>
      <c r="AH164" s="38"/>
      <c r="AI164" s="24"/>
      <c r="AJ164" s="25">
        <f>AR164*(1-입력란!$C$29/100)</f>
        <v>5.7462430037400001</v>
      </c>
      <c r="AK16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4" s="25">
        <f>입력란!$C$37+입력란!$C$31+IF(입력란!$C$17=1,10,IF(입력란!$C$17=2,25,IF(입력란!$C$17=3,50,0)))</f>
        <v>295.58728189999999</v>
      </c>
      <c r="AM164" s="29">
        <f>SUM(AN164:AP164)</f>
        <v>13063.621947820731</v>
      </c>
      <c r="AN164" s="29">
        <f>(VLOOKUP(C164,$B$4:$AK$7,11,FALSE)+VLOOKUP(C164,$B$8:$AK$11,11,FALSE)*입력란!$C$23)*입력란!$C$38/100</f>
        <v>13063.621947820731</v>
      </c>
      <c r="AO164" s="25"/>
      <c r="AP164" s="29"/>
      <c r="AQ164" s="29"/>
      <c r="AR164" s="28">
        <v>6</v>
      </c>
    </row>
    <row r="165" spans="2:44" ht="13.5" customHeight="1" x14ac:dyDescent="0.3">
      <c r="B165" s="30">
        <v>150</v>
      </c>
      <c r="C165" s="35">
        <v>10</v>
      </c>
      <c r="D165" s="36" t="s">
        <v>143</v>
      </c>
      <c r="E165" s="37" t="s">
        <v>75</v>
      </c>
      <c r="F165" s="39"/>
      <c r="G165" s="39"/>
      <c r="H165" s="51">
        <f>I165/AJ165</f>
        <v>6542.779289078132</v>
      </c>
      <c r="I165" s="52">
        <f>SUM(J165:Q165)*IF(입력란!C$15=1,1.04,IF(입력란!C$15=2,1.1,IF(입력란!C$15=3,1.2,1)))*IF(입력란!$C$17&lt;&gt;0,0.98,1)</f>
        <v>37596.399714880186</v>
      </c>
      <c r="J165" s="29">
        <f>S165*(1+IF($AK165+IF(입력란!$C$9=1,10,0)+IF(입력란!$C$19=1,10,0)+IF(MID(E165,1,1)="3",트라이포드!$H$13,0)&gt;100,100,$AK165+IF(입력란!$C$9=1,10,0)+IF(입력란!$C$19=1,10,0)+IF(MID(E165,1,1)="3",트라이포드!$H$13,0))/100*($AL165/100-1))</f>
        <v>18798.199857440093</v>
      </c>
      <c r="K165" s="29">
        <f>T165*(1+IF($AK165+IF(입력란!$C$9=1,10,0)+IF(입력란!$C$19=1,10,0)+IF(MID(E165,1,1)="3",트라이포드!H$13,0)&gt;100,100,$AK165+IF(입력란!$C$9=1,10,0)+IF(입력란!$C$19=1,10,0)+IF(MID(E165,1,1)="3",트라이포드!H$13,0))/100*($AL165/100-1))</f>
        <v>18798.199857440093</v>
      </c>
      <c r="L165" s="29">
        <f>U165*(1+IF($AK165+IF(입력란!$C$9=1,10,0)+IF(입력란!$C$19=1,10,0)+IF(MID(E165,1,1)="3",트라이포드!H$13,0)&gt;100,100,$AK165+IF(입력란!$C$9=1,10,0)+IF(입력란!$C$19=1,10,0)+IF(MID(E165,1,1)="3",트라이포드!H$13,0))/100*($AL165/100-1))</f>
        <v>0</v>
      </c>
      <c r="M165" s="29"/>
      <c r="N165" s="38"/>
      <c r="O165" s="38"/>
      <c r="P165" s="38"/>
      <c r="Q165" s="26"/>
      <c r="R165" s="23">
        <f>SUM(S165:Z165)</f>
        <v>26156.843895641461</v>
      </c>
      <c r="S165" s="29">
        <f>AN165*IF(MID(E165,3,1)="1",트라이포드!$J$13,트라이포드!$I$13)*IF(MID(E165,5,1)="2",트라이포드!$R$13,트라이포드!$Q$13)*IF(입력란!$C$9=1,IF(입력란!$C$14=0,1.05,IF(입력란!$C$14=1,1.05*1.05,IF(입력란!$C$14=2,1.05*1.12,IF(입력란!$C$14=3,1.05*1.25)))),1)</f>
        <v>13078.421947820731</v>
      </c>
      <c r="T165" s="29">
        <f>AN165*IF(MID(E165,3,1)="1",트라이포드!$J$13,트라이포드!$I$13)*IF(MID(E165,5,1)="2",트라이포드!$R$13,트라이포드!$Q$13)*IF(입력란!$C$9=1,IF(입력란!$C$14=0,1.05,IF(입력란!$C$14=1,1.05*1.05,IF(입력란!$C$14=2,1.05*1.12,IF(입력란!$C$14=3,1.05*1.25)))),1)</f>
        <v>13078.421947820731</v>
      </c>
      <c r="U165" s="29">
        <f>AN165*IF(MID(E165,3,1)="1",트라이포드!$J$13,트라이포드!$I$13)*IF(MID(E165,5,1)="1",1,0)*IF(입력란!$C$9=1,IF(입력란!$C$14=0,1.05,IF(입력란!$C$14=1,1.05*1.05,IF(입력란!$C$14=2,1.05*1.12,IF(입력란!$C$14=3,1.05*1.25)))),1)</f>
        <v>0</v>
      </c>
      <c r="V165" s="29"/>
      <c r="W165" s="38"/>
      <c r="X165" s="38"/>
      <c r="Y165" s="38"/>
      <c r="Z165" s="24"/>
      <c r="AA165" s="29">
        <f>SUM(AB165:AI165)</f>
        <v>52313.687791282922</v>
      </c>
      <c r="AB165" s="29">
        <f>S165*2</f>
        <v>26156.843895641461</v>
      </c>
      <c r="AC165" s="29">
        <f>T165*2</f>
        <v>26156.843895641461</v>
      </c>
      <c r="AD165" s="29">
        <f>U165*2</f>
        <v>0</v>
      </c>
      <c r="AE165" s="29"/>
      <c r="AF165" s="38"/>
      <c r="AG165" s="38"/>
      <c r="AH165" s="38"/>
      <c r="AI165" s="24"/>
      <c r="AJ165" s="25">
        <f>AR165*(1-입력란!$C$29/100)</f>
        <v>5.7462430037400001</v>
      </c>
      <c r="AK16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5" s="25">
        <f>입력란!$C$37+입력란!$C$31+IF(입력란!$C$17=1,10,IF(입력란!$C$17=2,25,IF(입력란!$C$17=3,50,0)))</f>
        <v>295.58728189999999</v>
      </c>
      <c r="AM165" s="29">
        <f>SUM(AN165:AP165)</f>
        <v>13078.421947820731</v>
      </c>
      <c r="AN165" s="29">
        <f>(VLOOKUP(C165,$B$4:$AK$7,11,FALSE)+VLOOKUP(C165,$B$8:$AK$11,11,FALSE)*입력란!$C$23)*입력란!$C$38/100</f>
        <v>13078.421947820731</v>
      </c>
      <c r="AO165" s="25"/>
      <c r="AP165" s="29"/>
      <c r="AQ165" s="29"/>
      <c r="AR165" s="28">
        <v>6</v>
      </c>
    </row>
    <row r="166" spans="2:44" ht="13.5" customHeight="1" x14ac:dyDescent="0.3">
      <c r="B166" s="30">
        <v>151</v>
      </c>
      <c r="C166" s="35">
        <v>10</v>
      </c>
      <c r="D166" s="36" t="s">
        <v>143</v>
      </c>
      <c r="E166" s="37" t="s">
        <v>100</v>
      </c>
      <c r="F166" s="39"/>
      <c r="G166" s="39"/>
      <c r="H166" s="51">
        <f>I166/AJ166</f>
        <v>9814.1689336171985</v>
      </c>
      <c r="I166" s="52">
        <f>SUM(J166:Q166)*IF(입력란!C$15=1,1.04,IF(입력란!C$15=2,1.1,IF(입력란!C$15=3,1.2,1)))*IF(입력란!$C$17&lt;&gt;0,0.98,1)</f>
        <v>56394.59957232028</v>
      </c>
      <c r="J166" s="29">
        <f>S166*(1+IF($AK166+IF(입력란!$C$9=1,10,0)+IF(입력란!$C$19=1,10,0)+IF(MID(E166,1,1)="3",트라이포드!$H$13,0)&gt;100,100,$AK166+IF(입력란!$C$9=1,10,0)+IF(입력란!$C$19=1,10,0)+IF(MID(E166,1,1)="3",트라이포드!$H$13,0))/100*($AL166/100-1))</f>
        <v>18798.199857440093</v>
      </c>
      <c r="K166" s="29">
        <f>T166*(1+IF($AK166+IF(입력란!$C$9=1,10,0)+IF(입력란!$C$19=1,10,0)+IF(MID(E166,1,1)="3",트라이포드!H$13,0)&gt;100,100,$AK166+IF(입력란!$C$9=1,10,0)+IF(입력란!$C$19=1,10,0)+IF(MID(E166,1,1)="3",트라이포드!H$13,0))/100*($AL166/100-1))</f>
        <v>18798.199857440093</v>
      </c>
      <c r="L166" s="29">
        <f>U166*(1+IF($AK166+IF(입력란!$C$9=1,10,0)+IF(입력란!$C$19=1,10,0)+IF(MID(E166,1,1)="3",트라이포드!H$13,0)&gt;100,100,$AK166+IF(입력란!$C$9=1,10,0)+IF(입력란!$C$19=1,10,0)+IF(MID(E166,1,1)="3",트라이포드!H$13,0))/100*($AL166/100-1))</f>
        <v>18798.199857440093</v>
      </c>
      <c r="M166" s="29"/>
      <c r="N166" s="38"/>
      <c r="O166" s="38"/>
      <c r="P166" s="38"/>
      <c r="Q166" s="26"/>
      <c r="R166" s="23">
        <f>SUM(S166:Z166)</f>
        <v>39235.265843462192</v>
      </c>
      <c r="S166" s="29">
        <f>AN166*IF(MID(E166,3,1)="1",트라이포드!$J$13,트라이포드!$I$13)*IF(MID(E166,5,1)="2",트라이포드!$R$13,트라이포드!$Q$13)*IF(입력란!$C$9=1,IF(입력란!$C$14=0,1.05,IF(입력란!$C$14=1,1.05*1.05,IF(입력란!$C$14=2,1.05*1.12,IF(입력란!$C$14=3,1.05*1.25)))),1)</f>
        <v>13078.421947820731</v>
      </c>
      <c r="T166" s="29">
        <f>AN166*IF(MID(E166,3,1)="1",트라이포드!$J$13,트라이포드!$I$13)*IF(MID(E166,5,1)="2",트라이포드!$R$13,트라이포드!$Q$13)*IF(입력란!$C$9=1,IF(입력란!$C$14=0,1.05,IF(입력란!$C$14=1,1.05*1.05,IF(입력란!$C$14=2,1.05*1.12,IF(입력란!$C$14=3,1.05*1.25)))),1)</f>
        <v>13078.421947820731</v>
      </c>
      <c r="U166" s="29">
        <f>AN166*IF(MID(E166,3,1)="1",트라이포드!$J$13,트라이포드!$I$13)*IF(MID(E166,5,1)="1",1,0)*IF(입력란!$C$9=1,IF(입력란!$C$14=0,1.05,IF(입력란!$C$14=1,1.05*1.05,IF(입력란!$C$14=2,1.05*1.12,IF(입력란!$C$14=3,1.05*1.25)))),1)</f>
        <v>13078.421947820731</v>
      </c>
      <c r="V166" s="29"/>
      <c r="W166" s="38"/>
      <c r="X166" s="38"/>
      <c r="Y166" s="38"/>
      <c r="Z166" s="24"/>
      <c r="AA166" s="29">
        <f>SUM(AB166:AI166)</f>
        <v>78470.531686924383</v>
      </c>
      <c r="AB166" s="29">
        <f>S166*2</f>
        <v>26156.843895641461</v>
      </c>
      <c r="AC166" s="29">
        <f>T166*2</f>
        <v>26156.843895641461</v>
      </c>
      <c r="AD166" s="29">
        <f>U166*2</f>
        <v>26156.843895641461</v>
      </c>
      <c r="AE166" s="29"/>
      <c r="AF166" s="38"/>
      <c r="AG166" s="38"/>
      <c r="AH166" s="38"/>
      <c r="AI166" s="24"/>
      <c r="AJ166" s="25">
        <f>AR166*(1-입력란!$C$29/100)</f>
        <v>5.7462430037400001</v>
      </c>
      <c r="AK16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6" s="25">
        <f>입력란!$C$37+입력란!$C$31+IF(입력란!$C$17=1,10,IF(입력란!$C$17=2,25,IF(입력란!$C$17=3,50,0)))</f>
        <v>295.58728189999999</v>
      </c>
      <c r="AM166" s="29">
        <f>SUM(AN166:AP166)</f>
        <v>13078.421947820731</v>
      </c>
      <c r="AN166" s="29">
        <f>(VLOOKUP(C166,$B$4:$AK$7,11,FALSE)+VLOOKUP(C166,$B$8:$AK$11,11,FALSE)*입력란!$C$23)*입력란!$C$38/100</f>
        <v>13078.421947820731</v>
      </c>
      <c r="AO166" s="25"/>
      <c r="AP166" s="29"/>
      <c r="AQ166" s="29"/>
      <c r="AR166" s="28">
        <v>6</v>
      </c>
    </row>
    <row r="167" spans="2:44" ht="13.5" customHeight="1" x14ac:dyDescent="0.3">
      <c r="B167" s="30">
        <v>152</v>
      </c>
      <c r="C167" s="35">
        <v>10</v>
      </c>
      <c r="D167" s="36" t="s">
        <v>143</v>
      </c>
      <c r="E167" s="37" t="s">
        <v>101</v>
      </c>
      <c r="F167" s="39"/>
      <c r="G167" s="39"/>
      <c r="H167" s="51">
        <f>I167/AJ167</f>
        <v>9814.1689336171985</v>
      </c>
      <c r="I167" s="52">
        <f>SUM(J167:Q167)*IF(입력란!C$15=1,1.04,IF(입력란!C$15=2,1.1,IF(입력란!C$15=3,1.2,1)))*IF(입력란!$C$17&lt;&gt;0,0.98,1)</f>
        <v>56394.59957232028</v>
      </c>
      <c r="J167" s="29">
        <f>S167*(1+IF($AK167+IF(입력란!$C$9=1,10,0)+IF(입력란!$C$19=1,10,0)+IF(MID(E167,1,1)="3",트라이포드!$H$13,0)&gt;100,100,$AK167+IF(입력란!$C$9=1,10,0)+IF(입력란!$C$19=1,10,0)+IF(MID(E167,1,1)="3",트라이포드!$H$13,0))/100*($AL167/100-1))</f>
        <v>28197.29978616014</v>
      </c>
      <c r="K167" s="29">
        <f>T167*(1+IF($AK167+IF(입력란!$C$9=1,10,0)+IF(입력란!$C$19=1,10,0)+IF(MID(E167,1,1)="3",트라이포드!H$13,0)&gt;100,100,$AK167+IF(입력란!$C$9=1,10,0)+IF(입력란!$C$19=1,10,0)+IF(MID(E167,1,1)="3",트라이포드!H$13,0))/100*($AL167/100-1))</f>
        <v>28197.29978616014</v>
      </c>
      <c r="L167" s="29">
        <f>U167*(1+IF($AK167+IF(입력란!$C$9=1,10,0)+IF(입력란!$C$19=1,10,0)+IF(MID(E167,1,1)="3",트라이포드!H$13,0)&gt;100,100,$AK167+IF(입력란!$C$9=1,10,0)+IF(입력란!$C$19=1,10,0)+IF(MID(E167,1,1)="3",트라이포드!H$13,0))/100*($AL167/100-1))</f>
        <v>0</v>
      </c>
      <c r="M167" s="29"/>
      <c r="N167" s="38"/>
      <c r="O167" s="38"/>
      <c r="P167" s="38"/>
      <c r="Q167" s="26"/>
      <c r="R167" s="23">
        <f>SUM(S167:Z167)</f>
        <v>39235.265843462192</v>
      </c>
      <c r="S167" s="29">
        <f>AN167*IF(MID(E167,3,1)="1",트라이포드!$J$13,트라이포드!$I$13)*IF(MID(E167,5,1)="2",트라이포드!$R$13,트라이포드!$Q$13)*IF(입력란!$C$9=1,IF(입력란!$C$14=0,1.05,IF(입력란!$C$14=1,1.05*1.05,IF(입력란!$C$14=2,1.05*1.12,IF(입력란!$C$14=3,1.05*1.25)))),1)</f>
        <v>19617.632921731096</v>
      </c>
      <c r="T167" s="29">
        <f>AN167*IF(MID(E167,3,1)="1",트라이포드!$J$13,트라이포드!$I$13)*IF(MID(E167,5,1)="2",트라이포드!$R$13,트라이포드!$Q$13)*IF(입력란!$C$9=1,IF(입력란!$C$14=0,1.05,IF(입력란!$C$14=1,1.05*1.05,IF(입력란!$C$14=2,1.05*1.12,IF(입력란!$C$14=3,1.05*1.25)))),1)</f>
        <v>19617.632921731096</v>
      </c>
      <c r="U167" s="29">
        <f>AN167*IF(MID(E167,3,1)="1",트라이포드!$J$13,트라이포드!$I$13)*IF(MID(E167,5,1)="1",1,0)*IF(입력란!$C$9=1,IF(입력란!$C$14=0,1.05,IF(입력란!$C$14=1,1.05*1.05,IF(입력란!$C$14=2,1.05*1.12,IF(입력란!$C$14=3,1.05*1.25)))),1)</f>
        <v>0</v>
      </c>
      <c r="V167" s="29"/>
      <c r="W167" s="38"/>
      <c r="X167" s="38"/>
      <c r="Y167" s="38"/>
      <c r="Z167" s="24"/>
      <c r="AA167" s="29">
        <f>SUM(AB167:AI167)</f>
        <v>78470.531686924383</v>
      </c>
      <c r="AB167" s="29">
        <f>S167*2</f>
        <v>39235.265843462192</v>
      </c>
      <c r="AC167" s="29">
        <f>T167*2</f>
        <v>39235.265843462192</v>
      </c>
      <c r="AD167" s="29">
        <f>U167*2</f>
        <v>0</v>
      </c>
      <c r="AE167" s="29"/>
      <c r="AF167" s="38"/>
      <c r="AG167" s="38"/>
      <c r="AH167" s="38"/>
      <c r="AI167" s="24"/>
      <c r="AJ167" s="25">
        <f>AR167*(1-입력란!$C$29/100)</f>
        <v>5.7462430037400001</v>
      </c>
      <c r="AK16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7" s="25">
        <f>입력란!$C$37+입력란!$C$31+IF(입력란!$C$17=1,10,IF(입력란!$C$17=2,25,IF(입력란!$C$17=3,50,0)))</f>
        <v>295.58728189999999</v>
      </c>
      <c r="AM167" s="29">
        <f>SUM(AN167:AP167)</f>
        <v>13078.421947820731</v>
      </c>
      <c r="AN167" s="29">
        <f>(VLOOKUP(C167,$B$4:$AK$7,11,FALSE)+VLOOKUP(C167,$B$8:$AK$11,11,FALSE)*입력란!$C$23)*입력란!$C$38/100</f>
        <v>13078.421947820731</v>
      </c>
      <c r="AO167" s="25"/>
      <c r="AP167" s="29"/>
      <c r="AQ167" s="29"/>
      <c r="AR167" s="28">
        <v>6</v>
      </c>
    </row>
    <row r="168" spans="2:44" ht="13.5" customHeight="1" x14ac:dyDescent="0.3">
      <c r="B168" s="30">
        <v>153</v>
      </c>
      <c r="C168" s="35">
        <v>10</v>
      </c>
      <c r="D168" s="36" t="s">
        <v>143</v>
      </c>
      <c r="E168" s="37" t="s">
        <v>77</v>
      </c>
      <c r="F168" s="39"/>
      <c r="G168" s="39"/>
      <c r="H168" s="51">
        <f>I168/AJ168</f>
        <v>9159.8910047093832</v>
      </c>
      <c r="I168" s="52">
        <f>SUM(J168:Q168)*IF(입력란!C$15=1,1.04,IF(입력란!C$15=2,1.1,IF(입력란!C$15=3,1.2,1)))*IF(입력란!$C$17&lt;&gt;0,0.98,1)</f>
        <v>52634.959600832255</v>
      </c>
      <c r="J168" s="29">
        <f>S168*(1+IF($AK168+IF(입력란!$C$9=1,10,0)+IF(입력란!$C$19=1,10,0)+IF(MID(E168,1,1)="3",트라이포드!$H$13,0)&gt;100,100,$AK168+IF(입력란!$C$9=1,10,0)+IF(입력란!$C$19=1,10,0)+IF(MID(E168,1,1)="3",트라이포드!$H$13,0))/100*($AL168/100-1))</f>
        <v>26317.479800416128</v>
      </c>
      <c r="K168" s="29">
        <f>T168*(1+IF($AK168+IF(입력란!$C$9=1,10,0)+IF(입력란!$C$19=1,10,0)+IF(MID(E168,1,1)="3",트라이포드!H$13,0)&gt;100,100,$AK168+IF(입력란!$C$9=1,10,0)+IF(입력란!$C$19=1,10,0)+IF(MID(E168,1,1)="3",트라이포드!H$13,0))/100*($AL168/100-1))</f>
        <v>26317.479800416128</v>
      </c>
      <c r="L168" s="29">
        <f>U168*(1+IF($AK168+IF(입력란!$C$9=1,10,0)+IF(입력란!$C$19=1,10,0)+IF(MID(E168,1,1)="3",트라이포드!H$13,0)&gt;100,100,$AK168+IF(입력란!$C$9=1,10,0)+IF(입력란!$C$19=1,10,0)+IF(MID(E168,1,1)="3",트라이포드!H$13,0))/100*($AL168/100-1))</f>
        <v>0</v>
      </c>
      <c r="M168" s="29"/>
      <c r="N168" s="38"/>
      <c r="O168" s="38"/>
      <c r="P168" s="38"/>
      <c r="Q168" s="26"/>
      <c r="R168" s="23">
        <f>SUM(S168:Z168)</f>
        <v>36619.581453898041</v>
      </c>
      <c r="S168" s="29">
        <f>AN168*IF(MID(E168,3,1)="1",트라이포드!$J$13,트라이포드!$I$13)*IF(MID(E168,5,1)="2",트라이포드!$R$13,트라이포드!$Q$13)*IF(입력란!$C$9=1,IF(입력란!$C$14=0,1.05,IF(입력란!$C$14=1,1.05*1.05,IF(입력란!$C$14=2,1.05*1.12,IF(입력란!$C$14=3,1.05*1.25)))),1)</f>
        <v>18309.790726949021</v>
      </c>
      <c r="T168" s="29">
        <f>AN168*IF(MID(E168,3,1)="1",트라이포드!$J$13,트라이포드!$I$13)*IF(MID(E168,5,1)="2",트라이포드!$R$13,트라이포드!$Q$13)*IF(입력란!$C$9=1,IF(입력란!$C$14=0,1.05,IF(입력란!$C$14=1,1.05*1.05,IF(입력란!$C$14=2,1.05*1.12,IF(입력란!$C$14=3,1.05*1.25)))),1)</f>
        <v>18309.790726949021</v>
      </c>
      <c r="U168" s="29">
        <f>AN168*IF(MID(E168,3,1)="1",트라이포드!$J$13,트라이포드!$I$13)*IF(MID(E168,5,1)="1",1,0)*IF(입력란!$C$9=1,IF(입력란!$C$14=0,1.05,IF(입력란!$C$14=1,1.05*1.05,IF(입력란!$C$14=2,1.05*1.12,IF(입력란!$C$14=3,1.05*1.25)))),1)</f>
        <v>0</v>
      </c>
      <c r="V168" s="29"/>
      <c r="W168" s="38"/>
      <c r="X168" s="38"/>
      <c r="Y168" s="38"/>
      <c r="Z168" s="24"/>
      <c r="AA168" s="29">
        <f>SUM(AB168:AI168)</f>
        <v>73239.162907796082</v>
      </c>
      <c r="AB168" s="29">
        <f>S168*2</f>
        <v>36619.581453898041</v>
      </c>
      <c r="AC168" s="29">
        <f>T168*2</f>
        <v>36619.581453898041</v>
      </c>
      <c r="AD168" s="29">
        <f>U168*2</f>
        <v>0</v>
      </c>
      <c r="AE168" s="29"/>
      <c r="AF168" s="38"/>
      <c r="AG168" s="38"/>
      <c r="AH168" s="38"/>
      <c r="AI168" s="24"/>
      <c r="AJ168" s="25">
        <f>AR168*(1-입력란!$C$29/100)</f>
        <v>5.7462430037400001</v>
      </c>
      <c r="AK16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8" s="25">
        <f>입력란!$C$37+입력란!$C$31+IF(입력란!$C$17=1,10,IF(입력란!$C$17=2,25,IF(입력란!$C$17=3,50,0)))</f>
        <v>295.58728189999999</v>
      </c>
      <c r="AM168" s="29">
        <f>SUM(AN168:AP168)</f>
        <v>13078.421947820731</v>
      </c>
      <c r="AN168" s="29">
        <f>(VLOOKUP(C168,$B$4:$AK$7,11,FALSE)+VLOOKUP(C168,$B$8:$AK$11,11,FALSE)*입력란!$C$23)*입력란!$C$38/100</f>
        <v>13078.421947820731</v>
      </c>
      <c r="AO168" s="25"/>
      <c r="AP168" s="29"/>
      <c r="AQ168" s="29"/>
      <c r="AR168" s="28">
        <v>6</v>
      </c>
    </row>
    <row r="169" spans="2:44" ht="13.5" customHeight="1" x14ac:dyDescent="0.3">
      <c r="B169" s="30">
        <v>154</v>
      </c>
      <c r="C169" s="35">
        <v>10</v>
      </c>
      <c r="D169" s="36" t="s">
        <v>143</v>
      </c>
      <c r="E169" s="37" t="s">
        <v>121</v>
      </c>
      <c r="F169" s="39"/>
      <c r="G169" s="39"/>
      <c r="H169" s="51">
        <f>I169/AJ169</f>
        <v>13739.836507064076</v>
      </c>
      <c r="I169" s="52">
        <f>SUM(J169:Q169)*IF(입력란!C$15=1,1.04,IF(입력란!C$15=2,1.1,IF(입력란!C$15=3,1.2,1)))*IF(입력란!$C$17&lt;&gt;0,0.98,1)</f>
        <v>78952.439401248383</v>
      </c>
      <c r="J169" s="29">
        <f>S169*(1+IF($AK169+IF(입력란!$C$9=1,10,0)+IF(입력란!$C$19=1,10,0)+IF(MID(E169,1,1)="3",트라이포드!$H$13,0)&gt;100,100,$AK169+IF(입력란!$C$9=1,10,0)+IF(입력란!$C$19=1,10,0)+IF(MID(E169,1,1)="3",트라이포드!$H$13,0))/100*($AL169/100-1))</f>
        <v>26317.479800416128</v>
      </c>
      <c r="K169" s="29">
        <f>T169*(1+IF($AK169+IF(입력란!$C$9=1,10,0)+IF(입력란!$C$19=1,10,0)+IF(MID(E169,1,1)="3",트라이포드!H$13,0)&gt;100,100,$AK169+IF(입력란!$C$9=1,10,0)+IF(입력란!$C$19=1,10,0)+IF(MID(E169,1,1)="3",트라이포드!H$13,0))/100*($AL169/100-1))</f>
        <v>26317.479800416128</v>
      </c>
      <c r="L169" s="29">
        <f>U169*(1+IF($AK169+IF(입력란!$C$9=1,10,0)+IF(입력란!$C$19=1,10,0)+IF(MID(E169,1,1)="3",트라이포드!H$13,0)&gt;100,100,$AK169+IF(입력란!$C$9=1,10,0)+IF(입력란!$C$19=1,10,0)+IF(MID(E169,1,1)="3",트라이포드!H$13,0))/100*($AL169/100-1))</f>
        <v>26317.479800416128</v>
      </c>
      <c r="M169" s="29"/>
      <c r="N169" s="38"/>
      <c r="O169" s="38"/>
      <c r="P169" s="38"/>
      <c r="Q169" s="26"/>
      <c r="R169" s="23">
        <f>SUM(S169:Z169)</f>
        <v>54929.372180847058</v>
      </c>
      <c r="S169" s="29">
        <f>AN169*IF(MID(E169,3,1)="1",트라이포드!$J$13,트라이포드!$I$13)*IF(MID(E169,5,1)="2",트라이포드!$R$13,트라이포드!$Q$13)*IF(입력란!$C$9=1,IF(입력란!$C$14=0,1.05,IF(입력란!$C$14=1,1.05*1.05,IF(입력란!$C$14=2,1.05*1.12,IF(입력란!$C$14=3,1.05*1.25)))),1)</f>
        <v>18309.790726949021</v>
      </c>
      <c r="T169" s="29">
        <f>AN169*IF(MID(E169,3,1)="1",트라이포드!$J$13,트라이포드!$I$13)*IF(MID(E169,5,1)="2",트라이포드!$R$13,트라이포드!$Q$13)*IF(입력란!$C$9=1,IF(입력란!$C$14=0,1.05,IF(입력란!$C$14=1,1.05*1.05,IF(입력란!$C$14=2,1.05*1.12,IF(입력란!$C$14=3,1.05*1.25)))),1)</f>
        <v>18309.790726949021</v>
      </c>
      <c r="U169" s="29">
        <f>AN169*IF(MID(E169,3,1)="1",트라이포드!$J$13,트라이포드!$I$13)*IF(MID(E169,5,1)="1",1,0)*IF(입력란!$C$9=1,IF(입력란!$C$14=0,1.05,IF(입력란!$C$14=1,1.05*1.05,IF(입력란!$C$14=2,1.05*1.12,IF(입력란!$C$14=3,1.05*1.25)))),1)</f>
        <v>18309.790726949021</v>
      </c>
      <c r="V169" s="29"/>
      <c r="W169" s="38"/>
      <c r="X169" s="38"/>
      <c r="Y169" s="38"/>
      <c r="Z169" s="24"/>
      <c r="AA169" s="29">
        <f>SUM(AB169:AI169)</f>
        <v>109858.74436169412</v>
      </c>
      <c r="AB169" s="29">
        <f>S169*2</f>
        <v>36619.581453898041</v>
      </c>
      <c r="AC169" s="29">
        <f>T169*2</f>
        <v>36619.581453898041</v>
      </c>
      <c r="AD169" s="29">
        <f>U169*2</f>
        <v>36619.581453898041</v>
      </c>
      <c r="AE169" s="29"/>
      <c r="AF169" s="38"/>
      <c r="AG169" s="38"/>
      <c r="AH169" s="38"/>
      <c r="AI169" s="24"/>
      <c r="AJ169" s="25">
        <f>AR169*(1-입력란!$C$29/100)</f>
        <v>5.7462430037400001</v>
      </c>
      <c r="AK16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69" s="25">
        <f>입력란!$C$37+입력란!$C$31+IF(입력란!$C$17=1,10,IF(입력란!$C$17=2,25,IF(입력란!$C$17=3,50,0)))</f>
        <v>295.58728189999999</v>
      </c>
      <c r="AM169" s="29">
        <f>SUM(AN169:AP169)</f>
        <v>13078.421947820731</v>
      </c>
      <c r="AN169" s="29">
        <f>(VLOOKUP(C169,$B$4:$AK$7,11,FALSE)+VLOOKUP(C169,$B$8:$AK$11,11,FALSE)*입력란!$C$23)*입력란!$C$38/100</f>
        <v>13078.421947820731</v>
      </c>
      <c r="AO169" s="25"/>
      <c r="AP169" s="29"/>
      <c r="AQ169" s="29"/>
      <c r="AR169" s="28">
        <v>6</v>
      </c>
    </row>
    <row r="170" spans="2:44" ht="13.5" customHeight="1" x14ac:dyDescent="0.3">
      <c r="B170" s="30">
        <v>155</v>
      </c>
      <c r="C170" s="35">
        <v>10</v>
      </c>
      <c r="D170" s="36" t="s">
        <v>143</v>
      </c>
      <c r="E170" s="37" t="s">
        <v>122</v>
      </c>
      <c r="F170" s="39"/>
      <c r="G170" s="39"/>
      <c r="H170" s="51">
        <f>I170/AJ170</f>
        <v>13739.836507064076</v>
      </c>
      <c r="I170" s="52">
        <f>SUM(J170:Q170)*IF(입력란!C$15=1,1.04,IF(입력란!C$15=2,1.1,IF(입력란!C$15=3,1.2,1)))*IF(입력란!$C$17&lt;&gt;0,0.98,1)</f>
        <v>78952.439401248383</v>
      </c>
      <c r="J170" s="29">
        <f>S170*(1+IF($AK170+IF(입력란!$C$9=1,10,0)+IF(입력란!$C$19=1,10,0)+IF(MID(E170,1,1)="3",트라이포드!$H$13,0)&gt;100,100,$AK170+IF(입력란!$C$9=1,10,0)+IF(입력란!$C$19=1,10,0)+IF(MID(E170,1,1)="3",트라이포드!$H$13,0))/100*($AL170/100-1))</f>
        <v>39476.219700624191</v>
      </c>
      <c r="K170" s="29">
        <f>T170*(1+IF($AK170+IF(입력란!$C$9=1,10,0)+IF(입력란!$C$19=1,10,0)+IF(MID(E170,1,1)="3",트라이포드!H$13,0)&gt;100,100,$AK170+IF(입력란!$C$9=1,10,0)+IF(입력란!$C$19=1,10,0)+IF(MID(E170,1,1)="3",트라이포드!H$13,0))/100*($AL170/100-1))</f>
        <v>39476.219700624191</v>
      </c>
      <c r="L170" s="29">
        <f>U170*(1+IF($AK170+IF(입력란!$C$9=1,10,0)+IF(입력란!$C$19=1,10,0)+IF(MID(E170,1,1)="3",트라이포드!H$13,0)&gt;100,100,$AK170+IF(입력란!$C$9=1,10,0)+IF(입력란!$C$19=1,10,0)+IF(MID(E170,1,1)="3",트라이포드!H$13,0))/100*($AL170/100-1))</f>
        <v>0</v>
      </c>
      <c r="M170" s="29"/>
      <c r="N170" s="38"/>
      <c r="O170" s="38"/>
      <c r="P170" s="38"/>
      <c r="Q170" s="26"/>
      <c r="R170" s="23">
        <f>SUM(S170:Z170)</f>
        <v>54929.372180847058</v>
      </c>
      <c r="S170" s="29">
        <f>AN170*IF(MID(E170,3,1)="1",트라이포드!$J$13,트라이포드!$I$13)*IF(MID(E170,5,1)="2",트라이포드!$R$13,트라이포드!$Q$13)*IF(입력란!$C$9=1,IF(입력란!$C$14=0,1.05,IF(입력란!$C$14=1,1.05*1.05,IF(입력란!$C$14=2,1.05*1.12,IF(입력란!$C$14=3,1.05*1.25)))),1)</f>
        <v>27464.686090423529</v>
      </c>
      <c r="T170" s="29">
        <f>AN170*IF(MID(E170,3,1)="1",트라이포드!$J$13,트라이포드!$I$13)*IF(MID(E170,5,1)="2",트라이포드!$R$13,트라이포드!$Q$13)*IF(입력란!$C$9=1,IF(입력란!$C$14=0,1.05,IF(입력란!$C$14=1,1.05*1.05,IF(입력란!$C$14=2,1.05*1.12,IF(입력란!$C$14=3,1.05*1.25)))),1)</f>
        <v>27464.686090423529</v>
      </c>
      <c r="U170" s="29">
        <f>AN170*IF(MID(E170,3,1)="1",트라이포드!$J$13,트라이포드!$I$13)*IF(MID(E170,5,1)="1",1,0)*IF(입력란!$C$9=1,IF(입력란!$C$14=0,1.05,IF(입력란!$C$14=1,1.05*1.05,IF(입력란!$C$14=2,1.05*1.12,IF(입력란!$C$14=3,1.05*1.25)))),1)</f>
        <v>0</v>
      </c>
      <c r="V170" s="29"/>
      <c r="W170" s="38"/>
      <c r="X170" s="38"/>
      <c r="Y170" s="38"/>
      <c r="Z170" s="24"/>
      <c r="AA170" s="29">
        <f>SUM(AB170:AI170)</f>
        <v>109858.74436169412</v>
      </c>
      <c r="AB170" s="29">
        <f>S170*2</f>
        <v>54929.372180847058</v>
      </c>
      <c r="AC170" s="29">
        <f>T170*2</f>
        <v>54929.372180847058</v>
      </c>
      <c r="AD170" s="29">
        <f>U170*2</f>
        <v>0</v>
      </c>
      <c r="AE170" s="29"/>
      <c r="AF170" s="38"/>
      <c r="AG170" s="38"/>
      <c r="AH170" s="38"/>
      <c r="AI170" s="24"/>
      <c r="AJ170" s="25">
        <f>AR170*(1-입력란!$C$29/100)</f>
        <v>5.7462430037400001</v>
      </c>
      <c r="AK17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0" s="25">
        <f>입력란!$C$37+입력란!$C$31+IF(입력란!$C$17=1,10,IF(입력란!$C$17=2,25,IF(입력란!$C$17=3,50,0)))</f>
        <v>295.58728189999999</v>
      </c>
      <c r="AM170" s="29">
        <f>SUM(AN170:AP170)</f>
        <v>13078.421947820731</v>
      </c>
      <c r="AN170" s="29">
        <f>(VLOOKUP(C170,$B$4:$AK$7,11,FALSE)+VLOOKUP(C170,$B$8:$AK$11,11,FALSE)*입력란!$C$23)*입력란!$C$38/100</f>
        <v>13078.421947820731</v>
      </c>
      <c r="AO170" s="25"/>
      <c r="AP170" s="29"/>
      <c r="AQ170" s="29"/>
      <c r="AR170" s="28">
        <v>6</v>
      </c>
    </row>
    <row r="171" spans="2:44" ht="13.5" customHeight="1" x14ac:dyDescent="0.3">
      <c r="B171" s="30">
        <v>156</v>
      </c>
      <c r="C171" s="35">
        <v>10</v>
      </c>
      <c r="D171" s="36" t="s">
        <v>143</v>
      </c>
      <c r="E171" s="37" t="s">
        <v>76</v>
      </c>
      <c r="F171" s="39"/>
      <c r="G171" s="39"/>
      <c r="H171" s="51">
        <f>I171/AJ171</f>
        <v>7878.2464797193961</v>
      </c>
      <c r="I171" s="52">
        <f>SUM(J171:Q171)*IF(입력란!C$15=1,1.04,IF(입력란!C$15=2,1.1,IF(입력란!C$15=3,1.2,1)))*IF(입력란!$C$17&lt;&gt;0,0.98,1)</f>
        <v>45270.318715826863</v>
      </c>
      <c r="J171" s="29">
        <f>S171*(1+IF($AK171+IF(입력란!$C$9=1,10,0)+IF(입력란!$C$19=1,10,0)+IF(MID(E171,1,1)="3",트라이포드!$H$13,0)&gt;100,100,$AK171+IF(입력란!$C$9=1,10,0)+IF(입력란!$C$19=1,10,0)+IF(MID(E171,1,1)="3",트라이포드!$H$13,0))/100*($AL171/100-1))</f>
        <v>22635.159357913431</v>
      </c>
      <c r="K171" s="29">
        <f>T171*(1+IF($AK171+IF(입력란!$C$9=1,10,0)+IF(입력란!$C$19=1,10,0)+IF(MID(E171,1,1)="3",트라이포드!H$13,0)&gt;100,100,$AK171+IF(입력란!$C$9=1,10,0)+IF(입력란!$C$19=1,10,0)+IF(MID(E171,1,1)="3",트라이포드!H$13,0))/100*($AL171/100-1))</f>
        <v>22635.159357913431</v>
      </c>
      <c r="L171" s="29">
        <f>U171*(1+IF($AK171+IF(입력란!$C$9=1,10,0)+IF(입력란!$C$19=1,10,0)+IF(MID(E171,1,1)="3",트라이포드!H$13,0)&gt;100,100,$AK171+IF(입력란!$C$9=1,10,0)+IF(입력란!$C$19=1,10,0)+IF(MID(E171,1,1)="3",트라이포드!H$13,0))/100*($AL171/100-1))</f>
        <v>0</v>
      </c>
      <c r="M171" s="29"/>
      <c r="N171" s="38"/>
      <c r="O171" s="38"/>
      <c r="P171" s="38"/>
      <c r="Q171" s="26"/>
      <c r="R171" s="23">
        <f>SUM(S171:Z171)</f>
        <v>26156.843895641461</v>
      </c>
      <c r="S171" s="29">
        <f>AN171*IF(MID(E171,3,1)="1",트라이포드!$J$13,트라이포드!$I$13)*IF(MID(E171,5,1)="2",트라이포드!$R$13,트라이포드!$Q$13)*IF(입력란!$C$9=1,IF(입력란!$C$14=0,1.05,IF(입력란!$C$14=1,1.05*1.05,IF(입력란!$C$14=2,1.05*1.12,IF(입력란!$C$14=3,1.05*1.25)))),1)</f>
        <v>13078.421947820731</v>
      </c>
      <c r="T171" s="29">
        <f>AN171*IF(MID(E171,3,1)="1",트라이포드!$J$13,트라이포드!$I$13)*IF(MID(E171,5,1)="2",트라이포드!$R$13,트라이포드!$Q$13)*IF(입력란!$C$9=1,IF(입력란!$C$14=0,1.05,IF(입력란!$C$14=1,1.05*1.05,IF(입력란!$C$14=2,1.05*1.12,IF(입력란!$C$14=3,1.05*1.25)))),1)</f>
        <v>13078.421947820731</v>
      </c>
      <c r="U171" s="29">
        <f>AN171*IF(MID(E171,3,1)="1",트라이포드!$J$13,트라이포드!$I$13)*IF(MID(E171,5,1)="1",1,0)*IF(입력란!$C$9=1,IF(입력란!$C$14=0,1.05,IF(입력란!$C$14=1,1.05*1.05,IF(입력란!$C$14=2,1.05*1.12,IF(입력란!$C$14=3,1.05*1.25)))),1)</f>
        <v>0</v>
      </c>
      <c r="V171" s="29"/>
      <c r="W171" s="38"/>
      <c r="X171" s="38"/>
      <c r="Y171" s="38"/>
      <c r="Z171" s="24"/>
      <c r="AA171" s="29">
        <f>SUM(AB171:AI171)</f>
        <v>52313.687791282922</v>
      </c>
      <c r="AB171" s="29">
        <f>S171*2</f>
        <v>26156.843895641461</v>
      </c>
      <c r="AC171" s="29">
        <f>T171*2</f>
        <v>26156.843895641461</v>
      </c>
      <c r="AD171" s="29">
        <f>U171*2</f>
        <v>0</v>
      </c>
      <c r="AE171" s="29"/>
      <c r="AF171" s="38"/>
      <c r="AG171" s="38"/>
      <c r="AH171" s="38"/>
      <c r="AI171" s="24"/>
      <c r="AJ171" s="25">
        <f>AR171*(1-입력란!$C$29/100)</f>
        <v>5.7462430037400001</v>
      </c>
      <c r="AK17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1" s="25">
        <f>입력란!$C$37+입력란!$C$31+IF(입력란!$C$17=1,10,IF(입력란!$C$17=2,25,IF(입력란!$C$17=3,50,0)))</f>
        <v>295.58728189999999</v>
      </c>
      <c r="AM171" s="29">
        <f>SUM(AN171:AP171)</f>
        <v>13078.421947820731</v>
      </c>
      <c r="AN171" s="29">
        <f>(VLOOKUP(C171,$B$4:$AK$7,11,FALSE)+VLOOKUP(C171,$B$8:$AK$11,11,FALSE)*입력란!$C$23)*입력란!$C$38/100</f>
        <v>13078.421947820731</v>
      </c>
      <c r="AO171" s="25"/>
      <c r="AP171" s="29"/>
      <c r="AQ171" s="29"/>
      <c r="AR171" s="28">
        <v>6</v>
      </c>
    </row>
    <row r="172" spans="2:44" ht="13.5" customHeight="1" x14ac:dyDescent="0.3">
      <c r="B172" s="30">
        <v>157</v>
      </c>
      <c r="C172" s="35">
        <v>10</v>
      </c>
      <c r="D172" s="36" t="s">
        <v>143</v>
      </c>
      <c r="E172" s="37" t="s">
        <v>91</v>
      </c>
      <c r="F172" s="39"/>
      <c r="G172" s="39"/>
      <c r="H172" s="51">
        <f>I172/AJ172</f>
        <v>11817.369719579094</v>
      </c>
      <c r="I172" s="52">
        <f>SUM(J172:Q172)*IF(입력란!C$15=1,1.04,IF(입력란!C$15=2,1.1,IF(입력란!C$15=3,1.2,1)))*IF(입력란!$C$17&lt;&gt;0,0.98,1)</f>
        <v>67905.478073740291</v>
      </c>
      <c r="J172" s="29">
        <f>S172*(1+IF($AK172+IF(입력란!$C$9=1,10,0)+IF(입력란!$C$19=1,10,0)+IF(MID(E172,1,1)="3",트라이포드!$H$13,0)&gt;100,100,$AK172+IF(입력란!$C$9=1,10,0)+IF(입력란!$C$19=1,10,0)+IF(MID(E172,1,1)="3",트라이포드!$H$13,0))/100*($AL172/100-1))</f>
        <v>22635.159357913431</v>
      </c>
      <c r="K172" s="29">
        <f>T172*(1+IF($AK172+IF(입력란!$C$9=1,10,0)+IF(입력란!$C$19=1,10,0)+IF(MID(E172,1,1)="3",트라이포드!H$13,0)&gt;100,100,$AK172+IF(입력란!$C$9=1,10,0)+IF(입력란!$C$19=1,10,0)+IF(MID(E172,1,1)="3",트라이포드!H$13,0))/100*($AL172/100-1))</f>
        <v>22635.159357913431</v>
      </c>
      <c r="L172" s="29">
        <f>U172*(1+IF($AK172+IF(입력란!$C$9=1,10,0)+IF(입력란!$C$19=1,10,0)+IF(MID(E172,1,1)="3",트라이포드!H$13,0)&gt;100,100,$AK172+IF(입력란!$C$9=1,10,0)+IF(입력란!$C$19=1,10,0)+IF(MID(E172,1,1)="3",트라이포드!H$13,0))/100*($AL172/100-1))</f>
        <v>22635.159357913431</v>
      </c>
      <c r="M172" s="29"/>
      <c r="N172" s="38"/>
      <c r="O172" s="38"/>
      <c r="P172" s="38"/>
      <c r="Q172" s="26"/>
      <c r="R172" s="23">
        <f>SUM(S172:Z172)</f>
        <v>39235.265843462192</v>
      </c>
      <c r="S172" s="29">
        <f>AN172*IF(MID(E172,3,1)="1",트라이포드!$J$13,트라이포드!$I$13)*IF(MID(E172,5,1)="2",트라이포드!$R$13,트라이포드!$Q$13)*IF(입력란!$C$9=1,IF(입력란!$C$14=0,1.05,IF(입력란!$C$14=1,1.05*1.05,IF(입력란!$C$14=2,1.05*1.12,IF(입력란!$C$14=3,1.05*1.25)))),1)</f>
        <v>13078.421947820731</v>
      </c>
      <c r="T172" s="29">
        <f>AN172*IF(MID(E172,3,1)="1",트라이포드!$J$13,트라이포드!$I$13)*IF(MID(E172,5,1)="2",트라이포드!$R$13,트라이포드!$Q$13)*IF(입력란!$C$9=1,IF(입력란!$C$14=0,1.05,IF(입력란!$C$14=1,1.05*1.05,IF(입력란!$C$14=2,1.05*1.12,IF(입력란!$C$14=3,1.05*1.25)))),1)</f>
        <v>13078.421947820731</v>
      </c>
      <c r="U172" s="29">
        <f>AN172*IF(MID(E172,3,1)="1",트라이포드!$J$13,트라이포드!$I$13)*IF(MID(E172,5,1)="1",1,0)*IF(입력란!$C$9=1,IF(입력란!$C$14=0,1.05,IF(입력란!$C$14=1,1.05*1.05,IF(입력란!$C$14=2,1.05*1.12,IF(입력란!$C$14=3,1.05*1.25)))),1)</f>
        <v>13078.421947820731</v>
      </c>
      <c r="V172" s="29"/>
      <c r="W172" s="38"/>
      <c r="X172" s="38"/>
      <c r="Y172" s="38"/>
      <c r="Z172" s="24"/>
      <c r="AA172" s="29">
        <f>SUM(AB172:AI172)</f>
        <v>78470.531686924383</v>
      </c>
      <c r="AB172" s="29">
        <f>S172*2</f>
        <v>26156.843895641461</v>
      </c>
      <c r="AC172" s="29">
        <f>T172*2</f>
        <v>26156.843895641461</v>
      </c>
      <c r="AD172" s="29">
        <f>U172*2</f>
        <v>26156.843895641461</v>
      </c>
      <c r="AE172" s="29"/>
      <c r="AF172" s="38"/>
      <c r="AG172" s="38"/>
      <c r="AH172" s="38"/>
      <c r="AI172" s="24"/>
      <c r="AJ172" s="25">
        <f>AR172*(1-입력란!$C$29/100)</f>
        <v>5.7462430037400001</v>
      </c>
      <c r="AK17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2" s="25">
        <f>입력란!$C$37+입력란!$C$31+IF(입력란!$C$17=1,10,IF(입력란!$C$17=2,25,IF(입력란!$C$17=3,50,0)))</f>
        <v>295.58728189999999</v>
      </c>
      <c r="AM172" s="29">
        <f>SUM(AN172:AP172)</f>
        <v>13078.421947820731</v>
      </c>
      <c r="AN172" s="29">
        <f>(VLOOKUP(C172,$B$4:$AK$7,11,FALSE)+VLOOKUP(C172,$B$8:$AK$11,11,FALSE)*입력란!$C$23)*입력란!$C$38/100</f>
        <v>13078.421947820731</v>
      </c>
      <c r="AO172" s="25"/>
      <c r="AP172" s="29"/>
      <c r="AQ172" s="29"/>
      <c r="AR172" s="28">
        <v>6</v>
      </c>
    </row>
    <row r="173" spans="2:44" ht="13.5" customHeight="1" x14ac:dyDescent="0.3">
      <c r="B173" s="30">
        <v>158</v>
      </c>
      <c r="C173" s="35">
        <v>10</v>
      </c>
      <c r="D173" s="36" t="s">
        <v>143</v>
      </c>
      <c r="E173" s="37" t="s">
        <v>92</v>
      </c>
      <c r="F173" s="39"/>
      <c r="G173" s="39"/>
      <c r="H173" s="51">
        <f>I173/AJ173</f>
        <v>11817.369719579096</v>
      </c>
      <c r="I173" s="52">
        <f>SUM(J173:Q173)*IF(입력란!C$15=1,1.04,IF(입력란!C$15=2,1.1,IF(입력란!C$15=3,1.2,1)))*IF(입력란!$C$17&lt;&gt;0,0.98,1)</f>
        <v>67905.478073740305</v>
      </c>
      <c r="J173" s="29">
        <f>S173*(1+IF($AK173+IF(입력란!$C$9=1,10,0)+IF(입력란!$C$19=1,10,0)+IF(MID(E173,1,1)="3",트라이포드!$H$13,0)&gt;100,100,$AK173+IF(입력란!$C$9=1,10,0)+IF(입력란!$C$19=1,10,0)+IF(MID(E173,1,1)="3",트라이포드!$H$13,0))/100*($AL173/100-1))</f>
        <v>33952.739036870153</v>
      </c>
      <c r="K173" s="29">
        <f>T173*(1+IF($AK173+IF(입력란!$C$9=1,10,0)+IF(입력란!$C$19=1,10,0)+IF(MID(E173,1,1)="3",트라이포드!H$13,0)&gt;100,100,$AK173+IF(입력란!$C$9=1,10,0)+IF(입력란!$C$19=1,10,0)+IF(MID(E173,1,1)="3",트라이포드!H$13,0))/100*($AL173/100-1))</f>
        <v>33952.739036870153</v>
      </c>
      <c r="L173" s="29">
        <f>U173*(1+IF($AK173+IF(입력란!$C$9=1,10,0)+IF(입력란!$C$19=1,10,0)+IF(MID(E173,1,1)="3",트라이포드!H$13,0)&gt;100,100,$AK173+IF(입력란!$C$9=1,10,0)+IF(입력란!$C$19=1,10,0)+IF(MID(E173,1,1)="3",트라이포드!H$13,0))/100*($AL173/100-1))</f>
        <v>0</v>
      </c>
      <c r="M173" s="29"/>
      <c r="N173" s="38"/>
      <c r="O173" s="38"/>
      <c r="P173" s="38"/>
      <c r="Q173" s="26"/>
      <c r="R173" s="23">
        <f>SUM(S173:Z173)</f>
        <v>39235.265843462192</v>
      </c>
      <c r="S173" s="29">
        <f>AN173*IF(MID(E173,3,1)="1",트라이포드!$J$13,트라이포드!$I$13)*IF(MID(E173,5,1)="2",트라이포드!$R$13,트라이포드!$Q$13)*IF(입력란!$C$9=1,IF(입력란!$C$14=0,1.05,IF(입력란!$C$14=1,1.05*1.05,IF(입력란!$C$14=2,1.05*1.12,IF(입력란!$C$14=3,1.05*1.25)))),1)</f>
        <v>19617.632921731096</v>
      </c>
      <c r="T173" s="29">
        <f>AN173*IF(MID(E173,3,1)="1",트라이포드!$J$13,트라이포드!$I$13)*IF(MID(E173,5,1)="2",트라이포드!$R$13,트라이포드!$Q$13)*IF(입력란!$C$9=1,IF(입력란!$C$14=0,1.05,IF(입력란!$C$14=1,1.05*1.05,IF(입력란!$C$14=2,1.05*1.12,IF(입력란!$C$14=3,1.05*1.25)))),1)</f>
        <v>19617.632921731096</v>
      </c>
      <c r="U173" s="29">
        <f>AN173*IF(MID(E173,3,1)="1",트라이포드!$J$13,트라이포드!$I$13)*IF(MID(E173,5,1)="1",1,0)*IF(입력란!$C$9=1,IF(입력란!$C$14=0,1.05,IF(입력란!$C$14=1,1.05*1.05,IF(입력란!$C$14=2,1.05*1.12,IF(입력란!$C$14=3,1.05*1.25)))),1)</f>
        <v>0</v>
      </c>
      <c r="V173" s="29"/>
      <c r="W173" s="38"/>
      <c r="X173" s="38"/>
      <c r="Y173" s="38"/>
      <c r="Z173" s="24"/>
      <c r="AA173" s="29">
        <f>SUM(AB173:AI173)</f>
        <v>78470.531686924383</v>
      </c>
      <c r="AB173" s="29">
        <f>S173*2</f>
        <v>39235.265843462192</v>
      </c>
      <c r="AC173" s="29">
        <f>T173*2</f>
        <v>39235.265843462192</v>
      </c>
      <c r="AD173" s="29">
        <f>U173*2</f>
        <v>0</v>
      </c>
      <c r="AE173" s="29"/>
      <c r="AF173" s="38"/>
      <c r="AG173" s="38"/>
      <c r="AH173" s="38"/>
      <c r="AI173" s="24"/>
      <c r="AJ173" s="25">
        <f>AR173*(1-입력란!$C$29/100)</f>
        <v>5.7462430037400001</v>
      </c>
      <c r="AK17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3" s="25">
        <f>입력란!$C$37+입력란!$C$31+IF(입력란!$C$17=1,10,IF(입력란!$C$17=2,25,IF(입력란!$C$17=3,50,0)))</f>
        <v>295.58728189999999</v>
      </c>
      <c r="AM173" s="29">
        <f>SUM(AN173:AP173)</f>
        <v>13078.421947820731</v>
      </c>
      <c r="AN173" s="29">
        <f>(VLOOKUP(C173,$B$4:$AK$7,11,FALSE)+VLOOKUP(C173,$B$8:$AK$11,11,FALSE)*입력란!$C$23)*입력란!$C$38/100</f>
        <v>13078.421947820731</v>
      </c>
      <c r="AO173" s="25"/>
      <c r="AP173" s="29"/>
      <c r="AQ173" s="29"/>
      <c r="AR173" s="28">
        <v>6</v>
      </c>
    </row>
    <row r="174" spans="2:44" ht="13.5" customHeight="1" x14ac:dyDescent="0.3">
      <c r="B174" s="30">
        <v>159</v>
      </c>
      <c r="C174" s="35">
        <v>10</v>
      </c>
      <c r="D174" s="36" t="s">
        <v>143</v>
      </c>
      <c r="E174" s="37" t="s">
        <v>93</v>
      </c>
      <c r="F174" s="39"/>
      <c r="G174" s="39"/>
      <c r="H174" s="51">
        <f>I174/AJ174</f>
        <v>16544.317607410732</v>
      </c>
      <c r="I174" s="52">
        <f>SUM(J174:Q174)*IF(입력란!C$15=1,1.04,IF(입력란!C$15=2,1.1,IF(입력란!C$15=3,1.2,1)))*IF(입력란!$C$17&lt;&gt;0,0.98,1)</f>
        <v>95067.669303236413</v>
      </c>
      <c r="J174" s="29">
        <f>S174*(1+IF($AK174+IF(입력란!$C$9=1,10,0)+IF(입력란!$C$19=1,10,0)+IF(MID(E174,1,1)="3",트라이포드!$H$13,0)&gt;100,100,$AK174+IF(입력란!$C$9=1,10,0)+IF(입력란!$C$19=1,10,0)+IF(MID(E174,1,1)="3",트라이포드!$H$13,0))/100*($AL174/100-1))</f>
        <v>31689.223101078802</v>
      </c>
      <c r="K174" s="29">
        <f>T174*(1+IF($AK174+IF(입력란!$C$9=1,10,0)+IF(입력란!$C$19=1,10,0)+IF(MID(E174,1,1)="3",트라이포드!H$13,0)&gt;100,100,$AK174+IF(입력란!$C$9=1,10,0)+IF(입력란!$C$19=1,10,0)+IF(MID(E174,1,1)="3",트라이포드!H$13,0))/100*($AL174/100-1))</f>
        <v>31689.223101078802</v>
      </c>
      <c r="L174" s="29">
        <f>U174*(1+IF($AK174+IF(입력란!$C$9=1,10,0)+IF(입력란!$C$19=1,10,0)+IF(MID(E174,1,1)="3",트라이포드!H$13,0)&gt;100,100,$AK174+IF(입력란!$C$9=1,10,0)+IF(입력란!$C$19=1,10,0)+IF(MID(E174,1,1)="3",트라이포드!H$13,0))/100*($AL174/100-1))</f>
        <v>31689.223101078802</v>
      </c>
      <c r="M174" s="29"/>
      <c r="N174" s="38"/>
      <c r="O174" s="38"/>
      <c r="P174" s="38"/>
      <c r="Q174" s="26"/>
      <c r="R174" s="23">
        <f>SUM(S174:Z174)</f>
        <v>54929.372180847058</v>
      </c>
      <c r="S174" s="29">
        <f>AN174*IF(MID(E174,3,1)="1",트라이포드!$J$13,트라이포드!$I$13)*IF(MID(E174,5,1)="2",트라이포드!$R$13,트라이포드!$Q$13)*IF(입력란!$C$9=1,IF(입력란!$C$14=0,1.05,IF(입력란!$C$14=1,1.05*1.05,IF(입력란!$C$14=2,1.05*1.12,IF(입력란!$C$14=3,1.05*1.25)))),1)</f>
        <v>18309.790726949021</v>
      </c>
      <c r="T174" s="29">
        <f>AN174*IF(MID(E174,3,1)="1",트라이포드!$J$13,트라이포드!$I$13)*IF(MID(E174,5,1)="2",트라이포드!$R$13,트라이포드!$Q$13)*IF(입력란!$C$9=1,IF(입력란!$C$14=0,1.05,IF(입력란!$C$14=1,1.05*1.05,IF(입력란!$C$14=2,1.05*1.12,IF(입력란!$C$14=3,1.05*1.25)))),1)</f>
        <v>18309.790726949021</v>
      </c>
      <c r="U174" s="29">
        <f>AN174*IF(MID(E174,3,1)="1",트라이포드!$J$13,트라이포드!$I$13)*IF(MID(E174,5,1)="1",1,0)*IF(입력란!$C$9=1,IF(입력란!$C$14=0,1.05,IF(입력란!$C$14=1,1.05*1.05,IF(입력란!$C$14=2,1.05*1.12,IF(입력란!$C$14=3,1.05*1.25)))),1)</f>
        <v>18309.790726949021</v>
      </c>
      <c r="V174" s="29"/>
      <c r="W174" s="38"/>
      <c r="X174" s="38"/>
      <c r="Y174" s="38"/>
      <c r="Z174" s="24"/>
      <c r="AA174" s="29">
        <f>SUM(AB174:AI174)</f>
        <v>109858.74436169412</v>
      </c>
      <c r="AB174" s="29">
        <f>S174*2</f>
        <v>36619.581453898041</v>
      </c>
      <c r="AC174" s="29">
        <f>T174*2</f>
        <v>36619.581453898041</v>
      </c>
      <c r="AD174" s="29">
        <f>U174*2</f>
        <v>36619.581453898041</v>
      </c>
      <c r="AE174" s="29"/>
      <c r="AF174" s="38"/>
      <c r="AG174" s="38"/>
      <c r="AH174" s="38"/>
      <c r="AI174" s="24"/>
      <c r="AJ174" s="25">
        <f>AR174*(1-입력란!$C$29/100)</f>
        <v>5.7462430037400001</v>
      </c>
      <c r="AK17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4" s="25">
        <f>입력란!$C$37+입력란!$C$31+IF(입력란!$C$17=1,10,IF(입력란!$C$17=2,25,IF(입력란!$C$17=3,50,0)))</f>
        <v>295.58728189999999</v>
      </c>
      <c r="AM174" s="29">
        <f>SUM(AN174:AP174)</f>
        <v>13078.421947820731</v>
      </c>
      <c r="AN174" s="29">
        <f>(VLOOKUP(C174,$B$4:$AK$7,11,FALSE)+VLOOKUP(C174,$B$8:$AK$11,11,FALSE)*입력란!$C$23)*입력란!$C$38/100</f>
        <v>13078.421947820731</v>
      </c>
      <c r="AO174" s="25"/>
      <c r="AP174" s="29"/>
      <c r="AQ174" s="29"/>
      <c r="AR174" s="28">
        <v>6</v>
      </c>
    </row>
    <row r="175" spans="2:44" ht="13.5" customHeight="1" x14ac:dyDescent="0.3">
      <c r="B175" s="30">
        <v>160</v>
      </c>
      <c r="C175" s="35">
        <v>10</v>
      </c>
      <c r="D175" s="36" t="s">
        <v>143</v>
      </c>
      <c r="E175" s="37" t="s">
        <v>94</v>
      </c>
      <c r="F175" s="39"/>
      <c r="G175" s="39"/>
      <c r="H175" s="51">
        <f>I175/AJ175</f>
        <v>16544.317607410729</v>
      </c>
      <c r="I175" s="52">
        <f>SUM(J175:Q175)*IF(입력란!C$15=1,1.04,IF(입력란!C$15=2,1.1,IF(입력란!C$15=3,1.2,1)))*IF(입력란!$C$17&lt;&gt;0,0.98,1)</f>
        <v>95067.669303236398</v>
      </c>
      <c r="J175" s="29">
        <f>S175*(1+IF($AK175+IF(입력란!$C$9=1,10,0)+IF(입력란!$C$19=1,10,0)+IF(MID(E175,1,1)="3",트라이포드!$H$13,0)&gt;100,100,$AK175+IF(입력란!$C$9=1,10,0)+IF(입력란!$C$19=1,10,0)+IF(MID(E175,1,1)="3",트라이포드!$H$13,0))/100*($AL175/100-1))</f>
        <v>47533.834651618199</v>
      </c>
      <c r="K175" s="29">
        <f>T175*(1+IF($AK175+IF(입력란!$C$9=1,10,0)+IF(입력란!$C$19=1,10,0)+IF(MID(E175,1,1)="3",트라이포드!H$13,0)&gt;100,100,$AK175+IF(입력란!$C$9=1,10,0)+IF(입력란!$C$19=1,10,0)+IF(MID(E175,1,1)="3",트라이포드!H$13,0))/100*($AL175/100-1))</f>
        <v>47533.834651618199</v>
      </c>
      <c r="L175" s="29">
        <f>U175*(1+IF($AK175+IF(입력란!$C$9=1,10,0)+IF(입력란!$C$19=1,10,0)+IF(MID(E175,1,1)="3",트라이포드!H$13,0)&gt;100,100,$AK175+IF(입력란!$C$9=1,10,0)+IF(입력란!$C$19=1,10,0)+IF(MID(E175,1,1)="3",트라이포드!H$13,0))/100*($AL175/100-1))</f>
        <v>0</v>
      </c>
      <c r="M175" s="29"/>
      <c r="N175" s="38"/>
      <c r="O175" s="38"/>
      <c r="P175" s="38"/>
      <c r="Q175" s="26"/>
      <c r="R175" s="23">
        <f>SUM(S175:Z175)</f>
        <v>54929.372180847058</v>
      </c>
      <c r="S175" s="29">
        <f>AN175*IF(MID(E175,3,1)="1",트라이포드!$J$13,트라이포드!$I$13)*IF(MID(E175,5,1)="2",트라이포드!$R$13,트라이포드!$Q$13)*IF(입력란!$C$9=1,IF(입력란!$C$14=0,1.05,IF(입력란!$C$14=1,1.05*1.05,IF(입력란!$C$14=2,1.05*1.12,IF(입력란!$C$14=3,1.05*1.25)))),1)</f>
        <v>27464.686090423529</v>
      </c>
      <c r="T175" s="29">
        <f>AN175*IF(MID(E175,3,1)="1",트라이포드!$J$13,트라이포드!$I$13)*IF(MID(E175,5,1)="2",트라이포드!$R$13,트라이포드!$Q$13)*IF(입력란!$C$9=1,IF(입력란!$C$14=0,1.05,IF(입력란!$C$14=1,1.05*1.05,IF(입력란!$C$14=2,1.05*1.12,IF(입력란!$C$14=3,1.05*1.25)))),1)</f>
        <v>27464.686090423529</v>
      </c>
      <c r="U175" s="29">
        <f>AN175*IF(MID(E175,3,1)="1",트라이포드!$J$13,트라이포드!$I$13)*IF(MID(E175,5,1)="1",1,0)*IF(입력란!$C$9=1,IF(입력란!$C$14=0,1.05,IF(입력란!$C$14=1,1.05*1.05,IF(입력란!$C$14=2,1.05*1.12,IF(입력란!$C$14=3,1.05*1.25)))),1)</f>
        <v>0</v>
      </c>
      <c r="V175" s="29"/>
      <c r="W175" s="38"/>
      <c r="X175" s="38"/>
      <c r="Y175" s="38"/>
      <c r="Z175" s="24"/>
      <c r="AA175" s="29">
        <f>SUM(AB175:AI175)</f>
        <v>109858.74436169412</v>
      </c>
      <c r="AB175" s="29">
        <f>S175*2</f>
        <v>54929.372180847058</v>
      </c>
      <c r="AC175" s="29">
        <f>T175*2</f>
        <v>54929.372180847058</v>
      </c>
      <c r="AD175" s="29">
        <f>U175*2</f>
        <v>0</v>
      </c>
      <c r="AE175" s="29"/>
      <c r="AF175" s="38"/>
      <c r="AG175" s="38"/>
      <c r="AH175" s="38"/>
      <c r="AI175" s="24"/>
      <c r="AJ175" s="25">
        <f>AR175*(1-입력란!$C$29/100)</f>
        <v>5.7462430037400001</v>
      </c>
      <c r="AK17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5" s="25">
        <f>입력란!$C$37+입력란!$C$31+IF(입력란!$C$17=1,10,IF(입력란!$C$17=2,25,IF(입력란!$C$17=3,50,0)))</f>
        <v>295.58728189999999</v>
      </c>
      <c r="AM175" s="29">
        <f>SUM(AN175:AP175)</f>
        <v>13078.421947820731</v>
      </c>
      <c r="AN175" s="29">
        <f>(VLOOKUP(C175,$B$4:$AK$7,11,FALSE)+VLOOKUP(C175,$B$8:$AK$11,11,FALSE)*입력란!$C$23)*입력란!$C$38/100</f>
        <v>13078.421947820731</v>
      </c>
      <c r="AO175" s="25"/>
      <c r="AP175" s="29"/>
      <c r="AQ175" s="29"/>
      <c r="AR175" s="28">
        <v>6</v>
      </c>
    </row>
    <row r="176" spans="2:44" ht="13.5" customHeight="1" x14ac:dyDescent="0.3">
      <c r="B176" s="30">
        <v>161</v>
      </c>
      <c r="C176" s="35">
        <v>1</v>
      </c>
      <c r="D176" s="36" t="s">
        <v>354</v>
      </c>
      <c r="E176" s="37" t="s">
        <v>75</v>
      </c>
      <c r="F176" s="39"/>
      <c r="G176" s="39"/>
      <c r="H176" s="51">
        <f>I176/AJ176</f>
        <v>6316.2534865802318</v>
      </c>
      <c r="I176" s="52">
        <f>SUM(J176:Q176)*IF(입력란!C$15=1,1.04,IF(입력란!C$15=2,1.1,IF(입력란!C$15=3,1.2,1)))*IF(입력란!$C$17&lt;&gt;0,0.98,1)</f>
        <v>72589.45481422008</v>
      </c>
      <c r="J176" s="29">
        <f>S176*(1+IF($AK176+IF(입력란!$C$19=1,10,0)&gt;100,100,$AK176+IF(입력란!$C$19=1,10,0))/100*($AL176/100-1))</f>
        <v>14522.144706038636</v>
      </c>
      <c r="K176" s="29">
        <f>T176*(1+IF($AK176+IF(입력란!$C$19=1,10,0)+IF(MID(E176,3,1)="3",트라이포드!N$14,트라이포드!$M$14)&gt;100,100,$AK176+IF(입력란!$C$19=1,10,0)+IF(MID(E176,3,1)="3",트라이포드!N$14,트라이포드!$M$14))/100*($AL176/100-1))</f>
        <v>21776.414955997534</v>
      </c>
      <c r="L176" s="29">
        <f>U176*(1+IF($AK176+IF(입력란!$C$19=1,10,0)&gt;100,100,$AK176+IF(입력란!$C$19=1,10,0))/100*($AL176/100-1))</f>
        <v>7253.6953120976686</v>
      </c>
      <c r="M176" s="29">
        <f>V176*(1+IF($AK176+IF(입력란!$C$19=1,10,0)+IF(MID(E176,3,1)="3",트라이포드!N$14,트라이포드!$M$14)&gt;100,100,$AK176+IF(입력란!$C$19=1,10,0)+IF(MID(E176,3,1)="3",트라이포드!N$14,트라이포드!$M$14))/100*($AL176/100-1))</f>
        <v>29037.199840086236</v>
      </c>
      <c r="N176" s="29"/>
      <c r="O176" s="38"/>
      <c r="P176" s="38"/>
      <c r="Q176" s="26"/>
      <c r="R176" s="23">
        <f>SUM(S176:Z176)</f>
        <v>50502.469716369887</v>
      </c>
      <c r="S176" s="29">
        <f>AN176*IF(MID(E176,3,1)="3",1.25,1)*IF(입력란!$C$10=1,1.2,1)</f>
        <v>10103.453388794231</v>
      </c>
      <c r="T176" s="29">
        <f>AO176*IF(입력란!$C$10=1,1.2,1)</f>
        <v>15150.447673990922</v>
      </c>
      <c r="U176" s="29">
        <f>AP176*IF(MID(E176,3,1)="3",1.25,1)*IF(입력란!$C$10=1,1.2,1)</f>
        <v>5046.5942851966947</v>
      </c>
      <c r="V176" s="29">
        <f>AQ176*IF(MID(E176,3,1)="1",트라이포드!$J$14,트라이포드!$I$14)*IF(MID(E176,5,1)="2",트라이포드!$R$14,트라이포드!$Q$14)*IF(입력란!$C$10=1,1.2,1)</f>
        <v>20201.974368388037</v>
      </c>
      <c r="W176" s="38"/>
      <c r="X176" s="38"/>
      <c r="Y176" s="38"/>
      <c r="Z176" s="24"/>
      <c r="AA176" s="29">
        <f>SUM(AB176:AI176)</f>
        <v>101004.93943273977</v>
      </c>
      <c r="AB176" s="29">
        <f>S176*2</f>
        <v>20206.906777588461</v>
      </c>
      <c r="AC176" s="29">
        <f>T176*2</f>
        <v>30300.895347981845</v>
      </c>
      <c r="AD176" s="29">
        <f>U176*2</f>
        <v>10093.188570393389</v>
      </c>
      <c r="AE176" s="29">
        <f>V176*2</f>
        <v>40403.948736776074</v>
      </c>
      <c r="AF176" s="38"/>
      <c r="AG176" s="38"/>
      <c r="AH176" s="38"/>
      <c r="AI176" s="24"/>
      <c r="AJ176" s="25">
        <f>AR176*(1-입력란!$C$29/100)</f>
        <v>11.49248600748</v>
      </c>
      <c r="AK17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6" s="25">
        <f>입력란!$C$37+입력란!$C$31+IF(입력란!$C$17=1,10,IF(입력란!$C$17=2,25,IF(입력란!$C$17=3,50,0)))</f>
        <v>295.58728189999999</v>
      </c>
      <c r="AM176" s="29">
        <f>SUM(AN176:AP176)</f>
        <v>30300.495347981847</v>
      </c>
      <c r="AN176" s="29">
        <f>(VLOOKUP(C176,$B$4:$AK$7,12,FALSE)+VLOOKUP(C176,$B$8:$AK$11,12,FALSE)*입력란!$C$23)*입력란!$C$38/100</f>
        <v>10103.453388794231</v>
      </c>
      <c r="AO176" s="25">
        <f>(VLOOKUP(C176,$B$4:$AK$7,13,FALSE)+VLOOKUP(C176,$B$8:$AK$11,13,FALSE)*입력란!$C$23)*입력란!$C$38/100</f>
        <v>15150.447673990922</v>
      </c>
      <c r="AP176" s="29">
        <f>(VLOOKUP(C176,$B$4:$AK$7,14,FALSE)+VLOOKUP(C176,$B$8:$AK$11,14,FALSE)*입력란!$C$23)*입력란!$C$38/100</f>
        <v>5046.5942851966947</v>
      </c>
      <c r="AQ176" s="29">
        <f>(VLOOKUP(C176,$B$4:$AK$7,15,FALSE)+VLOOKUP(C176,$B$8:$AK$11,15,FALSE)*입력란!$C$23)*입력란!$C$38/100</f>
        <v>20201.974368388037</v>
      </c>
      <c r="AR176" s="28">
        <v>12</v>
      </c>
    </row>
    <row r="177" spans="2:44" ht="13.5" customHeight="1" x14ac:dyDescent="0.3">
      <c r="B177" s="30">
        <v>162</v>
      </c>
      <c r="C177" s="35">
        <v>4</v>
      </c>
      <c r="D177" s="36" t="s">
        <v>354</v>
      </c>
      <c r="E177" s="37" t="s">
        <v>75</v>
      </c>
      <c r="F177" s="39"/>
      <c r="G177" s="39"/>
      <c r="H177" s="51">
        <f>I177/AJ177</f>
        <v>6342.417756106327</v>
      </c>
      <c r="I177" s="52">
        <f>SUM(J177:Q177)*IF(입력란!C$15=1,1.04,IF(입력란!C$15=2,1.1,IF(입력란!C$15=3,1.2,1)))*IF(입력란!$C$17&lt;&gt;0,0.98,1)</f>
        <v>72890.147315644659</v>
      </c>
      <c r="J177" s="29">
        <f>S177*(1+IF($AK177+IF(입력란!$C$19=1,10,0)&gt;100,100,$AK177+IF(입력란!$C$19=1,10,0))/100*($AL177/100-1))</f>
        <v>14574.848671615782</v>
      </c>
      <c r="K177" s="29">
        <f>T177*(1+IF($AK177+IF(입력란!$C$19=1,10,0)+IF(MID(E177,3,1)="3",트라이포드!N$14,트라이포드!$M$14)&gt;100,100,$AK177+IF(입력란!$C$19=1,10,0)+IF(MID(E177,3,1)="3",트라이포드!N$14,트라이포드!$M$14))/100*($AL177/100-1))</f>
        <v>21866.680200211031</v>
      </c>
      <c r="L177" s="29">
        <f>U177*(1+IF($AK177+IF(입력란!$C$19=1,10,0)&gt;100,100,$AK177+IF(입력란!$C$19=1,10,0))/100*($AL177/100-1))</f>
        <v>7291.256590734024</v>
      </c>
      <c r="M177" s="29">
        <f>V177*(1+IF($AK177+IF(입력란!$C$19=1,10,0)+IF(MID(E177,3,1)="3",트라이포드!N$14,트라이포드!$M$14)&gt;100,100,$AK177+IF(입력란!$C$19=1,10,0)+IF(MID(E177,3,1)="3",트라이포드!N$14,트라이포드!$M$14))/100*($AL177/100-1))</f>
        <v>29157.361853083828</v>
      </c>
      <c r="N177" s="29"/>
      <c r="O177" s="38"/>
      <c r="P177" s="38"/>
      <c r="Q177" s="26"/>
      <c r="R177" s="23">
        <f>SUM(S177:Z177)</f>
        <v>50711.669716369885</v>
      </c>
      <c r="S177" s="29">
        <f>AN177*IF(MID(E177,3,1)="3",1.25,1)*IF(입력란!$C$10=1,1.2,1)</f>
        <v>10140.12097959381</v>
      </c>
      <c r="T177" s="29">
        <f>AO177*IF(입력란!$C$10=1,1.2,1)</f>
        <v>15213.247673990922</v>
      </c>
      <c r="U177" s="29">
        <f>AP177*IF(MID(E177,3,1)="3",1.25,1)*IF(입력란!$C$10=1,1.2,1)</f>
        <v>5072.7266943971154</v>
      </c>
      <c r="V177" s="29">
        <f>AQ177*IF(MID(E177,3,1)="1",트라이포드!$J$14,트라이포드!$I$14)*IF(MID(E177,5,1)="2",트라이포드!$R$14,트라이포드!$Q$14)*IF(입력란!$C$10=1,1.2,1)</f>
        <v>20285.574368388039</v>
      </c>
      <c r="W177" s="38"/>
      <c r="X177" s="38"/>
      <c r="Y177" s="38"/>
      <c r="Z177" s="24"/>
      <c r="AA177" s="29">
        <f>SUM(AB177:AI177)</f>
        <v>101423.33943273977</v>
      </c>
      <c r="AB177" s="29">
        <f>S177*2</f>
        <v>20280.241959187621</v>
      </c>
      <c r="AC177" s="29">
        <f>T177*2</f>
        <v>30426.495347981843</v>
      </c>
      <c r="AD177" s="29">
        <f>U177*2</f>
        <v>10145.453388794231</v>
      </c>
      <c r="AE177" s="29">
        <f>V177*2</f>
        <v>40571.148736776078</v>
      </c>
      <c r="AF177" s="38"/>
      <c r="AG177" s="38"/>
      <c r="AH177" s="38"/>
      <c r="AI177" s="24"/>
      <c r="AJ177" s="25">
        <f>AR177*(1-입력란!$C$29/100)</f>
        <v>11.49248600748</v>
      </c>
      <c r="AK17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7" s="25">
        <f>입력란!$C$37+입력란!$C$31+IF(입력란!$C$17=1,10,IF(입력란!$C$17=2,25,IF(입력란!$C$17=3,50,0)))</f>
        <v>295.58728189999999</v>
      </c>
      <c r="AM177" s="29">
        <f>SUM(AN177:AP177)</f>
        <v>30426.095347981845</v>
      </c>
      <c r="AN177" s="29">
        <f>(VLOOKUP(C177,$B$4:$AK$7,12,FALSE)+VLOOKUP(C177,$B$8:$AK$11,12,FALSE)*입력란!$C$23)*입력란!$C$38/100</f>
        <v>10140.12097959381</v>
      </c>
      <c r="AO177" s="25">
        <f>(VLOOKUP(C177,$B$4:$AK$7,13,FALSE)+VLOOKUP(C177,$B$8:$AK$11,13,FALSE)*입력란!$C$23)*입력란!$C$38/100</f>
        <v>15213.247673990922</v>
      </c>
      <c r="AP177" s="29">
        <f>(VLOOKUP(C177,$B$4:$AK$7,14,FALSE)+VLOOKUP(C177,$B$8:$AK$11,14,FALSE)*입력란!$C$23)*입력란!$C$38/100</f>
        <v>5072.7266943971154</v>
      </c>
      <c r="AQ177" s="29">
        <f>(VLOOKUP(C177,$B$4:$AK$7,15,FALSE)+VLOOKUP(C177,$B$8:$AK$11,15,FALSE)*입력란!$C$23)*입력란!$C$38/100</f>
        <v>20285.574368388039</v>
      </c>
      <c r="AR177" s="28">
        <v>12</v>
      </c>
    </row>
    <row r="178" spans="2:44" ht="13.5" customHeight="1" x14ac:dyDescent="0.3">
      <c r="B178" s="30">
        <v>163</v>
      </c>
      <c r="C178" s="35">
        <v>7</v>
      </c>
      <c r="D178" s="36" t="s">
        <v>354</v>
      </c>
      <c r="E178" s="37" t="s">
        <v>75</v>
      </c>
      <c r="F178" s="39"/>
      <c r="G178" s="39"/>
      <c r="H178" s="51">
        <f>I178/AJ178</f>
        <v>6354.0575530940159</v>
      </c>
      <c r="I178" s="52">
        <f>SUM(J178:Q178)*IF(입력란!C$15=1,1.04,IF(입력란!C$15=2,1.1,IF(입력란!C$15=3,1.2,1)))*IF(입력란!$C$17&lt;&gt;0,0.98,1)</f>
        <v>73023.917519655588</v>
      </c>
      <c r="J178" s="29">
        <f>S178*(1+IF($AK178+IF(입력란!$C$19=1,10,0)&gt;100,100,$AK178+IF(입력란!$C$19=1,10,0))/100*($AL178/100-1))</f>
        <v>14603.020626816171</v>
      </c>
      <c r="K178" s="29">
        <f>T178*(1+IF($AK178+IF(입력란!$C$19=1,10,0)+IF(MID(E178,3,1)="3",트라이포드!N$14,트라이포드!$M$14)&gt;100,100,$AK178+IF(입력란!$C$19=1,10,0)+IF(MID(E178,3,1)="3",트라이포드!N$14,트라이포드!$M$14))/100*($AL178/100-1))</f>
        <v>21909.225601942238</v>
      </c>
      <c r="L178" s="29">
        <f>U178*(1+IF($AK178+IF(입력란!$C$19=1,10,0)&gt;100,100,$AK178+IF(입력란!$C$19=1,10,0))/100*($AL178/100-1))</f>
        <v>7297.9655274125707</v>
      </c>
      <c r="M178" s="29">
        <f>V178*(1+IF($AK178+IF(입력란!$C$19=1,10,0)+IF(MID(E178,3,1)="3",트라이포드!N$14,트라이포드!$M$14)&gt;100,100,$AK178+IF(입력란!$C$19=1,10,0)+IF(MID(E178,3,1)="3",트라이포드!N$14,트라이포드!$M$14))/100*($AL178/100-1))</f>
        <v>29213.705763484613</v>
      </c>
      <c r="N178" s="29"/>
      <c r="O178" s="38"/>
      <c r="P178" s="38"/>
      <c r="Q178" s="26"/>
      <c r="R178" s="23">
        <f>SUM(S178:Z178)</f>
        <v>50804.737307169467</v>
      </c>
      <c r="S178" s="29">
        <f>AN178*IF(MID(E178,3,1)="3",1.25,1)*IF(입력란!$C$10=1,1.2,1)</f>
        <v>10159.720979593809</v>
      </c>
      <c r="T178" s="29">
        <f>AO178*IF(입력란!$C$10=1,1.2,1)</f>
        <v>15242.847673990922</v>
      </c>
      <c r="U178" s="29">
        <f>AP178*IF(MID(E178,3,1)="3",1.25,1)*IF(입력란!$C$10=1,1.2,1)</f>
        <v>5077.3942851966949</v>
      </c>
      <c r="V178" s="29">
        <f>AQ178*IF(MID(E178,3,1)="1",트라이포드!$J$14,트라이포드!$I$14)*IF(MID(E178,5,1)="2",트라이포드!$R$14,트라이포드!$Q$14)*IF(입력란!$C$10=1,1.2,1)</f>
        <v>20324.77436838804</v>
      </c>
      <c r="W178" s="38"/>
      <c r="X178" s="38"/>
      <c r="Y178" s="38"/>
      <c r="Z178" s="24"/>
      <c r="AA178" s="29">
        <f>SUM(AB178:AI178)</f>
        <v>101609.47461433893</v>
      </c>
      <c r="AB178" s="29">
        <f>S178*2</f>
        <v>20319.441959187618</v>
      </c>
      <c r="AC178" s="29">
        <f>T178*2</f>
        <v>30485.695347981844</v>
      </c>
      <c r="AD178" s="29">
        <f>U178*2</f>
        <v>10154.78857039339</v>
      </c>
      <c r="AE178" s="29">
        <f>V178*2</f>
        <v>40649.54873677608</v>
      </c>
      <c r="AF178" s="38"/>
      <c r="AG178" s="38"/>
      <c r="AH178" s="38"/>
      <c r="AI178" s="24"/>
      <c r="AJ178" s="25">
        <f>AR178*(1-입력란!$C$29/100)</f>
        <v>11.49248600748</v>
      </c>
      <c r="AK17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8" s="25">
        <f>입력란!$C$37+입력란!$C$31+IF(입력란!$C$17=1,10,IF(입력란!$C$17=2,25,IF(입력란!$C$17=3,50,0)))</f>
        <v>295.58728189999999</v>
      </c>
      <c r="AM178" s="29">
        <f>SUM(AN178:AP178)</f>
        <v>30479.962938781428</v>
      </c>
      <c r="AN178" s="29">
        <f>(VLOOKUP(C178,$B$4:$AK$7,12,FALSE)+VLOOKUP(C178,$B$8:$AK$11,12,FALSE)*입력란!$C$23)*입력란!$C$38/100</f>
        <v>10159.720979593809</v>
      </c>
      <c r="AO178" s="25">
        <f>(VLOOKUP(C178,$B$4:$AK$7,13,FALSE)+VLOOKUP(C178,$B$8:$AK$11,13,FALSE)*입력란!$C$23)*입력란!$C$38/100</f>
        <v>15242.847673990922</v>
      </c>
      <c r="AP178" s="29">
        <f>(VLOOKUP(C178,$B$4:$AK$7,14,FALSE)+VLOOKUP(C178,$B$8:$AK$11,14,FALSE)*입력란!$C$23)*입력란!$C$38/100</f>
        <v>5077.3942851966949</v>
      </c>
      <c r="AQ178" s="29">
        <f>(VLOOKUP(C178,$B$4:$AK$7,15,FALSE)+VLOOKUP(C178,$B$8:$AK$11,15,FALSE)*입력란!$C$23)*입력란!$C$38/100</f>
        <v>20324.77436838804</v>
      </c>
      <c r="AR178" s="28">
        <v>12</v>
      </c>
    </row>
    <row r="179" spans="2:44" ht="13.5" customHeight="1" x14ac:dyDescent="0.3">
      <c r="B179" s="30">
        <v>164</v>
      </c>
      <c r="C179" s="35">
        <v>7</v>
      </c>
      <c r="D179" s="36" t="s">
        <v>354</v>
      </c>
      <c r="E179" s="37" t="s">
        <v>337</v>
      </c>
      <c r="F179" s="39"/>
      <c r="G179" s="39"/>
      <c r="H179" s="51">
        <f>I179/AJ179</f>
        <v>8896.040701428552</v>
      </c>
      <c r="I179" s="52">
        <f>SUM(J179:Q179)*IF(입력란!C$15=1,1.04,IF(입력란!C$15=2,1.1,IF(입력란!C$15=3,1.2,1)))*IF(입력란!$C$17&lt;&gt;0,0.98,1)</f>
        <v>102237.6232831402</v>
      </c>
      <c r="J179" s="29">
        <f>S179*(1+IF($AK179+IF(입력란!$C$19=1,10,0)&gt;100,100,$AK179+IF(입력란!$C$19=1,10,0))/100*($AL179/100-1))</f>
        <v>14603.020626816171</v>
      </c>
      <c r="K179" s="29">
        <f>T179*(1+IF($AK179+IF(입력란!$C$19=1,10,0)+IF(MID(E179,3,1)="3",트라이포드!N$14,트라이포드!$M$14)&gt;100,100,$AK179+IF(입력란!$C$19=1,10,0)+IF(MID(E179,3,1)="3",트라이포드!N$14,트라이포드!$M$14))/100*($AL179/100-1))</f>
        <v>21909.225601942238</v>
      </c>
      <c r="L179" s="29">
        <f>U179*(1+IF($AK179+IF(입력란!$C$19=1,10,0)&gt;100,100,$AK179+IF(입력란!$C$19=1,10,0))/100*($AL179/100-1))</f>
        <v>7297.9655274125707</v>
      </c>
      <c r="M179" s="29">
        <f>V179*(1+IF($AK179+IF(입력란!$C$19=1,10,0)+IF(MID(E179,3,1)="3",트라이포드!N$14,트라이포드!$M$14)&gt;100,100,$AK179+IF(입력란!$C$19=1,10,0)+IF(MID(E179,3,1)="3",트라이포드!N$14,트라이포드!$M$14))/100*($AL179/100-1))</f>
        <v>58427.411526969227</v>
      </c>
      <c r="N179" s="29"/>
      <c r="O179" s="38"/>
      <c r="P179" s="38"/>
      <c r="Q179" s="26"/>
      <c r="R179" s="23">
        <f>SUM(S179:Z179)</f>
        <v>71129.5116755575</v>
      </c>
      <c r="S179" s="29">
        <f>AN179*IF(MID(E179,3,1)="3",1.25,1)*IF(입력란!$C$10=1,1.2,1)</f>
        <v>10159.720979593809</v>
      </c>
      <c r="T179" s="29">
        <f>AO179*IF(입력란!$C$10=1,1.2,1)</f>
        <v>15242.847673990922</v>
      </c>
      <c r="U179" s="29">
        <f>AP179*IF(MID(E179,3,1)="3",1.25,1)*IF(입력란!$C$10=1,1.2,1)</f>
        <v>5077.3942851966949</v>
      </c>
      <c r="V179" s="29">
        <f>AQ179*IF(MID(E179,3,1)="1",트라이포드!$J$14,트라이포드!$I$14)*IF(MID(E179,5,1)="2",트라이포드!$R$14,트라이포드!$Q$14)*IF(입력란!$C$10=1,1.2,1)</f>
        <v>40649.54873677608</v>
      </c>
      <c r="W179" s="38"/>
      <c r="X179" s="38"/>
      <c r="Y179" s="38"/>
      <c r="Z179" s="24"/>
      <c r="AA179" s="29">
        <f>SUM(AB179:AI179)</f>
        <v>142259.023351115</v>
      </c>
      <c r="AB179" s="29">
        <f>S179*2</f>
        <v>20319.441959187618</v>
      </c>
      <c r="AC179" s="29">
        <f>T179*2</f>
        <v>30485.695347981844</v>
      </c>
      <c r="AD179" s="29">
        <f>U179*2</f>
        <v>10154.78857039339</v>
      </c>
      <c r="AE179" s="29">
        <f>V179*2</f>
        <v>81299.097473552159</v>
      </c>
      <c r="AF179" s="38"/>
      <c r="AG179" s="38"/>
      <c r="AH179" s="38"/>
      <c r="AI179" s="24"/>
      <c r="AJ179" s="25">
        <f>AR179*(1-입력란!$C$29/100)</f>
        <v>11.49248600748</v>
      </c>
      <c r="AK17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79" s="25">
        <f>입력란!$C$37+입력란!$C$31+IF(입력란!$C$17=1,10,IF(입력란!$C$17=2,25,IF(입력란!$C$17=3,50,0)))</f>
        <v>295.58728189999999</v>
      </c>
      <c r="AM179" s="29">
        <f>SUM(AN179:AP179)</f>
        <v>30479.962938781428</v>
      </c>
      <c r="AN179" s="29">
        <f>(VLOOKUP(C179,$B$4:$AK$7,12,FALSE)+VLOOKUP(C179,$B$8:$AK$11,12,FALSE)*입력란!$C$23)*입력란!$C$38/100</f>
        <v>10159.720979593809</v>
      </c>
      <c r="AO179" s="25">
        <f>(VLOOKUP(C179,$B$4:$AK$7,13,FALSE)+VLOOKUP(C179,$B$8:$AK$11,13,FALSE)*입력란!$C$23)*입력란!$C$38/100</f>
        <v>15242.847673990922</v>
      </c>
      <c r="AP179" s="29">
        <f>(VLOOKUP(C179,$B$4:$AK$7,14,FALSE)+VLOOKUP(C179,$B$8:$AK$11,14,FALSE)*입력란!$C$23)*입력란!$C$38/100</f>
        <v>5077.3942851966949</v>
      </c>
      <c r="AQ179" s="29">
        <f>(VLOOKUP(C179,$B$4:$AK$7,15,FALSE)+VLOOKUP(C179,$B$8:$AK$11,15,FALSE)*입력란!$C$23)*입력란!$C$38/100</f>
        <v>20324.77436838804</v>
      </c>
      <c r="AR179" s="28">
        <v>12</v>
      </c>
    </row>
    <row r="180" spans="2:44" ht="13.5" customHeight="1" x14ac:dyDescent="0.3">
      <c r="B180" s="30">
        <v>165</v>
      </c>
      <c r="C180" s="35">
        <v>7</v>
      </c>
      <c r="D180" s="36" t="s">
        <v>354</v>
      </c>
      <c r="E180" s="37" t="s">
        <v>79</v>
      </c>
      <c r="F180" s="39"/>
      <c r="G180" s="39"/>
      <c r="H180" s="51">
        <f>I180/AJ180</f>
        <v>9251.7373581896445</v>
      </c>
      <c r="I180" s="52">
        <f>SUM(J180:Q180)*IF(입력란!C$15=1,1.04,IF(입력란!C$15=2,1.1,IF(입력란!C$15=3,1.2,1)))*IF(입력란!$C$17&lt;&gt;0,0.98,1)</f>
        <v>106325.46213387448</v>
      </c>
      <c r="J180" s="29">
        <f>S180*(1+IF($AK180+IF(입력란!$C$19=1,10,0)&gt;100,100,$AK180+IF(입력란!$C$19=1,10,0))/100*($AL180/100-1))</f>
        <v>18253.775783520214</v>
      </c>
      <c r="K180" s="29">
        <f>T180*(1+IF($AK180+IF(입력란!$C$19=1,10,0)+IF(MID(E180,3,1)="3",트라이포드!N$14,트라이포드!$M$14)&gt;100,100,$AK180+IF(입력란!$C$19=1,10,0)+IF(MID(E180,3,1)="3",트라이포드!N$14,트라이포드!$M$14))/100*($AL180/100-1))</f>
        <v>33834.454181828725</v>
      </c>
      <c r="L180" s="29">
        <f>U180*(1+IF($AK180+IF(입력란!$C$19=1,10,0)&gt;100,100,$AK180+IF(입력란!$C$19=1,10,0))/100*($AL180/100-1))</f>
        <v>9122.456909265713</v>
      </c>
      <c r="M180" s="29">
        <f>V180*(1+IF($AK180+IF(입력란!$C$19=1,10,0)+IF(MID(E180,3,1)="3",트라이포드!N$14,트라이포드!$M$14)&gt;100,100,$AK180+IF(입력란!$C$19=1,10,0)+IF(MID(E180,3,1)="3",트라이포드!N$14,트라이포드!$M$14))/100*($AL180/100-1))</f>
        <v>45114.775259259834</v>
      </c>
      <c r="N180" s="29"/>
      <c r="O180" s="38"/>
      <c r="P180" s="38"/>
      <c r="Q180" s="26"/>
      <c r="R180" s="23">
        <f>SUM(S180:Z180)</f>
        <v>54614.016123367095</v>
      </c>
      <c r="S180" s="29">
        <f>AN180*IF(MID(E180,3,1)="3",1.25,1)*IF(입력란!$C$10=1,1.2,1)</f>
        <v>12699.651224492261</v>
      </c>
      <c r="T180" s="29">
        <f>AO180*IF(입력란!$C$10=1,1.2,1)</f>
        <v>15242.847673990922</v>
      </c>
      <c r="U180" s="29">
        <f>AP180*IF(MID(E180,3,1)="3",1.25,1)*IF(입력란!$C$10=1,1.2,1)</f>
        <v>6346.7428564958682</v>
      </c>
      <c r="V180" s="29">
        <f>AQ180*IF(MID(E180,3,1)="1",트라이포드!$J$14,트라이포드!$I$14)*IF(MID(E180,5,1)="2",트라이포드!$R$14,트라이포드!$Q$14)*IF(입력란!$C$10=1,1.2,1)</f>
        <v>20324.77436838804</v>
      </c>
      <c r="W180" s="38"/>
      <c r="X180" s="38"/>
      <c r="Y180" s="38"/>
      <c r="Z180" s="24"/>
      <c r="AA180" s="29">
        <f>SUM(AB180:AI180)</f>
        <v>109228.03224673419</v>
      </c>
      <c r="AB180" s="29">
        <f>S180*2</f>
        <v>25399.302448984523</v>
      </c>
      <c r="AC180" s="29">
        <f>T180*2</f>
        <v>30485.695347981844</v>
      </c>
      <c r="AD180" s="29">
        <f>U180*2</f>
        <v>12693.485712991736</v>
      </c>
      <c r="AE180" s="29">
        <f>V180*2</f>
        <v>40649.54873677608</v>
      </c>
      <c r="AF180" s="38"/>
      <c r="AG180" s="38"/>
      <c r="AH180" s="38"/>
      <c r="AI180" s="24"/>
      <c r="AJ180" s="25">
        <f>AR180*(1-입력란!$C$29/100)</f>
        <v>11.49248600748</v>
      </c>
      <c r="AK18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0" s="25">
        <f>입력란!$C$37+입력란!$C$31+IF(입력란!$C$17=1,10,IF(입력란!$C$17=2,25,IF(입력란!$C$17=3,50,0)))</f>
        <v>295.58728189999999</v>
      </c>
      <c r="AM180" s="29">
        <f>SUM(AN180:AP180)</f>
        <v>30479.962938781428</v>
      </c>
      <c r="AN180" s="29">
        <f>(VLOOKUP(C180,$B$4:$AK$7,12,FALSE)+VLOOKUP(C180,$B$8:$AK$11,12,FALSE)*입력란!$C$23)*입력란!$C$38/100</f>
        <v>10159.720979593809</v>
      </c>
      <c r="AO180" s="25">
        <f>(VLOOKUP(C180,$B$4:$AK$7,13,FALSE)+VLOOKUP(C180,$B$8:$AK$11,13,FALSE)*입력란!$C$23)*입력란!$C$38/100</f>
        <v>15242.847673990922</v>
      </c>
      <c r="AP180" s="29">
        <f>(VLOOKUP(C180,$B$4:$AK$7,14,FALSE)+VLOOKUP(C180,$B$8:$AK$11,14,FALSE)*입력란!$C$23)*입력란!$C$38/100</f>
        <v>5077.3942851966949</v>
      </c>
      <c r="AQ180" s="29">
        <f>(VLOOKUP(C180,$B$4:$AK$7,15,FALSE)+VLOOKUP(C180,$B$8:$AK$11,15,FALSE)*입력란!$C$23)*입력란!$C$38/100</f>
        <v>20324.77436838804</v>
      </c>
      <c r="AR180" s="28">
        <v>12</v>
      </c>
    </row>
    <row r="181" spans="2:44" ht="13.5" customHeight="1" x14ac:dyDescent="0.3">
      <c r="B181" s="30">
        <v>166</v>
      </c>
      <c r="C181" s="35">
        <v>10</v>
      </c>
      <c r="D181" s="36" t="s">
        <v>354</v>
      </c>
      <c r="E181" s="37" t="s">
        <v>75</v>
      </c>
      <c r="F181" s="39"/>
      <c r="G181" s="39"/>
      <c r="H181" s="51">
        <f>I181/AJ181</f>
        <v>6362.3286151338343</v>
      </c>
      <c r="I181" s="52">
        <f>SUM(J181:Q181)*IF(입력란!C$15=1,1.04,IF(입력란!C$15=2,1.1,IF(입력란!C$15=3,1.2,1)))*IF(입력란!$C$17&lt;&gt;0,0.98,1)</f>
        <v>73118.972584415198</v>
      </c>
      <c r="J181" s="29">
        <f>S181*(1+IF($AK181+IF(입력란!$C$19=1,10,0)&gt;100,100,$AK181+IF(입력란!$C$19=1,10,0))/100*($AL181/100-1))</f>
        <v>14620.268762653146</v>
      </c>
      <c r="K181" s="29">
        <f>T181*(1+IF($AK181+IF(입력란!$C$19=1,10,0)+IF(MID(E181,3,1)="3",트라이포드!N$14,트라이포드!$M$14)&gt;100,100,$AK181+IF(입력란!$C$19=1,10,0)+IF(MID(E181,3,1)="3",트라이포드!N$14,트라이포드!$M$14))/100*($AL181/100-1))</f>
        <v>21936.247681420162</v>
      </c>
      <c r="L181" s="29">
        <f>U181*(1+IF($AK181+IF(입력란!$C$19=1,10,0)&gt;100,100,$AK181+IF(입력란!$C$19=1,10,0))/100*($AL181/100-1))</f>
        <v>7314.2541051833232</v>
      </c>
      <c r="M181" s="29">
        <f>V181*(1+IF($AK181+IF(입력란!$C$19=1,10,0)+IF(MID(E181,3,1)="3",트라이포드!N$14,트라이포드!$M$14)&gt;100,100,$AK181+IF(입력란!$C$19=1,10,0)+IF(MID(E181,3,1)="3",트라이포드!N$14,트라이포드!$M$14))/100*($AL181/100-1))</f>
        <v>29248.20203515856</v>
      </c>
      <c r="N181" s="29"/>
      <c r="O181" s="38"/>
      <c r="P181" s="38"/>
      <c r="Q181" s="26"/>
      <c r="R181" s="23">
        <f>SUM(S181:Z181)</f>
        <v>50870.869716369882</v>
      </c>
      <c r="S181" s="29">
        <f>AN181*IF(MID(E181,3,1)="3",1.25,1)*IF(입력란!$C$10=1,1.2,1)</f>
        <v>10171.720979593809</v>
      </c>
      <c r="T181" s="29">
        <f>AO181*IF(입력란!$C$10=1,1.2,1)</f>
        <v>15261.647673990921</v>
      </c>
      <c r="U181" s="29">
        <f>AP181*IF(MID(E181,3,1)="3",1.25,1)*IF(입력란!$C$10=1,1.2,1)</f>
        <v>5088.7266943971154</v>
      </c>
      <c r="V181" s="29">
        <f>AQ181*IF(MID(E181,3,1)="1",트라이포드!$J$14,트라이포드!$I$14)*IF(MID(E181,5,1)="2",트라이포드!$R$14,트라이포드!$Q$14)*IF(입력란!$C$10=1,1.2,1)</f>
        <v>20348.77436838804</v>
      </c>
      <c r="W181" s="38"/>
      <c r="X181" s="38"/>
      <c r="Y181" s="38"/>
      <c r="Z181" s="24"/>
      <c r="AA181" s="29">
        <f>SUM(AB181:AI181)</f>
        <v>101741.73943273976</v>
      </c>
      <c r="AB181" s="29">
        <f>S181*2</f>
        <v>20343.441959187618</v>
      </c>
      <c r="AC181" s="29">
        <f>T181*2</f>
        <v>30523.295347981842</v>
      </c>
      <c r="AD181" s="29">
        <f>U181*2</f>
        <v>10177.453388794231</v>
      </c>
      <c r="AE181" s="29">
        <f>V181*2</f>
        <v>40697.54873677608</v>
      </c>
      <c r="AF181" s="38"/>
      <c r="AG181" s="38"/>
      <c r="AH181" s="38"/>
      <c r="AI181" s="24"/>
      <c r="AJ181" s="25">
        <f>AR181*(1-입력란!$C$29/100)</f>
        <v>11.49248600748</v>
      </c>
      <c r="AK18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1" s="25">
        <f>입력란!$C$37+입력란!$C$31+IF(입력란!$C$17=1,10,IF(입력란!$C$17=2,25,IF(입력란!$C$17=3,50,0)))</f>
        <v>295.58728189999999</v>
      </c>
      <c r="AM181" s="29">
        <f>SUM(AN181:AP181)</f>
        <v>30522.095347981845</v>
      </c>
      <c r="AN181" s="29">
        <f>(VLOOKUP(C181,$B$4:$AK$7,12,FALSE)+VLOOKUP(C181,$B$8:$AK$11,12,FALSE)*입력란!$C$23)*입력란!$C$38/100</f>
        <v>10171.720979593809</v>
      </c>
      <c r="AO181" s="25">
        <f>(VLOOKUP(C181,$B$4:$AK$7,13,FALSE)+VLOOKUP(C181,$B$8:$AK$11,13,FALSE)*입력란!$C$23)*입력란!$C$38/100</f>
        <v>15261.647673990921</v>
      </c>
      <c r="AP181" s="29">
        <f>(VLOOKUP(C181,$B$4:$AK$7,14,FALSE)+VLOOKUP(C181,$B$8:$AK$11,14,FALSE)*입력란!$C$23)*입력란!$C$38/100</f>
        <v>5088.7266943971154</v>
      </c>
      <c r="AQ181" s="29">
        <f>(VLOOKUP(C181,$B$4:$AK$7,15,FALSE)+VLOOKUP(C181,$B$8:$AK$11,15,FALSE)*입력란!$C$23)*입력란!$C$38/100</f>
        <v>20348.77436838804</v>
      </c>
      <c r="AR181" s="28">
        <v>12</v>
      </c>
    </row>
    <row r="182" spans="2:44" ht="13.5" customHeight="1" x14ac:dyDescent="0.3">
      <c r="B182" s="30">
        <v>167</v>
      </c>
      <c r="C182" s="35">
        <v>10</v>
      </c>
      <c r="D182" s="36" t="s">
        <v>354</v>
      </c>
      <c r="E182" s="37" t="s">
        <v>341</v>
      </c>
      <c r="F182" s="39"/>
      <c r="G182" s="39"/>
      <c r="H182" s="51">
        <f>I182/AJ182</f>
        <v>8907.3134005076918</v>
      </c>
      <c r="I182" s="52">
        <f>SUM(J182:Q182)*IF(입력란!C$15=1,1.04,IF(입력란!C$15=2,1.1,IF(입력란!C$15=3,1.2,1)))*IF(입력란!$C$17&lt;&gt;0,0.98,1)</f>
        <v>102367.17461957375</v>
      </c>
      <c r="J182" s="29">
        <f>S182*(1+IF($AK182+IF(입력란!$C$19=1,10,0)&gt;100,100,$AK182+IF(입력란!$C$19=1,10,0))/100*($AL182/100-1))</f>
        <v>14620.268762653146</v>
      </c>
      <c r="K182" s="29">
        <f>T182*(1+IF($AK182+IF(입력란!$C$19=1,10,0)+IF(MID(E182,3,1)="3",트라이포드!N$14,트라이포드!$M$14)&gt;100,100,$AK182+IF(입력란!$C$19=1,10,0)+IF(MID(E182,3,1)="3",트라이포드!N$14,트라이포드!$M$14))/100*($AL182/100-1))</f>
        <v>21936.247681420162</v>
      </c>
      <c r="L182" s="29">
        <f>U182*(1+IF($AK182+IF(입력란!$C$19=1,10,0)&gt;100,100,$AK182+IF(입력란!$C$19=1,10,0))/100*($AL182/100-1))</f>
        <v>7314.2541051833232</v>
      </c>
      <c r="M182" s="29">
        <f>V182*(1+IF($AK182+IF(입력란!$C$19=1,10,0)+IF(MID(E182,3,1)="3",트라이포드!N$14,트라이포드!$M$14)&gt;100,100,$AK182+IF(입력란!$C$19=1,10,0)+IF(MID(E182,3,1)="3",트라이포드!N$14,트라이포드!$M$14))/100*($AL182/100-1))</f>
        <v>58496.404070317119</v>
      </c>
      <c r="N182" s="29"/>
      <c r="O182" s="38"/>
      <c r="P182" s="38"/>
      <c r="Q182" s="26"/>
      <c r="R182" s="23">
        <f>SUM(S182:Z182)</f>
        <v>71219.644084757922</v>
      </c>
      <c r="S182" s="29">
        <f>AN182*IF(MID(E182,3,1)="3",1.25,1)*IF(입력란!$C$10=1,1.2,1)</f>
        <v>10171.720979593809</v>
      </c>
      <c r="T182" s="29">
        <f>AO182*IF(입력란!$C$10=1,1.2,1)</f>
        <v>15261.647673990921</v>
      </c>
      <c r="U182" s="29">
        <f>AP182*IF(MID(E182,3,1)="3",1.25,1)*IF(입력란!$C$10=1,1.2,1)</f>
        <v>5088.7266943971154</v>
      </c>
      <c r="V182" s="29">
        <f>AQ182*IF(MID(E182,3,1)="1",트라이포드!$J$14,트라이포드!$I$14)*IF(MID(E182,5,1)="2",트라이포드!$R$14,트라이포드!$Q$14)*IF(입력란!$C$10=1,1.2,1)</f>
        <v>40697.54873677608</v>
      </c>
      <c r="W182" s="38"/>
      <c r="X182" s="38"/>
      <c r="Y182" s="38"/>
      <c r="Z182" s="24"/>
      <c r="AA182" s="29">
        <f>SUM(AB182:AI182)</f>
        <v>142439.28816951584</v>
      </c>
      <c r="AB182" s="29">
        <f>S182*2</f>
        <v>20343.441959187618</v>
      </c>
      <c r="AC182" s="29">
        <f>T182*2</f>
        <v>30523.295347981842</v>
      </c>
      <c r="AD182" s="29">
        <f>U182*2</f>
        <v>10177.453388794231</v>
      </c>
      <c r="AE182" s="29">
        <f>V182*2</f>
        <v>81395.097473552159</v>
      </c>
      <c r="AF182" s="38"/>
      <c r="AG182" s="38"/>
      <c r="AH182" s="38"/>
      <c r="AI182" s="24"/>
      <c r="AJ182" s="25">
        <f>AR182*(1-입력란!$C$29/100)</f>
        <v>11.49248600748</v>
      </c>
      <c r="AK18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2" s="25">
        <f>입력란!$C$37+입력란!$C$31+IF(입력란!$C$17=1,10,IF(입력란!$C$17=2,25,IF(입력란!$C$17=3,50,0)))</f>
        <v>295.58728189999999</v>
      </c>
      <c r="AM182" s="29">
        <f>SUM(AN182:AP182)</f>
        <v>30522.095347981845</v>
      </c>
      <c r="AN182" s="29">
        <f>(VLOOKUP(C182,$B$4:$AK$7,12,FALSE)+VLOOKUP(C182,$B$8:$AK$11,12,FALSE)*입력란!$C$23)*입력란!$C$38/100</f>
        <v>10171.720979593809</v>
      </c>
      <c r="AO182" s="25">
        <f>(VLOOKUP(C182,$B$4:$AK$7,13,FALSE)+VLOOKUP(C182,$B$8:$AK$11,13,FALSE)*입력란!$C$23)*입력란!$C$38/100</f>
        <v>15261.647673990921</v>
      </c>
      <c r="AP182" s="29">
        <f>(VLOOKUP(C182,$B$4:$AK$7,14,FALSE)+VLOOKUP(C182,$B$8:$AK$11,14,FALSE)*입력란!$C$23)*입력란!$C$38/100</f>
        <v>5088.7266943971154</v>
      </c>
      <c r="AQ182" s="29">
        <f>(VLOOKUP(C182,$B$4:$AK$7,15,FALSE)+VLOOKUP(C182,$B$8:$AK$11,15,FALSE)*입력란!$C$23)*입력란!$C$38/100</f>
        <v>20348.77436838804</v>
      </c>
      <c r="AR182" s="28">
        <v>12</v>
      </c>
    </row>
    <row r="183" spans="2:44" ht="13.5" customHeight="1" x14ac:dyDescent="0.3">
      <c r="B183" s="30">
        <v>168</v>
      </c>
      <c r="C183" s="35">
        <v>10</v>
      </c>
      <c r="D183" s="36" t="s">
        <v>354</v>
      </c>
      <c r="E183" s="37" t="s">
        <v>77</v>
      </c>
      <c r="F183" s="39"/>
      <c r="G183" s="39"/>
      <c r="H183" s="51">
        <f>I183/AJ183</f>
        <v>8907.3134005076918</v>
      </c>
      <c r="I183" s="52">
        <f>SUM(J183:Q183)*IF(입력란!C$15=1,1.04,IF(입력란!C$15=2,1.1,IF(입력란!C$15=3,1.2,1)))*IF(입력란!$C$17&lt;&gt;0,0.98,1)</f>
        <v>102367.17461957375</v>
      </c>
      <c r="J183" s="29">
        <f>S183*(1+IF($AK183+IF(입력란!$C$19=1,10,0)&gt;100,100,$AK183+IF(입력란!$C$19=1,10,0))/100*($AL183/100-1))</f>
        <v>14620.268762653146</v>
      </c>
      <c r="K183" s="29">
        <f>T183*(1+IF($AK183+IF(입력란!$C$19=1,10,0)+IF(MID(E183,3,1)="3",트라이포드!N$14,트라이포드!$M$14)&gt;100,100,$AK183+IF(입력란!$C$19=1,10,0)+IF(MID(E183,3,1)="3",트라이포드!N$14,트라이포드!$M$14))/100*($AL183/100-1))</f>
        <v>21936.247681420162</v>
      </c>
      <c r="L183" s="29">
        <f>U183*(1+IF($AK183+IF(입력란!$C$19=1,10,0)&gt;100,100,$AK183+IF(입력란!$C$19=1,10,0))/100*($AL183/100-1))</f>
        <v>7314.2541051833232</v>
      </c>
      <c r="M183" s="29">
        <f>V183*(1+IF($AK183+IF(입력란!$C$19=1,10,0)+IF(MID(E183,3,1)="3",트라이포드!N$14,트라이포드!$M$14)&gt;100,100,$AK183+IF(입력란!$C$19=1,10,0)+IF(MID(E183,3,1)="3",트라이포드!N$14,트라이포드!$M$14))/100*($AL183/100-1))</f>
        <v>58496.404070317119</v>
      </c>
      <c r="N183" s="29"/>
      <c r="O183" s="38"/>
      <c r="P183" s="38"/>
      <c r="Q183" s="26"/>
      <c r="R183" s="23">
        <f>SUM(S183:Z183)</f>
        <v>71219.644084757922</v>
      </c>
      <c r="S183" s="29">
        <f>AN183*IF(MID(E183,3,1)="3",1.25,1)*IF(입력란!$C$10=1,1.2,1)</f>
        <v>10171.720979593809</v>
      </c>
      <c r="T183" s="29">
        <f>AO183*IF(입력란!$C$10=1,1.2,1)</f>
        <v>15261.647673990921</v>
      </c>
      <c r="U183" s="29">
        <f>AP183*IF(MID(E183,3,1)="3",1.25,1)*IF(입력란!$C$10=1,1.2,1)</f>
        <v>5088.7266943971154</v>
      </c>
      <c r="V183" s="29">
        <f>AQ183*IF(MID(E183,3,1)="1",트라이포드!$J$14,트라이포드!$I$14)*IF(MID(E183,5,1)="2",트라이포드!$R$14,트라이포드!$Q$14)*IF(입력란!$C$10=1,1.2,1)</f>
        <v>40697.54873677608</v>
      </c>
      <c r="W183" s="38"/>
      <c r="X183" s="38"/>
      <c r="Y183" s="38"/>
      <c r="Z183" s="24"/>
      <c r="AA183" s="29">
        <f>SUM(AB183:AI183)</f>
        <v>142439.28816951584</v>
      </c>
      <c r="AB183" s="29">
        <f>S183*2</f>
        <v>20343.441959187618</v>
      </c>
      <c r="AC183" s="29">
        <f>T183*2</f>
        <v>30523.295347981842</v>
      </c>
      <c r="AD183" s="29">
        <f>U183*2</f>
        <v>10177.453388794231</v>
      </c>
      <c r="AE183" s="29">
        <f>V183*2</f>
        <v>81395.097473552159</v>
      </c>
      <c r="AF183" s="38"/>
      <c r="AG183" s="38"/>
      <c r="AH183" s="38"/>
      <c r="AI183" s="24"/>
      <c r="AJ183" s="25">
        <f>AR183*(1-입력란!$C$29/100)</f>
        <v>11.49248600748</v>
      </c>
      <c r="AK18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3" s="25">
        <f>입력란!$C$37+입력란!$C$31+IF(입력란!$C$17=1,10,IF(입력란!$C$17=2,25,IF(입력란!$C$17=3,50,0)))</f>
        <v>295.58728189999999</v>
      </c>
      <c r="AM183" s="29">
        <f>SUM(AN183:AP183)</f>
        <v>30522.095347981845</v>
      </c>
      <c r="AN183" s="29">
        <f>(VLOOKUP(C183,$B$4:$AK$7,12,FALSE)+VLOOKUP(C183,$B$8:$AK$11,12,FALSE)*입력란!$C$23)*입력란!$C$38/100</f>
        <v>10171.720979593809</v>
      </c>
      <c r="AO183" s="25">
        <f>(VLOOKUP(C183,$B$4:$AK$7,13,FALSE)+VLOOKUP(C183,$B$8:$AK$11,13,FALSE)*입력란!$C$23)*입력란!$C$38/100</f>
        <v>15261.647673990921</v>
      </c>
      <c r="AP183" s="29">
        <f>(VLOOKUP(C183,$B$4:$AK$7,14,FALSE)+VLOOKUP(C183,$B$8:$AK$11,14,FALSE)*입력란!$C$23)*입력란!$C$38/100</f>
        <v>5088.7266943971154</v>
      </c>
      <c r="AQ183" s="29">
        <f>(VLOOKUP(C183,$B$4:$AK$7,15,FALSE)+VLOOKUP(C183,$B$8:$AK$11,15,FALSE)*입력란!$C$23)*입력란!$C$38/100</f>
        <v>20348.77436838804</v>
      </c>
      <c r="AR183" s="28">
        <v>12</v>
      </c>
    </row>
    <row r="184" spans="2:44" ht="13.5" customHeight="1" x14ac:dyDescent="0.3">
      <c r="B184" s="30">
        <v>169</v>
      </c>
      <c r="C184" s="35">
        <v>10</v>
      </c>
      <c r="D184" s="36" t="s">
        <v>354</v>
      </c>
      <c r="E184" s="37" t="s">
        <v>158</v>
      </c>
      <c r="F184" s="39"/>
      <c r="G184" s="39"/>
      <c r="H184" s="51">
        <f>I184/AJ184</f>
        <v>13997.282971255408</v>
      </c>
      <c r="I184" s="52">
        <f>SUM(J184:Q184)*IF(입력란!C$15=1,1.04,IF(입력란!C$15=2,1.1,IF(입력란!C$15=3,1.2,1)))*IF(입력란!$C$17&lt;&gt;0,0.98,1)</f>
        <v>160863.57868989086</v>
      </c>
      <c r="J184" s="29">
        <f>S184*(1+IF($AK184+IF(입력란!$C$19=1,10,0)&gt;100,100,$AK184+IF(입력란!$C$19=1,10,0))/100*($AL184/100-1))</f>
        <v>14620.268762653146</v>
      </c>
      <c r="K184" s="29">
        <f>T184*(1+IF($AK184+IF(입력란!$C$19=1,10,0)+IF(MID(E184,3,1)="3",트라이포드!N$14,트라이포드!$M$14)&gt;100,100,$AK184+IF(입력란!$C$19=1,10,0)+IF(MID(E184,3,1)="3",트라이포드!N$14,트라이포드!$M$14))/100*($AL184/100-1))</f>
        <v>21936.247681420162</v>
      </c>
      <c r="L184" s="29">
        <f>U184*(1+IF($AK184+IF(입력란!$C$19=1,10,0)&gt;100,100,$AK184+IF(입력란!$C$19=1,10,0))/100*($AL184/100-1))</f>
        <v>7314.2541051833232</v>
      </c>
      <c r="M184" s="29">
        <f>V184*(1+IF($AK184+IF(입력란!$C$19=1,10,0)+IF(MID(E184,3,1)="3",트라이포드!N$14,트라이포드!$M$14)&gt;100,100,$AK184+IF(입력란!$C$19=1,10,0)+IF(MID(E184,3,1)="3",트라이포드!N$14,트라이포드!$M$14))/100*($AL184/100-1))</f>
        <v>116992.80814063424</v>
      </c>
      <c r="N184" s="29"/>
      <c r="O184" s="38"/>
      <c r="P184" s="38"/>
      <c r="Q184" s="26"/>
      <c r="R184" s="23">
        <f>SUM(S184:Z184)</f>
        <v>111917.192821534</v>
      </c>
      <c r="S184" s="29">
        <f>AN184*IF(MID(E184,3,1)="3",1.25,1)*IF(입력란!$C$10=1,1.2,1)</f>
        <v>10171.720979593809</v>
      </c>
      <c r="T184" s="29">
        <f>AO184*IF(입력란!$C$10=1,1.2,1)</f>
        <v>15261.647673990921</v>
      </c>
      <c r="U184" s="29">
        <f>AP184*IF(MID(E184,3,1)="3",1.25,1)*IF(입력란!$C$10=1,1.2,1)</f>
        <v>5088.7266943971154</v>
      </c>
      <c r="V184" s="29">
        <f>AQ184*IF(MID(E184,3,1)="1",트라이포드!$J$14,트라이포드!$I$14)*IF(MID(E184,5,1)="2",트라이포드!$R$14,트라이포드!$Q$14)*IF(입력란!$C$10=1,1.2,1)</f>
        <v>81395.097473552159</v>
      </c>
      <c r="W184" s="38"/>
      <c r="X184" s="38"/>
      <c r="Y184" s="38"/>
      <c r="Z184" s="24"/>
      <c r="AA184" s="29">
        <f>SUM(AB184:AI184)</f>
        <v>223834.385643068</v>
      </c>
      <c r="AB184" s="29">
        <f>S184*2</f>
        <v>20343.441959187618</v>
      </c>
      <c r="AC184" s="29">
        <f>T184*2</f>
        <v>30523.295347981842</v>
      </c>
      <c r="AD184" s="29">
        <f>U184*2</f>
        <v>10177.453388794231</v>
      </c>
      <c r="AE184" s="29">
        <f>V184*2</f>
        <v>162790.19494710432</v>
      </c>
      <c r="AF184" s="38"/>
      <c r="AG184" s="38"/>
      <c r="AH184" s="38"/>
      <c r="AI184" s="24"/>
      <c r="AJ184" s="25">
        <f>AR184*(1-입력란!$C$29/100)</f>
        <v>11.49248600748</v>
      </c>
      <c r="AK18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4" s="25">
        <f>입력란!$C$37+입력란!$C$31+IF(입력란!$C$17=1,10,IF(입력란!$C$17=2,25,IF(입력란!$C$17=3,50,0)))</f>
        <v>295.58728189999999</v>
      </c>
      <c r="AM184" s="29">
        <f>SUM(AN184:AP184)</f>
        <v>30522.095347981845</v>
      </c>
      <c r="AN184" s="29">
        <f>(VLOOKUP(C184,$B$4:$AK$7,12,FALSE)+VLOOKUP(C184,$B$8:$AK$11,12,FALSE)*입력란!$C$23)*입력란!$C$38/100</f>
        <v>10171.720979593809</v>
      </c>
      <c r="AO184" s="25">
        <f>(VLOOKUP(C184,$B$4:$AK$7,13,FALSE)+VLOOKUP(C184,$B$8:$AK$11,13,FALSE)*입력란!$C$23)*입력란!$C$38/100</f>
        <v>15261.647673990921</v>
      </c>
      <c r="AP184" s="29">
        <f>(VLOOKUP(C184,$B$4:$AK$7,14,FALSE)+VLOOKUP(C184,$B$8:$AK$11,14,FALSE)*입력란!$C$23)*입력란!$C$38/100</f>
        <v>5088.7266943971154</v>
      </c>
      <c r="AQ184" s="29">
        <f>(VLOOKUP(C184,$B$4:$AK$7,15,FALSE)+VLOOKUP(C184,$B$8:$AK$11,15,FALSE)*입력란!$C$23)*입력란!$C$38/100</f>
        <v>20348.77436838804</v>
      </c>
      <c r="AR184" s="28">
        <v>12</v>
      </c>
    </row>
    <row r="185" spans="2:44" ht="13.5" customHeight="1" x14ac:dyDescent="0.3">
      <c r="B185" s="30">
        <v>170</v>
      </c>
      <c r="C185" s="35">
        <v>10</v>
      </c>
      <c r="D185" s="36" t="s">
        <v>354</v>
      </c>
      <c r="E185" s="37" t="s">
        <v>60</v>
      </c>
      <c r="F185" s="39"/>
      <c r="G185" s="39"/>
      <c r="H185" s="51">
        <f>I185/AJ185</f>
        <v>9263.6515589755927</v>
      </c>
      <c r="I185" s="52">
        <f>SUM(J185:Q185)*IF(입력란!C$15=1,1.04,IF(입력란!C$15=2,1.1,IF(입력란!C$15=3,1.2,1)))*IF(입력란!$C$17&lt;&gt;0,0.98,1)</f>
        <v>106462.38591969729</v>
      </c>
      <c r="J185" s="29">
        <f>S185*(1+IF($AK185+IF(입력란!$C$19=1,10,0)&gt;100,100,$AK185+IF(입력란!$C$19=1,10,0))/100*($AL185/100-1))</f>
        <v>18275.335953316433</v>
      </c>
      <c r="K185" s="29">
        <f>T185*(1+IF($AK185+IF(입력란!$C$19=1,10,0)+IF(MID(E185,3,1)="3",트라이포드!N$14,트라이포드!$M$14)&gt;100,100,$AK185+IF(입력란!$C$19=1,10,0)+IF(MID(E185,3,1)="3",트라이포드!N$14,트라이포드!$M$14))/100*($AL185/100-1))</f>
        <v>33876.184424905528</v>
      </c>
      <c r="L185" s="29">
        <f>U185*(1+IF($AK185+IF(입력란!$C$19=1,10,0)&gt;100,100,$AK185+IF(입력란!$C$19=1,10,0))/100*($AL185/100-1))</f>
        <v>9142.8176314791544</v>
      </c>
      <c r="M185" s="29">
        <f>V185*(1+IF($AK185+IF(입력란!$C$19=1,10,0)+IF(MID(E185,3,1)="3",트라이포드!N$14,트라이포드!$M$14)&gt;100,100,$AK185+IF(입력란!$C$19=1,10,0)+IF(MID(E185,3,1)="3",트라이포드!N$14,트라이포드!$M$14))/100*($AL185/100-1))</f>
        <v>45168.047909996181</v>
      </c>
      <c r="N185" s="29"/>
      <c r="O185" s="38"/>
      <c r="P185" s="38"/>
      <c r="Q185" s="26"/>
      <c r="R185" s="23">
        <f>SUM(S185:Z185)</f>
        <v>54685.981634867618</v>
      </c>
      <c r="S185" s="29">
        <f>AN185*IF(MID(E185,3,1)="3",1.25,1)*IF(입력란!$C$10=1,1.2,1)</f>
        <v>12714.651224492261</v>
      </c>
      <c r="T185" s="29">
        <f>AO185*IF(입력란!$C$10=1,1.2,1)</f>
        <v>15261.647673990921</v>
      </c>
      <c r="U185" s="29">
        <f>AP185*IF(MID(E185,3,1)="3",1.25,1)*IF(입력란!$C$10=1,1.2,1)</f>
        <v>6360.9083679963942</v>
      </c>
      <c r="V185" s="29">
        <f>AQ185*IF(MID(E185,3,1)="1",트라이포드!$J$14,트라이포드!$I$14)*IF(MID(E185,5,1)="2",트라이포드!$R$14,트라이포드!$Q$14)*IF(입력란!$C$10=1,1.2,1)</f>
        <v>20348.77436838804</v>
      </c>
      <c r="W185" s="38"/>
      <c r="X185" s="38"/>
      <c r="Y185" s="38"/>
      <c r="Z185" s="24"/>
      <c r="AA185" s="29">
        <f>SUM(AB185:AI185)</f>
        <v>109371.96326973524</v>
      </c>
      <c r="AB185" s="29">
        <f>S185*2</f>
        <v>25429.302448984523</v>
      </c>
      <c r="AC185" s="29">
        <f>T185*2</f>
        <v>30523.295347981842</v>
      </c>
      <c r="AD185" s="29">
        <f>U185*2</f>
        <v>12721.816735992788</v>
      </c>
      <c r="AE185" s="29">
        <f>V185*2</f>
        <v>40697.54873677608</v>
      </c>
      <c r="AF185" s="38"/>
      <c r="AG185" s="38"/>
      <c r="AH185" s="38"/>
      <c r="AI185" s="24"/>
      <c r="AJ185" s="25">
        <f>AR185*(1-입력란!$C$29/100)</f>
        <v>11.49248600748</v>
      </c>
      <c r="AK18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5" s="25">
        <f>입력란!$C$37+입력란!$C$31+IF(입력란!$C$17=1,10,IF(입력란!$C$17=2,25,IF(입력란!$C$17=3,50,0)))</f>
        <v>295.58728189999999</v>
      </c>
      <c r="AM185" s="29">
        <f>SUM(AN185:AP185)</f>
        <v>30522.095347981845</v>
      </c>
      <c r="AN185" s="29">
        <f>(VLOOKUP(C185,$B$4:$AK$7,12,FALSE)+VLOOKUP(C185,$B$8:$AK$11,12,FALSE)*입력란!$C$23)*입력란!$C$38/100</f>
        <v>10171.720979593809</v>
      </c>
      <c r="AO185" s="25">
        <f>(VLOOKUP(C185,$B$4:$AK$7,13,FALSE)+VLOOKUP(C185,$B$8:$AK$11,13,FALSE)*입력란!$C$23)*입력란!$C$38/100</f>
        <v>15261.647673990921</v>
      </c>
      <c r="AP185" s="29">
        <f>(VLOOKUP(C185,$B$4:$AK$7,14,FALSE)+VLOOKUP(C185,$B$8:$AK$11,14,FALSE)*입력란!$C$23)*입력란!$C$38/100</f>
        <v>5088.7266943971154</v>
      </c>
      <c r="AQ185" s="29">
        <f>(VLOOKUP(C185,$B$4:$AK$7,15,FALSE)+VLOOKUP(C185,$B$8:$AK$11,15,FALSE)*입력란!$C$23)*입력란!$C$38/100</f>
        <v>20348.77436838804</v>
      </c>
      <c r="AR185" s="28">
        <v>12</v>
      </c>
    </row>
    <row r="186" spans="2:44" ht="13.5" customHeight="1" x14ac:dyDescent="0.3">
      <c r="B186" s="30">
        <v>171</v>
      </c>
      <c r="C186" s="35">
        <v>10</v>
      </c>
      <c r="D186" s="36" t="s">
        <v>354</v>
      </c>
      <c r="E186" s="37" t="s">
        <v>103</v>
      </c>
      <c r="F186" s="39"/>
      <c r="G186" s="39"/>
      <c r="H186" s="51">
        <f>I186/AJ186</f>
        <v>13193.875870808395</v>
      </c>
      <c r="I186" s="52">
        <f>SUM(J186:Q186)*IF(입력란!C$15=1,1.04,IF(입력란!C$15=2,1.1,IF(입력란!C$15=3,1.2,1)))*IF(입력란!$C$17&lt;&gt;0,0.98,1)</f>
        <v>151630.43382969347</v>
      </c>
      <c r="J186" s="29">
        <f>S186*(1+IF($AK186+IF(입력란!$C$19=1,10,0)&gt;100,100,$AK186+IF(입력란!$C$19=1,10,0))/100*($AL186/100-1))</f>
        <v>18275.335953316433</v>
      </c>
      <c r="K186" s="29">
        <f>T186*(1+IF($AK186+IF(입력란!$C$19=1,10,0)+IF(MID(E186,3,1)="3",트라이포드!N$14,트라이포드!$M$14)&gt;100,100,$AK186+IF(입력란!$C$19=1,10,0)+IF(MID(E186,3,1)="3",트라이포드!N$14,트라이포드!$M$14))/100*($AL186/100-1))</f>
        <v>33876.184424905528</v>
      </c>
      <c r="L186" s="29">
        <f>U186*(1+IF($AK186+IF(입력란!$C$19=1,10,0)&gt;100,100,$AK186+IF(입력란!$C$19=1,10,0))/100*($AL186/100-1))</f>
        <v>9142.8176314791544</v>
      </c>
      <c r="M186" s="29">
        <f>V186*(1+IF($AK186+IF(입력란!$C$19=1,10,0)+IF(MID(E186,3,1)="3",트라이포드!N$14,트라이포드!$M$14)&gt;100,100,$AK186+IF(입력란!$C$19=1,10,0)+IF(MID(E186,3,1)="3",트라이포드!N$14,트라이포드!$M$14))/100*($AL186/100-1))</f>
        <v>90336.095819992363</v>
      </c>
      <c r="N186" s="29"/>
      <c r="O186" s="38"/>
      <c r="P186" s="38"/>
      <c r="Q186" s="26"/>
      <c r="R186" s="23">
        <f>SUM(S186:Z186)</f>
        <v>75034.756003255665</v>
      </c>
      <c r="S186" s="29">
        <f>AN186*IF(MID(E186,3,1)="3",1.25,1)*IF(입력란!$C$10=1,1.2,1)</f>
        <v>12714.651224492261</v>
      </c>
      <c r="T186" s="29">
        <f>AO186*IF(입력란!$C$10=1,1.2,1)</f>
        <v>15261.647673990921</v>
      </c>
      <c r="U186" s="29">
        <f>AP186*IF(MID(E186,3,1)="3",1.25,1)*IF(입력란!$C$10=1,1.2,1)</f>
        <v>6360.9083679963942</v>
      </c>
      <c r="V186" s="29">
        <f>AQ186*IF(MID(E186,3,1)="1",트라이포드!$J$14,트라이포드!$I$14)*IF(MID(E186,5,1)="2",트라이포드!$R$14,트라이포드!$Q$14)*IF(입력란!$C$10=1,1.2,1)</f>
        <v>40697.54873677608</v>
      </c>
      <c r="W186" s="38"/>
      <c r="X186" s="38"/>
      <c r="Y186" s="38"/>
      <c r="Z186" s="24"/>
      <c r="AA186" s="29">
        <f>SUM(AB186:AI186)</f>
        <v>150069.51200651133</v>
      </c>
      <c r="AB186" s="29">
        <f>S186*2</f>
        <v>25429.302448984523</v>
      </c>
      <c r="AC186" s="29">
        <f>T186*2</f>
        <v>30523.295347981842</v>
      </c>
      <c r="AD186" s="29">
        <f>U186*2</f>
        <v>12721.816735992788</v>
      </c>
      <c r="AE186" s="29">
        <f>V186*2</f>
        <v>81395.097473552159</v>
      </c>
      <c r="AF186" s="38"/>
      <c r="AG186" s="38"/>
      <c r="AH186" s="38"/>
      <c r="AI186" s="24"/>
      <c r="AJ186" s="25">
        <f>AR186*(1-입력란!$C$29/100)</f>
        <v>11.49248600748</v>
      </c>
      <c r="AK18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6" s="25">
        <f>입력란!$C$37+입력란!$C$31+IF(입력란!$C$17=1,10,IF(입력란!$C$17=2,25,IF(입력란!$C$17=3,50,0)))</f>
        <v>295.58728189999999</v>
      </c>
      <c r="AM186" s="29">
        <f>SUM(AN186:AP186)</f>
        <v>30522.095347981845</v>
      </c>
      <c r="AN186" s="29">
        <f>(VLOOKUP(C186,$B$4:$AK$7,12,FALSE)+VLOOKUP(C186,$B$8:$AK$11,12,FALSE)*입력란!$C$23)*입력란!$C$38/100</f>
        <v>10171.720979593809</v>
      </c>
      <c r="AO186" s="25">
        <f>(VLOOKUP(C186,$B$4:$AK$7,13,FALSE)+VLOOKUP(C186,$B$8:$AK$11,13,FALSE)*입력란!$C$23)*입력란!$C$38/100</f>
        <v>15261.647673990921</v>
      </c>
      <c r="AP186" s="29">
        <f>(VLOOKUP(C186,$B$4:$AK$7,14,FALSE)+VLOOKUP(C186,$B$8:$AK$11,14,FALSE)*입력란!$C$23)*입력란!$C$38/100</f>
        <v>5088.7266943971154</v>
      </c>
      <c r="AQ186" s="29">
        <f>(VLOOKUP(C186,$B$4:$AK$7,15,FALSE)+VLOOKUP(C186,$B$8:$AK$11,15,FALSE)*입력란!$C$23)*입력란!$C$38/100</f>
        <v>20348.77436838804</v>
      </c>
      <c r="AR186" s="28">
        <v>12</v>
      </c>
    </row>
    <row r="187" spans="2:44" ht="13.5" customHeight="1" x14ac:dyDescent="0.3">
      <c r="B187" s="30">
        <v>172</v>
      </c>
      <c r="C187" s="35">
        <v>1</v>
      </c>
      <c r="D187" s="36" t="s">
        <v>359</v>
      </c>
      <c r="E187" s="37" t="s">
        <v>75</v>
      </c>
      <c r="F187" s="39"/>
      <c r="G187" s="39"/>
      <c r="H187" s="51">
        <f>I187/AJ187</f>
        <v>6209.9710320233025</v>
      </c>
      <c r="I187" s="52">
        <f>SUM(J187:Q187)*IF(입력란!C$15=1,1.04,IF(입력란!C$15=2,1.1,IF(입력란!C$15=3,1.2,1)))*IF(입력란!$C$17&lt;&gt;0,0.98,1)</f>
        <v>124894.0090866719</v>
      </c>
      <c r="J187" s="29">
        <f>S187*(1+IF($AK187+IF(입력란!$C$9=1,10,0)+IF(입력란!$C$19=1,10,0)+IF(MID(E187,1,1)="3",트라이포드!H$15,트라이포드!G$15)&gt;100,100,$AK187+IF(입력란!$C$9=1,10,0)+IF(입력란!$C$19=1,10,0)+IF(MID(E187,1,1)="3",트라이포드!H$15,트라이포드!G$15))/100*(($AL187+IF(MID(E187,5,1)="1",트라이포드!$P$15,트라이포드!$O$15))/100-1))</f>
        <v>124894.0090866719</v>
      </c>
      <c r="K187" s="29"/>
      <c r="L187" s="29"/>
      <c r="M187" s="29"/>
      <c r="N187" s="38"/>
      <c r="O187" s="38"/>
      <c r="P187" s="38"/>
      <c r="Q187" s="26"/>
      <c r="R187" s="23">
        <f>SUM(S187:Z187)</f>
        <v>86892.179143630376</v>
      </c>
      <c r="S187" s="29">
        <f>AN187*IF(MID(E187,1,1)="1",IF(입력란!$C$9=1,트라이포드!$D$15,트라이포드!$C$15),1)*IF(MID(E187,3,1)="1",트라이포드!$J$15,트라이포드!$I$15)*IF(MID(E187,3,1)="3",트라이포드!$N$15,트라이포드!$M$15)*IF(입력란!$C$9=1,IF(입력란!$C$14=0,1.05,IF(입력란!$C$14=1,1.05*1.05,IF(입력란!$C$14=2,1.05*1.12,IF(입력란!$C$14=3,1.05*1.25)))),1)</f>
        <v>86892.179143630376</v>
      </c>
      <c r="T187" s="29"/>
      <c r="U187" s="29"/>
      <c r="V187" s="29"/>
      <c r="W187" s="38"/>
      <c r="X187" s="38"/>
      <c r="Y187" s="38"/>
      <c r="Z187" s="24"/>
      <c r="AA187" s="29">
        <f>SUM(AB187:AI187)</f>
        <v>173784.35828726075</v>
      </c>
      <c r="AB187" s="29">
        <f>S187*2</f>
        <v>173784.35828726075</v>
      </c>
      <c r="AC187" s="29"/>
      <c r="AD187" s="29"/>
      <c r="AE187" s="29"/>
      <c r="AF187" s="38"/>
      <c r="AG187" s="38"/>
      <c r="AH187" s="38"/>
      <c r="AI187" s="24"/>
      <c r="AJ187" s="25">
        <f>(AR187-IF(MID(E187,1,1)="1",트라이포드!$D$15,트라이포드!$C$15))*(1-입력란!$C$29/100)</f>
        <v>20.111850513090001</v>
      </c>
      <c r="AK18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7" s="25">
        <f>입력란!$C$37+입력란!$C$31+IF(입력란!$C$17=1,10,IF(입력란!$C$17=2,25,IF(입력란!$C$17=3,50,0)))</f>
        <v>295.58728189999999</v>
      </c>
      <c r="AM187" s="29">
        <f>SUM(AN187:AP187)</f>
        <v>86892.179143630376</v>
      </c>
      <c r="AN187" s="29">
        <f>(VLOOKUP(C187,$B$4:$AK$7,16,FALSE)+VLOOKUP(C187,$B$8:$AK$11,16,FALSE)*입력란!$C$23)*입력란!$C$38/100</f>
        <v>86892.179143630376</v>
      </c>
      <c r="AO187" s="25"/>
      <c r="AP187" s="29"/>
      <c r="AQ187" s="29"/>
      <c r="AR187" s="28">
        <v>22</v>
      </c>
    </row>
    <row r="188" spans="2:44" ht="13.5" customHeight="1" x14ac:dyDescent="0.3">
      <c r="B188" s="30">
        <v>173</v>
      </c>
      <c r="C188" s="35">
        <v>4</v>
      </c>
      <c r="D188" s="36" t="s">
        <v>359</v>
      </c>
      <c r="E188" s="37" t="s">
        <v>75</v>
      </c>
      <c r="F188" s="39"/>
      <c r="G188" s="39"/>
      <c r="H188" s="51">
        <f>I188/AJ188</f>
        <v>6235.7851105614773</v>
      </c>
      <c r="I188" s="52">
        <f>SUM(J188:Q188)*IF(입력란!C$15=1,1.04,IF(입력란!C$15=2,1.1,IF(입력란!C$15=3,1.2,1)))*IF(입력란!$C$17&lt;&gt;0,0.98,1)</f>
        <v>125413.17797536483</v>
      </c>
      <c r="J188" s="29">
        <f>S188*(1+IF($AK188+IF(입력란!$C$9=1,10,0)+IF(입력란!$C$19=1,10,0)+IF(MID(E188,1,1)="3",트라이포드!H$15,트라이포드!G$15)&gt;100,100,$AK188+IF(입력란!$C$9=1,10,0)+IF(입력란!$C$19=1,10,0)+IF(MID(E188,1,1)="3",트라이포드!H$15,트라이포드!G$15))/100*(($AL188+IF(MID(E188,5,1)="1",트라이포드!$P$15,트라이포드!$O$15))/100-1))</f>
        <v>125413.17797536483</v>
      </c>
      <c r="K188" s="29"/>
      <c r="L188" s="29"/>
      <c r="M188" s="29"/>
      <c r="N188" s="38"/>
      <c r="O188" s="38"/>
      <c r="P188" s="38"/>
      <c r="Q188" s="26"/>
      <c r="R188" s="23">
        <f>SUM(S188:Z188)</f>
        <v>87253.379143630373</v>
      </c>
      <c r="S188" s="29">
        <f>AN188*IF(MID(E188,1,1)="1",IF(입력란!$C$9=1,트라이포드!$D$15,트라이포드!$C$15),1)*IF(MID(E188,3,1)="1",트라이포드!$J$15,트라이포드!$I$15)*IF(MID(E188,3,1)="3",트라이포드!$N$15,트라이포드!$M$15)*IF(입력란!$C$9=1,IF(입력란!$C$14=0,1.05,IF(입력란!$C$14=1,1.05*1.05,IF(입력란!$C$14=2,1.05*1.12,IF(입력란!$C$14=3,1.05*1.25)))),1)</f>
        <v>87253.379143630373</v>
      </c>
      <c r="T188" s="29"/>
      <c r="U188" s="29"/>
      <c r="V188" s="29"/>
      <c r="W188" s="38"/>
      <c r="X188" s="38"/>
      <c r="Y188" s="38"/>
      <c r="Z188" s="24"/>
      <c r="AA188" s="29">
        <f>SUM(AB188:AI188)</f>
        <v>174506.75828726075</v>
      </c>
      <c r="AB188" s="29">
        <f>S188*2</f>
        <v>174506.75828726075</v>
      </c>
      <c r="AC188" s="29"/>
      <c r="AD188" s="29"/>
      <c r="AE188" s="29"/>
      <c r="AF188" s="38"/>
      <c r="AG188" s="38"/>
      <c r="AH188" s="38"/>
      <c r="AI188" s="24"/>
      <c r="AJ188" s="25">
        <f>(AR188-IF(MID(E188,1,1)="1",트라이포드!$D$15,트라이포드!$C$15))*(1-입력란!$C$29/100)</f>
        <v>20.111850513090001</v>
      </c>
      <c r="AK18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8" s="25">
        <f>입력란!$C$37+입력란!$C$31+IF(입력란!$C$17=1,10,IF(입력란!$C$17=2,25,IF(입력란!$C$17=3,50,0)))</f>
        <v>295.58728189999999</v>
      </c>
      <c r="AM188" s="29">
        <f>SUM(AN188:AP188)</f>
        <v>87253.379143630373</v>
      </c>
      <c r="AN188" s="29">
        <f>(VLOOKUP(C188,$B$4:$AK$7,16,FALSE)+VLOOKUP(C188,$B$8:$AK$11,16,FALSE)*입력란!$C$23)*입력란!$C$38/100</f>
        <v>87253.379143630373</v>
      </c>
      <c r="AO188" s="25"/>
      <c r="AP188" s="29"/>
      <c r="AQ188" s="29"/>
      <c r="AR188" s="28">
        <v>22</v>
      </c>
    </row>
    <row r="189" spans="2:44" ht="13.5" customHeight="1" x14ac:dyDescent="0.3">
      <c r="B189" s="30">
        <v>174</v>
      </c>
      <c r="C189" s="35">
        <v>4</v>
      </c>
      <c r="D189" s="36" t="s">
        <v>359</v>
      </c>
      <c r="E189" s="37" t="s">
        <v>145</v>
      </c>
      <c r="F189" s="39"/>
      <c r="G189" s="39"/>
      <c r="H189" s="51">
        <f>I189/AJ189</f>
        <v>6326.1588078159921</v>
      </c>
      <c r="I189" s="52">
        <f>SUM(J189:Q189)*IF(입력란!C$15=1,1.04,IF(입력란!C$15=2,1.1,IF(입력란!C$15=3,1.2,1)))*IF(입력란!$C$17&lt;&gt;0,0.98,1)</f>
        <v>125413.17797536483</v>
      </c>
      <c r="J189" s="29">
        <f>S189*(1+IF($AK189+IF(입력란!$C$9=1,10,0)+IF(입력란!$C$19=1,10,0)+IF(MID(E189,1,1)="3",트라이포드!H$15,트라이포드!G$15)&gt;100,100,$AK189+IF(입력란!$C$9=1,10,0)+IF(입력란!$C$19=1,10,0)+IF(MID(E189,1,1)="3",트라이포드!H$15,트라이포드!G$15))/100*(($AL189+IF(MID(E189,5,1)="1",트라이포드!$P$15,트라이포드!$O$15))/100-1))</f>
        <v>125413.17797536483</v>
      </c>
      <c r="K189" s="29"/>
      <c r="L189" s="29"/>
      <c r="M189" s="29"/>
      <c r="N189" s="38"/>
      <c r="O189" s="38"/>
      <c r="P189" s="38"/>
      <c r="Q189" s="26"/>
      <c r="R189" s="23">
        <f>SUM(S189:Z189)</f>
        <v>87253.379143630373</v>
      </c>
      <c r="S189" s="29">
        <f>AN189*IF(MID(E189,1,1)="1",IF(입력란!$C$9=1,트라이포드!$D$15,트라이포드!$C$15),1)*IF(MID(E189,3,1)="1",트라이포드!$J$15,트라이포드!$I$15)*IF(MID(E189,3,1)="3",트라이포드!$N$15,트라이포드!$M$15)*IF(입력란!$C$9=1,IF(입력란!$C$14=0,1.05,IF(입력란!$C$14=1,1.05*1.05,IF(입력란!$C$14=2,1.05*1.12,IF(입력란!$C$14=3,1.05*1.25)))),1)</f>
        <v>87253.379143630373</v>
      </c>
      <c r="T189" s="29"/>
      <c r="U189" s="29"/>
      <c r="V189" s="29"/>
      <c r="W189" s="38"/>
      <c r="X189" s="38"/>
      <c r="Y189" s="38"/>
      <c r="Z189" s="24"/>
      <c r="AA189" s="29">
        <f>SUM(AB189:AI189)</f>
        <v>174506.75828726075</v>
      </c>
      <c r="AB189" s="29">
        <f>S189*2</f>
        <v>174506.75828726075</v>
      </c>
      <c r="AC189" s="29"/>
      <c r="AD189" s="29"/>
      <c r="AE189" s="29"/>
      <c r="AF189" s="38"/>
      <c r="AG189" s="38"/>
      <c r="AH189" s="38"/>
      <c r="AI189" s="24"/>
      <c r="AJ189" s="25">
        <f>(AR189-IF(MID(E189,1,1)="1",트라이포드!$D$15,트라이포드!$C$15))*(1-입력란!$C$29/100)</f>
        <v>19.824538362902999</v>
      </c>
      <c r="AK18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89" s="25">
        <f>입력란!$C$37+입력란!$C$31+IF(입력란!$C$17=1,10,IF(입력란!$C$17=2,25,IF(입력란!$C$17=3,50,0)))</f>
        <v>295.58728189999999</v>
      </c>
      <c r="AM189" s="29">
        <f>SUM(AN189:AP189)</f>
        <v>87253.379143630373</v>
      </c>
      <c r="AN189" s="29">
        <f>(VLOOKUP(C189,$B$4:$AK$7,16,FALSE)+VLOOKUP(C189,$B$8:$AK$11,16,FALSE)*입력란!$C$23)*입력란!$C$38/100</f>
        <v>87253.379143630373</v>
      </c>
      <c r="AO189" s="25"/>
      <c r="AP189" s="29"/>
      <c r="AQ189" s="29"/>
      <c r="AR189" s="28">
        <v>22</v>
      </c>
    </row>
    <row r="190" spans="2:44" ht="13.5" customHeight="1" x14ac:dyDescent="0.3">
      <c r="B190" s="30">
        <v>175</v>
      </c>
      <c r="C190" s="35">
        <v>4</v>
      </c>
      <c r="D190" s="36" t="s">
        <v>359</v>
      </c>
      <c r="E190" s="37" t="s">
        <v>343</v>
      </c>
      <c r="F190" s="39"/>
      <c r="G190" s="39"/>
      <c r="H190" s="51">
        <f>I190/AJ190</f>
        <v>7932.8593059156501</v>
      </c>
      <c r="I190" s="52">
        <f>SUM(J190:Q190)*IF(입력란!C$15=1,1.04,IF(입력란!C$15=2,1.1,IF(입력란!C$15=3,1.2,1)))*IF(입력란!$C$17&lt;&gt;0,0.98,1)</f>
        <v>159544.48050195046</v>
      </c>
      <c r="J190" s="29">
        <f>S190*(1+IF($AK190+IF(입력란!$C$9=1,10,0)+IF(입력란!$C$19=1,10,0)+IF(MID(E190,1,1)="3",트라이포드!H$15,트라이포드!G$15)&gt;100,100,$AK190+IF(입력란!$C$9=1,10,0)+IF(입력란!$C$19=1,10,0)+IF(MID(E190,1,1)="3",트라이포드!H$15,트라이포드!G$15))/100*(($AL190+IF(MID(E190,5,1)="1",트라이포드!$P$15,트라이포드!$O$15))/100-1))</f>
        <v>159544.48050195046</v>
      </c>
      <c r="K190" s="29"/>
      <c r="L190" s="29"/>
      <c r="M190" s="29"/>
      <c r="N190" s="38"/>
      <c r="O190" s="38"/>
      <c r="P190" s="38"/>
      <c r="Q190" s="26"/>
      <c r="R190" s="23">
        <f>SUM(S190:Z190)</f>
        <v>87253.379143630373</v>
      </c>
      <c r="S190" s="29">
        <f>AN190*IF(MID(E190,1,1)="1",IF(입력란!$C$9=1,트라이포드!$D$15,트라이포드!$C$15),1)*IF(MID(E190,3,1)="1",트라이포드!$J$15,트라이포드!$I$15)*IF(MID(E190,3,1)="3",트라이포드!$N$15,트라이포드!$M$15)*IF(입력란!$C$9=1,IF(입력란!$C$14=0,1.05,IF(입력란!$C$14=1,1.05*1.05,IF(입력란!$C$14=2,1.05*1.12,IF(입력란!$C$14=3,1.05*1.25)))),1)</f>
        <v>87253.379143630373</v>
      </c>
      <c r="T190" s="29"/>
      <c r="U190" s="29"/>
      <c r="V190" s="29"/>
      <c r="W190" s="38"/>
      <c r="X190" s="38"/>
      <c r="Y190" s="38"/>
      <c r="Z190" s="24"/>
      <c r="AA190" s="29">
        <f>SUM(AB190:AI190)</f>
        <v>174506.75828726075</v>
      </c>
      <c r="AB190" s="29">
        <f>S190*2</f>
        <v>174506.75828726075</v>
      </c>
      <c r="AC190" s="29"/>
      <c r="AD190" s="29"/>
      <c r="AE190" s="29"/>
      <c r="AF190" s="38"/>
      <c r="AG190" s="38"/>
      <c r="AH190" s="38"/>
      <c r="AI190" s="24"/>
      <c r="AJ190" s="25">
        <f>(AR190-IF(MID(E190,1,1)="1",트라이포드!$D$15,트라이포드!$C$15))*(1-입력란!$C$29/100)</f>
        <v>20.111850513090001</v>
      </c>
      <c r="AK19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0" s="25">
        <f>입력란!$C$37+입력란!$C$31+IF(입력란!$C$17=1,10,IF(입력란!$C$17=2,25,IF(입력란!$C$17=3,50,0)))</f>
        <v>295.58728189999999</v>
      </c>
      <c r="AM190" s="29">
        <f>SUM(AN190:AP190)</f>
        <v>87253.379143630373</v>
      </c>
      <c r="AN190" s="29">
        <f>(VLOOKUP(C190,$B$4:$AK$7,16,FALSE)+VLOOKUP(C190,$B$8:$AK$11,16,FALSE)*입력란!$C$23)*입력란!$C$38/100</f>
        <v>87253.379143630373</v>
      </c>
      <c r="AO190" s="25"/>
      <c r="AP190" s="29"/>
      <c r="AQ190" s="29"/>
      <c r="AR190" s="28">
        <v>22</v>
      </c>
    </row>
    <row r="191" spans="2:44" ht="13.5" customHeight="1" x14ac:dyDescent="0.3">
      <c r="B191" s="30">
        <v>176</v>
      </c>
      <c r="C191" s="35">
        <v>7</v>
      </c>
      <c r="D191" s="36" t="s">
        <v>359</v>
      </c>
      <c r="E191" s="37" t="s">
        <v>75</v>
      </c>
      <c r="F191" s="39"/>
      <c r="G191" s="39"/>
      <c r="H191" s="51">
        <f>I191/AJ191</f>
        <v>6247.7916587187674</v>
      </c>
      <c r="I191" s="52">
        <f>SUM(J191:Q191)*IF(입력란!C$15=1,1.04,IF(입력란!C$15=2,1.1,IF(입력란!C$15=3,1.2,1)))*IF(입력란!$C$17&lt;&gt;0,0.98,1)</f>
        <v>125654.65187708248</v>
      </c>
      <c r="J191" s="29">
        <f>S191*(1+IF($AK191+IF(입력란!$C$9=1,10,0)+IF(입력란!$C$19=1,10,0)+IF(MID(E191,1,1)="3",트라이포드!H$15,트라이포드!G$15)&gt;100,100,$AK191+IF(입력란!$C$9=1,10,0)+IF(입력란!$C$19=1,10,0)+IF(MID(E191,1,1)="3",트라이포드!H$15,트라이포드!G$15))/100*(($AL191+IF(MID(E191,5,1)="1",트라이포드!$P$15,트라이포드!$O$15))/100-1))</f>
        <v>125654.65187708248</v>
      </c>
      <c r="K191" s="29"/>
      <c r="L191" s="29"/>
      <c r="M191" s="29"/>
      <c r="N191" s="38"/>
      <c r="O191" s="38"/>
      <c r="P191" s="38"/>
      <c r="Q191" s="26"/>
      <c r="R191" s="23">
        <f>SUM(S191:Z191)</f>
        <v>87421.379143630373</v>
      </c>
      <c r="S191" s="29">
        <f>AN191*IF(MID(E191,1,1)="1",IF(입력란!$C$9=1,트라이포드!$D$15,트라이포드!$C$15),1)*IF(MID(E191,3,1)="1",트라이포드!$J$15,트라이포드!$I$15)*IF(MID(E191,3,1)="3",트라이포드!$N$15,트라이포드!$M$15)*IF(입력란!$C$9=1,IF(입력란!$C$14=0,1.05,IF(입력란!$C$14=1,1.05*1.05,IF(입력란!$C$14=2,1.05*1.12,IF(입력란!$C$14=3,1.05*1.25)))),1)</f>
        <v>87421.379143630373</v>
      </c>
      <c r="T191" s="29"/>
      <c r="U191" s="29"/>
      <c r="V191" s="29"/>
      <c r="W191" s="38"/>
      <c r="X191" s="38"/>
      <c r="Y191" s="38"/>
      <c r="Z191" s="24"/>
      <c r="AA191" s="29">
        <f>SUM(AB191:AI191)</f>
        <v>174842.75828726075</v>
      </c>
      <c r="AB191" s="29">
        <f>S191*2</f>
        <v>174842.75828726075</v>
      </c>
      <c r="AC191" s="29"/>
      <c r="AD191" s="29"/>
      <c r="AE191" s="29"/>
      <c r="AF191" s="38"/>
      <c r="AG191" s="38"/>
      <c r="AH191" s="38"/>
      <c r="AI191" s="24"/>
      <c r="AJ191" s="25">
        <f>(AR191-IF(MID(E191,1,1)="1",트라이포드!$D$15,트라이포드!$C$15))*(1-입력란!$C$29/100)</f>
        <v>20.111850513090001</v>
      </c>
      <c r="AK19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1" s="25">
        <f>입력란!$C$37+입력란!$C$31+IF(입력란!$C$17=1,10,IF(입력란!$C$17=2,25,IF(입력란!$C$17=3,50,0)))</f>
        <v>295.58728189999999</v>
      </c>
      <c r="AM191" s="29">
        <f>SUM(AN191:AP191)</f>
        <v>87421.379143630373</v>
      </c>
      <c r="AN191" s="29">
        <f>(VLOOKUP(C191,$B$4:$AK$7,16,FALSE)+VLOOKUP(C191,$B$8:$AK$11,16,FALSE)*입력란!$C$23)*입력란!$C$38/100</f>
        <v>87421.379143630373</v>
      </c>
      <c r="AO191" s="25"/>
      <c r="AP191" s="29"/>
      <c r="AQ191" s="29"/>
      <c r="AR191" s="28">
        <v>22</v>
      </c>
    </row>
    <row r="192" spans="2:44" ht="13.5" customHeight="1" x14ac:dyDescent="0.3">
      <c r="B192" s="30">
        <v>177</v>
      </c>
      <c r="C192" s="35">
        <v>7</v>
      </c>
      <c r="D192" s="36" t="s">
        <v>359</v>
      </c>
      <c r="E192" s="37" t="s">
        <v>77</v>
      </c>
      <c r="F192" s="39" t="s">
        <v>371</v>
      </c>
      <c r="G192" s="39"/>
      <c r="H192" s="51">
        <f>I192/AJ192</f>
        <v>9371.6874880781506</v>
      </c>
      <c r="I192" s="52">
        <f>SUM(J192:Q192)*IF(입력란!C$15=1,1.04,IF(입력란!C$15=2,1.1,IF(입력란!C$15=3,1.2,1)))*IF(입력란!$C$17&lt;&gt;0,0.98,1)</f>
        <v>188481.97781562372</v>
      </c>
      <c r="J192" s="29">
        <f>S192*(1+IF($AK192+IF(입력란!$C$9=1,10,0)+IF(입력란!$C$19=1,10,0)+IF(MID(E192,1,1)="3",트라이포드!H$15,트라이포드!G$15)&gt;100,100,$AK192+IF(입력란!$C$9=1,10,0)+IF(입력란!$C$19=1,10,0)+IF(MID(E192,1,1)="3",트라이포드!H$15,트라이포드!G$15))/100*(($AL192+IF(MID(E192,5,1)="1",트라이포드!$P$15,트라이포드!$O$15))/100-1))</f>
        <v>188481.97781562372</v>
      </c>
      <c r="K192" s="29"/>
      <c r="L192" s="29"/>
      <c r="M192" s="29"/>
      <c r="N192" s="38"/>
      <c r="O192" s="38"/>
      <c r="P192" s="38"/>
      <c r="Q192" s="26"/>
      <c r="R192" s="23">
        <f>SUM(S192:Z192)</f>
        <v>131132.06871544555</v>
      </c>
      <c r="S192" s="29">
        <f>AN192*IF(MID(E192,1,1)="1",IF(입력란!$C$9=1,트라이포드!$D$15,트라이포드!$C$15),1)*IF(MID(E192,3,1)="1",트라이포드!$J$15,트라이포드!$I$15)*IF(MID(E192,3,1)="3",트라이포드!$N$15,트라이포드!$M$15)*IF(입력란!$C$9=1,IF(입력란!$C$14=0,1.05,IF(입력란!$C$14=1,1.05*1.05,IF(입력란!$C$14=2,1.05*1.12,IF(입력란!$C$14=3,1.05*1.25)))),1)</f>
        <v>131132.06871544555</v>
      </c>
      <c r="T192" s="29"/>
      <c r="U192" s="29"/>
      <c r="V192" s="29"/>
      <c r="W192" s="38"/>
      <c r="X192" s="38"/>
      <c r="Y192" s="38"/>
      <c r="Z192" s="24"/>
      <c r="AA192" s="29">
        <f>SUM(AB192:AI192)</f>
        <v>262264.1374308911</v>
      </c>
      <c r="AB192" s="29">
        <f>S192*2</f>
        <v>262264.1374308911</v>
      </c>
      <c r="AC192" s="29"/>
      <c r="AD192" s="29"/>
      <c r="AE192" s="29"/>
      <c r="AF192" s="38"/>
      <c r="AG192" s="38"/>
      <c r="AH192" s="38"/>
      <c r="AI192" s="24"/>
      <c r="AJ192" s="25">
        <f>(AR192-IF(MID(E192,1,1)="1",트라이포드!$D$15,트라이포드!$C$15))*(1-입력란!$C$29/100)</f>
        <v>20.111850513090001</v>
      </c>
      <c r="AK19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2" s="25">
        <f>입력란!$C$37+입력란!$C$31+IF(입력란!$C$17=1,10,IF(입력란!$C$17=2,25,IF(입력란!$C$17=3,50,0)))</f>
        <v>295.58728189999999</v>
      </c>
      <c r="AM192" s="29">
        <f>SUM(AN192:AP192)</f>
        <v>87421.379143630373</v>
      </c>
      <c r="AN192" s="29">
        <f>(VLOOKUP(C192,$B$4:$AK$7,16,FALSE)+VLOOKUP(C192,$B$8:$AK$11,16,FALSE)*입력란!$C$23)*입력란!$C$38/100</f>
        <v>87421.379143630373</v>
      </c>
      <c r="AO192" s="25"/>
      <c r="AP192" s="29"/>
      <c r="AQ192" s="29"/>
      <c r="AR192" s="28">
        <v>22</v>
      </c>
    </row>
    <row r="193" spans="2:44" ht="13.5" customHeight="1" x14ac:dyDescent="0.3">
      <c r="B193" s="30">
        <v>178</v>
      </c>
      <c r="C193" s="35">
        <v>7</v>
      </c>
      <c r="D193" s="36" t="s">
        <v>359</v>
      </c>
      <c r="E193" s="37" t="s">
        <v>339</v>
      </c>
      <c r="F193" s="39"/>
      <c r="G193" s="39"/>
      <c r="H193" s="51">
        <f>I193/AJ193</f>
        <v>9996.4666539500286</v>
      </c>
      <c r="I193" s="52">
        <f>SUM(J193:Q193)*IF(입력란!C$15=1,1.04,IF(입력란!C$15=2,1.1,IF(입력란!C$15=3,1.2,1)))*IF(입력란!$C$17&lt;&gt;0,0.98,1)</f>
        <v>201047.44300333198</v>
      </c>
      <c r="J193" s="29">
        <f>S193*(1+IF($AK193+IF(입력란!$C$9=1,10,0)+IF(입력란!$C$19=1,10,0)+IF(MID(E193,1,1)="3",트라이포드!H$15,트라이포드!G$15)&gt;100,100,$AK193+IF(입력란!$C$9=1,10,0)+IF(입력란!$C$19=1,10,0)+IF(MID(E193,1,1)="3",트라이포드!H$15,트라이포드!G$15))/100*(($AL193+IF(MID(E193,5,1)="1",트라이포드!$P$15,트라이포드!$O$15))/100-1))</f>
        <v>201047.44300333198</v>
      </c>
      <c r="K193" s="29"/>
      <c r="L193" s="29"/>
      <c r="M193" s="29"/>
      <c r="N193" s="38"/>
      <c r="O193" s="38"/>
      <c r="P193" s="38"/>
      <c r="Q193" s="26"/>
      <c r="R193" s="23">
        <f>SUM(S193:Z193)</f>
        <v>139874.20662980861</v>
      </c>
      <c r="S193" s="29">
        <f>AN193*IF(MID(E193,1,1)="1",IF(입력란!$C$9=1,트라이포드!$D$15,트라이포드!$C$15),1)*IF(MID(E193,3,1)="1",트라이포드!$J$15,트라이포드!$I$15)*IF(MID(E193,3,1)="3",트라이포드!$N$15,트라이포드!$M$15)*IF(입력란!$C$9=1,IF(입력란!$C$14=0,1.05,IF(입력란!$C$14=1,1.05*1.05,IF(입력란!$C$14=2,1.05*1.12,IF(입력란!$C$14=3,1.05*1.25)))),1)</f>
        <v>139874.20662980861</v>
      </c>
      <c r="T193" s="29"/>
      <c r="U193" s="29"/>
      <c r="V193" s="29"/>
      <c r="W193" s="38"/>
      <c r="X193" s="38"/>
      <c r="Y193" s="38"/>
      <c r="Z193" s="24"/>
      <c r="AA193" s="29">
        <f>SUM(AB193:AI193)</f>
        <v>279748.41325961723</v>
      </c>
      <c r="AB193" s="29">
        <f>S193*2</f>
        <v>279748.41325961723</v>
      </c>
      <c r="AC193" s="29"/>
      <c r="AD193" s="29"/>
      <c r="AE193" s="29"/>
      <c r="AF193" s="38"/>
      <c r="AG193" s="38"/>
      <c r="AH193" s="38"/>
      <c r="AI193" s="24"/>
      <c r="AJ193" s="25">
        <f>(AR193-IF(MID(E193,1,1)="1",트라이포드!$D$15,트라이포드!$C$15))*(1-입력란!$C$29/100)</f>
        <v>20.111850513090001</v>
      </c>
      <c r="AK19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3" s="25">
        <f>입력란!$C$37+입력란!$C$31+IF(입력란!$C$17=1,10,IF(입력란!$C$17=2,25,IF(입력란!$C$17=3,50,0)))</f>
        <v>295.58728189999999</v>
      </c>
      <c r="AM193" s="29">
        <f>SUM(AN193:AP193)</f>
        <v>87421.379143630373</v>
      </c>
      <c r="AN193" s="29">
        <f>(VLOOKUP(C193,$B$4:$AK$7,16,FALSE)+VLOOKUP(C193,$B$8:$AK$11,16,FALSE)*입력란!$C$23)*입력란!$C$38/100</f>
        <v>87421.379143630373</v>
      </c>
      <c r="AO193" s="25"/>
      <c r="AP193" s="29"/>
      <c r="AQ193" s="29"/>
      <c r="AR193" s="28">
        <v>22</v>
      </c>
    </row>
    <row r="194" spans="2:44" ht="13.5" customHeight="1" x14ac:dyDescent="0.3">
      <c r="B194" s="30">
        <v>179</v>
      </c>
      <c r="C194" s="35">
        <v>7</v>
      </c>
      <c r="D194" s="36" t="s">
        <v>359</v>
      </c>
      <c r="E194" s="37" t="s">
        <v>145</v>
      </c>
      <c r="F194" s="39"/>
      <c r="G194" s="39"/>
      <c r="H194" s="51">
        <f>I194/AJ194</f>
        <v>6338.3393639175911</v>
      </c>
      <c r="I194" s="52">
        <f>SUM(J194:Q194)*IF(입력란!C$15=1,1.04,IF(입력란!C$15=2,1.1,IF(입력란!C$15=3,1.2,1)))*IF(입력란!$C$17&lt;&gt;0,0.98,1)</f>
        <v>125654.65187708248</v>
      </c>
      <c r="J194" s="29">
        <f>S194*(1+IF($AK194+IF(입력란!$C$9=1,10,0)+IF(입력란!$C$19=1,10,0)+IF(MID(E194,1,1)="3",트라이포드!H$15,트라이포드!G$15)&gt;100,100,$AK194+IF(입력란!$C$9=1,10,0)+IF(입력란!$C$19=1,10,0)+IF(MID(E194,1,1)="3",트라이포드!H$15,트라이포드!G$15))/100*(($AL194+IF(MID(E194,5,1)="1",트라이포드!$P$15,트라이포드!$O$15))/100-1))</f>
        <v>125654.65187708248</v>
      </c>
      <c r="K194" s="29"/>
      <c r="L194" s="29"/>
      <c r="M194" s="29"/>
      <c r="N194" s="38"/>
      <c r="O194" s="38"/>
      <c r="P194" s="38"/>
      <c r="Q194" s="26"/>
      <c r="R194" s="23">
        <f>SUM(S194:Z194)</f>
        <v>87421.379143630373</v>
      </c>
      <c r="S194" s="29">
        <f>AN194*IF(MID(E194,1,1)="1",IF(입력란!$C$9=1,트라이포드!$D$15,트라이포드!$C$15),1)*IF(MID(E194,3,1)="1",트라이포드!$J$15,트라이포드!$I$15)*IF(MID(E194,3,1)="3",트라이포드!$N$15,트라이포드!$M$15)*IF(입력란!$C$9=1,IF(입력란!$C$14=0,1.05,IF(입력란!$C$14=1,1.05*1.05,IF(입력란!$C$14=2,1.05*1.12,IF(입력란!$C$14=3,1.05*1.25)))),1)</f>
        <v>87421.379143630373</v>
      </c>
      <c r="T194" s="29"/>
      <c r="U194" s="29"/>
      <c r="V194" s="29"/>
      <c r="W194" s="38"/>
      <c r="X194" s="38"/>
      <c r="Y194" s="38"/>
      <c r="Z194" s="24"/>
      <c r="AA194" s="29">
        <f>SUM(AB194:AI194)</f>
        <v>174842.75828726075</v>
      </c>
      <c r="AB194" s="29">
        <f>S194*2</f>
        <v>174842.75828726075</v>
      </c>
      <c r="AC194" s="29"/>
      <c r="AD194" s="29"/>
      <c r="AE194" s="29"/>
      <c r="AF194" s="38"/>
      <c r="AG194" s="38"/>
      <c r="AH194" s="38"/>
      <c r="AI194" s="26"/>
      <c r="AJ194" s="25">
        <f>(AR194-IF(MID(E194,1,1)="1",트라이포드!$D$15,트라이포드!$C$15))*(1-입력란!$C$29/100)</f>
        <v>19.824538362902999</v>
      </c>
      <c r="AK19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4" s="25">
        <f>입력란!$C$37+입력란!$C$31+IF(입력란!$C$17=1,10,IF(입력란!$C$17=2,25,IF(입력란!$C$17=3,50,0)))</f>
        <v>295.58728189999999</v>
      </c>
      <c r="AM194" s="29">
        <f>SUM(AN194:AP194)</f>
        <v>87421.379143630373</v>
      </c>
      <c r="AN194" s="29">
        <f>(VLOOKUP(C194,$B$4:$AK$7,16,FALSE)+VLOOKUP(C194,$B$8:$AK$11,16,FALSE)*입력란!$C$23)*입력란!$C$38/100</f>
        <v>87421.379143630373</v>
      </c>
      <c r="AO194" s="25"/>
      <c r="AP194" s="29"/>
      <c r="AQ194" s="29"/>
      <c r="AR194" s="28">
        <v>22</v>
      </c>
    </row>
    <row r="195" spans="2:44" ht="13.5" customHeight="1" x14ac:dyDescent="0.3">
      <c r="B195" s="30">
        <v>180</v>
      </c>
      <c r="C195" s="35">
        <v>7</v>
      </c>
      <c r="D195" s="36" t="s">
        <v>359</v>
      </c>
      <c r="E195" s="37" t="s">
        <v>146</v>
      </c>
      <c r="F195" s="39" t="s">
        <v>371</v>
      </c>
      <c r="G195" s="39"/>
      <c r="H195" s="51">
        <f>I195/AJ195</f>
        <v>9507.5090458763862</v>
      </c>
      <c r="I195" s="52">
        <f>SUM(J195:Q195)*IF(입력란!C$15=1,1.04,IF(입력란!C$15=2,1.1,IF(입력란!C$15=3,1.2,1)))*IF(입력란!$C$17&lt;&gt;0,0.98,1)</f>
        <v>188481.97781562372</v>
      </c>
      <c r="J195" s="29">
        <f>S195*(1+IF($AK195+IF(입력란!$C$9=1,10,0)+IF(입력란!$C$19=1,10,0)+IF(MID(E195,1,1)="3",트라이포드!H$15,트라이포드!G$15)&gt;100,100,$AK195+IF(입력란!$C$9=1,10,0)+IF(입력란!$C$19=1,10,0)+IF(MID(E195,1,1)="3",트라이포드!H$15,트라이포드!G$15))/100*(($AL195+IF(MID(E195,5,1)="1",트라이포드!$P$15,트라이포드!$O$15))/100-1))</f>
        <v>188481.97781562372</v>
      </c>
      <c r="K195" s="29"/>
      <c r="L195" s="29"/>
      <c r="M195" s="29"/>
      <c r="N195" s="38"/>
      <c r="O195" s="38"/>
      <c r="P195" s="38"/>
      <c r="Q195" s="26"/>
      <c r="R195" s="23">
        <f>SUM(S195:Z195)</f>
        <v>131132.06871544555</v>
      </c>
      <c r="S195" s="29">
        <f>AN195*IF(MID(E195,1,1)="1",IF(입력란!$C$9=1,트라이포드!$D$15,트라이포드!$C$15),1)*IF(MID(E195,3,1)="1",트라이포드!$J$15,트라이포드!$I$15)*IF(MID(E195,3,1)="3",트라이포드!$N$15,트라이포드!$M$15)*IF(입력란!$C$9=1,IF(입력란!$C$14=0,1.05,IF(입력란!$C$14=1,1.05*1.05,IF(입력란!$C$14=2,1.05*1.12,IF(입력란!$C$14=3,1.05*1.25)))),1)</f>
        <v>131132.06871544555</v>
      </c>
      <c r="T195" s="29"/>
      <c r="U195" s="29"/>
      <c r="V195" s="29"/>
      <c r="W195" s="38"/>
      <c r="X195" s="38"/>
      <c r="Y195" s="38"/>
      <c r="Z195" s="24"/>
      <c r="AA195" s="29">
        <f>SUM(AB195:AI195)</f>
        <v>262264.1374308911</v>
      </c>
      <c r="AB195" s="29">
        <f>S195*2</f>
        <v>262264.1374308911</v>
      </c>
      <c r="AC195" s="29"/>
      <c r="AD195" s="29"/>
      <c r="AE195" s="29"/>
      <c r="AF195" s="38"/>
      <c r="AG195" s="38"/>
      <c r="AH195" s="38"/>
      <c r="AI195" s="26"/>
      <c r="AJ195" s="25">
        <f>(AR195-IF(MID(E195,1,1)="1",트라이포드!$D$15,트라이포드!$C$15))*(1-입력란!$C$29/100)</f>
        <v>19.824538362902999</v>
      </c>
      <c r="AK19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5" s="25">
        <f>입력란!$C$37+입력란!$C$31+IF(입력란!$C$17=1,10,IF(입력란!$C$17=2,25,IF(입력란!$C$17=3,50,0)))</f>
        <v>295.58728189999999</v>
      </c>
      <c r="AM195" s="29">
        <f>SUM(AN195:AP195)</f>
        <v>87421.379143630373</v>
      </c>
      <c r="AN195" s="29">
        <f>(VLOOKUP(C195,$B$4:$AK$7,16,FALSE)+VLOOKUP(C195,$B$8:$AK$11,16,FALSE)*입력란!$C$23)*입력란!$C$38/100</f>
        <v>87421.379143630373</v>
      </c>
      <c r="AO195" s="25"/>
      <c r="AP195" s="29"/>
      <c r="AQ195" s="29"/>
      <c r="AR195" s="28">
        <v>22</v>
      </c>
    </row>
    <row r="196" spans="2:44" ht="13.5" customHeight="1" x14ac:dyDescent="0.3">
      <c r="B196" s="30">
        <v>181</v>
      </c>
      <c r="C196" s="35">
        <v>7</v>
      </c>
      <c r="D196" s="36" t="s">
        <v>359</v>
      </c>
      <c r="E196" s="37" t="s">
        <v>365</v>
      </c>
      <c r="F196" s="39"/>
      <c r="G196" s="39"/>
      <c r="H196" s="51">
        <f>I196/AJ196</f>
        <v>10141.342982268146</v>
      </c>
      <c r="I196" s="52">
        <f>SUM(J196:Q196)*IF(입력란!C$15=1,1.04,IF(입력란!C$15=2,1.1,IF(입력란!C$15=3,1.2,1)))*IF(입력란!$C$17&lt;&gt;0,0.98,1)</f>
        <v>201047.44300333198</v>
      </c>
      <c r="J196" s="29">
        <f>S196*(1+IF($AK196+IF(입력란!$C$9=1,10,0)+IF(입력란!$C$19=1,10,0)+IF(MID(E196,1,1)="3",트라이포드!H$15,트라이포드!G$15)&gt;100,100,$AK196+IF(입력란!$C$9=1,10,0)+IF(입력란!$C$19=1,10,0)+IF(MID(E196,1,1)="3",트라이포드!H$15,트라이포드!G$15))/100*(($AL196+IF(MID(E196,5,1)="1",트라이포드!$P$15,트라이포드!$O$15))/100-1))</f>
        <v>201047.44300333198</v>
      </c>
      <c r="K196" s="29"/>
      <c r="L196" s="29"/>
      <c r="M196" s="29"/>
      <c r="N196" s="38"/>
      <c r="O196" s="38"/>
      <c r="P196" s="38"/>
      <c r="Q196" s="26"/>
      <c r="R196" s="23">
        <f>SUM(S196:Z196)</f>
        <v>139874.20662980861</v>
      </c>
      <c r="S196" s="29">
        <f>AN196*IF(MID(E196,1,1)="1",IF(입력란!$C$9=1,트라이포드!$D$15,트라이포드!$C$15),1)*IF(MID(E196,3,1)="1",트라이포드!$J$15,트라이포드!$I$15)*IF(MID(E196,3,1)="3",트라이포드!$N$15,트라이포드!$M$15)*IF(입력란!$C$9=1,IF(입력란!$C$14=0,1.05,IF(입력란!$C$14=1,1.05*1.05,IF(입력란!$C$14=2,1.05*1.12,IF(입력란!$C$14=3,1.05*1.25)))),1)</f>
        <v>139874.20662980861</v>
      </c>
      <c r="T196" s="29"/>
      <c r="U196" s="29"/>
      <c r="V196" s="29"/>
      <c r="W196" s="38"/>
      <c r="X196" s="38"/>
      <c r="Y196" s="38"/>
      <c r="Z196" s="24"/>
      <c r="AA196" s="29">
        <f>SUM(AB196:AI196)</f>
        <v>279748.41325961723</v>
      </c>
      <c r="AB196" s="29">
        <f>S196*2</f>
        <v>279748.41325961723</v>
      </c>
      <c r="AC196" s="29"/>
      <c r="AD196" s="29"/>
      <c r="AE196" s="29"/>
      <c r="AF196" s="38"/>
      <c r="AG196" s="38"/>
      <c r="AH196" s="38"/>
      <c r="AI196" s="26"/>
      <c r="AJ196" s="25">
        <f>(AR196-IF(MID(E196,1,1)="1",트라이포드!$D$15,트라이포드!$C$15))*(1-입력란!$C$29/100)</f>
        <v>19.824538362902999</v>
      </c>
      <c r="AK19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6" s="25">
        <f>입력란!$C$37+입력란!$C$31+IF(입력란!$C$17=1,10,IF(입력란!$C$17=2,25,IF(입력란!$C$17=3,50,0)))</f>
        <v>295.58728189999999</v>
      </c>
      <c r="AM196" s="29">
        <f>SUM(AN196:AP196)</f>
        <v>87421.379143630373</v>
      </c>
      <c r="AN196" s="29">
        <f>(VLOOKUP(C196,$B$4:$AK$7,16,FALSE)+VLOOKUP(C196,$B$8:$AK$11,16,FALSE)*입력란!$C$23)*입력란!$C$38/100</f>
        <v>87421.379143630373</v>
      </c>
      <c r="AO196" s="25"/>
      <c r="AP196" s="29"/>
      <c r="AQ196" s="29"/>
      <c r="AR196" s="28">
        <v>22</v>
      </c>
    </row>
    <row r="197" spans="2:44" ht="13.5" customHeight="1" x14ac:dyDescent="0.3">
      <c r="B197" s="30">
        <v>182</v>
      </c>
      <c r="C197" s="35">
        <v>7</v>
      </c>
      <c r="D197" s="36" t="s">
        <v>359</v>
      </c>
      <c r="E197" s="37" t="s">
        <v>343</v>
      </c>
      <c r="F197" s="39"/>
      <c r="G197" s="39"/>
      <c r="H197" s="51">
        <f>I197/AJ197</f>
        <v>7948.1334463154162</v>
      </c>
      <c r="I197" s="52">
        <f>SUM(J197:Q197)*IF(입력란!C$15=1,1.04,IF(입력란!C$15=2,1.1,IF(입력란!C$15=3,1.2,1)))*IF(입력란!$C$17&lt;&gt;0,0.98,1)</f>
        <v>159851.6717303865</v>
      </c>
      <c r="J197" s="29">
        <f>S197*(1+IF($AK197+IF(입력란!$C$9=1,10,0)+IF(입력란!$C$19=1,10,0)+IF(MID(E197,1,1)="3",트라이포드!H$15,트라이포드!G$15)&gt;100,100,$AK197+IF(입력란!$C$9=1,10,0)+IF(입력란!$C$19=1,10,0)+IF(MID(E197,1,1)="3",트라이포드!H$15,트라이포드!G$15))/100*(($AL197+IF(MID(E197,5,1)="1",트라이포드!$P$15,트라이포드!$O$15))/100-1))</f>
        <v>159851.6717303865</v>
      </c>
      <c r="K197" s="29"/>
      <c r="L197" s="29"/>
      <c r="M197" s="29"/>
      <c r="N197" s="38"/>
      <c r="O197" s="38"/>
      <c r="P197" s="38"/>
      <c r="Q197" s="26"/>
      <c r="R197" s="23">
        <f>SUM(S197:Z197)</f>
        <v>87421.379143630373</v>
      </c>
      <c r="S197" s="29">
        <f>AN197*IF(MID(E197,1,1)="1",IF(입력란!$C$9=1,트라이포드!$D$15,트라이포드!$C$15),1)*IF(MID(E197,3,1)="1",트라이포드!$J$15,트라이포드!$I$15)*IF(MID(E197,3,1)="3",트라이포드!$N$15,트라이포드!$M$15)*IF(입력란!$C$9=1,IF(입력란!$C$14=0,1.05,IF(입력란!$C$14=1,1.05*1.05,IF(입력란!$C$14=2,1.05*1.12,IF(입력란!$C$14=3,1.05*1.25)))),1)</f>
        <v>87421.379143630373</v>
      </c>
      <c r="T197" s="29"/>
      <c r="U197" s="29"/>
      <c r="V197" s="29"/>
      <c r="W197" s="38"/>
      <c r="X197" s="38"/>
      <c r="Y197" s="38"/>
      <c r="Z197" s="24"/>
      <c r="AA197" s="29">
        <f>SUM(AB197:AI197)</f>
        <v>174842.75828726075</v>
      </c>
      <c r="AB197" s="29">
        <f>S197*2</f>
        <v>174842.75828726075</v>
      </c>
      <c r="AC197" s="29"/>
      <c r="AD197" s="29"/>
      <c r="AE197" s="29"/>
      <c r="AF197" s="38"/>
      <c r="AG197" s="38"/>
      <c r="AH197" s="38"/>
      <c r="AI197" s="26"/>
      <c r="AJ197" s="25">
        <f>(AR197-IF(MID(E197,1,1)="1",트라이포드!$D$15,트라이포드!$C$15))*(1-입력란!$C$29/100)</f>
        <v>20.111850513090001</v>
      </c>
      <c r="AK19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7" s="25">
        <f>입력란!$C$37+입력란!$C$31+IF(입력란!$C$17=1,10,IF(입력란!$C$17=2,25,IF(입력란!$C$17=3,50,0)))</f>
        <v>295.58728189999999</v>
      </c>
      <c r="AM197" s="29">
        <f>SUM(AN197:AP197)</f>
        <v>87421.379143630373</v>
      </c>
      <c r="AN197" s="29">
        <f>(VLOOKUP(C197,$B$4:$AK$7,16,FALSE)+VLOOKUP(C197,$B$8:$AK$11,16,FALSE)*입력란!$C$23)*입력란!$C$38/100</f>
        <v>87421.379143630373</v>
      </c>
      <c r="AO197" s="25"/>
      <c r="AP197" s="29"/>
      <c r="AQ197" s="29"/>
      <c r="AR197" s="28">
        <v>22</v>
      </c>
    </row>
    <row r="198" spans="2:44" ht="13.5" customHeight="1" x14ac:dyDescent="0.3">
      <c r="B198" s="30">
        <v>183</v>
      </c>
      <c r="C198" s="35">
        <v>7</v>
      </c>
      <c r="D198" s="36" t="s">
        <v>359</v>
      </c>
      <c r="E198" s="37" t="s">
        <v>344</v>
      </c>
      <c r="F198" s="39" t="s">
        <v>371</v>
      </c>
      <c r="G198" s="39"/>
      <c r="H198" s="51">
        <f>I198/AJ198</f>
        <v>11922.200169473123</v>
      </c>
      <c r="I198" s="52">
        <f>SUM(J198:Q198)*IF(입력란!C$15=1,1.04,IF(입력란!C$15=2,1.1,IF(입력란!C$15=3,1.2,1)))*IF(입력란!$C$17&lt;&gt;0,0.98,1)</f>
        <v>239777.50759557972</v>
      </c>
      <c r="J198" s="29">
        <f>S198*(1+IF($AK198+IF(입력란!$C$9=1,10,0)+IF(입력란!$C$19=1,10,0)+IF(MID(E198,1,1)="3",트라이포드!H$15,트라이포드!G$15)&gt;100,100,$AK198+IF(입력란!$C$9=1,10,0)+IF(입력란!$C$19=1,10,0)+IF(MID(E198,1,1)="3",트라이포드!H$15,트라이포드!G$15))/100*(($AL198+IF(MID(E198,5,1)="1",트라이포드!$P$15,트라이포드!$O$15))/100-1))</f>
        <v>239777.50759557972</v>
      </c>
      <c r="K198" s="29"/>
      <c r="L198" s="29"/>
      <c r="M198" s="29"/>
      <c r="N198" s="38"/>
      <c r="O198" s="38"/>
      <c r="P198" s="38"/>
      <c r="Q198" s="26"/>
      <c r="R198" s="23">
        <f>SUM(S198:Z198)</f>
        <v>131132.06871544555</v>
      </c>
      <c r="S198" s="29">
        <f>AN198*IF(MID(E198,1,1)="1",IF(입력란!$C$9=1,트라이포드!$D$15,트라이포드!$C$15),1)*IF(MID(E198,3,1)="1",트라이포드!$J$15,트라이포드!$I$15)*IF(MID(E198,3,1)="3",트라이포드!$N$15,트라이포드!$M$15)*IF(입력란!$C$9=1,IF(입력란!$C$14=0,1.05,IF(입력란!$C$14=1,1.05*1.05,IF(입력란!$C$14=2,1.05*1.12,IF(입력란!$C$14=3,1.05*1.25)))),1)</f>
        <v>131132.06871544555</v>
      </c>
      <c r="T198" s="29"/>
      <c r="U198" s="29"/>
      <c r="V198" s="29"/>
      <c r="W198" s="38"/>
      <c r="X198" s="38"/>
      <c r="Y198" s="38"/>
      <c r="Z198" s="24"/>
      <c r="AA198" s="29">
        <f>SUM(AB198:AI198)</f>
        <v>262264.1374308911</v>
      </c>
      <c r="AB198" s="29">
        <f>S198*2</f>
        <v>262264.1374308911</v>
      </c>
      <c r="AC198" s="29"/>
      <c r="AD198" s="29"/>
      <c r="AE198" s="29"/>
      <c r="AF198" s="38"/>
      <c r="AG198" s="38"/>
      <c r="AH198" s="38"/>
      <c r="AI198" s="26"/>
      <c r="AJ198" s="25">
        <f>(AR198-IF(MID(E198,1,1)="1",트라이포드!$D$15,트라이포드!$C$15))*(1-입력란!$C$29/100)</f>
        <v>20.111850513090001</v>
      </c>
      <c r="AK19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8" s="25">
        <f>입력란!$C$37+입력란!$C$31+IF(입력란!$C$17=1,10,IF(입력란!$C$17=2,25,IF(입력란!$C$17=3,50,0)))</f>
        <v>295.58728189999999</v>
      </c>
      <c r="AM198" s="29">
        <f>SUM(AN198:AP198)</f>
        <v>87421.379143630373</v>
      </c>
      <c r="AN198" s="29">
        <f>(VLOOKUP(C198,$B$4:$AK$7,16,FALSE)+VLOOKUP(C198,$B$8:$AK$11,16,FALSE)*입력란!$C$23)*입력란!$C$38/100</f>
        <v>87421.379143630373</v>
      </c>
      <c r="AO198" s="25"/>
      <c r="AP198" s="29"/>
      <c r="AQ198" s="29"/>
      <c r="AR198" s="28">
        <v>22</v>
      </c>
    </row>
    <row r="199" spans="2:44" ht="13.5" customHeight="1" x14ac:dyDescent="0.3">
      <c r="B199" s="30">
        <v>184</v>
      </c>
      <c r="C199" s="35">
        <v>7</v>
      </c>
      <c r="D199" s="36" t="s">
        <v>359</v>
      </c>
      <c r="E199" s="37" t="s">
        <v>366</v>
      </c>
      <c r="F199" s="39"/>
      <c r="G199" s="39"/>
      <c r="H199" s="51">
        <f>I199/AJ199</f>
        <v>12717.013514104667</v>
      </c>
      <c r="I199" s="52">
        <f>SUM(J199:Q199)*IF(입력란!C$15=1,1.04,IF(입력란!C$15=2,1.1,IF(입력란!C$15=3,1.2,1)))*IF(입력란!$C$17&lt;&gt;0,0.98,1)</f>
        <v>255762.67476861842</v>
      </c>
      <c r="J199" s="29">
        <f>S199*(1+IF($AK199+IF(입력란!$C$9=1,10,0)+IF(입력란!$C$19=1,10,0)+IF(MID(E199,1,1)="3",트라이포드!H$15,트라이포드!G$15)&gt;100,100,$AK199+IF(입력란!$C$9=1,10,0)+IF(입력란!$C$19=1,10,0)+IF(MID(E199,1,1)="3",트라이포드!H$15,트라이포드!G$15))/100*(($AL199+IF(MID(E199,5,1)="1",트라이포드!$P$15,트라이포드!$O$15))/100-1))</f>
        <v>255762.67476861842</v>
      </c>
      <c r="K199" s="29"/>
      <c r="L199" s="29"/>
      <c r="M199" s="29"/>
      <c r="N199" s="38"/>
      <c r="O199" s="38"/>
      <c r="P199" s="38"/>
      <c r="Q199" s="26"/>
      <c r="R199" s="23">
        <f>SUM(S199:Z199)</f>
        <v>139874.20662980861</v>
      </c>
      <c r="S199" s="29">
        <f>AN199*IF(MID(E199,1,1)="1",IF(입력란!$C$9=1,트라이포드!$D$15,트라이포드!$C$15),1)*IF(MID(E199,3,1)="1",트라이포드!$J$15,트라이포드!$I$15)*IF(MID(E199,3,1)="3",트라이포드!$N$15,트라이포드!$M$15)*IF(입력란!$C$9=1,IF(입력란!$C$14=0,1.05,IF(입력란!$C$14=1,1.05*1.05,IF(입력란!$C$14=2,1.05*1.12,IF(입력란!$C$14=3,1.05*1.25)))),1)</f>
        <v>139874.20662980861</v>
      </c>
      <c r="T199" s="29"/>
      <c r="U199" s="29"/>
      <c r="V199" s="29"/>
      <c r="W199" s="38"/>
      <c r="X199" s="38"/>
      <c r="Y199" s="38"/>
      <c r="Z199" s="24"/>
      <c r="AA199" s="29">
        <f>SUM(AB199:AI199)</f>
        <v>279748.41325961723</v>
      </c>
      <c r="AB199" s="29">
        <f>S199*2</f>
        <v>279748.41325961723</v>
      </c>
      <c r="AC199" s="29"/>
      <c r="AD199" s="29"/>
      <c r="AE199" s="29"/>
      <c r="AF199" s="38"/>
      <c r="AG199" s="38"/>
      <c r="AH199" s="38"/>
      <c r="AI199" s="26"/>
      <c r="AJ199" s="25">
        <f>(AR199-IF(MID(E199,1,1)="1",트라이포드!$D$15,트라이포드!$C$15))*(1-입력란!$C$29/100)</f>
        <v>20.111850513090001</v>
      </c>
      <c r="AK19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199" s="25">
        <f>입력란!$C$37+입력란!$C$31+IF(입력란!$C$17=1,10,IF(입력란!$C$17=2,25,IF(입력란!$C$17=3,50,0)))</f>
        <v>295.58728189999999</v>
      </c>
      <c r="AM199" s="29">
        <f>SUM(AN199:AP199)</f>
        <v>87421.379143630373</v>
      </c>
      <c r="AN199" s="29">
        <f>(VLOOKUP(C199,$B$4:$AK$7,16,FALSE)+VLOOKUP(C199,$B$8:$AK$11,16,FALSE)*입력란!$C$23)*입력란!$C$38/100</f>
        <v>87421.379143630373</v>
      </c>
      <c r="AO199" s="25"/>
      <c r="AP199" s="29"/>
      <c r="AQ199" s="29"/>
      <c r="AR199" s="28">
        <v>22</v>
      </c>
    </row>
    <row r="200" spans="2:44" ht="13.5" customHeight="1" x14ac:dyDescent="0.3">
      <c r="B200" s="30">
        <v>185</v>
      </c>
      <c r="C200" s="35">
        <v>10</v>
      </c>
      <c r="D200" s="36" t="s">
        <v>359</v>
      </c>
      <c r="E200" s="37" t="s">
        <v>75</v>
      </c>
      <c r="F200" s="39"/>
      <c r="G200" s="39"/>
      <c r="H200" s="51">
        <f>I200/AJ200</f>
        <v>6255.3958058850521</v>
      </c>
      <c r="I200" s="52">
        <f>SUM(J200:Q200)*IF(입력란!C$15=1,1.04,IF(입력란!C$15=2,1.1,IF(입력란!C$15=3,1.2,1)))*IF(입력란!$C$17&lt;&gt;0,0.98,1)</f>
        <v>125807.58534817032</v>
      </c>
      <c r="J200" s="29">
        <f>S200*(1+IF($AK200+IF(입력란!$C$9=1,10,0)+IF(입력란!$C$19=1,10,0)+IF(MID(E200,1,1)="3",트라이포드!H$15,트라이포드!G$15)&gt;100,100,$AK200+IF(입력란!$C$9=1,10,0)+IF(입력란!$C$19=1,10,0)+IF(MID(E200,1,1)="3",트라이포드!H$15,트라이포드!G$15))/100*(($AL200+IF(MID(E200,5,1)="1",트라이포드!$P$15,트라이포드!$O$15))/100-1))</f>
        <v>125807.58534817032</v>
      </c>
      <c r="K200" s="29"/>
      <c r="L200" s="29"/>
      <c r="M200" s="29"/>
      <c r="N200" s="38"/>
      <c r="O200" s="38"/>
      <c r="P200" s="38"/>
      <c r="Q200" s="26"/>
      <c r="R200" s="23">
        <f>SUM(S200:Z200)</f>
        <v>87527.779143630381</v>
      </c>
      <c r="S200" s="29">
        <f>AN200*IF(MID(E200,1,1)="1",IF(입력란!$C$9=1,트라이포드!$D$15,트라이포드!$C$15),1)*IF(MID(E200,3,1)="1",트라이포드!$J$15,트라이포드!$I$15)*IF(MID(E200,3,1)="3",트라이포드!$N$15,트라이포드!$M$15)*IF(입력란!$C$9=1,IF(입력란!$C$14=0,1.05,IF(입력란!$C$14=1,1.05*1.05,IF(입력란!$C$14=2,1.05*1.12,IF(입력란!$C$14=3,1.05*1.25)))),1)</f>
        <v>87527.779143630381</v>
      </c>
      <c r="T200" s="29"/>
      <c r="U200" s="29"/>
      <c r="V200" s="29"/>
      <c r="W200" s="38"/>
      <c r="X200" s="38"/>
      <c r="Y200" s="38"/>
      <c r="Z200" s="24"/>
      <c r="AA200" s="29">
        <f>SUM(AB200:AI200)</f>
        <v>175055.55828726076</v>
      </c>
      <c r="AB200" s="29">
        <f>S200*2</f>
        <v>175055.55828726076</v>
      </c>
      <c r="AC200" s="29"/>
      <c r="AD200" s="29"/>
      <c r="AE200" s="29"/>
      <c r="AF200" s="38"/>
      <c r="AG200" s="38"/>
      <c r="AH200" s="38"/>
      <c r="AI200" s="26"/>
      <c r="AJ200" s="25">
        <f>(AR200-IF(MID(E200,1,1)="1",트라이포드!$D$15,트라이포드!$C$15))*(1-입력란!$C$29/100)</f>
        <v>20.111850513090001</v>
      </c>
      <c r="AK20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0" s="25">
        <f>입력란!$C$37+입력란!$C$31+IF(입력란!$C$17=1,10,IF(입력란!$C$17=2,25,IF(입력란!$C$17=3,50,0)))</f>
        <v>295.58728189999999</v>
      </c>
      <c r="AM200" s="29">
        <f>SUM(AN200:AP200)</f>
        <v>87527.779143630381</v>
      </c>
      <c r="AN200" s="29">
        <f>(VLOOKUP(C200,$B$4:$AK$7,16,FALSE)+VLOOKUP(C200,$B$8:$AK$11,16,FALSE)*입력란!$C$23)*입력란!$C$38/100</f>
        <v>87527.779143630381</v>
      </c>
      <c r="AO200" s="25"/>
      <c r="AP200" s="29"/>
      <c r="AQ200" s="29"/>
      <c r="AR200" s="28">
        <v>22</v>
      </c>
    </row>
    <row r="201" spans="2:44" ht="13.5" customHeight="1" x14ac:dyDescent="0.3">
      <c r="B201" s="30">
        <v>186</v>
      </c>
      <c r="C201" s="35">
        <v>10</v>
      </c>
      <c r="D201" s="36" t="s">
        <v>359</v>
      </c>
      <c r="E201" s="37" t="s">
        <v>367</v>
      </c>
      <c r="F201" s="39"/>
      <c r="G201" s="39"/>
      <c r="H201" s="51">
        <f>I201/AJ201</f>
        <v>6346.0537161152706</v>
      </c>
      <c r="I201" s="52">
        <f>SUM(J201:Q201)*IF(입력란!C$15=1,1.04,IF(입력란!C$15=2,1.1,IF(입력란!C$15=3,1.2,1)))*IF(입력란!$C$17&lt;&gt;0,0.98,1)</f>
        <v>125807.58534817032</v>
      </c>
      <c r="J201" s="29">
        <f>S201*(1+IF($AK201+IF(입력란!$C$9=1,10,0)+IF(입력란!$C$19=1,10,0)+IF(MID(E201,1,1)="3",트라이포드!H$15,트라이포드!G$15)&gt;100,100,$AK201+IF(입력란!$C$9=1,10,0)+IF(입력란!$C$19=1,10,0)+IF(MID(E201,1,1)="3",트라이포드!H$15,트라이포드!G$15))/100*(($AL201+IF(MID(E201,5,1)="1",트라이포드!$P$15,트라이포드!$O$15))/100-1))</f>
        <v>125807.58534817032</v>
      </c>
      <c r="K201" s="29"/>
      <c r="L201" s="29"/>
      <c r="M201" s="29"/>
      <c r="N201" s="38"/>
      <c r="O201" s="38"/>
      <c r="P201" s="38"/>
      <c r="Q201" s="26"/>
      <c r="R201" s="23">
        <f>SUM(S201:Z201)</f>
        <v>87527.779143630381</v>
      </c>
      <c r="S201" s="29">
        <f>AN201*IF(MID(E201,1,1)="1",IF(입력란!$C$9=1,트라이포드!$D$15,트라이포드!$C$15),1)*IF(MID(E201,3,1)="1",트라이포드!$J$15,트라이포드!$I$15)*IF(MID(E201,3,1)="3",트라이포드!$N$15,트라이포드!$M$15)*IF(입력란!$C$9=1,IF(입력란!$C$14=0,1.05,IF(입력란!$C$14=1,1.05*1.05,IF(입력란!$C$14=2,1.05*1.12,IF(입력란!$C$14=3,1.05*1.25)))),1)</f>
        <v>87527.779143630381</v>
      </c>
      <c r="T201" s="29"/>
      <c r="U201" s="29"/>
      <c r="V201" s="29"/>
      <c r="W201" s="38"/>
      <c r="X201" s="38"/>
      <c r="Y201" s="38"/>
      <c r="Z201" s="24"/>
      <c r="AA201" s="29">
        <f>SUM(AB201:AI201)</f>
        <v>175055.55828726076</v>
      </c>
      <c r="AB201" s="29">
        <f>S201*2</f>
        <v>175055.55828726076</v>
      </c>
      <c r="AC201" s="29"/>
      <c r="AD201" s="29"/>
      <c r="AE201" s="29"/>
      <c r="AF201" s="38"/>
      <c r="AG201" s="38"/>
      <c r="AH201" s="38"/>
      <c r="AI201" s="26"/>
      <c r="AJ201" s="25">
        <f>(AR201-IF(MID(E201,1,1)="1",트라이포드!$D$15,트라이포드!$C$15))*(1-입력란!$C$29/100)</f>
        <v>19.824538362902999</v>
      </c>
      <c r="AK20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1" s="25">
        <f>입력란!$C$37+입력란!$C$31+IF(입력란!$C$17=1,10,IF(입력란!$C$17=2,25,IF(입력란!$C$17=3,50,0)))</f>
        <v>295.58728189999999</v>
      </c>
      <c r="AM201" s="29">
        <f>SUM(AN201:AP201)</f>
        <v>87527.779143630381</v>
      </c>
      <c r="AN201" s="29">
        <f>(VLOOKUP(C201,$B$4:$AK$7,16,FALSE)+VLOOKUP(C201,$B$8:$AK$11,16,FALSE)*입력란!$C$23)*입력란!$C$38/100</f>
        <v>87527.779143630381</v>
      </c>
      <c r="AO201" s="25"/>
      <c r="AP201" s="29"/>
      <c r="AQ201" s="29"/>
      <c r="AR201" s="28">
        <v>22</v>
      </c>
    </row>
    <row r="202" spans="2:44" ht="13.5" customHeight="1" x14ac:dyDescent="0.3">
      <c r="B202" s="30">
        <v>187</v>
      </c>
      <c r="C202" s="35">
        <v>10</v>
      </c>
      <c r="D202" s="36" t="s">
        <v>359</v>
      </c>
      <c r="E202" s="37" t="s">
        <v>343</v>
      </c>
      <c r="F202" s="39"/>
      <c r="G202" s="39"/>
      <c r="H202" s="51">
        <f>I202/AJ202</f>
        <v>7957.8070685686025</v>
      </c>
      <c r="I202" s="52">
        <f>SUM(J202:Q202)*IF(입력란!C$15=1,1.04,IF(입력란!C$15=2,1.1,IF(입력란!C$15=3,1.2,1)))*IF(입력란!$C$17&lt;&gt;0,0.98,1)</f>
        <v>160046.22617506268</v>
      </c>
      <c r="J202" s="29">
        <f>S202*(1+IF($AK202+IF(입력란!$C$9=1,10,0)+IF(입력란!$C$19=1,10,0)+IF(MID(E202,1,1)="3",트라이포드!H$15,트라이포드!G$15)&gt;100,100,$AK202+IF(입력란!$C$9=1,10,0)+IF(입력란!$C$19=1,10,0)+IF(MID(E202,1,1)="3",트라이포드!H$15,트라이포드!G$15))/100*(($AL202+IF(MID(E202,5,1)="1",트라이포드!$P$15,트라이포드!$O$15))/100-1))</f>
        <v>160046.22617506268</v>
      </c>
      <c r="K202" s="29"/>
      <c r="L202" s="29"/>
      <c r="M202" s="29"/>
      <c r="N202" s="38"/>
      <c r="O202" s="38"/>
      <c r="P202" s="38"/>
      <c r="Q202" s="26"/>
      <c r="R202" s="23">
        <f>SUM(S202:Z202)</f>
        <v>87527.779143630381</v>
      </c>
      <c r="S202" s="29">
        <f>AN202*IF(MID(E202,1,1)="1",IF(입력란!$C$9=1,트라이포드!$D$15,트라이포드!$C$15),1)*IF(MID(E202,3,1)="1",트라이포드!$J$15,트라이포드!$I$15)*IF(MID(E202,3,1)="3",트라이포드!$N$15,트라이포드!$M$15)*IF(입력란!$C$9=1,IF(입력란!$C$14=0,1.05,IF(입력란!$C$14=1,1.05*1.05,IF(입력란!$C$14=2,1.05*1.12,IF(입력란!$C$14=3,1.05*1.25)))),1)</f>
        <v>87527.779143630381</v>
      </c>
      <c r="T202" s="29"/>
      <c r="U202" s="29"/>
      <c r="V202" s="29"/>
      <c r="W202" s="38"/>
      <c r="X202" s="38"/>
      <c r="Y202" s="38"/>
      <c r="Z202" s="24"/>
      <c r="AA202" s="29">
        <f>SUM(AB202:AI202)</f>
        <v>175055.55828726076</v>
      </c>
      <c r="AB202" s="29">
        <f>S202*2</f>
        <v>175055.55828726076</v>
      </c>
      <c r="AC202" s="29"/>
      <c r="AD202" s="29"/>
      <c r="AE202" s="29"/>
      <c r="AF202" s="38"/>
      <c r="AG202" s="38"/>
      <c r="AH202" s="38"/>
      <c r="AI202" s="26"/>
      <c r="AJ202" s="25">
        <f>(AR202-IF(MID(E202,1,1)="1",트라이포드!$D$15,트라이포드!$C$15))*(1-입력란!$C$29/100)</f>
        <v>20.111850513090001</v>
      </c>
      <c r="AK20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2" s="25">
        <f>입력란!$C$37+입력란!$C$31+IF(입력란!$C$17=1,10,IF(입력란!$C$17=2,25,IF(입력란!$C$17=3,50,0)))</f>
        <v>295.58728189999999</v>
      </c>
      <c r="AM202" s="29">
        <f>SUM(AN202:AP202)</f>
        <v>87527.779143630381</v>
      </c>
      <c r="AN202" s="29">
        <f>(VLOOKUP(C202,$B$4:$AK$7,16,FALSE)+VLOOKUP(C202,$B$8:$AK$11,16,FALSE)*입력란!$C$23)*입력란!$C$38/100</f>
        <v>87527.779143630381</v>
      </c>
      <c r="AO202" s="25"/>
      <c r="AP202" s="29"/>
      <c r="AQ202" s="29"/>
      <c r="AR202" s="28">
        <v>22</v>
      </c>
    </row>
    <row r="203" spans="2:44" ht="13.5" customHeight="1" x14ac:dyDescent="0.3">
      <c r="B203" s="30">
        <v>188</v>
      </c>
      <c r="C203" s="35">
        <v>10</v>
      </c>
      <c r="D203" s="36" t="s">
        <v>359</v>
      </c>
      <c r="E203" s="37" t="s">
        <v>337</v>
      </c>
      <c r="F203" s="39" t="s">
        <v>371</v>
      </c>
      <c r="G203" s="39"/>
      <c r="H203" s="51">
        <f>I203/AJ203</f>
        <v>9383.0937088275768</v>
      </c>
      <c r="I203" s="52">
        <f>SUM(J203:Q203)*IF(입력란!C$15=1,1.04,IF(입력란!C$15=2,1.1,IF(입력란!C$15=3,1.2,1)))*IF(입력란!$C$17&lt;&gt;0,0.98,1)</f>
        <v>188711.37802225546</v>
      </c>
      <c r="J203" s="29">
        <f>S203*(1+IF($AK203+IF(입력란!$C$9=1,10,0)+IF(입력란!$C$19=1,10,0)+IF(MID(E203,1,1)="3",트라이포드!H$15,트라이포드!G$15)&gt;100,100,$AK203+IF(입력란!$C$9=1,10,0)+IF(입력란!$C$19=1,10,0)+IF(MID(E203,1,1)="3",트라이포드!H$15,트라이포드!G$15))/100*(($AL203+IF(MID(E203,5,1)="1",트라이포드!$P$15,트라이포드!$O$15))/100-1))</f>
        <v>188711.37802225546</v>
      </c>
      <c r="K203" s="29"/>
      <c r="L203" s="29"/>
      <c r="M203" s="29"/>
      <c r="N203" s="38"/>
      <c r="O203" s="38"/>
      <c r="P203" s="38"/>
      <c r="Q203" s="26"/>
      <c r="R203" s="23">
        <f>SUM(S203:Z203)</f>
        <v>131291.66871544556</v>
      </c>
      <c r="S203" s="29">
        <f>AN203*IF(MID(E203,1,1)="1",IF(입력란!$C$9=1,트라이포드!$D$15,트라이포드!$C$15),1)*IF(MID(E203,3,1)="1",트라이포드!$J$15,트라이포드!$I$15)*IF(MID(E203,3,1)="3",트라이포드!$N$15,트라이포드!$M$15)*IF(입력란!$C$9=1,IF(입력란!$C$14=0,1.05,IF(입력란!$C$14=1,1.05*1.05,IF(입력란!$C$14=2,1.05*1.12,IF(입력란!$C$14=3,1.05*1.25)))),1)</f>
        <v>131291.66871544556</v>
      </c>
      <c r="T203" s="29"/>
      <c r="U203" s="29"/>
      <c r="V203" s="29"/>
      <c r="W203" s="38"/>
      <c r="X203" s="38"/>
      <c r="Y203" s="38"/>
      <c r="Z203" s="24"/>
      <c r="AA203" s="29">
        <f>SUM(AB203:AI203)</f>
        <v>262583.33743089112</v>
      </c>
      <c r="AB203" s="29">
        <f>S203*2</f>
        <v>262583.33743089112</v>
      </c>
      <c r="AC203" s="29"/>
      <c r="AD203" s="29"/>
      <c r="AE203" s="29"/>
      <c r="AF203" s="38"/>
      <c r="AG203" s="38"/>
      <c r="AH203" s="38"/>
      <c r="AI203" s="26"/>
      <c r="AJ203" s="25">
        <f>(AR203-IF(MID(E203,1,1)="1",트라이포드!$D$15,트라이포드!$C$15))*(1-입력란!$C$29/100)</f>
        <v>20.111850513090001</v>
      </c>
      <c r="AK20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3" s="25">
        <f>입력란!$C$37+입력란!$C$31+IF(입력란!$C$17=1,10,IF(입력란!$C$17=2,25,IF(입력란!$C$17=3,50,0)))</f>
        <v>295.58728189999999</v>
      </c>
      <c r="AM203" s="29">
        <f>SUM(AN203:AP203)</f>
        <v>87527.779143630381</v>
      </c>
      <c r="AN203" s="29">
        <f>(VLOOKUP(C203,$B$4:$AK$7,16,FALSE)+VLOOKUP(C203,$B$8:$AK$11,16,FALSE)*입력란!$C$23)*입력란!$C$38/100</f>
        <v>87527.779143630381</v>
      </c>
      <c r="AO203" s="25"/>
      <c r="AP203" s="29"/>
      <c r="AQ203" s="29"/>
      <c r="AR203" s="28">
        <v>22</v>
      </c>
    </row>
    <row r="204" spans="2:44" ht="13.5" customHeight="1" x14ac:dyDescent="0.3">
      <c r="B204" s="30">
        <v>189</v>
      </c>
      <c r="C204" s="35">
        <v>10</v>
      </c>
      <c r="D204" s="36" t="s">
        <v>359</v>
      </c>
      <c r="E204" s="37" t="s">
        <v>60</v>
      </c>
      <c r="F204" s="39"/>
      <c r="G204" s="39"/>
      <c r="H204" s="51">
        <f>I204/AJ204</f>
        <v>10008.633289416082</v>
      </c>
      <c r="I204" s="52">
        <f>SUM(J204:Q204)*IF(입력란!C$15=1,1.04,IF(입력란!C$15=2,1.1,IF(입력란!C$15=3,1.2,1)))*IF(입력란!$C$17&lt;&gt;0,0.98,1)</f>
        <v>201292.13655707252</v>
      </c>
      <c r="J204" s="29">
        <f>S204*(1+IF($AK204+IF(입력란!$C$9=1,10,0)+IF(입력란!$C$19=1,10,0)+IF(MID(E204,1,1)="3",트라이포드!H$15,트라이포드!G$15)&gt;100,100,$AK204+IF(입력란!$C$9=1,10,0)+IF(입력란!$C$19=1,10,0)+IF(MID(E204,1,1)="3",트라이포드!H$15,트라이포드!G$15))/100*(($AL204+IF(MID(E204,5,1)="1",트라이포드!$P$15,트라이포드!$O$15))/100-1))</f>
        <v>201292.13655707252</v>
      </c>
      <c r="K204" s="29"/>
      <c r="L204" s="29"/>
      <c r="M204" s="29"/>
      <c r="N204" s="38"/>
      <c r="O204" s="38"/>
      <c r="P204" s="38"/>
      <c r="Q204" s="26"/>
      <c r="R204" s="23">
        <f>SUM(S204:Z204)</f>
        <v>140044.4466298086</v>
      </c>
      <c r="S204" s="29">
        <f>AN204*IF(MID(E204,1,1)="1",IF(입력란!$C$9=1,트라이포드!$D$15,트라이포드!$C$15),1)*IF(MID(E204,3,1)="1",트라이포드!$J$15,트라이포드!$I$15)*IF(MID(E204,3,1)="3",트라이포드!$N$15,트라이포드!$M$15)*IF(입력란!$C$9=1,IF(입력란!$C$14=0,1.05,IF(입력란!$C$14=1,1.05*1.05,IF(입력란!$C$14=2,1.05*1.12,IF(입력란!$C$14=3,1.05*1.25)))),1)</f>
        <v>140044.4466298086</v>
      </c>
      <c r="T204" s="29"/>
      <c r="U204" s="29"/>
      <c r="V204" s="29"/>
      <c r="W204" s="38"/>
      <c r="X204" s="38"/>
      <c r="Y204" s="38"/>
      <c r="Z204" s="24"/>
      <c r="AA204" s="29">
        <f>SUM(AB204:AI204)</f>
        <v>280088.89325961721</v>
      </c>
      <c r="AB204" s="29">
        <f>S204*2</f>
        <v>280088.89325961721</v>
      </c>
      <c r="AC204" s="29"/>
      <c r="AD204" s="29"/>
      <c r="AE204" s="29"/>
      <c r="AF204" s="38"/>
      <c r="AG204" s="38"/>
      <c r="AH204" s="38"/>
      <c r="AI204" s="26"/>
      <c r="AJ204" s="25">
        <f>(AR204-IF(MID(E204,1,1)="1",트라이포드!$D$15,트라이포드!$C$15))*(1-입력란!$C$29/100)</f>
        <v>20.111850513090001</v>
      </c>
      <c r="AK20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4" s="25">
        <f>입력란!$C$37+입력란!$C$31+IF(입력란!$C$17=1,10,IF(입력란!$C$17=2,25,IF(입력란!$C$17=3,50,0)))</f>
        <v>295.58728189999999</v>
      </c>
      <c r="AM204" s="29">
        <f>SUM(AN204:AP204)</f>
        <v>87527.779143630381</v>
      </c>
      <c r="AN204" s="29">
        <f>(VLOOKUP(C204,$B$4:$AK$7,16,FALSE)+VLOOKUP(C204,$B$8:$AK$11,16,FALSE)*입력란!$C$23)*입력란!$C$38/100</f>
        <v>87527.779143630381</v>
      </c>
      <c r="AO204" s="25"/>
      <c r="AP204" s="29"/>
      <c r="AQ204" s="29"/>
      <c r="AR204" s="28">
        <v>22</v>
      </c>
    </row>
    <row r="205" spans="2:44" ht="13.5" customHeight="1" x14ac:dyDescent="0.3">
      <c r="B205" s="30">
        <v>190</v>
      </c>
      <c r="C205" s="35">
        <v>10</v>
      </c>
      <c r="D205" s="36" t="s">
        <v>359</v>
      </c>
      <c r="E205" s="37" t="s">
        <v>203</v>
      </c>
      <c r="F205" s="39"/>
      <c r="G205" s="39"/>
      <c r="H205" s="51">
        <f>I205/AJ205</f>
        <v>8201.6837050994745</v>
      </c>
      <c r="I205" s="52">
        <f>SUM(J205:Q205)*IF(입력란!C$15=1,1.04,IF(입력란!C$15=2,1.1,IF(입력란!C$15=3,1.2,1)))*IF(입력란!$C$17&lt;&gt;0,0.98,1)</f>
        <v>164951.03663260676</v>
      </c>
      <c r="J205" s="29">
        <f>S205*(1+IF($AK205+IF(입력란!$C$9=1,10,0)+IF(입력란!$C$19=1,10,0)+IF(MID(E205,1,1)="3",트라이포드!H$15,트라이포드!G$15)&gt;100,100,$AK205+IF(입력란!$C$9=1,10,0)+IF(입력란!$C$19=1,10,0)+IF(MID(E205,1,1)="3",트라이포드!H$15,트라이포드!G$15))/100*(($AL205+IF(MID(E205,5,1)="1",트라이포드!$P$15,트라이포드!$O$15))/100-1))</f>
        <v>164951.03663260676</v>
      </c>
      <c r="K205" s="29"/>
      <c r="L205" s="29"/>
      <c r="M205" s="29"/>
      <c r="N205" s="38"/>
      <c r="O205" s="38"/>
      <c r="P205" s="38"/>
      <c r="Q205" s="26"/>
      <c r="R205" s="23">
        <f>SUM(S205:Z205)</f>
        <v>87527.779143630381</v>
      </c>
      <c r="S205" s="29">
        <f>AN205*IF(MID(E205,1,1)="1",IF(입력란!$C$9=1,트라이포드!$D$15,트라이포드!$C$15),1)*IF(MID(E205,3,1)="1",트라이포드!$J$15,트라이포드!$I$15)*IF(MID(E205,3,1)="3",트라이포드!$N$15,트라이포드!$M$15)*IF(입력란!$C$9=1,IF(입력란!$C$14=0,1.05,IF(입력란!$C$14=1,1.05*1.05,IF(입력란!$C$14=2,1.05*1.12,IF(입력란!$C$14=3,1.05*1.25)))),1)</f>
        <v>87527.779143630381</v>
      </c>
      <c r="T205" s="29"/>
      <c r="U205" s="29"/>
      <c r="V205" s="29"/>
      <c r="W205" s="38"/>
      <c r="X205" s="38"/>
      <c r="Y205" s="38"/>
      <c r="Z205" s="24"/>
      <c r="AA205" s="29">
        <f>SUM(AB205:AI205)</f>
        <v>175055.55828726076</v>
      </c>
      <c r="AB205" s="29">
        <f>S205*2</f>
        <v>175055.55828726076</v>
      </c>
      <c r="AC205" s="29"/>
      <c r="AD205" s="29"/>
      <c r="AE205" s="29"/>
      <c r="AF205" s="38"/>
      <c r="AG205" s="38"/>
      <c r="AH205" s="38"/>
      <c r="AI205" s="26"/>
      <c r="AJ205" s="25">
        <f>(AR205-IF(MID(E205,1,1)="1",트라이포드!$D$15,트라이포드!$C$15))*(1-입력란!$C$29/100)</f>
        <v>20.111850513090001</v>
      </c>
      <c r="AK20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5" s="25">
        <f>입력란!$C$37+입력란!$C$31+IF(입력란!$C$17=1,10,IF(입력란!$C$17=2,25,IF(입력란!$C$17=3,50,0)))</f>
        <v>295.58728189999999</v>
      </c>
      <c r="AM205" s="29">
        <f>SUM(AN205:AP205)</f>
        <v>87527.779143630381</v>
      </c>
      <c r="AN205" s="29">
        <f>(VLOOKUP(C205,$B$4:$AK$7,16,FALSE)+VLOOKUP(C205,$B$8:$AK$11,16,FALSE)*입력란!$C$23)*입력란!$C$38/100</f>
        <v>87527.779143630381</v>
      </c>
      <c r="AO205" s="25"/>
      <c r="AP205" s="29"/>
      <c r="AQ205" s="29"/>
      <c r="AR205" s="28">
        <v>22</v>
      </c>
    </row>
    <row r="206" spans="2:44" ht="13.5" customHeight="1" x14ac:dyDescent="0.3">
      <c r="B206" s="30">
        <v>191</v>
      </c>
      <c r="C206" s="35">
        <v>10</v>
      </c>
      <c r="D206" s="36" t="s">
        <v>359</v>
      </c>
      <c r="E206" s="37" t="s">
        <v>212</v>
      </c>
      <c r="F206" s="39" t="s">
        <v>371</v>
      </c>
      <c r="G206" s="39"/>
      <c r="H206" s="51">
        <f>I206/AJ206</f>
        <v>12302.525557649209</v>
      </c>
      <c r="I206" s="52">
        <f>SUM(J206:Q206)*IF(입력란!C$15=1,1.04,IF(입력란!C$15=2,1.1,IF(입력란!C$15=3,1.2,1)))*IF(입력란!$C$17&lt;&gt;0,0.98,1)</f>
        <v>247426.55494891011</v>
      </c>
      <c r="J206" s="29">
        <f>S206*(1+IF($AK206+IF(입력란!$C$9=1,10,0)+IF(입력란!$C$19=1,10,0)+IF(MID(E206,1,1)="3",트라이포드!H$15,트라이포드!G$15)&gt;100,100,$AK206+IF(입력란!$C$9=1,10,0)+IF(입력란!$C$19=1,10,0)+IF(MID(E206,1,1)="3",트라이포드!H$15,트라이포드!G$15))/100*(($AL206+IF(MID(E206,5,1)="1",트라이포드!$P$15,트라이포드!$O$15))/100-1))</f>
        <v>247426.55494891011</v>
      </c>
      <c r="K206" s="29"/>
      <c r="L206" s="29"/>
      <c r="M206" s="29"/>
      <c r="N206" s="38"/>
      <c r="O206" s="38"/>
      <c r="P206" s="38"/>
      <c r="Q206" s="26"/>
      <c r="R206" s="23">
        <f>SUM(S206:Z206)</f>
        <v>131291.66871544556</v>
      </c>
      <c r="S206" s="29">
        <f>AN206*IF(MID(E206,1,1)="1",IF(입력란!$C$9=1,트라이포드!$D$15,트라이포드!$C$15),1)*IF(MID(E206,3,1)="1",트라이포드!$J$15,트라이포드!$I$15)*IF(MID(E206,3,1)="3",트라이포드!$N$15,트라이포드!$M$15)*IF(입력란!$C$9=1,IF(입력란!$C$14=0,1.05,IF(입력란!$C$14=1,1.05*1.05,IF(입력란!$C$14=2,1.05*1.12,IF(입력란!$C$14=3,1.05*1.25)))),1)</f>
        <v>131291.66871544556</v>
      </c>
      <c r="T206" s="29"/>
      <c r="U206" s="29"/>
      <c r="V206" s="29"/>
      <c r="W206" s="38"/>
      <c r="X206" s="38"/>
      <c r="Y206" s="38"/>
      <c r="Z206" s="24"/>
      <c r="AA206" s="29">
        <f>SUM(AB206:AI206)</f>
        <v>262583.33743089112</v>
      </c>
      <c r="AB206" s="29">
        <f>S206*2</f>
        <v>262583.33743089112</v>
      </c>
      <c r="AC206" s="29"/>
      <c r="AD206" s="29"/>
      <c r="AE206" s="29"/>
      <c r="AF206" s="38"/>
      <c r="AG206" s="38"/>
      <c r="AH206" s="38"/>
      <c r="AI206" s="26"/>
      <c r="AJ206" s="25">
        <f>(AR206-IF(MID(E206,1,1)="1",트라이포드!$D$15,트라이포드!$C$15))*(1-입력란!$C$29/100)</f>
        <v>20.111850513090001</v>
      </c>
      <c r="AK20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6" s="25">
        <f>입력란!$C$37+입력란!$C$31+IF(입력란!$C$17=1,10,IF(입력란!$C$17=2,25,IF(입력란!$C$17=3,50,0)))</f>
        <v>295.58728189999999</v>
      </c>
      <c r="AM206" s="29">
        <f>SUM(AN206:AP206)</f>
        <v>87527.779143630381</v>
      </c>
      <c r="AN206" s="29">
        <f>(VLOOKUP(C206,$B$4:$AK$7,16,FALSE)+VLOOKUP(C206,$B$8:$AK$11,16,FALSE)*입력란!$C$23)*입력란!$C$38/100</f>
        <v>87527.779143630381</v>
      </c>
      <c r="AO206" s="25"/>
      <c r="AP206" s="29"/>
      <c r="AQ206" s="29"/>
      <c r="AR206" s="28">
        <v>22</v>
      </c>
    </row>
    <row r="207" spans="2:44" ht="13.5" customHeight="1" x14ac:dyDescent="0.3">
      <c r="B207" s="30">
        <v>192</v>
      </c>
      <c r="C207" s="35">
        <v>10</v>
      </c>
      <c r="D207" s="36" t="s">
        <v>359</v>
      </c>
      <c r="E207" s="37" t="s">
        <v>159</v>
      </c>
      <c r="F207" s="39"/>
      <c r="G207" s="39"/>
      <c r="H207" s="51">
        <f>I207/AJ207</f>
        <v>13122.69392815916</v>
      </c>
      <c r="I207" s="52">
        <f>SUM(J207:Q207)*IF(입력란!C$15=1,1.04,IF(입력란!C$15=2,1.1,IF(입력란!C$15=3,1.2,1)))*IF(입력란!$C$17&lt;&gt;0,0.98,1)</f>
        <v>263921.65861217084</v>
      </c>
      <c r="J207" s="29">
        <f>S207*(1+IF($AK207+IF(입력란!$C$9=1,10,0)+IF(입력란!$C$19=1,10,0)+IF(MID(E207,1,1)="3",트라이포드!H$15,트라이포드!G$15)&gt;100,100,$AK207+IF(입력란!$C$9=1,10,0)+IF(입력란!$C$19=1,10,0)+IF(MID(E207,1,1)="3",트라이포드!H$15,트라이포드!G$15))/100*(($AL207+IF(MID(E207,5,1)="1",트라이포드!$P$15,트라이포드!$O$15))/100-1))</f>
        <v>263921.65861217084</v>
      </c>
      <c r="K207" s="29"/>
      <c r="L207" s="29"/>
      <c r="M207" s="29"/>
      <c r="N207" s="38"/>
      <c r="O207" s="38"/>
      <c r="P207" s="38"/>
      <c r="Q207" s="26"/>
      <c r="R207" s="23">
        <f>SUM(S207:Z207)</f>
        <v>140044.4466298086</v>
      </c>
      <c r="S207" s="29">
        <f>AN207*IF(MID(E207,1,1)="1",IF(입력란!$C$9=1,트라이포드!$D$15,트라이포드!$C$15),1)*IF(MID(E207,3,1)="1",트라이포드!$J$15,트라이포드!$I$15)*IF(MID(E207,3,1)="3",트라이포드!$N$15,트라이포드!$M$15)*IF(입력란!$C$9=1,IF(입력란!$C$14=0,1.05,IF(입력란!$C$14=1,1.05*1.05,IF(입력란!$C$14=2,1.05*1.12,IF(입력란!$C$14=3,1.05*1.25)))),1)</f>
        <v>140044.4466298086</v>
      </c>
      <c r="T207" s="29"/>
      <c r="U207" s="29"/>
      <c r="V207" s="29"/>
      <c r="W207" s="38"/>
      <c r="X207" s="38"/>
      <c r="Y207" s="38"/>
      <c r="Z207" s="24"/>
      <c r="AA207" s="29">
        <f>SUM(AB207:AI207)</f>
        <v>280088.89325961721</v>
      </c>
      <c r="AB207" s="29">
        <f>S207*2</f>
        <v>280088.89325961721</v>
      </c>
      <c r="AC207" s="29"/>
      <c r="AD207" s="29"/>
      <c r="AE207" s="29"/>
      <c r="AF207" s="38"/>
      <c r="AG207" s="38"/>
      <c r="AH207" s="38"/>
      <c r="AI207" s="26"/>
      <c r="AJ207" s="25">
        <f>(AR207-IF(MID(E207,1,1)="1",트라이포드!$D$15,트라이포드!$C$15))*(1-입력란!$C$29/100)</f>
        <v>20.111850513090001</v>
      </c>
      <c r="AK20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7" s="25">
        <f>입력란!$C$37+입력란!$C$31+IF(입력란!$C$17=1,10,IF(입력란!$C$17=2,25,IF(입력란!$C$17=3,50,0)))</f>
        <v>295.58728189999999</v>
      </c>
      <c r="AM207" s="29">
        <f>SUM(AN207:AP207)</f>
        <v>87527.779143630381</v>
      </c>
      <c r="AN207" s="29">
        <f>(VLOOKUP(C207,$B$4:$AK$7,16,FALSE)+VLOOKUP(C207,$B$8:$AK$11,16,FALSE)*입력란!$C$23)*입력란!$C$38/100</f>
        <v>87527.779143630381</v>
      </c>
      <c r="AO207" s="25"/>
      <c r="AP207" s="29"/>
      <c r="AQ207" s="29"/>
      <c r="AR207" s="28">
        <v>22</v>
      </c>
    </row>
    <row r="208" spans="2:44" ht="13.5" customHeight="1" x14ac:dyDescent="0.3">
      <c r="B208" s="30">
        <v>193</v>
      </c>
      <c r="C208" s="35">
        <v>10</v>
      </c>
      <c r="D208" s="36" t="s">
        <v>359</v>
      </c>
      <c r="E208" s="37" t="s">
        <v>368</v>
      </c>
      <c r="F208" s="39" t="s">
        <v>371</v>
      </c>
      <c r="G208" s="39"/>
      <c r="H208" s="51">
        <f>I208/AJ208</f>
        <v>12480.823029499199</v>
      </c>
      <c r="I208" s="52">
        <f>SUM(J208:Q208)*IF(입력란!C$15=1,1.04,IF(입력란!C$15=2,1.1,IF(입력란!C$15=3,1.2,1)))*IF(입력란!$C$17&lt;&gt;0,0.98,1)</f>
        <v>247426.55494891011</v>
      </c>
      <c r="J208" s="29">
        <f>S208*(1+IF($AK208+IF(입력란!$C$9=1,10,0)+IF(입력란!$C$19=1,10,0)+IF(MID(E208,1,1)="3",트라이포드!H$15,트라이포드!G$15)&gt;100,100,$AK208+IF(입력란!$C$9=1,10,0)+IF(입력란!$C$19=1,10,0)+IF(MID(E208,1,1)="3",트라이포드!H$15,트라이포드!G$15))/100*(($AL208+IF(MID(E208,5,1)="1",트라이포드!$P$15,트라이포드!$O$15))/100-1))</f>
        <v>247426.55494891011</v>
      </c>
      <c r="K208" s="29"/>
      <c r="L208" s="29"/>
      <c r="M208" s="29"/>
      <c r="N208" s="38"/>
      <c r="O208" s="38"/>
      <c r="P208" s="38"/>
      <c r="Q208" s="26"/>
      <c r="R208" s="23">
        <f>SUM(S208:Z208)</f>
        <v>131291.66871544556</v>
      </c>
      <c r="S208" s="29">
        <f>AN208*IF(MID(E208,1,1)="1",IF(입력란!$C$9=1,트라이포드!$D$15,트라이포드!$C$15),1)*IF(MID(E208,3,1)="1",트라이포드!$J$15,트라이포드!$I$15)*IF(MID(E208,3,1)="3",트라이포드!$N$15,트라이포드!$M$15)*IF(입력란!$C$9=1,IF(입력란!$C$14=0,1.05,IF(입력란!$C$14=1,1.05*1.05,IF(입력란!$C$14=2,1.05*1.12,IF(입력란!$C$14=3,1.05*1.25)))),1)</f>
        <v>131291.66871544556</v>
      </c>
      <c r="T208" s="29"/>
      <c r="U208" s="29"/>
      <c r="V208" s="29"/>
      <c r="W208" s="38"/>
      <c r="X208" s="38"/>
      <c r="Y208" s="38"/>
      <c r="Z208" s="24"/>
      <c r="AA208" s="29">
        <f>SUM(AB208:AI208)</f>
        <v>262583.33743089112</v>
      </c>
      <c r="AB208" s="29">
        <f>S208*2</f>
        <v>262583.33743089112</v>
      </c>
      <c r="AC208" s="29"/>
      <c r="AD208" s="29"/>
      <c r="AE208" s="29"/>
      <c r="AF208" s="38"/>
      <c r="AG208" s="38"/>
      <c r="AH208" s="38"/>
      <c r="AI208" s="26"/>
      <c r="AJ208" s="25">
        <f>(AR208-IF(MID(E208,1,1)="1",트라이포드!$D$15,트라이포드!$C$15))*(1-입력란!$C$29/100)</f>
        <v>19.824538362902999</v>
      </c>
      <c r="AK20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8" s="25">
        <f>입력란!$C$37+입력란!$C$31+IF(입력란!$C$17=1,10,IF(입력란!$C$17=2,25,IF(입력란!$C$17=3,50,0)))</f>
        <v>295.58728189999999</v>
      </c>
      <c r="AM208" s="29">
        <f>SUM(AN208:AP208)</f>
        <v>87527.779143630381</v>
      </c>
      <c r="AN208" s="29">
        <f>(VLOOKUP(C208,$B$4:$AK$7,16,FALSE)+VLOOKUP(C208,$B$8:$AK$11,16,FALSE)*입력란!$C$23)*입력란!$C$38/100</f>
        <v>87527.779143630381</v>
      </c>
      <c r="AO208" s="25"/>
      <c r="AP208" s="29"/>
      <c r="AQ208" s="29"/>
      <c r="AR208" s="28">
        <v>22</v>
      </c>
    </row>
    <row r="209" spans="2:44" ht="13.5" customHeight="1" x14ac:dyDescent="0.3">
      <c r="B209" s="30">
        <v>194</v>
      </c>
      <c r="C209" s="35">
        <v>10</v>
      </c>
      <c r="D209" s="36" t="s">
        <v>359</v>
      </c>
      <c r="E209" s="37" t="s">
        <v>369</v>
      </c>
      <c r="F209" s="39"/>
      <c r="G209" s="39"/>
      <c r="H209" s="51">
        <f>I209/AJ209</f>
        <v>13312.877898132483</v>
      </c>
      <c r="I209" s="52">
        <f>SUM(J209:Q209)*IF(입력란!C$15=1,1.04,IF(입력란!C$15=2,1.1,IF(입력란!C$15=3,1.2,1)))*IF(입력란!$C$17&lt;&gt;0,0.98,1)</f>
        <v>263921.65861217084</v>
      </c>
      <c r="J209" s="29">
        <f>S209*(1+IF($AK209+IF(입력란!$C$9=1,10,0)+IF(입력란!$C$19=1,10,0)+IF(MID(E209,1,1)="3",트라이포드!H$15,트라이포드!G$15)&gt;100,100,$AK209+IF(입력란!$C$9=1,10,0)+IF(입력란!$C$19=1,10,0)+IF(MID(E209,1,1)="3",트라이포드!H$15,트라이포드!G$15))/100*(($AL209+IF(MID(E209,5,1)="1",트라이포드!$P$15,트라이포드!$O$15))/100-1))</f>
        <v>263921.65861217084</v>
      </c>
      <c r="K209" s="29"/>
      <c r="L209" s="29"/>
      <c r="M209" s="29"/>
      <c r="N209" s="38"/>
      <c r="O209" s="38"/>
      <c r="P209" s="38"/>
      <c r="Q209" s="26"/>
      <c r="R209" s="23">
        <f>SUM(S209:Z209)</f>
        <v>140044.4466298086</v>
      </c>
      <c r="S209" s="29">
        <f>AN209*IF(MID(E209,1,1)="1",IF(입력란!$C$9=1,트라이포드!$D$15,트라이포드!$C$15),1)*IF(MID(E209,3,1)="1",트라이포드!$J$15,트라이포드!$I$15)*IF(MID(E209,3,1)="3",트라이포드!$N$15,트라이포드!$M$15)*IF(입력란!$C$9=1,IF(입력란!$C$14=0,1.05,IF(입력란!$C$14=1,1.05*1.05,IF(입력란!$C$14=2,1.05*1.12,IF(입력란!$C$14=3,1.05*1.25)))),1)</f>
        <v>140044.4466298086</v>
      </c>
      <c r="T209" s="29"/>
      <c r="U209" s="29"/>
      <c r="V209" s="29"/>
      <c r="W209" s="38"/>
      <c r="X209" s="38"/>
      <c r="Y209" s="38"/>
      <c r="Z209" s="24"/>
      <c r="AA209" s="29">
        <f>SUM(AB209:AI209)</f>
        <v>280088.89325961721</v>
      </c>
      <c r="AB209" s="29">
        <f>S209*2</f>
        <v>280088.89325961721</v>
      </c>
      <c r="AC209" s="29"/>
      <c r="AD209" s="29"/>
      <c r="AE209" s="29"/>
      <c r="AF209" s="38"/>
      <c r="AG209" s="38"/>
      <c r="AH209" s="38"/>
      <c r="AI209" s="26"/>
      <c r="AJ209" s="25">
        <f>(AR209-IF(MID(E209,1,1)="1",트라이포드!$D$15,트라이포드!$C$15))*(1-입력란!$C$29/100)</f>
        <v>19.824538362902999</v>
      </c>
      <c r="AK20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09" s="25">
        <f>입력란!$C$37+입력란!$C$31+IF(입력란!$C$17=1,10,IF(입력란!$C$17=2,25,IF(입력란!$C$17=3,50,0)))</f>
        <v>295.58728189999999</v>
      </c>
      <c r="AM209" s="29">
        <f>SUM(AN209:AP209)</f>
        <v>87527.779143630381</v>
      </c>
      <c r="AN209" s="29">
        <f>(VLOOKUP(C209,$B$4:$AK$7,16,FALSE)+VLOOKUP(C209,$B$8:$AK$11,16,FALSE)*입력란!$C$23)*입력란!$C$38/100</f>
        <v>87527.779143630381</v>
      </c>
      <c r="AO209" s="25"/>
      <c r="AP209" s="29"/>
      <c r="AQ209" s="29"/>
      <c r="AR209" s="28">
        <v>22</v>
      </c>
    </row>
    <row r="210" spans="2:44" ht="13.5" customHeight="1" x14ac:dyDescent="0.3">
      <c r="B210" s="30">
        <v>195</v>
      </c>
      <c r="C210" s="35">
        <v>10</v>
      </c>
      <c r="D210" s="36" t="s">
        <v>359</v>
      </c>
      <c r="E210" s="37" t="s">
        <v>93</v>
      </c>
      <c r="F210" s="39" t="s">
        <v>371</v>
      </c>
      <c r="G210" s="39"/>
      <c r="H210" s="51">
        <f>I210/AJ210</f>
        <v>17467.372455198933</v>
      </c>
      <c r="I210" s="52">
        <f>SUM(J210:Q210)*IF(입력란!C$15=1,1.04,IF(입력란!C$15=2,1.1,IF(입력란!C$15=3,1.2,1)))*IF(입력란!$C$17&lt;&gt;0,0.98,1)</f>
        <v>351301.18367542682</v>
      </c>
      <c r="J210" s="29">
        <f>S210*(1+IF($AK210+IF(입력란!$C$9=1,10,0)+IF(입력란!$C$19=1,10,0)+IF(MID(E210,1,1)="3",트라이포드!H$15,트라이포드!G$15)&gt;100,100,$AK210+IF(입력란!$C$9=1,10,0)+IF(입력란!$C$19=1,10,0)+IF(MID(E210,1,1)="3",트라이포드!H$15,트라이포드!G$15))/100*(($AL210+IF(MID(E210,5,1)="1",트라이포드!$P$15,트라이포드!$O$15))/100-1))</f>
        <v>351301.18367542682</v>
      </c>
      <c r="K210" s="29"/>
      <c r="L210" s="29"/>
      <c r="M210" s="29"/>
      <c r="N210" s="38"/>
      <c r="O210" s="38"/>
      <c r="P210" s="38"/>
      <c r="Q210" s="26"/>
      <c r="R210" s="23">
        <f>SUM(S210:Z210)</f>
        <v>131291.66871544556</v>
      </c>
      <c r="S210" s="29">
        <f>AN210*IF(MID(E210,1,1)="1",IF(입력란!$C$9=1,트라이포드!$D$15,트라이포드!$C$15),1)*IF(MID(E210,3,1)="1",트라이포드!$J$15,트라이포드!$I$15)*IF(MID(E210,3,1)="3",트라이포드!$N$15,트라이포드!$M$15)*IF(입력란!$C$9=1,IF(입력란!$C$14=0,1.05,IF(입력란!$C$14=1,1.05*1.05,IF(입력란!$C$14=2,1.05*1.12,IF(입력란!$C$14=3,1.05*1.25)))),1)</f>
        <v>131291.66871544556</v>
      </c>
      <c r="T210" s="29"/>
      <c r="U210" s="29"/>
      <c r="V210" s="29"/>
      <c r="W210" s="38"/>
      <c r="X210" s="38"/>
      <c r="Y210" s="38"/>
      <c r="Z210" s="24"/>
      <c r="AA210" s="29">
        <f>SUM(AB210:AI210)</f>
        <v>262583.33743089112</v>
      </c>
      <c r="AB210" s="29">
        <f>S210*2</f>
        <v>262583.33743089112</v>
      </c>
      <c r="AC210" s="29"/>
      <c r="AD210" s="29"/>
      <c r="AE210" s="29"/>
      <c r="AF210" s="38"/>
      <c r="AG210" s="38"/>
      <c r="AH210" s="38"/>
      <c r="AI210" s="26"/>
      <c r="AJ210" s="25">
        <f>(AR210-IF(MID(E210,1,1)="1",트라이포드!$D$15,트라이포드!$C$15))*(1-입력란!$C$29/100)</f>
        <v>20.111850513090001</v>
      </c>
      <c r="AK21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10" s="25">
        <f>입력란!$C$37+입력란!$C$31+IF(입력란!$C$17=1,10,IF(입력란!$C$17=2,25,IF(입력란!$C$17=3,50,0)))</f>
        <v>295.58728189999999</v>
      </c>
      <c r="AM210" s="29">
        <f>SUM(AN210:AP210)</f>
        <v>87527.779143630381</v>
      </c>
      <c r="AN210" s="29">
        <f>(VLOOKUP(C210,$B$4:$AK$7,16,FALSE)+VLOOKUP(C210,$B$8:$AK$11,16,FALSE)*입력란!$C$23)*입력란!$C$38/100</f>
        <v>87527.779143630381</v>
      </c>
      <c r="AO210" s="25"/>
      <c r="AP210" s="29"/>
      <c r="AQ210" s="29"/>
      <c r="AR210" s="28">
        <v>22</v>
      </c>
    </row>
    <row r="211" spans="2:44" ht="13.5" customHeight="1" x14ac:dyDescent="0.3">
      <c r="B211" s="30">
        <v>196</v>
      </c>
      <c r="C211" s="35">
        <v>10</v>
      </c>
      <c r="D211" s="36" t="s">
        <v>359</v>
      </c>
      <c r="E211" s="37" t="s">
        <v>370</v>
      </c>
      <c r="F211" s="39"/>
      <c r="G211" s="39"/>
      <c r="H211" s="51">
        <f>I211/AJ211</f>
        <v>18631.863952212196</v>
      </c>
      <c r="I211" s="52">
        <f>SUM(J211:Q211)*IF(입력란!C$15=1,1.04,IF(입력란!C$15=2,1.1,IF(입력란!C$15=3,1.2,1)))*IF(입력란!$C$17&lt;&gt;0,0.98,1)</f>
        <v>374721.26258712198</v>
      </c>
      <c r="J211" s="29">
        <f>S211*(1+IF($AK211+IF(입력란!$C$9=1,10,0)+IF(입력란!$C$19=1,10,0)+IF(MID(E211,1,1)="3",트라이포드!H$15,트라이포드!G$15)&gt;100,100,$AK211+IF(입력란!$C$9=1,10,0)+IF(입력란!$C$19=1,10,0)+IF(MID(E211,1,1)="3",트라이포드!H$15,트라이포드!G$15))/100*(($AL211+IF(MID(E211,5,1)="1",트라이포드!$P$15,트라이포드!$O$15))/100-1))</f>
        <v>374721.26258712198</v>
      </c>
      <c r="K211" s="29"/>
      <c r="L211" s="29"/>
      <c r="M211" s="29"/>
      <c r="N211" s="38"/>
      <c r="O211" s="38"/>
      <c r="P211" s="38"/>
      <c r="Q211" s="26"/>
      <c r="R211" s="23">
        <f>SUM(S211:Z211)</f>
        <v>140044.4466298086</v>
      </c>
      <c r="S211" s="29">
        <f>AN211*IF(MID(E211,1,1)="1",IF(입력란!$C$9=1,트라이포드!$D$15,트라이포드!$C$15),1)*IF(MID(E211,3,1)="1",트라이포드!$J$15,트라이포드!$I$15)*IF(MID(E211,3,1)="3",트라이포드!$N$15,트라이포드!$M$15)*IF(입력란!$C$9=1,IF(입력란!$C$14=0,1.05,IF(입력란!$C$14=1,1.05*1.05,IF(입력란!$C$14=2,1.05*1.12,IF(입력란!$C$14=3,1.05*1.25)))),1)</f>
        <v>140044.4466298086</v>
      </c>
      <c r="T211" s="29"/>
      <c r="U211" s="29"/>
      <c r="V211" s="29"/>
      <c r="W211" s="38"/>
      <c r="X211" s="38"/>
      <c r="Y211" s="38"/>
      <c r="Z211" s="24"/>
      <c r="AA211" s="29">
        <f>SUM(AB211:AI211)</f>
        <v>280088.89325961721</v>
      </c>
      <c r="AB211" s="29">
        <f>S211*2</f>
        <v>280088.89325961721</v>
      </c>
      <c r="AC211" s="29"/>
      <c r="AD211" s="29"/>
      <c r="AE211" s="29"/>
      <c r="AF211" s="38"/>
      <c r="AG211" s="38"/>
      <c r="AH211" s="38"/>
      <c r="AI211" s="26"/>
      <c r="AJ211" s="25">
        <f>(AR211-IF(MID(E211,1,1)="1",트라이포드!$D$15,트라이포드!$C$15))*(1-입력란!$C$29/100)</f>
        <v>20.111850513090001</v>
      </c>
      <c r="AK21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211" s="25">
        <f>입력란!$C$37+입력란!$C$31+IF(입력란!$C$17=1,10,IF(입력란!$C$17=2,25,IF(입력란!$C$17=3,50,0)))</f>
        <v>295.58728189999999</v>
      </c>
      <c r="AM211" s="29">
        <f>SUM(AN211:AP211)</f>
        <v>87527.779143630381</v>
      </c>
      <c r="AN211" s="29">
        <f>(VLOOKUP(C211,$B$4:$AK$7,16,FALSE)+VLOOKUP(C211,$B$8:$AK$11,16,FALSE)*입력란!$C$23)*입력란!$C$38/100</f>
        <v>87527.779143630381</v>
      </c>
      <c r="AO211" s="25"/>
      <c r="AP211" s="29"/>
      <c r="AQ211" s="29"/>
      <c r="AR211" s="28">
        <v>22</v>
      </c>
    </row>
    <row r="212" spans="2:44" ht="13.5" customHeight="1" x14ac:dyDescent="0.3">
      <c r="B212" s="30">
        <v>197</v>
      </c>
      <c r="C212" s="35">
        <v>1</v>
      </c>
      <c r="D212" s="42" t="s">
        <v>165</v>
      </c>
      <c r="E212" s="37" t="s">
        <v>152</v>
      </c>
      <c r="F212" s="39"/>
      <c r="G212" s="39"/>
      <c r="H212" s="51">
        <f>I212/AJ212</f>
        <v>5301.9003449604434</v>
      </c>
      <c r="I212" s="52">
        <f>SUM(J212:Q212)*IF(입력란!C$15=1,1.04,IF(입력란!C$15=2,1.1,IF(입력란!C$15=3,1.2,1)))*IF(입력란!$C$13&lt;&gt;0,0,1)*IF(입력란!$C$17&lt;&gt;0,0.98,1)</f>
        <v>152330.03881877821</v>
      </c>
      <c r="J212" s="29">
        <f>S212*(1+IF($AK212+IF(입력란!$C$19=1,10,0)&gt;100,100,$AK212+IF(입력란!$C$19=1,10,0))/100*($AL212/100-1))</f>
        <v>121874.40674679694</v>
      </c>
      <c r="K212" s="29">
        <f>T212*(1+IF($AK212+IF(입력란!$C$19=1,10,0)&gt;100,100,$AK212+IF(입력란!$C$19=1,10,0))/100*($AL212/100-1))</f>
        <v>30455.632071981254</v>
      </c>
      <c r="L212" s="29"/>
      <c r="M212" s="29"/>
      <c r="N212" s="38"/>
      <c r="O212" s="38"/>
      <c r="P212" s="38"/>
      <c r="Q212" s="26"/>
      <c r="R212" s="23">
        <f>SUM(S212:Z212)</f>
        <v>124492.7324484922</v>
      </c>
      <c r="S212" s="29">
        <f>AN212*3*IF(MID(E212,3,1)="1",트라이포드!$J$16/3,트라이포드!$I$16)*IF(MID(E212,3,1)="2",트라이포드!$L$16,트라이포드!$K$16)*IF(MID(E212,3,1)="3",5/3,1)*IF(MID(E212,5,1)="1",트라이포드!$P$16,트라이포드!$O$16)*IF(MID(E212,5,1)="2",트라이포드!$R$16,트라이포드!$Q$16)*(1+입력란!$C$33/100)</f>
        <v>99602.665561569767</v>
      </c>
      <c r="T212" s="29">
        <f>AO212*3*IF(MID(E212,3,1)="1",1/3,1)*IF(MID(E212,3,1)="3",5/3,1)*IF(MID(E212,5,1)="1",트라이포드!$P$16,트라이포드!$O$16)*IF(MID(E212,5,1)="2",트라이포드!$R$16,트라이포드!$Q$16)*(1+입력란!$C$33/100)</f>
        <v>24890.066886922436</v>
      </c>
      <c r="U212" s="29"/>
      <c r="V212" s="29"/>
      <c r="W212" s="38"/>
      <c r="X212" s="38"/>
      <c r="Y212" s="38"/>
      <c r="Z212" s="26"/>
      <c r="AA212" s="29">
        <f>SUM(AB212:AI212)</f>
        <v>248985.4648969844</v>
      </c>
      <c r="AB212" s="29">
        <f>S212*2</f>
        <v>199205.33112313953</v>
      </c>
      <c r="AC212" s="29">
        <f>T212*2</f>
        <v>49780.133773844871</v>
      </c>
      <c r="AD212" s="29"/>
      <c r="AE212" s="29"/>
      <c r="AF212" s="38"/>
      <c r="AG212" s="38"/>
      <c r="AH212" s="38"/>
      <c r="AI212" s="26"/>
      <c r="AJ212" s="25">
        <f>(AR212-IF(MID(E212,1,1)="1",트라이포드!$D$16,트라이포드!$C$16))*(1-입력란!$C$29/100)</f>
        <v>28.731215018700002</v>
      </c>
      <c r="AK21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2" s="25">
        <f>입력란!$C$37+IF(입력란!$C$17=1,10,IF(입력란!$C$17=2,25,IF(입력란!$C$17=3,50,0)))</f>
        <v>200</v>
      </c>
      <c r="AM212" s="29">
        <f>SUM(AN212:AP212)</f>
        <v>34838.510759138611</v>
      </c>
      <c r="AN212" s="29">
        <f>(VLOOKUP(C212,$B$4:$AK$7,17,FALSE)+VLOOKUP(C212,$B$8:$AK$11,17,FALSE)*입력란!$C$23)*입력란!$C$38/100</f>
        <v>27873.181570991059</v>
      </c>
      <c r="AO212" s="29">
        <f>(VLOOKUP(C212,$B$4:$AK$7,18,FALSE)+VLOOKUP(C212,$B$8:$AK$11,18,FALSE)*입력란!$C$23)*입력란!$C$38/100</f>
        <v>6965.3291881475552</v>
      </c>
      <c r="AP212" s="29"/>
      <c r="AQ212" s="29"/>
      <c r="AR212" s="28">
        <v>30</v>
      </c>
    </row>
    <row r="213" spans="2:44" ht="13.5" customHeight="1" x14ac:dyDescent="0.3">
      <c r="B213" s="30">
        <v>198</v>
      </c>
      <c r="C213" s="35">
        <v>4</v>
      </c>
      <c r="D213" s="42" t="s">
        <v>165</v>
      </c>
      <c r="E213" s="37" t="s">
        <v>152</v>
      </c>
      <c r="F213" s="39"/>
      <c r="G213" s="39"/>
      <c r="H213" s="51">
        <f>I213/AJ213</f>
        <v>5323.8758655303473</v>
      </c>
      <c r="I213" s="52">
        <f>SUM(J213:Q213)*IF(입력란!C$15=1,1.04,IF(입력란!C$15=2,1.1,IF(입력란!C$15=3,1.2,1)))*IF(입력란!$C$13&lt;&gt;0,0,1)*IF(입력란!$C$17&lt;&gt;0,0.98,1)</f>
        <v>152961.42222541998</v>
      </c>
      <c r="J213" s="29">
        <f>S213*(1+IF($AK213+IF(입력란!$C$19=1,10,0)&gt;100,100,$AK213+IF(입력란!$C$19=1,10,0))/100*($AL213/100-1))</f>
        <v>122379.86326901155</v>
      </c>
      <c r="K213" s="29">
        <f>T213*(1+IF($AK213+IF(입력란!$C$19=1,10,0)&gt;100,100,$AK213+IF(입력란!$C$19=1,10,0))/100*($AL213/100-1))</f>
        <v>30581.558956408429</v>
      </c>
      <c r="L213" s="29"/>
      <c r="M213" s="29"/>
      <c r="N213" s="38"/>
      <c r="O213" s="38"/>
      <c r="P213" s="38"/>
      <c r="Q213" s="34"/>
      <c r="R213" s="23">
        <f>SUM(S213:Z213)</f>
        <v>125008.73471649518</v>
      </c>
      <c r="S213" s="29">
        <f>AN213*3*IF(MID(E213,3,1)="1",트라이포드!$J$16/3,트라이포드!$I$16)*IF(MID(E213,3,1)="2",트라이포드!$L$16,트라이포드!$K$16)*IF(MID(E213,3,1)="3",5/3,1)*IF(MID(E213,5,1)="1",트라이포드!$P$16,트라이포드!$O$16)*IF(MID(E213,5,1)="2",트라이포드!$R$16,트라이포드!$Q$16)*(1+입력란!$C$33/100)</f>
        <v>100015.75324980484</v>
      </c>
      <c r="T213" s="29">
        <f>AO213*3*IF(MID(E213,3,1)="1",1/3,1)*IF(MID(E213,3,1)="3",5/3,1)*IF(MID(E213,5,1)="1",트라이포드!$P$16,트라이포드!$O$16)*IF(MID(E213,5,1)="2",트라이포드!$R$16,트라이포드!$Q$16)*(1+입력란!$C$33/100)</f>
        <v>24992.981466690348</v>
      </c>
      <c r="U213" s="29"/>
      <c r="V213" s="29"/>
      <c r="W213" s="29"/>
      <c r="X213" s="38"/>
      <c r="Y213" s="38"/>
      <c r="Z213" s="26"/>
      <c r="AA213" s="29">
        <f>SUM(AB213:AI213)</f>
        <v>250017.46943299036</v>
      </c>
      <c r="AB213" s="29">
        <f>S213*2</f>
        <v>200031.50649960968</v>
      </c>
      <c r="AC213" s="29">
        <f>T213*2</f>
        <v>49985.962933380695</v>
      </c>
      <c r="AD213" s="29"/>
      <c r="AE213" s="29"/>
      <c r="AF213" s="38"/>
      <c r="AG213" s="38"/>
      <c r="AH213" s="38"/>
      <c r="AI213" s="26"/>
      <c r="AJ213" s="25">
        <f>(AR213-IF(MID(E213,1,1)="1",트라이포드!$D$16,트라이포드!$C$16))*(1-입력란!$C$29/100)</f>
        <v>28.731215018700002</v>
      </c>
      <c r="AK21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3" s="25">
        <f>입력란!$C$37+IF(입력란!$C$17=1,10,IF(입력란!$C$17=2,25,IF(입력란!$C$17=3,50,0)))</f>
        <v>200</v>
      </c>
      <c r="AM213" s="29">
        <f>SUM(AN213:AP213)</f>
        <v>34982.910759138613</v>
      </c>
      <c r="AN213" s="29">
        <f>(VLOOKUP(C213,$B$4:$AK$7,17,FALSE)+VLOOKUP(C213,$B$8:$AK$11,17,FALSE)*입력란!$C$23)*입력란!$C$38/100</f>
        <v>27988.781570991057</v>
      </c>
      <c r="AO213" s="29">
        <f>(VLOOKUP(C213,$B$4:$AK$7,18,FALSE)+VLOOKUP(C213,$B$8:$AK$11,18,FALSE)*입력란!$C$23)*입력란!$C$38/100</f>
        <v>6994.1291881475554</v>
      </c>
      <c r="AP213" s="29"/>
      <c r="AQ213" s="29"/>
      <c r="AR213" s="28">
        <v>30</v>
      </c>
    </row>
    <row r="214" spans="2:44" ht="13.5" customHeight="1" x14ac:dyDescent="0.3">
      <c r="B214" s="30">
        <v>199</v>
      </c>
      <c r="C214" s="35">
        <v>4</v>
      </c>
      <c r="D214" s="42" t="s">
        <v>165</v>
      </c>
      <c r="E214" s="37" t="s">
        <v>153</v>
      </c>
      <c r="F214" s="39"/>
      <c r="G214" s="39"/>
      <c r="H214" s="51">
        <f>I214/AJ214</f>
        <v>6654.8448319129348</v>
      </c>
      <c r="I214" s="52">
        <f>SUM(J214:Q214)*IF(입력란!C$15=1,1.04,IF(입력란!C$15=2,1.1,IF(입력란!C$15=3,1.2,1)))*IF(입력란!$C$13&lt;&gt;0,0,1)*IF(입력란!$C$17&lt;&gt;0,0.98,1)</f>
        <v>152961.42222541998</v>
      </c>
      <c r="J214" s="29">
        <f>S214*(1+IF($AK214+IF(입력란!$C$19=1,10,0)&gt;100,100,$AK214+IF(입력란!$C$19=1,10,0))/100*($AL214/100-1))</f>
        <v>122379.86326901155</v>
      </c>
      <c r="K214" s="29">
        <f>T214*(1+IF($AK214+IF(입력란!$C$19=1,10,0)&gt;100,100,$AK214+IF(입력란!$C$19=1,10,0))/100*($AL214/100-1))</f>
        <v>30581.558956408429</v>
      </c>
      <c r="L214" s="29"/>
      <c r="M214" s="29"/>
      <c r="N214" s="38"/>
      <c r="O214" s="38"/>
      <c r="P214" s="38"/>
      <c r="Q214" s="34"/>
      <c r="R214" s="23">
        <f>SUM(S214:Z214)</f>
        <v>125008.73471649518</v>
      </c>
      <c r="S214" s="29">
        <f>AN214*3*IF(MID(E214,3,1)="1",트라이포드!$J$16/3,트라이포드!$I$16)*IF(MID(E214,3,1)="2",트라이포드!$L$16,트라이포드!$K$16)*IF(MID(E214,3,1)="3",5/3,1)*IF(MID(E214,5,1)="1",트라이포드!$P$16,트라이포드!$O$16)*IF(MID(E214,5,1)="2",트라이포드!$R$16,트라이포드!$Q$16)*(1+입력란!$C$33/100)</f>
        <v>100015.75324980484</v>
      </c>
      <c r="T214" s="29">
        <f>AO214*3*IF(MID(E214,3,1)="1",1/3,1)*IF(MID(E214,3,1)="3",5/3,1)*IF(MID(E214,5,1)="1",트라이포드!$P$16,트라이포드!$O$16)*IF(MID(E214,5,1)="2",트라이포드!$R$16,트라이포드!$Q$16)*(1+입력란!$C$33/100)</f>
        <v>24992.981466690348</v>
      </c>
      <c r="U214" s="29"/>
      <c r="V214" s="29"/>
      <c r="W214" s="29"/>
      <c r="X214" s="38"/>
      <c r="Y214" s="38"/>
      <c r="Z214" s="26"/>
      <c r="AA214" s="29">
        <f>SUM(AB214:AI214)</f>
        <v>250017.46943299036</v>
      </c>
      <c r="AB214" s="29">
        <f>S214*2</f>
        <v>200031.50649960968</v>
      </c>
      <c r="AC214" s="29">
        <f>T214*2</f>
        <v>49985.962933380695</v>
      </c>
      <c r="AD214" s="29"/>
      <c r="AE214" s="29"/>
      <c r="AF214" s="38"/>
      <c r="AG214" s="38"/>
      <c r="AH214" s="38"/>
      <c r="AI214" s="26"/>
      <c r="AJ214" s="25">
        <f>(AR214-IF(MID(E214,1,1)="1",트라이포드!$D$16,트라이포드!$C$16))*(1-입력란!$C$29/100)</f>
        <v>22.98497201496</v>
      </c>
      <c r="AK21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4" s="25">
        <f>입력란!$C$37+IF(입력란!$C$17=1,10,IF(입력란!$C$17=2,25,IF(입력란!$C$17=3,50,0)))</f>
        <v>200</v>
      </c>
      <c r="AM214" s="29">
        <f>SUM(AN214:AP214)</f>
        <v>34982.910759138613</v>
      </c>
      <c r="AN214" s="29">
        <f>(VLOOKUP(C214,$B$4:$AK$7,17,FALSE)+VLOOKUP(C214,$B$8:$AK$11,17,FALSE)*입력란!$C$23)*입력란!$C$38/100</f>
        <v>27988.781570991057</v>
      </c>
      <c r="AO214" s="29">
        <f>(VLOOKUP(C214,$B$4:$AK$7,18,FALSE)+VLOOKUP(C214,$B$8:$AK$11,18,FALSE)*입력란!$C$23)*입력란!$C$38/100</f>
        <v>6994.1291881475554</v>
      </c>
      <c r="AP214" s="29"/>
      <c r="AQ214" s="29"/>
      <c r="AR214" s="28">
        <v>30</v>
      </c>
    </row>
    <row r="215" spans="2:44" ht="13.5" customHeight="1" x14ac:dyDescent="0.3">
      <c r="B215" s="30">
        <v>200</v>
      </c>
      <c r="C215" s="35">
        <v>7</v>
      </c>
      <c r="D215" s="42" t="s">
        <v>165</v>
      </c>
      <c r="E215" s="37" t="s">
        <v>152</v>
      </c>
      <c r="F215" s="39"/>
      <c r="G215" s="39"/>
      <c r="H215" s="51">
        <f>I215/AJ215</f>
        <v>5333.2911876510316</v>
      </c>
      <c r="I215" s="52">
        <f>SUM(J215:Q215)*IF(입력란!C$15=1,1.04,IF(입력란!C$15=2,1.1,IF(입력란!C$15=3,1.2,1)))*IF(입력란!$C$13&lt;&gt;0,0,1)*IF(입력란!$C$17&lt;&gt;0,0.98,1)</f>
        <v>153231.93586973968</v>
      </c>
      <c r="J215" s="29">
        <f>S215*(1+IF($AK215+IF(입력란!$C$19=1,10,0)&gt;100,100,$AK215+IF(입력란!$C$19=1,10,0))/100*($AL215/100-1))</f>
        <v>122592.66042463545</v>
      </c>
      <c r="K215" s="29">
        <f>T215*(1+IF($AK215+IF(입력란!$C$19=1,10,0)&gt;100,100,$AK215+IF(입력란!$C$19=1,10,0))/100*($AL215/100-1))</f>
        <v>30639.275445104213</v>
      </c>
      <c r="L215" s="29"/>
      <c r="M215" s="29"/>
      <c r="N215" s="38"/>
      <c r="O215" s="38"/>
      <c r="P215" s="38"/>
      <c r="Q215" s="34"/>
      <c r="R215" s="23">
        <f>SUM(S215:Z215)</f>
        <v>125229.81378275881</v>
      </c>
      <c r="S215" s="29">
        <f>AN215*3*IF(MID(E215,3,1)="1",트라이포드!$J$16/3,트라이포드!$I$16)*IF(MID(E215,3,1)="2",트라이포드!$L$16,트라이포드!$K$16)*IF(MID(E215,3,1)="3",5/3,1)*IF(MID(E215,5,1)="1",트라이포드!$P$16,트라이포드!$O$16)*IF(MID(E215,5,1)="2",트라이포드!$R$16,트라이포드!$Q$16)*(1+입력란!$C$33/100)</f>
        <v>100189.66313367484</v>
      </c>
      <c r="T215" s="29">
        <f>AO215*3*IF(MID(E215,3,1)="1",1/3,1)*IF(MID(E215,3,1)="3",5/3,1)*IF(MID(E215,5,1)="1",트라이포드!$P$16,트라이포드!$O$16)*IF(MID(E215,5,1)="2",트라이포드!$R$16,트라이포드!$Q$16)*(1+입력란!$C$33/100)</f>
        <v>25040.150649083971</v>
      </c>
      <c r="U215" s="29"/>
      <c r="V215" s="29"/>
      <c r="W215" s="29"/>
      <c r="X215" s="38"/>
      <c r="Y215" s="38"/>
      <c r="Z215" s="26"/>
      <c r="AA215" s="29">
        <f>SUM(AB215:AI215)</f>
        <v>250459.62756551761</v>
      </c>
      <c r="AB215" s="29">
        <f>S215*2</f>
        <v>200379.32626734968</v>
      </c>
      <c r="AC215" s="29">
        <f>T215*2</f>
        <v>50080.301298167942</v>
      </c>
      <c r="AD215" s="29"/>
      <c r="AE215" s="29"/>
      <c r="AF215" s="38"/>
      <c r="AG215" s="38"/>
      <c r="AH215" s="38"/>
      <c r="AI215" s="26"/>
      <c r="AJ215" s="25">
        <f>(AR215-IF(MID(E215,1,1)="1",트라이포드!$D$16,트라이포드!$C$16))*(1-입력란!$C$29/100)</f>
        <v>28.731215018700002</v>
      </c>
      <c r="AK21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5" s="25">
        <f>입력란!$C$37+IF(입력란!$C$17=1,10,IF(입력란!$C$17=2,25,IF(입력란!$C$17=3,50,0)))</f>
        <v>200</v>
      </c>
      <c r="AM215" s="29">
        <f>SUM(AN215:AP215)</f>
        <v>35044.778349938199</v>
      </c>
      <c r="AN215" s="29">
        <f>(VLOOKUP(C215,$B$4:$AK$7,17,FALSE)+VLOOKUP(C215,$B$8:$AK$11,17,FALSE)*입력란!$C$23)*입력란!$C$38/100</f>
        <v>28037.449161790642</v>
      </c>
      <c r="AO215" s="29">
        <f>(VLOOKUP(C215,$B$4:$AK$7,18,FALSE)+VLOOKUP(C215,$B$8:$AK$11,18,FALSE)*입력란!$C$23)*입력란!$C$38/100</f>
        <v>7007.3291881475552</v>
      </c>
      <c r="AP215" s="29"/>
      <c r="AQ215" s="29"/>
      <c r="AR215" s="28">
        <v>30</v>
      </c>
    </row>
    <row r="216" spans="2:44" ht="13.5" customHeight="1" x14ac:dyDescent="0.3">
      <c r="B216" s="30">
        <v>201</v>
      </c>
      <c r="C216" s="35">
        <v>7</v>
      </c>
      <c r="D216" s="42" t="s">
        <v>31</v>
      </c>
      <c r="E216" s="37" t="s">
        <v>315</v>
      </c>
      <c r="F216" s="39"/>
      <c r="G216" s="39"/>
      <c r="H216" s="51">
        <f>I216/AJ216</f>
        <v>11111.023307606316</v>
      </c>
      <c r="I216" s="52">
        <f>SUM(J216:Q216)*IF(입력란!C$15=1,1.04,IF(입력란!C$15=2,1.1,IF(입력란!C$15=3,1.2,1)))*IF(입력란!$C$13&lt;&gt;0,0,1)*IF(입력란!$C$17&lt;&gt;0,0.98,1)</f>
        <v>255386.55978289945</v>
      </c>
      <c r="J216" s="29">
        <f>S216*(1+IF($AK216+IF(입력란!$C$19=1,10,0)&gt;100,100,$AK216+IF(입력란!$C$19=1,10,0))/100*($AL216/100-1))</f>
        <v>204321.10070772577</v>
      </c>
      <c r="K216" s="29">
        <f>T216*(1+IF($AK216+IF(입력란!$C$19=1,10,0)&gt;100,100,$AK216+IF(입력란!$C$19=1,10,0))/100*($AL216/100-1))</f>
        <v>51065.459075173691</v>
      </c>
      <c r="L216" s="29"/>
      <c r="M216" s="29"/>
      <c r="N216" s="38"/>
      <c r="O216" s="38"/>
      <c r="P216" s="38"/>
      <c r="Q216" s="34"/>
      <c r="R216" s="23">
        <f>SUM(S216:Z216)</f>
        <v>208716.35630459804</v>
      </c>
      <c r="S216" s="29">
        <f>AN216*3*IF(MID(E216,3,1)="1",트라이포드!$J$16/3,트라이포드!$I$16)*IF(MID(E216,3,1)="2",트라이포드!$L$16,트라이포드!$K$16)*IF(MID(E216,3,1)="3",5/3,1)*IF(MID(E216,5,1)="1",트라이포드!$P$16,트라이포드!$O$16)*IF(MID(E216,5,1)="2",트라이포드!$R$16,트라이포드!$Q$16)*(1+입력란!$C$33/100)</f>
        <v>166982.77188945809</v>
      </c>
      <c r="T216" s="29">
        <f>AO216*3*IF(MID(E216,3,1)="1",1/3,1)*IF(MID(E216,3,1)="3",5/3,1)*IF(MID(E216,5,1)="1",트라이포드!$P$16,트라이포드!$O$16)*IF(MID(E216,5,1)="2",트라이포드!$R$16,트라이포드!$Q$16)*(1+입력란!$C$33/100)</f>
        <v>41733.584415139958</v>
      </c>
      <c r="U216" s="29"/>
      <c r="V216" s="29"/>
      <c r="W216" s="29"/>
      <c r="X216" s="38"/>
      <c r="Y216" s="38"/>
      <c r="Z216" s="26"/>
      <c r="AA216" s="29">
        <f>SUM(AB216:AI216)</f>
        <v>417432.71260919608</v>
      </c>
      <c r="AB216" s="29">
        <f>S216*2</f>
        <v>333965.54377891618</v>
      </c>
      <c r="AC216" s="29">
        <f>T216*2</f>
        <v>83467.168830279916</v>
      </c>
      <c r="AD216" s="29"/>
      <c r="AE216" s="29"/>
      <c r="AF216" s="38"/>
      <c r="AG216" s="38"/>
      <c r="AH216" s="38"/>
      <c r="AI216" s="26"/>
      <c r="AJ216" s="25">
        <f>(AR216-IF(MID(E216,1,1)="1",트라이포드!$D$16,트라이포드!$C$16))*(1-입력란!$C$29/100)</f>
        <v>22.98497201496</v>
      </c>
      <c r="AK21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6" s="25">
        <f>입력란!$C$37+IF(입력란!$C$17=1,10,IF(입력란!$C$17=2,25,IF(입력란!$C$17=3,50,0)))</f>
        <v>200</v>
      </c>
      <c r="AM216" s="29">
        <f>SUM(AN216:AP216)</f>
        <v>35044.778349938199</v>
      </c>
      <c r="AN216" s="29">
        <f>(VLOOKUP(C216,$B$4:$AK$7,17,FALSE)+VLOOKUP(C216,$B$8:$AK$11,17,FALSE)*입력란!$C$23)*입력란!$C$38/100</f>
        <v>28037.449161790642</v>
      </c>
      <c r="AO216" s="29">
        <f>(VLOOKUP(C216,$B$4:$AK$7,18,FALSE)+VLOOKUP(C216,$B$8:$AK$11,18,FALSE)*입력란!$C$23)*입력란!$C$38/100</f>
        <v>7007.3291881475552</v>
      </c>
      <c r="AP216" s="29"/>
      <c r="AQ216" s="29"/>
      <c r="AR216" s="28">
        <v>30</v>
      </c>
    </row>
    <row r="217" spans="2:44" ht="13.5" customHeight="1" x14ac:dyDescent="0.3">
      <c r="B217" s="30">
        <v>202</v>
      </c>
      <c r="C217" s="35">
        <v>7</v>
      </c>
      <c r="D217" s="42" t="s">
        <v>165</v>
      </c>
      <c r="E217" s="37" t="s">
        <v>303</v>
      </c>
      <c r="F217" s="39"/>
      <c r="G217" s="39"/>
      <c r="H217" s="51">
        <f>I217/AJ217</f>
        <v>8888.818646085052</v>
      </c>
      <c r="I217" s="52">
        <f>SUM(J217:Q217)*IF(입력란!C$15=1,1.04,IF(입력란!C$15=2,1.1,IF(입력란!C$15=3,1.2,1)))*IF(입력란!$C$13&lt;&gt;0,0,1)*IF(입력란!$C$17&lt;&gt;0,0.98,1)</f>
        <v>255386.55978289945</v>
      </c>
      <c r="J217" s="29">
        <f>S217*(1+IF($AK217+IF(입력란!$C$19=1,10,0)&gt;100,100,$AK217+IF(입력란!$C$19=1,10,0))/100*($AL217/100-1))</f>
        <v>204321.10070772577</v>
      </c>
      <c r="K217" s="29">
        <f>T217*(1+IF($AK217+IF(입력란!$C$19=1,10,0)&gt;100,100,$AK217+IF(입력란!$C$19=1,10,0))/100*($AL217/100-1))</f>
        <v>51065.459075173691</v>
      </c>
      <c r="L217" s="29"/>
      <c r="M217" s="29"/>
      <c r="N217" s="38"/>
      <c r="O217" s="38"/>
      <c r="P217" s="38"/>
      <c r="Q217" s="34"/>
      <c r="R217" s="23">
        <f>SUM(S217:Z217)</f>
        <v>208716.35630459804</v>
      </c>
      <c r="S217" s="29">
        <f>AN217*3*IF(MID(E217,3,1)="1",트라이포드!$J$16/3,트라이포드!$I$16)*IF(MID(E217,3,1)="2",트라이포드!$L$16,트라이포드!$K$16)*IF(MID(E217,3,1)="3",5/3,1)*IF(MID(E217,5,1)="1",트라이포드!$P$16,트라이포드!$O$16)*IF(MID(E217,5,1)="2",트라이포드!$R$16,트라이포드!$Q$16)*(1+입력란!$C$33/100)</f>
        <v>166982.77188945809</v>
      </c>
      <c r="T217" s="29">
        <f>AO217*3*IF(MID(E217,3,1)="1",1/3,1)*IF(MID(E217,3,1)="3",5/3,1)*IF(MID(E217,5,1)="1",트라이포드!$P$16,트라이포드!$O$16)*IF(MID(E217,5,1)="2",트라이포드!$R$16,트라이포드!$Q$16)*(1+입력란!$C$33/100)</f>
        <v>41733.584415139958</v>
      </c>
      <c r="U217" s="29"/>
      <c r="V217" s="29"/>
      <c r="W217" s="29"/>
      <c r="X217" s="38"/>
      <c r="Y217" s="38"/>
      <c r="Z217" s="26"/>
      <c r="AA217" s="29">
        <f>SUM(AB217:AI217)</f>
        <v>417432.71260919608</v>
      </c>
      <c r="AB217" s="29">
        <f>S217*2</f>
        <v>333965.54377891618</v>
      </c>
      <c r="AC217" s="29">
        <f>T217*2</f>
        <v>83467.168830279916</v>
      </c>
      <c r="AD217" s="29"/>
      <c r="AE217" s="29"/>
      <c r="AF217" s="38"/>
      <c r="AG217" s="38"/>
      <c r="AH217" s="38"/>
      <c r="AI217" s="26"/>
      <c r="AJ217" s="25">
        <f>(AR217-IF(MID(E217,1,1)="1",트라이포드!$D$16,트라이포드!$C$16))*(1-입력란!$C$29/100)</f>
        <v>28.731215018700002</v>
      </c>
      <c r="AK21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7" s="25">
        <f>입력란!$C$37+IF(입력란!$C$17=1,10,IF(입력란!$C$17=2,25,IF(입력란!$C$17=3,50,0)))</f>
        <v>200</v>
      </c>
      <c r="AM217" s="29">
        <f>SUM(AN217:AP217)</f>
        <v>35044.778349938199</v>
      </c>
      <c r="AN217" s="29">
        <f>(VLOOKUP(C217,$B$4:$AK$7,17,FALSE)+VLOOKUP(C217,$B$8:$AK$11,17,FALSE)*입력란!$C$23)*입력란!$C$38/100</f>
        <v>28037.449161790642</v>
      </c>
      <c r="AO217" s="29">
        <f>(VLOOKUP(C217,$B$4:$AK$7,18,FALSE)+VLOOKUP(C217,$B$8:$AK$11,18,FALSE)*입력란!$C$23)*입력란!$C$38/100</f>
        <v>7007.3291881475552</v>
      </c>
      <c r="AP217" s="29"/>
      <c r="AQ217" s="29"/>
      <c r="AR217" s="28">
        <v>30</v>
      </c>
    </row>
    <row r="218" spans="2:44" ht="13.5" customHeight="1" x14ac:dyDescent="0.3">
      <c r="B218" s="30">
        <v>203</v>
      </c>
      <c r="C218" s="35">
        <v>7</v>
      </c>
      <c r="D218" s="42" t="s">
        <v>31</v>
      </c>
      <c r="E218" s="37" t="s">
        <v>313</v>
      </c>
      <c r="F218" s="39"/>
      <c r="G218" s="39"/>
      <c r="H218" s="51">
        <f>I218/AJ218</f>
        <v>6844.6585108827285</v>
      </c>
      <c r="I218" s="52">
        <f>SUM(J218:Q218)*IF(입력란!C$15=1,1.04,IF(입력란!C$15=2,1.1,IF(입력란!C$15=3,1.2,1)))*IF(입력란!$C$13&lt;&gt;0,0,1)*IF(입력란!$C$17&lt;&gt;0,0.98,1)</f>
        <v>157324.28432459731</v>
      </c>
      <c r="J218" s="29">
        <f>S218*(1+IF($AK218+IF(입력란!$C$19=1,10,0)&gt;100,100,$AK218+IF(입력란!$C$19=1,10,0))/100*($AL218/100-1))</f>
        <v>147111.19250956256</v>
      </c>
      <c r="K218" s="29">
        <f>T218*(1+IF($AK218+IF(입력란!$C$19=1,10,0)&gt;100,100,$AK218+IF(입력란!$C$19=1,10,0))/100*($AL218/100-1))</f>
        <v>10213.091815034737</v>
      </c>
      <c r="L218" s="29"/>
      <c r="M218" s="29"/>
      <c r="N218" s="38"/>
      <c r="O218" s="38"/>
      <c r="P218" s="38"/>
      <c r="Q218" s="34"/>
      <c r="R218" s="23">
        <f>SUM(S218:Z218)</f>
        <v>128574.31264343781</v>
      </c>
      <c r="S218" s="29">
        <f>AN218*3*IF(MID(E218,3,1)="1",트라이포드!$J$16/3,트라이포드!$I$16)*IF(MID(E218,3,1)="2",트라이포드!$L$16,트라이포드!$K$16)*IF(MID(E218,3,1)="3",5/3,1)*IF(MID(E218,5,1)="1",트라이포드!$P$16,트라이포드!$O$16)*IF(MID(E218,5,1)="2",트라이포드!$R$16,트라이포드!$Q$16)*(1+입력란!$C$33/100)</f>
        <v>120227.59576040982</v>
      </c>
      <c r="T218" s="29">
        <f>AO218*3*IF(MID(E218,3,1)="1",1/3,1)*IF(MID(E218,3,1)="3",5/3,1)*IF(MID(E218,5,1)="1",트라이포드!$P$16,트라이포드!$O$16)*IF(MID(E218,5,1)="2",트라이포드!$R$16,트라이포드!$Q$16)*(1+입력란!$C$33/100)</f>
        <v>8346.7168830279898</v>
      </c>
      <c r="U218" s="29"/>
      <c r="V218" s="29"/>
      <c r="W218" s="29"/>
      <c r="X218" s="38"/>
      <c r="Y218" s="38"/>
      <c r="Z218" s="26"/>
      <c r="AA218" s="29">
        <f>SUM(AB218:AI218)</f>
        <v>257148.62528687561</v>
      </c>
      <c r="AB218" s="29">
        <f>S218*2</f>
        <v>240455.19152081964</v>
      </c>
      <c r="AC218" s="29">
        <f>T218*2</f>
        <v>16693.43376605598</v>
      </c>
      <c r="AD218" s="29"/>
      <c r="AE218" s="29"/>
      <c r="AF218" s="38"/>
      <c r="AG218" s="38"/>
      <c r="AH218" s="38"/>
      <c r="AI218" s="26"/>
      <c r="AJ218" s="25">
        <f>(AR218-IF(MID(E218,1,1)="1",트라이포드!$D$16,트라이포드!$C$16))*(1-입력란!$C$29/100)</f>
        <v>22.98497201496</v>
      </c>
      <c r="AK21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8" s="25">
        <f>입력란!$C$37+IF(입력란!$C$17=1,10,IF(입력란!$C$17=2,25,IF(입력란!$C$17=3,50,0)))</f>
        <v>200</v>
      </c>
      <c r="AM218" s="29">
        <f>SUM(AN218:AP218)</f>
        <v>35044.778349938199</v>
      </c>
      <c r="AN218" s="29">
        <f>(VLOOKUP(C218,$B$4:$AK$7,17,FALSE)+VLOOKUP(C218,$B$8:$AK$11,17,FALSE)*입력란!$C$23)*입력란!$C$38/100</f>
        <v>28037.449161790642</v>
      </c>
      <c r="AO218" s="29">
        <f>(VLOOKUP(C218,$B$4:$AK$7,18,FALSE)+VLOOKUP(C218,$B$8:$AK$11,18,FALSE)*입력란!$C$23)*입력란!$C$38/100</f>
        <v>7007.3291881475552</v>
      </c>
      <c r="AP218" s="29"/>
      <c r="AQ218" s="29"/>
      <c r="AR218" s="28">
        <v>30</v>
      </c>
    </row>
    <row r="219" spans="2:44" ht="13.5" customHeight="1" x14ac:dyDescent="0.3">
      <c r="B219" s="30">
        <v>204</v>
      </c>
      <c r="C219" s="35">
        <v>7</v>
      </c>
      <c r="D219" s="42" t="s">
        <v>31</v>
      </c>
      <c r="E219" s="37" t="s">
        <v>293</v>
      </c>
      <c r="F219" s="39"/>
      <c r="G219" s="39"/>
      <c r="H219" s="51">
        <f>I219/AJ219</f>
        <v>5475.726808706183</v>
      </c>
      <c r="I219" s="52">
        <f>SUM(J219:Q219)*IF(입력란!C$15=1,1.04,IF(입력란!C$15=2,1.1,IF(입력란!C$15=3,1.2,1)))*IF(입력란!$C$13&lt;&gt;0,0,1)*IF(입력란!$C$17&lt;&gt;0,0.98,1)</f>
        <v>157324.28432459731</v>
      </c>
      <c r="J219" s="29">
        <f>S219*(1+IF($AK219+IF(입력란!$C$19=1,10,0)&gt;100,100,$AK219+IF(입력란!$C$19=1,10,0))/100*($AL219/100-1))</f>
        <v>147111.19250956256</v>
      </c>
      <c r="K219" s="29">
        <f>T219*(1+IF($AK219+IF(입력란!$C$19=1,10,0)&gt;100,100,$AK219+IF(입력란!$C$19=1,10,0))/100*($AL219/100-1))</f>
        <v>10213.091815034737</v>
      </c>
      <c r="L219" s="29"/>
      <c r="M219" s="29"/>
      <c r="N219" s="38"/>
      <c r="O219" s="38"/>
      <c r="P219" s="38"/>
      <c r="Q219" s="34"/>
      <c r="R219" s="23">
        <f>SUM(S219:Z219)</f>
        <v>128574.31264343781</v>
      </c>
      <c r="S219" s="29">
        <f>AN219*3*IF(MID(E219,3,1)="1",트라이포드!$J$16/3,트라이포드!$I$16)*IF(MID(E219,3,1)="2",트라이포드!$L$16,트라이포드!$K$16)*IF(MID(E219,3,1)="3",5/3,1)*IF(MID(E219,5,1)="1",트라이포드!$P$16,트라이포드!$O$16)*IF(MID(E219,5,1)="2",트라이포드!$R$16,트라이포드!$Q$16)*(1+입력란!$C$33/100)</f>
        <v>120227.59576040982</v>
      </c>
      <c r="T219" s="29">
        <f>AO219*3*IF(MID(E219,3,1)="1",1/3,1)*IF(MID(E219,3,1)="3",5/3,1)*IF(MID(E219,5,1)="1",트라이포드!$P$16,트라이포드!$O$16)*IF(MID(E219,5,1)="2",트라이포드!$R$16,트라이포드!$Q$16)*(1+입력란!$C$33/100)</f>
        <v>8346.7168830279898</v>
      </c>
      <c r="U219" s="29"/>
      <c r="V219" s="29"/>
      <c r="W219" s="29"/>
      <c r="X219" s="38"/>
      <c r="Y219" s="38"/>
      <c r="Z219" s="26"/>
      <c r="AA219" s="29">
        <f>SUM(AB219:AI219)</f>
        <v>257148.62528687561</v>
      </c>
      <c r="AB219" s="29">
        <f>S219*2</f>
        <v>240455.19152081964</v>
      </c>
      <c r="AC219" s="29">
        <f>T219*2</f>
        <v>16693.43376605598</v>
      </c>
      <c r="AD219" s="29"/>
      <c r="AE219" s="29"/>
      <c r="AF219" s="38"/>
      <c r="AG219" s="38"/>
      <c r="AH219" s="38"/>
      <c r="AI219" s="26"/>
      <c r="AJ219" s="25">
        <f>(AR219-IF(MID(E219,1,1)="1",트라이포드!$D$16,트라이포드!$C$16))*(1-입력란!$C$29/100)</f>
        <v>28.731215018700002</v>
      </c>
      <c r="AK21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19" s="25">
        <f>입력란!$C$37+IF(입력란!$C$17=1,10,IF(입력란!$C$17=2,25,IF(입력란!$C$17=3,50,0)))</f>
        <v>200</v>
      </c>
      <c r="AM219" s="29">
        <f>SUM(AN219:AP219)</f>
        <v>35044.778349938199</v>
      </c>
      <c r="AN219" s="29">
        <f>(VLOOKUP(C219,$B$4:$AK$7,17,FALSE)+VLOOKUP(C219,$B$8:$AK$11,17,FALSE)*입력란!$C$23)*입력란!$C$38/100</f>
        <v>28037.449161790642</v>
      </c>
      <c r="AO219" s="29">
        <f>(VLOOKUP(C219,$B$4:$AK$7,18,FALSE)+VLOOKUP(C219,$B$8:$AK$11,18,FALSE)*입력란!$C$23)*입력란!$C$38/100</f>
        <v>7007.3291881475552</v>
      </c>
      <c r="AP219" s="29"/>
      <c r="AQ219" s="29"/>
      <c r="AR219" s="28">
        <v>30</v>
      </c>
    </row>
    <row r="220" spans="2:44" ht="13.5" customHeight="1" x14ac:dyDescent="0.3">
      <c r="B220" s="30">
        <v>205</v>
      </c>
      <c r="C220" s="35">
        <v>7</v>
      </c>
      <c r="D220" s="42" t="s">
        <v>31</v>
      </c>
      <c r="E220" s="37" t="s">
        <v>314</v>
      </c>
      <c r="F220" s="39"/>
      <c r="G220" s="39"/>
      <c r="H220" s="51">
        <f>I220/AJ220</f>
        <v>8266.6941631889113</v>
      </c>
      <c r="I220" s="52">
        <f>SUM(J220:Q220)*IF(입력란!C$15=1,1.04,IF(입력란!C$15=2,1.1,IF(입력란!C$15=3,1.2,1)))*IF(입력란!$C$13&lt;&gt;0,0,1)*IF(입력란!$C$17&lt;&gt;0,0.98,1)</f>
        <v>190009.7339971303</v>
      </c>
      <c r="J220" s="29">
        <f>S220*(1+IF($AK220+IF(입력란!$C$19=1,10,0)&gt;100,100,$AK220+IF(입력란!$C$19=1,10,0))/100*($AL220/100-1))</f>
        <v>159370.4585520261</v>
      </c>
      <c r="K220" s="29">
        <f>T220*(1+IF($AK220+IF(입력란!$C$19=1,10,0)&gt;100,100,$AK220+IF(입력란!$C$19=1,10,0))/100*($AL220/100-1))</f>
        <v>30639.275445104213</v>
      </c>
      <c r="L220" s="29"/>
      <c r="M220" s="29"/>
      <c r="N220" s="38"/>
      <c r="O220" s="38"/>
      <c r="P220" s="38"/>
      <c r="Q220" s="34"/>
      <c r="R220" s="23">
        <f>SUM(S220:Z220)</f>
        <v>155286.71272286127</v>
      </c>
      <c r="S220" s="29">
        <f>AN220*3*IF(MID(E220,3,1)="1",트라이포드!$J$16/3,트라이포드!$I$16)*IF(MID(E220,3,1)="2",트라이포드!$L$16,트라이포드!$K$16)*IF(MID(E220,3,1)="3",5/3,1)*IF(MID(E220,5,1)="1",트라이포드!$P$16,트라이포드!$O$16)*IF(MID(E220,5,1)="2",트라이포드!$R$16,트라이포드!$Q$16)*(1+입력란!$C$33/100)</f>
        <v>130246.5620737773</v>
      </c>
      <c r="T220" s="29">
        <f>AO220*3*IF(MID(E220,3,1)="1",1/3,1)*IF(MID(E220,3,1)="3",5/3,1)*IF(MID(E220,5,1)="1",트라이포드!$P$16,트라이포드!$O$16)*IF(MID(E220,5,1)="2",트라이포드!$R$16,트라이포드!$Q$16)*(1+입력란!$C$33/100)</f>
        <v>25040.150649083971</v>
      </c>
      <c r="U220" s="29"/>
      <c r="V220" s="29"/>
      <c r="W220" s="29"/>
      <c r="X220" s="38"/>
      <c r="Y220" s="38"/>
      <c r="Z220" s="26"/>
      <c r="AA220" s="29">
        <f>SUM(AB220:AI220)</f>
        <v>310573.42544572253</v>
      </c>
      <c r="AB220" s="29">
        <f>S220*2</f>
        <v>260493.1241475546</v>
      </c>
      <c r="AC220" s="29">
        <f>T220*2</f>
        <v>50080.301298167942</v>
      </c>
      <c r="AD220" s="29"/>
      <c r="AE220" s="29"/>
      <c r="AF220" s="38"/>
      <c r="AG220" s="38"/>
      <c r="AH220" s="38"/>
      <c r="AI220" s="26"/>
      <c r="AJ220" s="25">
        <f>(AR220-IF(MID(E220,1,1)="1",트라이포드!$D$16,트라이포드!$C$16))*(1-입력란!$C$29/100)</f>
        <v>22.98497201496</v>
      </c>
      <c r="AK22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0" s="25">
        <f>입력란!$C$37+IF(입력란!$C$17=1,10,IF(입력란!$C$17=2,25,IF(입력란!$C$17=3,50,0)))</f>
        <v>200</v>
      </c>
      <c r="AM220" s="29">
        <f>SUM(AN220:AP220)</f>
        <v>35044.778349938199</v>
      </c>
      <c r="AN220" s="29">
        <f>(VLOOKUP(C220,$B$4:$AK$7,17,FALSE)+VLOOKUP(C220,$B$8:$AK$11,17,FALSE)*입력란!$C$23)*입력란!$C$38/100</f>
        <v>28037.449161790642</v>
      </c>
      <c r="AO220" s="29">
        <f>(VLOOKUP(C220,$B$4:$AK$7,18,FALSE)+VLOOKUP(C220,$B$8:$AK$11,18,FALSE)*입력란!$C$23)*입력란!$C$38/100</f>
        <v>7007.3291881475552</v>
      </c>
      <c r="AP220" s="29"/>
      <c r="AQ220" s="29"/>
      <c r="AR220" s="28">
        <v>30</v>
      </c>
    </row>
    <row r="221" spans="2:44" ht="13.5" customHeight="1" x14ac:dyDescent="0.3">
      <c r="B221" s="30">
        <v>206</v>
      </c>
      <c r="C221" s="35">
        <v>7</v>
      </c>
      <c r="D221" s="42" t="s">
        <v>31</v>
      </c>
      <c r="E221" s="37" t="s">
        <v>291</v>
      </c>
      <c r="F221" s="39"/>
      <c r="G221" s="39"/>
      <c r="H221" s="51">
        <f>I221/AJ221</f>
        <v>6613.3553305511286</v>
      </c>
      <c r="I221" s="52">
        <f>SUM(J221:Q221)*IF(입력란!C$15=1,1.04,IF(입력란!C$15=2,1.1,IF(입력란!C$15=3,1.2,1)))*IF(입력란!$C$13&lt;&gt;0,0,1)*IF(입력란!$C$17&lt;&gt;0,0.98,1)</f>
        <v>190009.7339971303</v>
      </c>
      <c r="J221" s="29">
        <f>S221*(1+IF($AK221+IF(입력란!$C$19=1,10,0)&gt;100,100,$AK221+IF(입력란!$C$19=1,10,0))/100*($AL221/100-1))</f>
        <v>159370.4585520261</v>
      </c>
      <c r="K221" s="29">
        <f>T221*(1+IF($AK221+IF(입력란!$C$19=1,10,0)&gt;100,100,$AK221+IF(입력란!$C$19=1,10,0))/100*($AL221/100-1))</f>
        <v>30639.275445104213</v>
      </c>
      <c r="L221" s="29"/>
      <c r="M221" s="29"/>
      <c r="N221" s="38"/>
      <c r="O221" s="38"/>
      <c r="P221" s="38"/>
      <c r="Q221" s="34"/>
      <c r="R221" s="23">
        <f>SUM(S221:Z221)</f>
        <v>155286.71272286127</v>
      </c>
      <c r="S221" s="29">
        <f>AN221*3*IF(MID(E221,3,1)="1",트라이포드!$J$16/3,트라이포드!$I$16)*IF(MID(E221,3,1)="2",트라이포드!$L$16,트라이포드!$K$16)*IF(MID(E221,3,1)="3",5/3,1)*IF(MID(E221,5,1)="1",트라이포드!$P$16,트라이포드!$O$16)*IF(MID(E221,5,1)="2",트라이포드!$R$16,트라이포드!$Q$16)*(1+입력란!$C$33/100)</f>
        <v>130246.5620737773</v>
      </c>
      <c r="T221" s="29">
        <f>AO221*3*IF(MID(E221,3,1)="1",1/3,1)*IF(MID(E221,3,1)="3",5/3,1)*IF(MID(E221,5,1)="1",트라이포드!$P$16,트라이포드!$O$16)*IF(MID(E221,5,1)="2",트라이포드!$R$16,트라이포드!$Q$16)*(1+입력란!$C$33/100)</f>
        <v>25040.150649083971</v>
      </c>
      <c r="U221" s="29"/>
      <c r="V221" s="29"/>
      <c r="W221" s="29"/>
      <c r="X221" s="38"/>
      <c r="Y221" s="38"/>
      <c r="Z221" s="26"/>
      <c r="AA221" s="29">
        <f>SUM(AB221:AI221)</f>
        <v>310573.42544572253</v>
      </c>
      <c r="AB221" s="29">
        <f>S221*2</f>
        <v>260493.1241475546</v>
      </c>
      <c r="AC221" s="29">
        <f>T221*2</f>
        <v>50080.301298167942</v>
      </c>
      <c r="AD221" s="29"/>
      <c r="AE221" s="29"/>
      <c r="AF221" s="38"/>
      <c r="AG221" s="38"/>
      <c r="AH221" s="38"/>
      <c r="AI221" s="26"/>
      <c r="AJ221" s="25">
        <f>(AR221-IF(MID(E221,1,1)="1",트라이포드!$D$16,트라이포드!$C$16))*(1-입력란!$C$29/100)</f>
        <v>28.731215018700002</v>
      </c>
      <c r="AK22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1" s="25">
        <f>입력란!$C$37+IF(입력란!$C$17=1,10,IF(입력란!$C$17=2,25,IF(입력란!$C$17=3,50,0)))</f>
        <v>200</v>
      </c>
      <c r="AM221" s="29">
        <f>SUM(AN221:AP221)</f>
        <v>35044.778349938199</v>
      </c>
      <c r="AN221" s="29">
        <f>(VLOOKUP(C221,$B$4:$AK$7,17,FALSE)+VLOOKUP(C221,$B$8:$AK$11,17,FALSE)*입력란!$C$23)*입력란!$C$38/100</f>
        <v>28037.449161790642</v>
      </c>
      <c r="AO221" s="29">
        <f>(VLOOKUP(C221,$B$4:$AK$7,18,FALSE)+VLOOKUP(C221,$B$8:$AK$11,18,FALSE)*입력란!$C$23)*입력란!$C$38/100</f>
        <v>7007.3291881475552</v>
      </c>
      <c r="AP221" s="29"/>
      <c r="AQ221" s="29"/>
      <c r="AR221" s="28">
        <v>30</v>
      </c>
    </row>
    <row r="222" spans="2:44" ht="13.5" customHeight="1" x14ac:dyDescent="0.3">
      <c r="B222" s="30">
        <v>207</v>
      </c>
      <c r="C222" s="35">
        <v>10</v>
      </c>
      <c r="D222" s="42" t="s">
        <v>165</v>
      </c>
      <c r="E222" s="37" t="s">
        <v>152</v>
      </c>
      <c r="F222" s="39"/>
      <c r="G222" s="39"/>
      <c r="H222" s="51">
        <f>I222/AJ222</f>
        <v>5340.6162205351211</v>
      </c>
      <c r="I222" s="52">
        <f>SUM(J222:Q222)*IF(입력란!C$15=1,1.04,IF(입력란!C$15=2,1.1,IF(입력란!C$15=3,1.2,1)))*IF(입력란!$C$13&lt;&gt;0,0,1)*IF(입력란!$C$17&lt;&gt;0,0.98,1)</f>
        <v>153442.39296455152</v>
      </c>
      <c r="J222" s="29">
        <f>S222*(1+IF($AK222+IF(입력란!$C$19=1,10,0)&gt;100,100,$AK222+IF(입력란!$C$19=1,10,0))/100*($AL222/100-1))</f>
        <v>122764.63986031679</v>
      </c>
      <c r="K222" s="29">
        <f>T222*(1+IF($AK222+IF(입력란!$C$19=1,10,0)&gt;100,100,$AK222+IF(입력란!$C$19=1,10,0))/100*($AL222/100-1))</f>
        <v>30677.75310423474</v>
      </c>
      <c r="L222" s="29"/>
      <c r="M222" s="29"/>
      <c r="N222" s="38"/>
      <c r="O222" s="38"/>
      <c r="P222" s="38"/>
      <c r="Q222" s="34"/>
      <c r="R222" s="23">
        <f>SUM(S222:Z222)</f>
        <v>125401.81123644207</v>
      </c>
      <c r="S222" s="29">
        <f>AN222*3*IF(MID(E222,3,1)="1",트라이포드!$J$16/3,트라이포드!$I$16)*IF(MID(E222,3,1)="2",트라이포드!$L$16,트라이포드!$K$16)*IF(MID(E222,3,1)="3",5/3,1)*IF(MID(E222,5,1)="1",트라이포드!$P$16,트라이포드!$O$16)*IF(MID(E222,5,1)="2",트라이포드!$R$16,트라이포드!$Q$16)*(1+입력란!$C$33/100)</f>
        <v>100330.21446576234</v>
      </c>
      <c r="T222" s="29">
        <f>AO222*3*IF(MID(E222,3,1)="1",1/3,1)*IF(MID(E222,3,1)="3",5/3,1)*IF(MID(E222,5,1)="1",트라이포드!$P$16,트라이포드!$O$16)*IF(MID(E222,5,1)="2",트라이포드!$R$16,트라이포드!$Q$16)*(1+입력란!$C$33/100)</f>
        <v>25071.596770679724</v>
      </c>
      <c r="U222" s="29"/>
      <c r="V222" s="29"/>
      <c r="W222" s="29"/>
      <c r="X222" s="38"/>
      <c r="Y222" s="38"/>
      <c r="Z222" s="26"/>
      <c r="AA222" s="29">
        <f>SUM(AB222:AI222)</f>
        <v>250803.62247288413</v>
      </c>
      <c r="AB222" s="29">
        <f>S222*2</f>
        <v>200660.42893152469</v>
      </c>
      <c r="AC222" s="29">
        <f>T222*2</f>
        <v>50143.193541359447</v>
      </c>
      <c r="AD222" s="29"/>
      <c r="AE222" s="29"/>
      <c r="AF222" s="38"/>
      <c r="AG222" s="38"/>
      <c r="AH222" s="38"/>
      <c r="AI222" s="26"/>
      <c r="AJ222" s="25">
        <f>(AR222-IF(MID(E222,1,1)="1",트라이포드!$D$16,트라이포드!$C$16))*(1-입력란!$C$29/100)</f>
        <v>28.731215018700002</v>
      </c>
      <c r="AK22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2" s="25">
        <f>입력란!$C$37+IF(입력란!$C$17=1,10,IF(입력란!$C$17=2,25,IF(입력란!$C$17=3,50,0)))</f>
        <v>200</v>
      </c>
      <c r="AM222" s="29">
        <f>SUM(AN222:AP222)</f>
        <v>35092.910759138613</v>
      </c>
      <c r="AN222" s="29">
        <f>(VLOOKUP(C222,$B$4:$AK$7,17,FALSE)+VLOOKUP(C222,$B$8:$AK$11,17,FALSE)*입력란!$C$23)*입력란!$C$38/100</f>
        <v>28076.781570991057</v>
      </c>
      <c r="AO222" s="29">
        <f>(VLOOKUP(C222,$B$4:$AK$7,18,FALSE)+VLOOKUP(C222,$B$8:$AK$11,18,FALSE)*입력란!$C$23)*입력란!$C$38/100</f>
        <v>7016.1291881475554</v>
      </c>
      <c r="AP222" s="29"/>
      <c r="AQ222" s="29"/>
      <c r="AR222" s="28">
        <v>30</v>
      </c>
    </row>
    <row r="223" spans="2:44" ht="13.5" customHeight="1" x14ac:dyDescent="0.3">
      <c r="B223" s="30">
        <v>208</v>
      </c>
      <c r="C223" s="35">
        <v>10</v>
      </c>
      <c r="D223" s="42" t="s">
        <v>165</v>
      </c>
      <c r="E223" s="37" t="s">
        <v>157</v>
      </c>
      <c r="F223" s="39"/>
      <c r="G223" s="39"/>
      <c r="H223" s="51">
        <f>I223/AJ223</f>
        <v>8010.9243308026826</v>
      </c>
      <c r="I223" s="52">
        <f>SUM(J223:Q223)*IF(입력란!C$15=1,1.04,IF(입력란!C$15=2,1.1,IF(입력란!C$15=3,1.2,1)))*IF(입력란!$C$13&lt;&gt;0,0,1)*IF(입력란!$C$17&lt;&gt;0,0.98,1)</f>
        <v>230163.5894468273</v>
      </c>
      <c r="J223" s="29">
        <f>S223*(1+IF($AK223+IF(입력란!$C$19=1,10,0)&gt;100,100,$AK223+IF(입력란!$C$19=1,10,0))/100*($AL223/100-1))</f>
        <v>184146.9597904752</v>
      </c>
      <c r="K223" s="29">
        <f>T223*(1+IF($AK223+IF(입력란!$C$19=1,10,0)&gt;100,100,$AK223+IF(입력란!$C$19=1,10,0))/100*($AL223/100-1))</f>
        <v>46016.62965635211</v>
      </c>
      <c r="L223" s="29"/>
      <c r="M223" s="29"/>
      <c r="N223" s="38"/>
      <c r="O223" s="38"/>
      <c r="P223" s="38"/>
      <c r="Q223" s="34"/>
      <c r="R223" s="23">
        <f>SUM(S223:Z223)</f>
        <v>188102.7168546631</v>
      </c>
      <c r="S223" s="29">
        <f>AN223*3*IF(MID(E223,3,1)="1",트라이포드!$J$16/3,트라이포드!$I$16)*IF(MID(E223,3,1)="2",트라이포드!$L$16,트라이포드!$K$16)*IF(MID(E223,3,1)="3",5/3,1)*IF(MID(E223,5,1)="1",트라이포드!$P$16,트라이포드!$O$16)*IF(MID(E223,5,1)="2",트라이포드!$R$16,트라이포드!$Q$16)*(1+입력란!$C$33/100)</f>
        <v>150495.32169864353</v>
      </c>
      <c r="T223" s="29">
        <f>AO223*3*IF(MID(E223,3,1)="1",1/3,1)*IF(MID(E223,3,1)="3",5/3,1)*IF(MID(E223,5,1)="1",트라이포드!$P$16,트라이포드!$O$16)*IF(MID(E223,5,1)="2",트라이포드!$R$16,트라이포드!$Q$16)*(1+입력란!$C$33/100)</f>
        <v>37607.395156019586</v>
      </c>
      <c r="U223" s="29"/>
      <c r="V223" s="29"/>
      <c r="W223" s="29"/>
      <c r="X223" s="38"/>
      <c r="Y223" s="38"/>
      <c r="Z223" s="26"/>
      <c r="AA223" s="29">
        <f>SUM(AB223:AI223)</f>
        <v>376205.4337093262</v>
      </c>
      <c r="AB223" s="29">
        <f>S223*2</f>
        <v>300990.64339728706</v>
      </c>
      <c r="AC223" s="29">
        <f>T223*2</f>
        <v>75214.790312039171</v>
      </c>
      <c r="AD223" s="29"/>
      <c r="AE223" s="29"/>
      <c r="AF223" s="38"/>
      <c r="AG223" s="38"/>
      <c r="AH223" s="38"/>
      <c r="AI223" s="26"/>
      <c r="AJ223" s="25">
        <f>(AR223-IF(MID(E223,1,1)="1",트라이포드!$D$16,트라이포드!$C$16))*(1-입력란!$C$29/100)</f>
        <v>28.731215018700002</v>
      </c>
      <c r="AK22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3" s="25">
        <f>입력란!$C$37+IF(입력란!$C$17=1,10,IF(입력란!$C$17=2,25,IF(입력란!$C$17=3,50,0)))</f>
        <v>200</v>
      </c>
      <c r="AM223" s="29">
        <f>SUM(AN223:AP223)</f>
        <v>35092.910759138613</v>
      </c>
      <c r="AN223" s="29">
        <f>(VLOOKUP(C223,$B$4:$AK$7,17,FALSE)+VLOOKUP(C223,$B$8:$AK$11,17,FALSE)*입력란!$C$23)*입력란!$C$38/100</f>
        <v>28076.781570991057</v>
      </c>
      <c r="AO223" s="29">
        <f>(VLOOKUP(C223,$B$4:$AK$7,18,FALSE)+VLOOKUP(C223,$B$8:$AK$11,18,FALSE)*입력란!$C$23)*입력란!$C$38/100</f>
        <v>7016.1291881475554</v>
      </c>
      <c r="AP223" s="29"/>
      <c r="AQ223" s="29"/>
      <c r="AR223" s="28">
        <v>30</v>
      </c>
    </row>
    <row r="224" spans="2:44" ht="13.5" customHeight="1" x14ac:dyDescent="0.3">
      <c r="B224" s="30">
        <v>209</v>
      </c>
      <c r="C224" s="35">
        <v>10</v>
      </c>
      <c r="D224" s="42" t="s">
        <v>165</v>
      </c>
      <c r="E224" s="37" t="s">
        <v>169</v>
      </c>
      <c r="F224" s="39" t="s">
        <v>176</v>
      </c>
      <c r="G224" s="39"/>
      <c r="H224" s="51">
        <f>I224/AJ224</f>
        <v>10681.232441070242</v>
      </c>
      <c r="I224" s="52">
        <f>SUM(J224:Q224)*IF(입력란!C$15=1,1.04,IF(입력란!C$15=2,1.1,IF(입력란!C$15=3,1.2,1)))*IF(입력란!$C$13&lt;&gt;0,0,1)*IF(입력란!$C$17&lt;&gt;0,0.98,1)</f>
        <v>306884.78592910303</v>
      </c>
      <c r="J224" s="29">
        <f>S224*(1+IF($AK224+IF(입력란!$C$19=1,10,0)&gt;100,100,$AK224+IF(입력란!$C$19=1,10,0))/100*($AL224/100-1))</f>
        <v>245529.27972063358</v>
      </c>
      <c r="K224" s="29">
        <f>T224*(1+IF($AK224+IF(입력란!$C$19=1,10,0)&gt;100,100,$AK224+IF(입력란!$C$19=1,10,0))/100*($AL224/100-1))</f>
        <v>61355.50620846948</v>
      </c>
      <c r="L224" s="29"/>
      <c r="M224" s="29"/>
      <c r="N224" s="38"/>
      <c r="O224" s="38"/>
      <c r="P224" s="38"/>
      <c r="Q224" s="34"/>
      <c r="R224" s="23">
        <f>SUM(S224:Z224)</f>
        <v>250803.62247288413</v>
      </c>
      <c r="S224" s="29">
        <f>AN224*3*IF(MID(E224,3,1)="1",트라이포드!$J$16/3,트라이포드!$I$16)*IF(MID(E224,3,1)="2",트라이포드!$L$16,트라이포드!$K$16)*IF(MID(E224,3,1)="3",5/3,1)*IF(MID(E224,5,1)="1",트라이포드!$P$16,트라이포드!$O$16)*IF(MID(E224,5,1)="2",트라이포드!$R$16,트라이포드!$Q$16)*(1+입력란!$C$33/100)</f>
        <v>200660.42893152469</v>
      </c>
      <c r="T224" s="29">
        <f>AO224*3*IF(MID(E224,3,1)="1",1/3,1)*IF(MID(E224,3,1)="3",5/3,1)*IF(MID(E224,5,1)="1",트라이포드!$P$16,트라이포드!$O$16)*IF(MID(E224,5,1)="2",트라이포드!$R$16,트라이포드!$Q$16)*(1+입력란!$C$33/100)</f>
        <v>50143.193541359447</v>
      </c>
      <c r="U224" s="29"/>
      <c r="V224" s="29"/>
      <c r="W224" s="29"/>
      <c r="X224" s="38"/>
      <c r="Y224" s="38"/>
      <c r="Z224" s="26"/>
      <c r="AA224" s="29">
        <f>SUM(AB224:AI224)</f>
        <v>501607.24494576827</v>
      </c>
      <c r="AB224" s="29">
        <f>S224*2</f>
        <v>401320.85786304937</v>
      </c>
      <c r="AC224" s="29">
        <f>T224*2</f>
        <v>100286.38708271889</v>
      </c>
      <c r="AD224" s="29"/>
      <c r="AE224" s="29"/>
      <c r="AF224" s="38"/>
      <c r="AG224" s="38"/>
      <c r="AH224" s="38"/>
      <c r="AI224" s="26"/>
      <c r="AJ224" s="25">
        <f>(AR224-IF(MID(E224,1,1)="1",트라이포드!$D$16,트라이포드!$C$16))*(1-입력란!$C$29/100)</f>
        <v>28.731215018700002</v>
      </c>
      <c r="AK22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4" s="25">
        <f>입력란!$C$37+IF(입력란!$C$17=1,10,IF(입력란!$C$17=2,25,IF(입력란!$C$17=3,50,0)))</f>
        <v>200</v>
      </c>
      <c r="AM224" s="29">
        <f>SUM(AN224:AP224)</f>
        <v>35092.910759138613</v>
      </c>
      <c r="AN224" s="29">
        <f>(VLOOKUP(C224,$B$4:$AK$7,17,FALSE)+VLOOKUP(C224,$B$8:$AK$11,17,FALSE)*입력란!$C$23)*입력란!$C$38/100</f>
        <v>28076.781570991057</v>
      </c>
      <c r="AO224" s="29">
        <f>(VLOOKUP(C224,$B$4:$AK$7,18,FALSE)+VLOOKUP(C224,$B$8:$AK$11,18,FALSE)*입력란!$C$23)*입력란!$C$38/100</f>
        <v>7016.1291881475554</v>
      </c>
      <c r="AP224" s="29"/>
      <c r="AQ224" s="29"/>
      <c r="AR224" s="28">
        <v>30</v>
      </c>
    </row>
    <row r="225" spans="2:44" ht="13.5" customHeight="1" x14ac:dyDescent="0.3">
      <c r="B225" s="30">
        <v>210</v>
      </c>
      <c r="C225" s="35">
        <v>10</v>
      </c>
      <c r="D225" s="42" t="s">
        <v>31</v>
      </c>
      <c r="E225" s="37" t="s">
        <v>163</v>
      </c>
      <c r="F225" s="39"/>
      <c r="G225" s="39"/>
      <c r="H225" s="51">
        <f>I225/AJ225</f>
        <v>16689.425689172258</v>
      </c>
      <c r="I225" s="52">
        <f>SUM(J225:Q225)*IF(입력란!C$15=1,1.04,IF(입력란!C$15=2,1.1,IF(입력란!C$15=3,1.2,1)))*IF(입력란!$C$13&lt;&gt;0,0,1)*IF(입력란!$C$17&lt;&gt;0,0.98,1)</f>
        <v>383605.98241137888</v>
      </c>
      <c r="J225" s="29">
        <f>S225*(1+IF($AK225+IF(입력란!$C$19=1,10,0)&gt;100,100,$AK225+IF(입력란!$C$19=1,10,0))/100*($AL225/100-1))</f>
        <v>306911.59965079202</v>
      </c>
      <c r="K225" s="29">
        <f>T225*(1+IF($AK225+IF(입력란!$C$19=1,10,0)&gt;100,100,$AK225+IF(입력란!$C$19=1,10,0))/100*($AL225/100-1))</f>
        <v>76694.382760586843</v>
      </c>
      <c r="L225" s="29"/>
      <c r="M225" s="29"/>
      <c r="N225" s="38"/>
      <c r="O225" s="38"/>
      <c r="P225" s="38"/>
      <c r="Q225" s="34"/>
      <c r="R225" s="23">
        <f>SUM(S225:Z225)</f>
        <v>313504.52809110523</v>
      </c>
      <c r="S225" s="29">
        <f>AN225*3*IF(MID(E225,3,1)="1",트라이포드!$J$16/3,트라이포드!$I$16)*IF(MID(E225,3,1)="2",트라이포드!$L$16,트라이포드!$K$16)*IF(MID(E225,3,1)="3",5/3,1)*IF(MID(E225,5,1)="1",트라이포드!$P$16,트라이포드!$O$16)*IF(MID(E225,5,1)="2",트라이포드!$R$16,트라이포드!$Q$16)*(1+입력란!$C$33/100)</f>
        <v>250825.5361644059</v>
      </c>
      <c r="T225" s="29">
        <f>AO225*3*IF(MID(E225,3,1)="1",1/3,1)*IF(MID(E225,3,1)="3",5/3,1)*IF(MID(E225,5,1)="1",트라이포드!$P$16,트라이포드!$O$16)*IF(MID(E225,5,1)="2",트라이포드!$R$16,트라이포드!$Q$16)*(1+입력란!$C$33/100)</f>
        <v>62678.991926699309</v>
      </c>
      <c r="U225" s="29"/>
      <c r="V225" s="29"/>
      <c r="W225" s="29"/>
      <c r="X225" s="38"/>
      <c r="Y225" s="38"/>
      <c r="Z225" s="26"/>
      <c r="AA225" s="29">
        <f>SUM(AB225:AI225)</f>
        <v>627009.05618221045</v>
      </c>
      <c r="AB225" s="29">
        <f>S225*2</f>
        <v>501651.0723288118</v>
      </c>
      <c r="AC225" s="29">
        <f>T225*2</f>
        <v>125357.98385339862</v>
      </c>
      <c r="AD225" s="29"/>
      <c r="AE225" s="29"/>
      <c r="AF225" s="38"/>
      <c r="AG225" s="38"/>
      <c r="AH225" s="38"/>
      <c r="AI225" s="26"/>
      <c r="AJ225" s="25">
        <f>(AR225-IF(MID(E225,1,1)="1",트라이포드!$D$16,트라이포드!$C$16))*(1-입력란!$C$29/100)</f>
        <v>22.98497201496</v>
      </c>
      <c r="AK22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5" s="25">
        <f>입력란!$C$37+IF(입력란!$C$17=1,10,IF(입력란!$C$17=2,25,IF(입력란!$C$17=3,50,0)))</f>
        <v>200</v>
      </c>
      <c r="AM225" s="29">
        <f>SUM(AN225:AP225)</f>
        <v>35092.910759138613</v>
      </c>
      <c r="AN225" s="29">
        <f>(VLOOKUP(C225,$B$4:$AK$7,17,FALSE)+VLOOKUP(C225,$B$8:$AK$11,17,FALSE)*입력란!$C$23)*입력란!$C$38/100</f>
        <v>28076.781570991057</v>
      </c>
      <c r="AO225" s="29">
        <f>(VLOOKUP(C225,$B$4:$AK$7,18,FALSE)+VLOOKUP(C225,$B$8:$AK$11,18,FALSE)*입력란!$C$23)*입력란!$C$38/100</f>
        <v>7016.1291881475554</v>
      </c>
      <c r="AP225" s="29"/>
      <c r="AQ225" s="29"/>
      <c r="AR225" s="28">
        <v>30</v>
      </c>
    </row>
    <row r="226" spans="2:44" ht="13.5" customHeight="1" x14ac:dyDescent="0.3">
      <c r="B226" s="30">
        <v>211</v>
      </c>
      <c r="C226" s="35">
        <v>10</v>
      </c>
      <c r="D226" s="42" t="s">
        <v>165</v>
      </c>
      <c r="E226" s="37" t="s">
        <v>317</v>
      </c>
      <c r="F226" s="39"/>
      <c r="G226" s="39"/>
      <c r="H226" s="51">
        <f>I226/AJ226</f>
        <v>13351.540551337806</v>
      </c>
      <c r="I226" s="52">
        <f>SUM(J226:Q226)*IF(입력란!C$15=1,1.04,IF(입력란!C$15=2,1.1,IF(입력란!C$15=3,1.2,1)))*IF(입력란!$C$13&lt;&gt;0,0,1)*IF(입력란!$C$17&lt;&gt;0,0.98,1)</f>
        <v>383605.98241137888</v>
      </c>
      <c r="J226" s="29">
        <f>S226*(1+IF($AK226+IF(입력란!$C$19=1,10,0)&gt;100,100,$AK226+IF(입력란!$C$19=1,10,0))/100*($AL226/100-1))</f>
        <v>306911.59965079202</v>
      </c>
      <c r="K226" s="29">
        <f>T226*(1+IF($AK226+IF(입력란!$C$19=1,10,0)&gt;100,100,$AK226+IF(입력란!$C$19=1,10,0))/100*($AL226/100-1))</f>
        <v>76694.382760586843</v>
      </c>
      <c r="L226" s="29"/>
      <c r="M226" s="29"/>
      <c r="N226" s="38"/>
      <c r="O226" s="38"/>
      <c r="P226" s="38"/>
      <c r="Q226" s="34"/>
      <c r="R226" s="23">
        <f>SUM(S226:Z226)</f>
        <v>313504.52809110523</v>
      </c>
      <c r="S226" s="29">
        <f>AN226*3*IF(MID(E226,3,1)="1",트라이포드!$J$16/3,트라이포드!$I$16)*IF(MID(E226,3,1)="2",트라이포드!$L$16,트라이포드!$K$16)*IF(MID(E226,3,1)="3",5/3,1)*IF(MID(E226,5,1)="1",트라이포드!$P$16,트라이포드!$O$16)*IF(MID(E226,5,1)="2",트라이포드!$R$16,트라이포드!$Q$16)*(1+입력란!$C$33/100)</f>
        <v>250825.5361644059</v>
      </c>
      <c r="T226" s="29">
        <f>AO226*3*IF(MID(E226,3,1)="1",1/3,1)*IF(MID(E226,3,1)="3",5/3,1)*IF(MID(E226,5,1)="1",트라이포드!$P$16,트라이포드!$O$16)*IF(MID(E226,5,1)="2",트라이포드!$R$16,트라이포드!$Q$16)*(1+입력란!$C$33/100)</f>
        <v>62678.991926699309</v>
      </c>
      <c r="U226" s="29"/>
      <c r="V226" s="29"/>
      <c r="W226" s="29"/>
      <c r="X226" s="38"/>
      <c r="Y226" s="38"/>
      <c r="Z226" s="26"/>
      <c r="AA226" s="29">
        <f>SUM(AB226:AI226)</f>
        <v>627009.05618221045</v>
      </c>
      <c r="AB226" s="29">
        <f>S226*2</f>
        <v>501651.0723288118</v>
      </c>
      <c r="AC226" s="29">
        <f>T226*2</f>
        <v>125357.98385339862</v>
      </c>
      <c r="AD226" s="29"/>
      <c r="AE226" s="29"/>
      <c r="AF226" s="38"/>
      <c r="AG226" s="38"/>
      <c r="AH226" s="38"/>
      <c r="AI226" s="26"/>
      <c r="AJ226" s="25">
        <f>(AR226-IF(MID(E226,1,1)="1",트라이포드!$D$16,트라이포드!$C$16))*(1-입력란!$C$29/100)</f>
        <v>28.731215018700002</v>
      </c>
      <c r="AK22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6" s="25">
        <f>입력란!$C$37+IF(입력란!$C$17=1,10,IF(입력란!$C$17=2,25,IF(입력란!$C$17=3,50,0)))</f>
        <v>200</v>
      </c>
      <c r="AM226" s="29">
        <f>SUM(AN226:AP226)</f>
        <v>35092.910759138613</v>
      </c>
      <c r="AN226" s="29">
        <f>(VLOOKUP(C226,$B$4:$AK$7,17,FALSE)+VLOOKUP(C226,$B$8:$AK$11,17,FALSE)*입력란!$C$23)*입력란!$C$38/100</f>
        <v>28076.781570991057</v>
      </c>
      <c r="AO226" s="29">
        <f>(VLOOKUP(C226,$B$4:$AK$7,18,FALSE)+VLOOKUP(C226,$B$8:$AK$11,18,FALSE)*입력란!$C$23)*입력란!$C$38/100</f>
        <v>7016.1291881475554</v>
      </c>
      <c r="AP226" s="29"/>
      <c r="AQ226" s="29"/>
      <c r="AR226" s="28">
        <v>30</v>
      </c>
    </row>
    <row r="227" spans="2:44" ht="13.5" customHeight="1" x14ac:dyDescent="0.3">
      <c r="B227" s="30">
        <v>212</v>
      </c>
      <c r="C227" s="35">
        <v>10</v>
      </c>
      <c r="D227" s="42" t="s">
        <v>31</v>
      </c>
      <c r="E227" s="37" t="s">
        <v>147</v>
      </c>
      <c r="F227" s="39"/>
      <c r="G227" s="39"/>
      <c r="H227" s="51">
        <f>I227/AJ227</f>
        <v>10281.292844162677</v>
      </c>
      <c r="I227" s="52">
        <f>SUM(J227:Q227)*IF(입력란!C$15=1,1.04,IF(입력란!C$15=2,1.1,IF(입력란!C$15=3,1.2,1)))*IF(입력란!$C$13&lt;&gt;0,0,1)*IF(입력란!$C$17&lt;&gt;0,0.98,1)</f>
        <v>236315.22830068762</v>
      </c>
      <c r="J227" s="29">
        <f>S227*(1+IF($AK227+IF(입력란!$C$19=1,10,0)&gt;100,100,$AK227+IF(입력란!$C$19=1,10,0))/100*($AL227/100-1))</f>
        <v>220976.35174857025</v>
      </c>
      <c r="K227" s="29">
        <f>T227*(1+IF($AK227+IF(입력란!$C$19=1,10,0)&gt;100,100,$AK227+IF(입력란!$C$19=1,10,0))/100*($AL227/100-1))</f>
        <v>15338.87655211737</v>
      </c>
      <c r="L227" s="29"/>
      <c r="M227" s="29"/>
      <c r="N227" s="38"/>
      <c r="O227" s="38"/>
      <c r="P227" s="38"/>
      <c r="Q227" s="34"/>
      <c r="R227" s="23">
        <f>SUM(S227:Z227)</f>
        <v>193130.18442371208</v>
      </c>
      <c r="S227" s="29">
        <f>AN227*3*IF(MID(E227,3,1)="1",트라이포드!$J$16/3,트라이포드!$I$16)*IF(MID(E227,3,1)="2",트라이포드!$L$16,트라이포드!$K$16)*IF(MID(E227,3,1)="3",5/3,1)*IF(MID(E227,5,1)="1",트라이포드!$P$16,트라이포드!$O$16)*IF(MID(E227,5,1)="2",트라이포드!$R$16,트라이포드!$Q$16)*(1+입력란!$C$33/100)</f>
        <v>180594.38603837223</v>
      </c>
      <c r="T227" s="29">
        <f>AO227*3*IF(MID(E227,3,1)="1",1/3,1)*IF(MID(E227,3,1)="3",5/3,1)*IF(MID(E227,5,1)="1",트라이포드!$P$16,트라이포드!$O$16)*IF(MID(E227,5,1)="2",트라이포드!$R$16,트라이포드!$Q$16)*(1+입력란!$C$33/100)</f>
        <v>12535.798385339862</v>
      </c>
      <c r="U227" s="29"/>
      <c r="V227" s="29"/>
      <c r="W227" s="29"/>
      <c r="X227" s="38"/>
      <c r="Y227" s="38"/>
      <c r="Z227" s="26"/>
      <c r="AA227" s="29">
        <f>SUM(AB227:AI227)</f>
        <v>386260.36884742416</v>
      </c>
      <c r="AB227" s="29">
        <f>S227*2</f>
        <v>361188.77207674447</v>
      </c>
      <c r="AC227" s="29">
        <f>T227*2</f>
        <v>25071.596770679724</v>
      </c>
      <c r="AD227" s="29"/>
      <c r="AE227" s="29"/>
      <c r="AF227" s="38"/>
      <c r="AG227" s="38"/>
      <c r="AH227" s="38"/>
      <c r="AI227" s="26"/>
      <c r="AJ227" s="25">
        <f>(AR227-IF(MID(E227,1,1)="1",트라이포드!$D$16,트라이포드!$C$16))*(1-입력란!$C$29/100)</f>
        <v>22.98497201496</v>
      </c>
      <c r="AK22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7" s="25">
        <f>입력란!$C$37+IF(입력란!$C$17=1,10,IF(입력란!$C$17=2,25,IF(입력란!$C$17=3,50,0)))</f>
        <v>200</v>
      </c>
      <c r="AM227" s="29">
        <f>SUM(AN227:AP227)</f>
        <v>35092.910759138613</v>
      </c>
      <c r="AN227" s="29">
        <f>(VLOOKUP(C227,$B$4:$AK$7,17,FALSE)+VLOOKUP(C227,$B$8:$AK$11,17,FALSE)*입력란!$C$23)*입력란!$C$38/100</f>
        <v>28076.781570991057</v>
      </c>
      <c r="AO227" s="29">
        <f>(VLOOKUP(C227,$B$4:$AK$7,18,FALSE)+VLOOKUP(C227,$B$8:$AK$11,18,FALSE)*입력란!$C$23)*입력란!$C$38/100</f>
        <v>7016.1291881475554</v>
      </c>
      <c r="AP227" s="29"/>
      <c r="AQ227" s="29"/>
      <c r="AR227" s="28">
        <v>30</v>
      </c>
    </row>
    <row r="228" spans="2:44" ht="13.5" customHeight="1" x14ac:dyDescent="0.3">
      <c r="B228" s="30">
        <v>213</v>
      </c>
      <c r="C228" s="35">
        <v>10</v>
      </c>
      <c r="D228" s="42" t="s">
        <v>31</v>
      </c>
      <c r="E228" s="37" t="s">
        <v>316</v>
      </c>
      <c r="F228" s="39"/>
      <c r="G228" s="39"/>
      <c r="H228" s="51">
        <f>I228/AJ228</f>
        <v>8225.0342753301411</v>
      </c>
      <c r="I228" s="52">
        <f>SUM(J228:Q228)*IF(입력란!C$15=1,1.04,IF(입력란!C$15=2,1.1,IF(입력란!C$15=3,1.2,1)))*IF(입력란!$C$13&lt;&gt;0,0,1)*IF(입력란!$C$17&lt;&gt;0,0.98,1)</f>
        <v>236315.22830068762</v>
      </c>
      <c r="J228" s="29">
        <f>S228*(1+IF($AK228+IF(입력란!$C$19=1,10,0)&gt;100,100,$AK228+IF(입력란!$C$19=1,10,0))/100*($AL228/100-1))</f>
        <v>220976.35174857025</v>
      </c>
      <c r="K228" s="29">
        <f>T228*(1+IF($AK228+IF(입력란!$C$19=1,10,0)&gt;100,100,$AK228+IF(입력란!$C$19=1,10,0))/100*($AL228/100-1))</f>
        <v>15338.87655211737</v>
      </c>
      <c r="L228" s="29"/>
      <c r="M228" s="29"/>
      <c r="N228" s="38"/>
      <c r="O228" s="38"/>
      <c r="P228" s="38"/>
      <c r="Q228" s="34"/>
      <c r="R228" s="23">
        <f>SUM(S228:Z228)</f>
        <v>193130.18442371208</v>
      </c>
      <c r="S228" s="29">
        <f>AN228*3*IF(MID(E228,3,1)="1",트라이포드!$J$16/3,트라이포드!$I$16)*IF(MID(E228,3,1)="2",트라이포드!$L$16,트라이포드!$K$16)*IF(MID(E228,3,1)="3",5/3,1)*IF(MID(E228,5,1)="1",트라이포드!$P$16,트라이포드!$O$16)*IF(MID(E228,5,1)="2",트라이포드!$R$16,트라이포드!$Q$16)*(1+입력란!$C$33/100)</f>
        <v>180594.38603837223</v>
      </c>
      <c r="T228" s="29">
        <f>AO228*3*IF(MID(E228,3,1)="1",1/3,1)*IF(MID(E228,3,1)="3",5/3,1)*IF(MID(E228,5,1)="1",트라이포드!$P$16,트라이포드!$O$16)*IF(MID(E228,5,1)="2",트라이포드!$R$16,트라이포드!$Q$16)*(1+입력란!$C$33/100)</f>
        <v>12535.798385339862</v>
      </c>
      <c r="U228" s="29"/>
      <c r="V228" s="29"/>
      <c r="W228" s="29"/>
      <c r="X228" s="38"/>
      <c r="Y228" s="38"/>
      <c r="Z228" s="26"/>
      <c r="AA228" s="29">
        <f>SUM(AB228:AI228)</f>
        <v>386260.36884742416</v>
      </c>
      <c r="AB228" s="29">
        <f>S228*2</f>
        <v>361188.77207674447</v>
      </c>
      <c r="AC228" s="29">
        <f>T228*2</f>
        <v>25071.596770679724</v>
      </c>
      <c r="AD228" s="29"/>
      <c r="AE228" s="29"/>
      <c r="AF228" s="38"/>
      <c r="AG228" s="38"/>
      <c r="AH228" s="38"/>
      <c r="AI228" s="26"/>
      <c r="AJ228" s="25">
        <f>(AR228-IF(MID(E228,1,1)="1",트라이포드!$D$16,트라이포드!$C$16))*(1-입력란!$C$29/100)</f>
        <v>28.731215018700002</v>
      </c>
      <c r="AK22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8" s="25">
        <f>입력란!$C$37+IF(입력란!$C$17=1,10,IF(입력란!$C$17=2,25,IF(입력란!$C$17=3,50,0)))</f>
        <v>200</v>
      </c>
      <c r="AM228" s="29">
        <f>SUM(AN228:AP228)</f>
        <v>35092.910759138613</v>
      </c>
      <c r="AN228" s="29">
        <f>(VLOOKUP(C228,$B$4:$AK$7,17,FALSE)+VLOOKUP(C228,$B$8:$AK$11,17,FALSE)*입력란!$C$23)*입력란!$C$38/100</f>
        <v>28076.781570991057</v>
      </c>
      <c r="AO228" s="29">
        <f>(VLOOKUP(C228,$B$4:$AK$7,18,FALSE)+VLOOKUP(C228,$B$8:$AK$11,18,FALSE)*입력란!$C$23)*입력란!$C$38/100</f>
        <v>7016.1291881475554</v>
      </c>
      <c r="AP228" s="29"/>
      <c r="AQ228" s="29"/>
      <c r="AR228" s="28">
        <v>30</v>
      </c>
    </row>
    <row r="229" spans="2:44" ht="13.5" customHeight="1" x14ac:dyDescent="0.3">
      <c r="B229" s="30">
        <v>214</v>
      </c>
      <c r="C229" s="35">
        <v>10</v>
      </c>
      <c r="D229" s="42" t="s">
        <v>31</v>
      </c>
      <c r="E229" s="37" t="s">
        <v>164</v>
      </c>
      <c r="F229" s="39" t="s">
        <v>176</v>
      </c>
      <c r="G229" s="39"/>
      <c r="H229" s="51">
        <f>I229/AJ229</f>
        <v>22252.567585563011</v>
      </c>
      <c r="I229" s="52">
        <f>SUM(J229:Q229)*IF(입력란!C$15=1,1.04,IF(입력란!C$15=2,1.1,IF(입력란!C$15=3,1.2,1)))*IF(입력란!$C$13&lt;&gt;0,0,1)*IF(입력란!$C$17&lt;&gt;0,0.98,1)</f>
        <v>511474.64321517182</v>
      </c>
      <c r="J229" s="29">
        <f>S229*(1+IF($AK229+IF(입력란!$C$19=1,10,0)&gt;100,100,$AK229+IF(입력란!$C$19=1,10,0))/100*($AL229/100-1))</f>
        <v>409215.46620105603</v>
      </c>
      <c r="K229" s="29">
        <f>T229*(1+IF($AK229+IF(입력란!$C$19=1,10,0)&gt;100,100,$AK229+IF(입력란!$C$19=1,10,0))/100*($AL229/100-1))</f>
        <v>102259.17701411579</v>
      </c>
      <c r="L229" s="29"/>
      <c r="M229" s="29"/>
      <c r="N229" s="38"/>
      <c r="O229" s="38"/>
      <c r="P229" s="38"/>
      <c r="Q229" s="34"/>
      <c r="R229" s="23">
        <f>SUM(S229:Z229)</f>
        <v>418006.03745480691</v>
      </c>
      <c r="S229" s="29">
        <f>AN229*3*IF(MID(E229,3,1)="1",트라이포드!$J$16/3,트라이포드!$I$16)*IF(MID(E229,3,1)="2",트라이포드!$L$16,트라이포드!$K$16)*IF(MID(E229,3,1)="3",5/3,1)*IF(MID(E229,5,1)="1",트라이포드!$P$16,트라이포드!$O$16)*IF(MID(E229,5,1)="2",트라이포드!$R$16,트라이포드!$Q$16)*(1+입력란!$C$33/100)</f>
        <v>334434.04821920785</v>
      </c>
      <c r="T229" s="29">
        <f>AO229*3*IF(MID(E229,3,1)="1",1/3,1)*IF(MID(E229,3,1)="3",5/3,1)*IF(MID(E229,5,1)="1",트라이포드!$P$16,트라이포드!$O$16)*IF(MID(E229,5,1)="2",트라이포드!$R$16,트라이포드!$Q$16)*(1+입력란!$C$33/100)</f>
        <v>83571.989235599074</v>
      </c>
      <c r="U229" s="29"/>
      <c r="V229" s="29"/>
      <c r="W229" s="29"/>
      <c r="X229" s="38"/>
      <c r="Y229" s="38"/>
      <c r="Z229" s="26"/>
      <c r="AA229" s="29">
        <f>SUM(AB229:AI229)</f>
        <v>836012.07490961382</v>
      </c>
      <c r="AB229" s="29">
        <f>S229*2</f>
        <v>668868.0964384157</v>
      </c>
      <c r="AC229" s="29">
        <f>T229*2</f>
        <v>167143.97847119815</v>
      </c>
      <c r="AD229" s="29"/>
      <c r="AE229" s="29"/>
      <c r="AF229" s="38"/>
      <c r="AG229" s="38"/>
      <c r="AH229" s="38"/>
      <c r="AI229" s="26"/>
      <c r="AJ229" s="25">
        <f>(AR229-IF(MID(E229,1,1)="1",트라이포드!$D$16,트라이포드!$C$16))*(1-입력란!$C$29/100)</f>
        <v>22.98497201496</v>
      </c>
      <c r="AK22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29" s="25">
        <f>입력란!$C$37+IF(입력란!$C$17=1,10,IF(입력란!$C$17=2,25,IF(입력란!$C$17=3,50,0)))</f>
        <v>200</v>
      </c>
      <c r="AM229" s="29">
        <f>SUM(AN229:AP229)</f>
        <v>35092.910759138613</v>
      </c>
      <c r="AN229" s="29">
        <f>(VLOOKUP(C229,$B$4:$AK$7,17,FALSE)+VLOOKUP(C229,$B$8:$AK$11,17,FALSE)*입력란!$C$23)*입력란!$C$38/100</f>
        <v>28076.781570991057</v>
      </c>
      <c r="AO229" s="29">
        <f>(VLOOKUP(C229,$B$4:$AK$7,18,FALSE)+VLOOKUP(C229,$B$8:$AK$11,18,FALSE)*입력란!$C$23)*입력란!$C$38/100</f>
        <v>7016.1291881475554</v>
      </c>
      <c r="AP229" s="29"/>
      <c r="AQ229" s="29"/>
      <c r="AR229" s="28">
        <v>30</v>
      </c>
    </row>
    <row r="230" spans="2:44" ht="13.5" customHeight="1" x14ac:dyDescent="0.3">
      <c r="B230" s="30">
        <v>215</v>
      </c>
      <c r="C230" s="35">
        <v>10</v>
      </c>
      <c r="D230" s="42" t="s">
        <v>165</v>
      </c>
      <c r="E230" s="37" t="s">
        <v>318</v>
      </c>
      <c r="F230" s="39" t="s">
        <v>177</v>
      </c>
      <c r="G230" s="39"/>
      <c r="H230" s="51">
        <f>I230/AJ230</f>
        <v>17802.054068450409</v>
      </c>
      <c r="I230" s="52">
        <f>SUM(J230:Q230)*IF(입력란!C$15=1,1.04,IF(입력란!C$15=2,1.1,IF(입력란!C$15=3,1.2,1)))*IF(입력란!$C$13&lt;&gt;0,0,1)*IF(입력란!$C$17&lt;&gt;0,0.98,1)</f>
        <v>511474.64321517182</v>
      </c>
      <c r="J230" s="29">
        <f>S230*(1+IF($AK230+IF(입력란!$C$19=1,10,0)&gt;100,100,$AK230+IF(입력란!$C$19=1,10,0))/100*($AL230/100-1))</f>
        <v>409215.46620105603</v>
      </c>
      <c r="K230" s="29">
        <f>T230*(1+IF($AK230+IF(입력란!$C$19=1,10,0)&gt;100,100,$AK230+IF(입력란!$C$19=1,10,0))/100*($AL230/100-1))</f>
        <v>102259.17701411579</v>
      </c>
      <c r="L230" s="29"/>
      <c r="M230" s="29"/>
      <c r="N230" s="38"/>
      <c r="O230" s="38"/>
      <c r="P230" s="38"/>
      <c r="Q230" s="34"/>
      <c r="R230" s="23">
        <f>SUM(S230:Z230)</f>
        <v>418006.03745480691</v>
      </c>
      <c r="S230" s="29">
        <f>AN230*3*IF(MID(E230,3,1)="1",트라이포드!$J$16/3,트라이포드!$I$16)*IF(MID(E230,3,1)="2",트라이포드!$L$16,트라이포드!$K$16)*IF(MID(E230,3,1)="3",5/3,1)*IF(MID(E230,5,1)="1",트라이포드!$P$16,트라이포드!$O$16)*IF(MID(E230,5,1)="2",트라이포드!$R$16,트라이포드!$Q$16)*(1+입력란!$C$33/100)</f>
        <v>334434.04821920785</v>
      </c>
      <c r="T230" s="29">
        <f>AO230*3*IF(MID(E230,3,1)="1",1/3,1)*IF(MID(E230,3,1)="3",5/3,1)*IF(MID(E230,5,1)="1",트라이포드!$P$16,트라이포드!$O$16)*IF(MID(E230,5,1)="2",트라이포드!$R$16,트라이포드!$Q$16)*(1+입력란!$C$33/100)</f>
        <v>83571.989235599074</v>
      </c>
      <c r="U230" s="29"/>
      <c r="V230" s="29"/>
      <c r="W230" s="29"/>
      <c r="X230" s="38"/>
      <c r="Y230" s="38"/>
      <c r="Z230" s="26"/>
      <c r="AA230" s="29">
        <f>SUM(AB230:AI230)</f>
        <v>836012.07490961382</v>
      </c>
      <c r="AB230" s="29">
        <f>S230*2</f>
        <v>668868.0964384157</v>
      </c>
      <c r="AC230" s="29">
        <f>T230*2</f>
        <v>167143.97847119815</v>
      </c>
      <c r="AD230" s="29"/>
      <c r="AE230" s="29"/>
      <c r="AF230" s="38"/>
      <c r="AG230" s="38"/>
      <c r="AH230" s="38"/>
      <c r="AI230" s="26"/>
      <c r="AJ230" s="25">
        <f>(AR230-IF(MID(E230,1,1)="1",트라이포드!$D$16,트라이포드!$C$16))*(1-입력란!$C$29/100)</f>
        <v>28.731215018700002</v>
      </c>
      <c r="AK23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0" s="25">
        <f>입력란!$C$37+IF(입력란!$C$17=1,10,IF(입력란!$C$17=2,25,IF(입력란!$C$17=3,50,0)))</f>
        <v>200</v>
      </c>
      <c r="AM230" s="29">
        <f>SUM(AN230:AP230)</f>
        <v>35092.910759138613</v>
      </c>
      <c r="AN230" s="29">
        <f>(VLOOKUP(C230,$B$4:$AK$7,17,FALSE)+VLOOKUP(C230,$B$8:$AK$11,17,FALSE)*입력란!$C$23)*입력란!$C$38/100</f>
        <v>28076.781570991057</v>
      </c>
      <c r="AO230" s="29">
        <f>(VLOOKUP(C230,$B$4:$AK$7,18,FALSE)+VLOOKUP(C230,$B$8:$AK$11,18,FALSE)*입력란!$C$23)*입력란!$C$38/100</f>
        <v>7016.1291881475554</v>
      </c>
      <c r="AP230" s="29"/>
      <c r="AQ230" s="29"/>
      <c r="AR230" s="28">
        <v>30</v>
      </c>
    </row>
    <row r="231" spans="2:44" ht="13.5" customHeight="1" x14ac:dyDescent="0.3">
      <c r="B231" s="30">
        <v>216</v>
      </c>
      <c r="C231" s="35">
        <v>10</v>
      </c>
      <c r="D231" s="42" t="s">
        <v>31</v>
      </c>
      <c r="E231" s="37" t="s">
        <v>148</v>
      </c>
      <c r="F231" s="39" t="s">
        <v>176</v>
      </c>
      <c r="G231" s="39"/>
      <c r="H231" s="51">
        <f>I231/AJ231</f>
        <v>13708.390458883568</v>
      </c>
      <c r="I231" s="52">
        <f>SUM(J231:Q231)*IF(입력란!C$15=1,1.04,IF(입력란!C$15=2,1.1,IF(입력란!C$15=3,1.2,1)))*IF(입력란!$C$13&lt;&gt;0,0,1)*IF(입력란!$C$17&lt;&gt;0,0.98,1)</f>
        <v>315086.97106758348</v>
      </c>
      <c r="J231" s="29">
        <f>S231*(1+IF($AK231+IF(입력란!$C$19=1,10,0)&gt;100,100,$AK231+IF(입력란!$C$19=1,10,0))/100*($AL231/100-1))</f>
        <v>294635.13566476031</v>
      </c>
      <c r="K231" s="29">
        <f>T231*(1+IF($AK231+IF(입력란!$C$19=1,10,0)&gt;100,100,$AK231+IF(입력란!$C$19=1,10,0))/100*($AL231/100-1))</f>
        <v>20451.835402823162</v>
      </c>
      <c r="L231" s="29"/>
      <c r="M231" s="29"/>
      <c r="N231" s="38"/>
      <c r="O231" s="38"/>
      <c r="P231" s="38"/>
      <c r="Q231" s="34"/>
      <c r="R231" s="23">
        <f>SUM(S231:Z231)</f>
        <v>257506.91256494945</v>
      </c>
      <c r="S231" s="29">
        <f>AN231*3*IF(MID(E231,3,1)="1",트라이포드!$J$16/3,트라이포드!$I$16)*IF(MID(E231,3,1)="2",트라이포드!$L$16,트라이포드!$K$16)*IF(MID(E231,3,1)="3",5/3,1)*IF(MID(E231,5,1)="1",트라이포드!$P$16,트라이포드!$O$16)*IF(MID(E231,5,1)="2",트라이포드!$R$16,트라이포드!$Q$16)*(1+입력란!$C$33/100)</f>
        <v>240792.51471782965</v>
      </c>
      <c r="T231" s="29">
        <f>AO231*3*IF(MID(E231,3,1)="1",1/3,1)*IF(MID(E231,3,1)="3",5/3,1)*IF(MID(E231,5,1)="1",트라이포드!$P$16,트라이포드!$O$16)*IF(MID(E231,5,1)="2",트라이포드!$R$16,트라이포드!$Q$16)*(1+입력란!$C$33/100)</f>
        <v>16714.397847119817</v>
      </c>
      <c r="U231" s="29"/>
      <c r="V231" s="29"/>
      <c r="W231" s="29"/>
      <c r="X231" s="38"/>
      <c r="Y231" s="38"/>
      <c r="Z231" s="26"/>
      <c r="AA231" s="29">
        <f>SUM(AB231:AI231)</f>
        <v>515013.82512989891</v>
      </c>
      <c r="AB231" s="29">
        <f>S231*2</f>
        <v>481585.02943565929</v>
      </c>
      <c r="AC231" s="29">
        <f>T231*2</f>
        <v>33428.795694239634</v>
      </c>
      <c r="AD231" s="29"/>
      <c r="AE231" s="29"/>
      <c r="AF231" s="38"/>
      <c r="AG231" s="38"/>
      <c r="AH231" s="38"/>
      <c r="AI231" s="26"/>
      <c r="AJ231" s="25">
        <f>(AR231-IF(MID(E231,1,1)="1",트라이포드!$D$16,트라이포드!$C$16))*(1-입력란!$C$29/100)</f>
        <v>22.98497201496</v>
      </c>
      <c r="AK23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1" s="25">
        <f>입력란!$C$37+IF(입력란!$C$17=1,10,IF(입력란!$C$17=2,25,IF(입력란!$C$17=3,50,0)))</f>
        <v>200</v>
      </c>
      <c r="AM231" s="29">
        <f>SUM(AN231:AP231)</f>
        <v>35092.910759138613</v>
      </c>
      <c r="AN231" s="29">
        <f>(VLOOKUP(C231,$B$4:$AK$7,17,FALSE)+VLOOKUP(C231,$B$8:$AK$11,17,FALSE)*입력란!$C$23)*입력란!$C$38/100</f>
        <v>28076.781570991057</v>
      </c>
      <c r="AO231" s="29">
        <f>(VLOOKUP(C231,$B$4:$AK$7,18,FALSE)+VLOOKUP(C231,$B$8:$AK$11,18,FALSE)*입력란!$C$23)*입력란!$C$38/100</f>
        <v>7016.1291881475554</v>
      </c>
      <c r="AP231" s="29"/>
      <c r="AQ231" s="29"/>
      <c r="AR231" s="28">
        <v>30</v>
      </c>
    </row>
    <row r="232" spans="2:44" ht="13.5" customHeight="1" x14ac:dyDescent="0.3">
      <c r="B232" s="30">
        <v>217</v>
      </c>
      <c r="C232" s="35">
        <v>10</v>
      </c>
      <c r="D232" s="42" t="s">
        <v>31</v>
      </c>
      <c r="E232" s="37" t="s">
        <v>295</v>
      </c>
      <c r="F232" s="39" t="s">
        <v>176</v>
      </c>
      <c r="G232" s="39"/>
      <c r="H232" s="51">
        <f>I232/AJ232</f>
        <v>10966.712367106853</v>
      </c>
      <c r="I232" s="52">
        <f>SUM(J232:Q232)*IF(입력란!C$15=1,1.04,IF(입력란!C$15=2,1.1,IF(입력란!C$15=3,1.2,1)))*IF(입력란!$C$13&lt;&gt;0,0,1)*IF(입력란!$C$17&lt;&gt;0,0.98,1)</f>
        <v>315086.97106758348</v>
      </c>
      <c r="J232" s="29">
        <f>S232*(1+IF($AK232+IF(입력란!$C$19=1,10,0)&gt;100,100,$AK232+IF(입력란!$C$19=1,10,0))/100*($AL232/100-1))</f>
        <v>294635.13566476031</v>
      </c>
      <c r="K232" s="29">
        <f>T232*(1+IF($AK232+IF(입력란!$C$19=1,10,0)&gt;100,100,$AK232+IF(입력란!$C$19=1,10,0))/100*($AL232/100-1))</f>
        <v>20451.835402823162</v>
      </c>
      <c r="L232" s="29"/>
      <c r="M232" s="29"/>
      <c r="N232" s="38"/>
      <c r="O232" s="38"/>
      <c r="P232" s="38"/>
      <c r="Q232" s="34"/>
      <c r="R232" s="23">
        <f>SUM(S232:Z232)</f>
        <v>257506.91256494945</v>
      </c>
      <c r="S232" s="29">
        <f>AN232*3*IF(MID(E232,3,1)="1",트라이포드!$J$16/3,트라이포드!$I$16)*IF(MID(E232,3,1)="2",트라이포드!$L$16,트라이포드!$K$16)*IF(MID(E232,3,1)="3",5/3,1)*IF(MID(E232,5,1)="1",트라이포드!$P$16,트라이포드!$O$16)*IF(MID(E232,5,1)="2",트라이포드!$R$16,트라이포드!$Q$16)*(1+입력란!$C$33/100)</f>
        <v>240792.51471782965</v>
      </c>
      <c r="T232" s="29">
        <f>AO232*3*IF(MID(E232,3,1)="1",1/3,1)*IF(MID(E232,3,1)="3",5/3,1)*IF(MID(E232,5,1)="1",트라이포드!$P$16,트라이포드!$O$16)*IF(MID(E232,5,1)="2",트라이포드!$R$16,트라이포드!$Q$16)*(1+입력란!$C$33/100)</f>
        <v>16714.397847119817</v>
      </c>
      <c r="U232" s="29"/>
      <c r="V232" s="29"/>
      <c r="W232" s="29"/>
      <c r="X232" s="38"/>
      <c r="Y232" s="38"/>
      <c r="Z232" s="26"/>
      <c r="AA232" s="29">
        <f>SUM(AB232:AI232)</f>
        <v>515013.82512989891</v>
      </c>
      <c r="AB232" s="29">
        <f>S232*2</f>
        <v>481585.02943565929</v>
      </c>
      <c r="AC232" s="29">
        <f>T232*2</f>
        <v>33428.795694239634</v>
      </c>
      <c r="AD232" s="29"/>
      <c r="AE232" s="29"/>
      <c r="AF232" s="38"/>
      <c r="AG232" s="38"/>
      <c r="AH232" s="38"/>
      <c r="AI232" s="26"/>
      <c r="AJ232" s="25">
        <f>(AR232-IF(MID(E232,1,1)="1",트라이포드!$D$16,트라이포드!$C$16))*(1-입력란!$C$29/100)</f>
        <v>28.731215018700002</v>
      </c>
      <c r="AK23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2" s="25">
        <f>입력란!$C$37+IF(입력란!$C$17=1,10,IF(입력란!$C$17=2,25,IF(입력란!$C$17=3,50,0)))</f>
        <v>200</v>
      </c>
      <c r="AM232" s="29">
        <f>SUM(AN232:AP232)</f>
        <v>35092.910759138613</v>
      </c>
      <c r="AN232" s="29">
        <f>(VLOOKUP(C232,$B$4:$AK$7,17,FALSE)+VLOOKUP(C232,$B$8:$AK$11,17,FALSE)*입력란!$C$23)*입력란!$C$38/100</f>
        <v>28076.781570991057</v>
      </c>
      <c r="AO232" s="29">
        <f>(VLOOKUP(C232,$B$4:$AK$7,18,FALSE)+VLOOKUP(C232,$B$8:$AK$11,18,FALSE)*입력란!$C$23)*입력란!$C$38/100</f>
        <v>7016.1291881475554</v>
      </c>
      <c r="AP232" s="29"/>
      <c r="AQ232" s="29"/>
      <c r="AR232" s="28">
        <v>30</v>
      </c>
    </row>
    <row r="233" spans="2:44" ht="13.5" customHeight="1" x14ac:dyDescent="0.3">
      <c r="B233" s="30">
        <v>218</v>
      </c>
      <c r="C233" s="35">
        <v>10</v>
      </c>
      <c r="D233" s="42" t="s">
        <v>31</v>
      </c>
      <c r="E233" s="37" t="s">
        <v>149</v>
      </c>
      <c r="F233" s="39"/>
      <c r="G233" s="39"/>
      <c r="H233" s="51">
        <f>I233/AJ233</f>
        <v>12417.142696463125</v>
      </c>
      <c r="I233" s="52">
        <f>SUM(J233:Q233)*IF(입력란!C$15=1,1.04,IF(입력란!C$15=2,1.1,IF(입력란!C$15=3,1.2,1)))*IF(입력란!$C$13&lt;&gt;0,0,1)*IF(입력란!$C$17&lt;&gt;0,0.98,1)</f>
        <v>285407.67738396989</v>
      </c>
      <c r="J233" s="29">
        <f>S233*(1+IF($AK233+IF(입력란!$C$19=1,10,0)&gt;100,100,$AK233+IF(입력란!$C$19=1,10,0))/100*($AL233/100-1))</f>
        <v>239391.04772761778</v>
      </c>
      <c r="K233" s="29">
        <f>T233*(1+IF($AK233+IF(입력란!$C$19=1,10,0)&gt;100,100,$AK233+IF(입력란!$C$19=1,10,0))/100*($AL233/100-1))</f>
        <v>46016.62965635211</v>
      </c>
      <c r="L233" s="29"/>
      <c r="M233" s="29"/>
      <c r="N233" s="38"/>
      <c r="O233" s="38"/>
      <c r="P233" s="38"/>
      <c r="Q233" s="34"/>
      <c r="R233" s="23">
        <f>SUM(S233:Z233)</f>
        <v>233251.31336425617</v>
      </c>
      <c r="S233" s="29">
        <f>AN233*3*IF(MID(E233,3,1)="1",트라이포드!$J$16/3,트라이포드!$I$16)*IF(MID(E233,3,1)="2",트라이포드!$L$16,트라이포드!$K$16)*IF(MID(E233,3,1)="3",5/3,1)*IF(MID(E233,5,1)="1",트라이포드!$P$16,트라이포드!$O$16)*IF(MID(E233,5,1)="2",트라이포드!$R$16,트라이포드!$Q$16)*(1+입력란!$C$33/100)</f>
        <v>195643.9182082366</v>
      </c>
      <c r="T233" s="29">
        <f>AO233*3*IF(MID(E233,3,1)="1",1/3,1)*IF(MID(E233,3,1)="3",5/3,1)*IF(MID(E233,5,1)="1",트라이포드!$P$16,트라이포드!$O$16)*IF(MID(E233,5,1)="2",트라이포드!$R$16,트라이포드!$Q$16)*(1+입력란!$C$33/100)</f>
        <v>37607.395156019586</v>
      </c>
      <c r="U233" s="29"/>
      <c r="V233" s="29"/>
      <c r="W233" s="29"/>
      <c r="X233" s="38"/>
      <c r="Y233" s="38"/>
      <c r="Z233" s="26"/>
      <c r="AA233" s="29">
        <f>SUM(AB233:AI233)</f>
        <v>466502.62672851235</v>
      </c>
      <c r="AB233" s="29">
        <f>S233*2</f>
        <v>391287.8364164732</v>
      </c>
      <c r="AC233" s="29">
        <f>T233*2</f>
        <v>75214.790312039171</v>
      </c>
      <c r="AD233" s="29"/>
      <c r="AE233" s="29"/>
      <c r="AF233" s="38"/>
      <c r="AG233" s="38"/>
      <c r="AH233" s="38"/>
      <c r="AI233" s="26"/>
      <c r="AJ233" s="25">
        <f>(AR233-IF(MID(E233,1,1)="1",트라이포드!$D$16,트라이포드!$C$16))*(1-입력란!$C$29/100)</f>
        <v>22.98497201496</v>
      </c>
      <c r="AK23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3" s="25">
        <f>입력란!$C$37+IF(입력란!$C$17=1,10,IF(입력란!$C$17=2,25,IF(입력란!$C$17=3,50,0)))</f>
        <v>200</v>
      </c>
      <c r="AM233" s="29">
        <f>SUM(AN233:AP233)</f>
        <v>35092.910759138613</v>
      </c>
      <c r="AN233" s="29">
        <f>(VLOOKUP(C233,$B$4:$AK$7,17,FALSE)+VLOOKUP(C233,$B$8:$AK$11,17,FALSE)*입력란!$C$23)*입력란!$C$38/100</f>
        <v>28076.781570991057</v>
      </c>
      <c r="AO233" s="29">
        <f>(VLOOKUP(C233,$B$4:$AK$7,18,FALSE)+VLOOKUP(C233,$B$8:$AK$11,18,FALSE)*입력란!$C$23)*입력란!$C$38/100</f>
        <v>7016.1291881475554</v>
      </c>
      <c r="AP233" s="29"/>
      <c r="AQ233" s="29"/>
      <c r="AR233" s="28">
        <v>30</v>
      </c>
    </row>
    <row r="234" spans="2:44" ht="13.5" customHeight="1" x14ac:dyDescent="0.3">
      <c r="B234" s="30">
        <v>219</v>
      </c>
      <c r="C234" s="35">
        <v>10</v>
      </c>
      <c r="D234" s="42" t="s">
        <v>31</v>
      </c>
      <c r="E234" s="37" t="s">
        <v>294</v>
      </c>
      <c r="F234" s="39"/>
      <c r="G234" s="39"/>
      <c r="H234" s="51">
        <f>I234/AJ234</f>
        <v>9933.7141571704997</v>
      </c>
      <c r="I234" s="52">
        <f>SUM(J234:Q234)*IF(입력란!C$15=1,1.04,IF(입력란!C$15=2,1.1,IF(입력란!C$15=3,1.2,1)))*IF(입력란!$C$13&lt;&gt;0,0,1)*IF(입력란!$C$17&lt;&gt;0,0.98,1)</f>
        <v>285407.67738396989</v>
      </c>
      <c r="J234" s="29">
        <f>S234*(1+IF($AK234+IF(입력란!$C$19=1,10,0)&gt;100,100,$AK234+IF(입력란!$C$19=1,10,0))/100*($AL234/100-1))</f>
        <v>239391.04772761778</v>
      </c>
      <c r="K234" s="29">
        <f>T234*(1+IF($AK234+IF(입력란!$C$19=1,10,0)&gt;100,100,$AK234+IF(입력란!$C$19=1,10,0))/100*($AL234/100-1))</f>
        <v>46016.62965635211</v>
      </c>
      <c r="L234" s="29"/>
      <c r="M234" s="29"/>
      <c r="N234" s="38"/>
      <c r="O234" s="38"/>
      <c r="P234" s="38"/>
      <c r="Q234" s="34"/>
      <c r="R234" s="23">
        <f>SUM(S234:Z234)</f>
        <v>233251.31336425617</v>
      </c>
      <c r="S234" s="29">
        <f>AN234*3*IF(MID(E234,3,1)="1",트라이포드!$J$16/3,트라이포드!$I$16)*IF(MID(E234,3,1)="2",트라이포드!$L$16,트라이포드!$K$16)*IF(MID(E234,3,1)="3",5/3,1)*IF(MID(E234,5,1)="1",트라이포드!$P$16,트라이포드!$O$16)*IF(MID(E234,5,1)="2",트라이포드!$R$16,트라이포드!$Q$16)*(1+입력란!$C$33/100)</f>
        <v>195643.9182082366</v>
      </c>
      <c r="T234" s="29">
        <f>AO234*3*IF(MID(E234,3,1)="1",1/3,1)*IF(MID(E234,3,1)="3",5/3,1)*IF(MID(E234,5,1)="1",트라이포드!$P$16,트라이포드!$O$16)*IF(MID(E234,5,1)="2",트라이포드!$R$16,트라이포드!$Q$16)*(1+입력란!$C$33/100)</f>
        <v>37607.395156019586</v>
      </c>
      <c r="U234" s="29"/>
      <c r="V234" s="29"/>
      <c r="W234" s="29"/>
      <c r="X234" s="38"/>
      <c r="Y234" s="38"/>
      <c r="Z234" s="26"/>
      <c r="AA234" s="29">
        <f>SUM(AB234:AI234)</f>
        <v>466502.62672851235</v>
      </c>
      <c r="AB234" s="29">
        <f>S234*2</f>
        <v>391287.8364164732</v>
      </c>
      <c r="AC234" s="29">
        <f>T234*2</f>
        <v>75214.790312039171</v>
      </c>
      <c r="AD234" s="29"/>
      <c r="AE234" s="29"/>
      <c r="AF234" s="38"/>
      <c r="AG234" s="38"/>
      <c r="AH234" s="38"/>
      <c r="AI234" s="26"/>
      <c r="AJ234" s="25">
        <f>(AR234-IF(MID(E234,1,1)="1",트라이포드!$D$16,트라이포드!$C$16))*(1-입력란!$C$29/100)</f>
        <v>28.731215018700002</v>
      </c>
      <c r="AK23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4" s="25">
        <f>입력란!$C$37+IF(입력란!$C$17=1,10,IF(입력란!$C$17=2,25,IF(입력란!$C$17=3,50,0)))</f>
        <v>200</v>
      </c>
      <c r="AM234" s="29">
        <f>SUM(AN234:AP234)</f>
        <v>35092.910759138613</v>
      </c>
      <c r="AN234" s="29">
        <f>(VLOOKUP(C234,$B$4:$AK$7,17,FALSE)+VLOOKUP(C234,$B$8:$AK$11,17,FALSE)*입력란!$C$23)*입력란!$C$38/100</f>
        <v>28076.781570991057</v>
      </c>
      <c r="AO234" s="29">
        <f>(VLOOKUP(C234,$B$4:$AK$7,18,FALSE)+VLOOKUP(C234,$B$8:$AK$11,18,FALSE)*입력란!$C$23)*입력란!$C$38/100</f>
        <v>7016.1291881475554</v>
      </c>
      <c r="AP234" s="29"/>
      <c r="AQ234" s="29"/>
      <c r="AR234" s="28">
        <v>30</v>
      </c>
    </row>
    <row r="235" spans="2:44" ht="13.5" customHeight="1" x14ac:dyDescent="0.3">
      <c r="B235" s="30">
        <v>220</v>
      </c>
      <c r="C235" s="35">
        <v>10</v>
      </c>
      <c r="D235" s="42" t="s">
        <v>31</v>
      </c>
      <c r="E235" s="37" t="s">
        <v>150</v>
      </c>
      <c r="F235" s="39" t="s">
        <v>176</v>
      </c>
      <c r="G235" s="39"/>
      <c r="H235" s="51">
        <f>I235/AJ235</f>
        <v>16556.190261950833</v>
      </c>
      <c r="I235" s="52">
        <f>SUM(J235:Q235)*IF(입력란!C$15=1,1.04,IF(입력란!C$15=2,1.1,IF(입력란!C$15=3,1.2,1)))*IF(입력란!$C$13&lt;&gt;0,0,1)*IF(입력란!$C$17&lt;&gt;0,0.98,1)</f>
        <v>380543.56984529318</v>
      </c>
      <c r="J235" s="29">
        <f>S235*(1+IF($AK235+IF(입력란!$C$19=1,10,0)&gt;100,100,$AK235+IF(입력란!$C$19=1,10,0))/100*($AL235/100-1))</f>
        <v>319188.06363682367</v>
      </c>
      <c r="K235" s="29">
        <f>T235*(1+IF($AK235+IF(입력란!$C$19=1,10,0)&gt;100,100,$AK235+IF(입력란!$C$19=1,10,0))/100*($AL235/100-1))</f>
        <v>61355.50620846948</v>
      </c>
      <c r="L235" s="29"/>
      <c r="M235" s="29"/>
      <c r="N235" s="38"/>
      <c r="O235" s="38"/>
      <c r="P235" s="38"/>
      <c r="Q235" s="34"/>
      <c r="R235" s="23">
        <f>SUM(S235:Z235)</f>
        <v>311001.75115234155</v>
      </c>
      <c r="S235" s="29">
        <f>AN235*3*IF(MID(E235,3,1)="1",트라이포드!$J$16/3,트라이포드!$I$16)*IF(MID(E235,3,1)="2",트라이포드!$L$16,트라이포드!$K$16)*IF(MID(E235,3,1)="3",5/3,1)*IF(MID(E235,5,1)="1",트라이포드!$P$16,트라이포드!$O$16)*IF(MID(E235,5,1)="2",트라이포드!$R$16,트라이포드!$Q$16)*(1+입력란!$C$33/100)</f>
        <v>260858.5576109821</v>
      </c>
      <c r="T235" s="29">
        <f>AO235*3*IF(MID(E235,3,1)="1",1/3,1)*IF(MID(E235,3,1)="3",5/3,1)*IF(MID(E235,5,1)="1",트라이포드!$P$16,트라이포드!$O$16)*IF(MID(E235,5,1)="2",트라이포드!$R$16,트라이포드!$Q$16)*(1+입력란!$C$33/100)</f>
        <v>50143.193541359447</v>
      </c>
      <c r="U235" s="29"/>
      <c r="V235" s="29"/>
      <c r="W235" s="29"/>
      <c r="X235" s="38"/>
      <c r="Y235" s="38"/>
      <c r="Z235" s="26"/>
      <c r="AA235" s="29">
        <f>SUM(AB235:AI235)</f>
        <v>622003.50230468309</v>
      </c>
      <c r="AB235" s="29">
        <f>S235*2</f>
        <v>521717.1152219642</v>
      </c>
      <c r="AC235" s="29">
        <f>T235*2</f>
        <v>100286.38708271889</v>
      </c>
      <c r="AD235" s="29"/>
      <c r="AE235" s="29"/>
      <c r="AF235" s="38"/>
      <c r="AG235" s="38"/>
      <c r="AH235" s="38"/>
      <c r="AI235" s="26"/>
      <c r="AJ235" s="25">
        <f>(AR235-IF(MID(E235,1,1)="1",트라이포드!$D$16,트라이포드!$C$16))*(1-입력란!$C$29/100)</f>
        <v>22.98497201496</v>
      </c>
      <c r="AK23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5" s="25">
        <f>입력란!$C$37+IF(입력란!$C$17=1,10,IF(입력란!$C$17=2,25,IF(입력란!$C$17=3,50,0)))</f>
        <v>200</v>
      </c>
      <c r="AM235" s="29">
        <f>SUM(AN235:AP235)</f>
        <v>35092.910759138613</v>
      </c>
      <c r="AN235" s="29">
        <f>(VLOOKUP(C235,$B$4:$AK$7,17,FALSE)+VLOOKUP(C235,$B$8:$AK$11,17,FALSE)*입력란!$C$23)*입력란!$C$38/100</f>
        <v>28076.781570991057</v>
      </c>
      <c r="AO235" s="29">
        <f>(VLOOKUP(C235,$B$4:$AK$7,18,FALSE)+VLOOKUP(C235,$B$8:$AK$11,18,FALSE)*입력란!$C$23)*입력란!$C$38/100</f>
        <v>7016.1291881475554</v>
      </c>
      <c r="AP235" s="29"/>
      <c r="AQ235" s="29"/>
      <c r="AR235" s="28">
        <v>30</v>
      </c>
    </row>
    <row r="236" spans="2:44" ht="13.5" customHeight="1" x14ac:dyDescent="0.3">
      <c r="B236" s="30">
        <v>221</v>
      </c>
      <c r="C236" s="35">
        <v>10</v>
      </c>
      <c r="D236" s="42" t="s">
        <v>31</v>
      </c>
      <c r="E236" s="37" t="s">
        <v>296</v>
      </c>
      <c r="F236" s="39" t="s">
        <v>176</v>
      </c>
      <c r="G236" s="39"/>
      <c r="H236" s="51">
        <f>I236/AJ236</f>
        <v>13244.952209560666</v>
      </c>
      <c r="I236" s="52">
        <f>SUM(J236:Q236)*IF(입력란!C$15=1,1.04,IF(입력란!C$15=2,1.1,IF(입력란!C$15=3,1.2,1)))*IF(입력란!$C$13&lt;&gt;0,0,1)*IF(입력란!$C$17&lt;&gt;0,0.98,1)</f>
        <v>380543.56984529318</v>
      </c>
      <c r="J236" s="29">
        <f>S236*(1+IF($AK236+IF(입력란!$C$19=1,10,0)&gt;100,100,$AK236+IF(입력란!$C$19=1,10,0))/100*($AL236/100-1))</f>
        <v>319188.06363682367</v>
      </c>
      <c r="K236" s="29">
        <f>T236*(1+IF($AK236+IF(입력란!$C$19=1,10,0)&gt;100,100,$AK236+IF(입력란!$C$19=1,10,0))/100*($AL236/100-1))</f>
        <v>61355.50620846948</v>
      </c>
      <c r="L236" s="29"/>
      <c r="M236" s="29"/>
      <c r="N236" s="38"/>
      <c r="O236" s="38"/>
      <c r="P236" s="38"/>
      <c r="Q236" s="34"/>
      <c r="R236" s="23">
        <f>SUM(S236:Z236)</f>
        <v>311001.75115234155</v>
      </c>
      <c r="S236" s="29">
        <f>AN236*3*IF(MID(E236,3,1)="1",트라이포드!$J$16/3,트라이포드!$I$16)*IF(MID(E236,3,1)="2",트라이포드!$L$16,트라이포드!$K$16)*IF(MID(E236,3,1)="3",5/3,1)*IF(MID(E236,5,1)="1",트라이포드!$P$16,트라이포드!$O$16)*IF(MID(E236,5,1)="2",트라이포드!$R$16,트라이포드!$Q$16)*(1+입력란!$C$33/100)</f>
        <v>260858.5576109821</v>
      </c>
      <c r="T236" s="29">
        <f>AO236*3*IF(MID(E236,3,1)="1",1/3,1)*IF(MID(E236,3,1)="3",5/3,1)*IF(MID(E236,5,1)="1",트라이포드!$P$16,트라이포드!$O$16)*IF(MID(E236,5,1)="2",트라이포드!$R$16,트라이포드!$Q$16)*(1+입력란!$C$33/100)</f>
        <v>50143.193541359447</v>
      </c>
      <c r="U236" s="29"/>
      <c r="V236" s="29"/>
      <c r="W236" s="29"/>
      <c r="X236" s="38"/>
      <c r="Y236" s="38"/>
      <c r="Z236" s="26"/>
      <c r="AA236" s="29">
        <f>SUM(AB236:AI236)</f>
        <v>622003.50230468309</v>
      </c>
      <c r="AB236" s="29">
        <f>S236*2</f>
        <v>521717.1152219642</v>
      </c>
      <c r="AC236" s="29">
        <f>T236*2</f>
        <v>100286.38708271889</v>
      </c>
      <c r="AD236" s="29"/>
      <c r="AE236" s="29"/>
      <c r="AF236" s="38"/>
      <c r="AG236" s="38"/>
      <c r="AH236" s="38"/>
      <c r="AI236" s="26"/>
      <c r="AJ236" s="25">
        <f>(AR236-IF(MID(E236,1,1)="1",트라이포드!$D$16,트라이포드!$C$16))*(1-입력란!$C$29/100)</f>
        <v>28.731215018700002</v>
      </c>
      <c r="AK23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6" s="25">
        <f>입력란!$C$37+IF(입력란!$C$17=1,10,IF(입력란!$C$17=2,25,IF(입력란!$C$17=3,50,0)))</f>
        <v>200</v>
      </c>
      <c r="AM236" s="29">
        <f>SUM(AN236:AP236)</f>
        <v>35092.910759138613</v>
      </c>
      <c r="AN236" s="29">
        <f>(VLOOKUP(C236,$B$4:$AK$7,17,FALSE)+VLOOKUP(C236,$B$8:$AK$11,17,FALSE)*입력란!$C$23)*입력란!$C$38/100</f>
        <v>28076.781570991057</v>
      </c>
      <c r="AO236" s="29">
        <f>(VLOOKUP(C236,$B$4:$AK$7,18,FALSE)+VLOOKUP(C236,$B$8:$AK$11,18,FALSE)*입력란!$C$23)*입력란!$C$38/100</f>
        <v>7016.1291881475554</v>
      </c>
      <c r="AP236" s="29"/>
      <c r="AQ236" s="29"/>
      <c r="AR236" s="28">
        <v>30</v>
      </c>
    </row>
    <row r="237" spans="2:44" ht="13.5" customHeight="1" x14ac:dyDescent="0.3">
      <c r="B237" s="30">
        <v>222</v>
      </c>
      <c r="C237" s="35">
        <v>1</v>
      </c>
      <c r="D237" s="42" t="s">
        <v>173</v>
      </c>
      <c r="E237" s="37" t="s">
        <v>152</v>
      </c>
      <c r="F237" s="39"/>
      <c r="G237" s="39"/>
      <c r="H237" s="51">
        <f>I237/AJ237</f>
        <v>6298.2898969676289</v>
      </c>
      <c r="I237" s="52">
        <f>SUM(J237:Q237)*IF(입력란!C$15=1,1.04,IF(입력란!C$15=2,1.1,IF(입력란!C$15=3,1.2,1)))*IF(입력란!$C$13&lt;&gt;0,0,1)*IF(입력란!$C$17&lt;&gt;0,0.98,1)</f>
        <v>217149.0255358594</v>
      </c>
      <c r="J237" s="29">
        <f>S237*(1+IF($AK237+IF(입력란!$C$9=1,IF(MID(E237,1,1)&lt;&gt;"2",10,0),0)+IF(MID(E237,1,1)="2",10,0)+IF(입력란!$C$19=1,10,0)&gt;100,100,$AK237+IF(입력란!$C$9=1,IF(MID(E237,1,1)&lt;&gt;"2",10,0),0)+IF(MID(E237,1,1)="2",10,0)+IF(입력란!$C$19=1,10,0))/100*($AL237/100-1))</f>
        <v>65144.824259724883</v>
      </c>
      <c r="K237" s="29">
        <f>T237*(1+IF($AK237+IF(입력란!$C$9=1,IF(MID(E237,1,1)&lt;&gt;"2",10,0),0)+IF(MID(E237,1,1)="2",10,0)+IF(입력란!$C$19=1,10,0)&gt;100,100,$AK237+IF(입력란!$C$9=1,IF(MID(E237,1,1)&lt;&gt;"2",10,0),0)+IF(MID(E237,1,1)="2",10,0)+IF(입력란!$C$19=1,10,0))/100*($AL237/100-1))</f>
        <v>65144.824259724883</v>
      </c>
      <c r="L237" s="29">
        <f>U237*(1+IF($AK237+IF(입력란!$C$9=1,IF(MID(E237,1,1)&lt;&gt;"2",10,0),0)+IF(MID(E237,1,1)="2",10,0)+IF(입력란!$C$19=1,10,0)&gt;100,100,$AK237+IF(입력란!$C$9=1,IF(MID(E237,1,1)&lt;&gt;"2",10,0),0)+IF(MID(E237,1,1)="2",10,0)+IF(입력란!$C$19=1,10,0))/100*($AL237/100-1))</f>
        <v>86859.377016409635</v>
      </c>
      <c r="M237" s="29">
        <f>V237*(1+IF($AK237+IF(입력란!$C$9=1,IF(MID(E237,1,1)&lt;&gt;"2",10,0),0)+IF(MID(E237,1,1)="2",10,0)+IF(입력란!$C$19=1,10,0)&gt;100,100,$AK237+IF(입력란!$C$9=1,IF(MID(E237,1,1)&lt;&gt;"2",10,0),0)+IF(MID(E237,1,1)="2",10,0)+IF(입력란!$C$19=1,10,0))/100*($AL237/100-1))</f>
        <v>0</v>
      </c>
      <c r="N237" s="38"/>
      <c r="O237" s="38"/>
      <c r="P237" s="38"/>
      <c r="Q237" s="34"/>
      <c r="R237" s="23">
        <f>SUM(S237:Z237)</f>
        <v>177466.47835918522</v>
      </c>
      <c r="S237" s="29">
        <f>AN237*IF(MID(E237,1,1)="1",IF(입력란!$C$9=1,트라이포드!$D$17,트라이포드!$C$17),1)*IF(MID(E237,1,1)="2",트라이포드!$F$17,트라이포드!$E$17)*IF(MID(E237,3,1)="1",트라이포드!$J$17,트라이포드!$I$17)*IF(MID(E237,5,1)="2",트라이포드!$R$17,트라이포드!$Q$17)*(1+입력란!$C$33/100)*IF(입력란!$C$9=1,IF(MID(E237,1,1)&lt;&gt;"2",IF(입력란!$C$14=0,1.05,IF(입력란!$C$14=1,1.05*1.05,IF(입력란!$C$14=2,1.05*1.12,IF(입력란!$C$14=3,1.05*1.25)))),1),1)</f>
        <v>53240.038799033129</v>
      </c>
      <c r="T237" s="29">
        <f>AO237*IF(MID(E237,1,1)="1",IF(입력란!$C$9=1,트라이포드!$D$17,트라이포드!$C$17),1)*IF(MID(E237,1,1)="2",트라이포드!$F$17,트라이포드!$E$17)*IF(MID(E237,3,1)="1",트라이포드!$J$17,트라이포드!$I$17)*IF(MID(E237,5,1)="2",트라이포드!$R$17,트라이포드!$Q$17)*(1+입력란!$C$33/100)*IF(입력란!$C$9=1,IF(MID(E237,1,1)&lt;&gt;"2",IF(입력란!$C$14=0,1.05,IF(입력란!$C$14=1,1.05*1.05,IF(입력란!$C$14=2,1.05*1.12,IF(입력란!$C$14=3,1.05*1.25)))),1),1)</f>
        <v>53240.038799033129</v>
      </c>
      <c r="U237" s="29">
        <f>AP237*IF(MID(E237,1,1)="1",IF(입력란!$C$9=1,트라이포드!$D$17,트라이포드!$C$17),1)*IF(MID(E237,1,1)="2",트라이포드!$F$17,트라이포드!$E$17)*IF(MID(E237,3,1)="1",트라이포드!$J$17,트라이포드!$I$17)*IF(MID(E237,5,1)="2",트라이포드!$R$17,트라이포드!$Q$17)*(1+입력란!$C$33/100)*IF(입력란!$C$9=1,IF(MID(E237,1,1)&lt;&gt;"2",IF(입력란!$C$14=0,1.05,IF(입력란!$C$14=1,1.05*1.05,IF(입력란!$C$14=2,1.05*1.12,IF(입력란!$C$14=3,1.05*1.25)))),1),1)</f>
        <v>70986.400761118959</v>
      </c>
      <c r="V237" s="29">
        <f>IF(MID(E237,5,1)="1",(S237+T237+U237)*트라이포드!$P$17,트라이포드!$O$17)</f>
        <v>0</v>
      </c>
      <c r="W237" s="29"/>
      <c r="X237" s="38"/>
      <c r="Y237" s="38"/>
      <c r="Z237" s="26"/>
      <c r="AA237" s="29">
        <f>SUM(AB237:AI237)</f>
        <v>354932.95671837043</v>
      </c>
      <c r="AB237" s="29">
        <f>S237*2</f>
        <v>106480.07759806626</v>
      </c>
      <c r="AC237" s="29">
        <f>T237*2</f>
        <v>106480.07759806626</v>
      </c>
      <c r="AD237" s="29">
        <f>U237*2</f>
        <v>141972.80152223792</v>
      </c>
      <c r="AE237" s="29"/>
      <c r="AF237" s="38"/>
      <c r="AG237" s="38"/>
      <c r="AH237" s="38"/>
      <c r="AI237" s="26"/>
      <c r="AJ237" s="25">
        <f>(AR237-IF(MID(E237,3,1)="3",트라이포드!$N$17,트라이포드!$M$17))*(1-입력란!$C$29/100)</f>
        <v>34.477458022440004</v>
      </c>
      <c r="AK23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7" s="25">
        <f>입력란!$C$37+IF(입력란!$C$17=1,10,IF(입력란!$C$17=2,25,IF(입력란!$C$17=3,50,0)))</f>
        <v>200</v>
      </c>
      <c r="AM237" s="29">
        <f>SUM(AN237:AP237)</f>
        <v>148988.64441571172</v>
      </c>
      <c r="AN237" s="29">
        <f>(VLOOKUP(C237,$B$4:$AK$7,19,FALSE)+VLOOKUP(C237,$B$8:$AK$11,19,FALSE)*입력란!$C$23)*입력란!$C$38/100</f>
        <v>44696.67332471352</v>
      </c>
      <c r="AO237" s="29">
        <f>(VLOOKUP(C237,$B$4:$AK$7,20,FALSE)+VLOOKUP(C237,$B$8:$AK$11,20,FALSE)*입력란!$C$23)*입력란!$C$38/100</f>
        <v>44696.67332471352</v>
      </c>
      <c r="AP237" s="29">
        <f>(VLOOKUP(C237,$B$4:$AK$7,21,FALSE)+VLOOKUP(C237,$B$8:$AK$11,21,FALSE)*입력란!$C$23)*입력란!$C$38/100</f>
        <v>59595.29776628469</v>
      </c>
      <c r="AQ237" s="29"/>
      <c r="AR237" s="28">
        <v>36</v>
      </c>
    </row>
    <row r="238" spans="2:44" ht="13.5" customHeight="1" x14ac:dyDescent="0.3">
      <c r="B238" s="30">
        <v>223</v>
      </c>
      <c r="C238" s="35">
        <v>4</v>
      </c>
      <c r="D238" s="42" t="s">
        <v>173</v>
      </c>
      <c r="E238" s="37" t="s">
        <v>152</v>
      </c>
      <c r="F238" s="39"/>
      <c r="G238" s="39"/>
      <c r="H238" s="51">
        <f>I238/AJ238</f>
        <v>6324.0881194875628</v>
      </c>
      <c r="I238" s="52">
        <f>SUM(J238:Q238)*IF(입력란!C$15=1,1.04,IF(입력란!C$15=2,1.1,IF(입력란!C$15=3,1.2,1)))*IF(입력란!$C$13&lt;&gt;0,0,1)*IF(입력란!$C$17&lt;&gt;0,0.98,1)</f>
        <v>218038.482669844</v>
      </c>
      <c r="J238" s="29">
        <f>S238*(1+IF($AK238+IF(입력란!$C$9=1,IF(MID(E238,1,1)&lt;&gt;"2",10,0),0)+IF(MID(E238,1,1)="2",10,0)+IF(입력란!$C$19=1,10,0)&gt;100,100,$AK238+IF(입력란!$C$9=1,IF(MID(E238,1,1)&lt;&gt;"2",10,0),0)+IF(MID(E238,1,1)="2",10,0)+IF(입력란!$C$19=1,10,0))/100*($AL238/100-1))</f>
        <v>65413.584878803253</v>
      </c>
      <c r="K238" s="29">
        <f>T238*(1+IF($AK238+IF(입력란!$C$9=1,IF(MID(E238,1,1)&lt;&gt;"2",10,0),0)+IF(MID(E238,1,1)="2",10,0)+IF(입력란!$C$19=1,10,0)&gt;100,100,$AK238+IF(입력란!$C$9=1,IF(MID(E238,1,1)&lt;&gt;"2",10,0),0)+IF(MID(E238,1,1)="2",10,0)+IF(입력란!$C$19=1,10,0))/100*($AL238/100-1))</f>
        <v>65413.584878803253</v>
      </c>
      <c r="L238" s="29">
        <f>U238*(1+IF($AK238+IF(입력란!$C$9=1,IF(MID(E238,1,1)&lt;&gt;"2",10,0),0)+IF(MID(E238,1,1)="2",10,0)+IF(입력란!$C$19=1,10,0)&gt;100,100,$AK238+IF(입력란!$C$9=1,IF(MID(E238,1,1)&lt;&gt;"2",10,0),0)+IF(MID(E238,1,1)="2",10,0)+IF(입력란!$C$19=1,10,0))/100*($AL238/100-1))</f>
        <v>87211.312912237496</v>
      </c>
      <c r="M238" s="29">
        <f>V238*(1+IF($AK238+IF(입력란!$C$9=1,IF(MID(E238,1,1)&lt;&gt;"2",10,0),0)+IF(MID(E238,1,1)="2",10,0)+IF(입력란!$C$19=1,10,0)&gt;100,100,$AK238+IF(입력란!$C$9=1,IF(MID(E238,1,1)&lt;&gt;"2",10,0),0)+IF(MID(E238,1,1)="2",10,0)+IF(입력란!$C$19=1,10,0))/100*($AL238/100-1))</f>
        <v>0</v>
      </c>
      <c r="N238" s="38"/>
      <c r="O238" s="38"/>
      <c r="P238" s="38"/>
      <c r="Q238" s="34"/>
      <c r="R238" s="23">
        <f>SUM(S238:Z238)</f>
        <v>178193.39308896667</v>
      </c>
      <c r="S238" s="29">
        <f>AN238*IF(MID(E238,1,1)="1",IF(입력란!$C$9=1,트라이포드!$D$17,트라이포드!$C$17),1)*IF(MID(E238,1,1)="2",트라이포드!$F$17,트라이포드!$E$17)*IF(MID(E238,3,1)="1",트라이포드!$J$17,트라이포드!$I$17)*IF(MID(E238,5,1)="2",트라이포드!$R$17,트라이포드!$Q$17)*(1+입력란!$C$33/100)*IF(입력란!$C$9=1,IF(MID(E238,1,1)&lt;&gt;"2",IF(입력란!$C$14=0,1.05,IF(입력란!$C$14=1,1.05*1.05,IF(입력란!$C$14=2,1.05*1.12,IF(입력란!$C$14=3,1.05*1.25)))),1),1)</f>
        <v>53459.685193815574</v>
      </c>
      <c r="T238" s="29">
        <f>AO238*IF(MID(E238,1,1)="1",IF(입력란!$C$9=1,트라이포드!$D$17,트라이포드!$C$17),1)*IF(MID(E238,1,1)="2",트라이포드!$F$17,트라이포드!$E$17)*IF(MID(E238,3,1)="1",트라이포드!$J$17,트라이포드!$I$17)*IF(MID(E238,5,1)="2",트라이포드!$R$17,트라이포드!$Q$17)*(1+입력란!$C$33/100)*IF(입력란!$C$9=1,IF(MID(E238,1,1)&lt;&gt;"2",IF(입력란!$C$14=0,1.05,IF(입력란!$C$14=1,1.05*1.05,IF(입력란!$C$14=2,1.05*1.12,IF(입력란!$C$14=3,1.05*1.25)))),1),1)</f>
        <v>53459.685193815574</v>
      </c>
      <c r="U238" s="29">
        <f>AP238*IF(MID(E238,1,1)="1",IF(입력란!$C$9=1,트라이포드!$D$17,트라이포드!$C$17),1)*IF(MID(E238,1,1)="2",트라이포드!$F$17,트라이포드!$E$17)*IF(MID(E238,3,1)="1",트라이포드!$J$17,트라이포드!$I$17)*IF(MID(E238,5,1)="2",트라이포드!$R$17,트라이포드!$Q$17)*(1+입력란!$C$33/100)*IF(입력란!$C$9=1,IF(MID(E238,1,1)&lt;&gt;"2",IF(입력란!$C$14=0,1.05,IF(입력란!$C$14=1,1.05*1.05,IF(입력란!$C$14=2,1.05*1.12,IF(입력란!$C$14=3,1.05*1.25)))),1),1)</f>
        <v>71274.022701335503</v>
      </c>
      <c r="V238" s="29">
        <f>IF(MID(E238,5,1)="1",(S238+T238+U238)*트라이포드!$P$17,트라이포드!$O$17)</f>
        <v>0</v>
      </c>
      <c r="W238" s="29"/>
      <c r="X238" s="38"/>
      <c r="Y238" s="38"/>
      <c r="Z238" s="26"/>
      <c r="AA238" s="29">
        <f>SUM(AB238:AI238)</f>
        <v>356386.78617793333</v>
      </c>
      <c r="AB238" s="29">
        <f>S238*2</f>
        <v>106919.37038763115</v>
      </c>
      <c r="AC238" s="29">
        <f>T238*2</f>
        <v>106919.37038763115</v>
      </c>
      <c r="AD238" s="29">
        <f>U238*2</f>
        <v>142548.04540267101</v>
      </c>
      <c r="AE238" s="29"/>
      <c r="AF238" s="38"/>
      <c r="AG238" s="38"/>
      <c r="AH238" s="38"/>
      <c r="AI238" s="26"/>
      <c r="AJ238" s="25">
        <f>(AR238-IF(MID(E238,3,1)="3",트라이포드!$N$17,트라이포드!$M$17))*(1-입력란!$C$29/100)</f>
        <v>34.477458022440004</v>
      </c>
      <c r="AK23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8" s="25">
        <f>입력란!$C$37+IF(입력란!$C$17=1,10,IF(입력란!$C$17=2,25,IF(입력란!$C$17=3,50,0)))</f>
        <v>200</v>
      </c>
      <c r="AM238" s="29">
        <f>SUM(AN238:AP238)</f>
        <v>149598.91200651132</v>
      </c>
      <c r="AN238" s="29">
        <f>(VLOOKUP(C238,$B$4:$AK$7,19,FALSE)+VLOOKUP(C238,$B$8:$AK$11,19,FALSE)*입력란!$C$23)*입력란!$C$38/100</f>
        <v>44881.073324713521</v>
      </c>
      <c r="AO238" s="29">
        <f>(VLOOKUP(C238,$B$4:$AK$7,20,FALSE)+VLOOKUP(C238,$B$8:$AK$11,20,FALSE)*입력란!$C$23)*입력란!$C$38/100</f>
        <v>44881.073324713521</v>
      </c>
      <c r="AP238" s="29">
        <f>(VLOOKUP(C238,$B$4:$AK$7,21,FALSE)+VLOOKUP(C238,$B$8:$AK$11,21,FALSE)*입력란!$C$23)*입력란!$C$38/100</f>
        <v>59836.765357084274</v>
      </c>
      <c r="AQ238" s="29"/>
      <c r="AR238" s="28">
        <v>36</v>
      </c>
    </row>
    <row r="239" spans="2:44" ht="13.5" customHeight="1" x14ac:dyDescent="0.3">
      <c r="B239" s="30">
        <v>224</v>
      </c>
      <c r="C239" s="35">
        <v>4</v>
      </c>
      <c r="D239" s="42" t="s">
        <v>173</v>
      </c>
      <c r="E239" s="37" t="s">
        <v>153</v>
      </c>
      <c r="F239" s="39"/>
      <c r="G239" s="39"/>
      <c r="H239" s="51">
        <f>I239/AJ239</f>
        <v>6324.0881194875628</v>
      </c>
      <c r="I239" s="52">
        <f>SUM(J239:Q239)*IF(입력란!C$15=1,1.04,IF(입력란!C$15=2,1.1,IF(입력란!C$15=3,1.2,1)))*IF(입력란!$C$13&lt;&gt;0,0,1)*IF(입력란!$C$17&lt;&gt;0,0.98,1)</f>
        <v>218038.482669844</v>
      </c>
      <c r="J239" s="29">
        <f>S239*(1+IF($AK239+IF(입력란!$C$9=1,IF(MID(E239,1,1)&lt;&gt;"2",10,0),0)+IF(MID(E239,1,1)="2",10,0)+IF(입력란!$C$19=1,10,0)&gt;100,100,$AK239+IF(입력란!$C$9=1,IF(MID(E239,1,1)&lt;&gt;"2",10,0),0)+IF(MID(E239,1,1)="2",10,0)+IF(입력란!$C$19=1,10,0))/100*($AL239/100-1))</f>
        <v>65413.584878803253</v>
      </c>
      <c r="K239" s="29">
        <f>T239*(1+IF($AK239+IF(입력란!$C$9=1,IF(MID(E239,1,1)&lt;&gt;"2",10,0),0)+IF(MID(E239,1,1)="2",10,0)+IF(입력란!$C$19=1,10,0)&gt;100,100,$AK239+IF(입력란!$C$9=1,IF(MID(E239,1,1)&lt;&gt;"2",10,0),0)+IF(MID(E239,1,1)="2",10,0)+IF(입력란!$C$19=1,10,0))/100*($AL239/100-1))</f>
        <v>65413.584878803253</v>
      </c>
      <c r="L239" s="29">
        <f>U239*(1+IF($AK239+IF(입력란!$C$9=1,IF(MID(E239,1,1)&lt;&gt;"2",10,0),0)+IF(MID(E239,1,1)="2",10,0)+IF(입력란!$C$19=1,10,0)&gt;100,100,$AK239+IF(입력란!$C$9=1,IF(MID(E239,1,1)&lt;&gt;"2",10,0),0)+IF(MID(E239,1,1)="2",10,0)+IF(입력란!$C$19=1,10,0))/100*($AL239/100-1))</f>
        <v>87211.312912237496</v>
      </c>
      <c r="M239" s="29">
        <f>V239*(1+IF($AK239+IF(입력란!$C$9=1,IF(MID(E239,1,1)&lt;&gt;"2",10,0),0)+IF(MID(E239,1,1)="2",10,0)+IF(입력란!$C$19=1,10,0)&gt;100,100,$AK239+IF(입력란!$C$9=1,IF(MID(E239,1,1)&lt;&gt;"2",10,0),0)+IF(MID(E239,1,1)="2",10,0)+IF(입력란!$C$19=1,10,0))/100*($AL239/100-1))</f>
        <v>0</v>
      </c>
      <c r="N239" s="38"/>
      <c r="O239" s="38"/>
      <c r="P239" s="38"/>
      <c r="Q239" s="34"/>
      <c r="R239" s="23">
        <f>SUM(S239:Z239)</f>
        <v>178193.39308896667</v>
      </c>
      <c r="S239" s="29">
        <f>AN239*IF(MID(E239,1,1)="1",IF(입력란!$C$9=1,트라이포드!$D$17,트라이포드!$C$17),1)*IF(MID(E239,1,1)="2",트라이포드!$F$17,트라이포드!$E$17)*IF(MID(E239,3,1)="1",트라이포드!$J$17,트라이포드!$I$17)*IF(MID(E239,5,1)="2",트라이포드!$R$17,트라이포드!$Q$17)*(1+입력란!$C$33/100)*IF(입력란!$C$9=1,IF(MID(E239,1,1)&lt;&gt;"2",IF(입력란!$C$14=0,1.05,IF(입력란!$C$14=1,1.05*1.05,IF(입력란!$C$14=2,1.05*1.12,IF(입력란!$C$14=3,1.05*1.25)))),1),1)</f>
        <v>53459.685193815574</v>
      </c>
      <c r="T239" s="29">
        <f>AO239*IF(MID(E239,1,1)="1",IF(입력란!$C$9=1,트라이포드!$D$17,트라이포드!$C$17),1)*IF(MID(E239,1,1)="2",트라이포드!$F$17,트라이포드!$E$17)*IF(MID(E239,3,1)="1",트라이포드!$J$17,트라이포드!$I$17)*IF(MID(E239,5,1)="2",트라이포드!$R$17,트라이포드!$Q$17)*(1+입력란!$C$33/100)*IF(입력란!$C$9=1,IF(MID(E239,1,1)&lt;&gt;"2",IF(입력란!$C$14=0,1.05,IF(입력란!$C$14=1,1.05*1.05,IF(입력란!$C$14=2,1.05*1.12,IF(입력란!$C$14=3,1.05*1.25)))),1),1)</f>
        <v>53459.685193815574</v>
      </c>
      <c r="U239" s="29">
        <f>AP239*IF(MID(E239,1,1)="1",IF(입력란!$C$9=1,트라이포드!$D$17,트라이포드!$C$17),1)*IF(MID(E239,1,1)="2",트라이포드!$F$17,트라이포드!$E$17)*IF(MID(E239,3,1)="1",트라이포드!$J$17,트라이포드!$I$17)*IF(MID(E239,5,1)="2",트라이포드!$R$17,트라이포드!$Q$17)*(1+입력란!$C$33/100)*IF(입력란!$C$9=1,IF(MID(E239,1,1)&lt;&gt;"2",IF(입력란!$C$14=0,1.05,IF(입력란!$C$14=1,1.05*1.05,IF(입력란!$C$14=2,1.05*1.12,IF(입력란!$C$14=3,1.05*1.25)))),1),1)</f>
        <v>71274.022701335503</v>
      </c>
      <c r="V239" s="29">
        <f>IF(MID(E239,5,1)="1",(S239+T239+U239)*트라이포드!$P$17,트라이포드!$O$17)</f>
        <v>0</v>
      </c>
      <c r="W239" s="29"/>
      <c r="X239" s="38"/>
      <c r="Y239" s="38"/>
      <c r="Z239" s="26"/>
      <c r="AA239" s="29">
        <f>SUM(AB239:AI239)</f>
        <v>356386.78617793333</v>
      </c>
      <c r="AB239" s="29">
        <f>S239*2</f>
        <v>106919.37038763115</v>
      </c>
      <c r="AC239" s="29">
        <f>T239*2</f>
        <v>106919.37038763115</v>
      </c>
      <c r="AD239" s="29">
        <f>U239*2</f>
        <v>142548.04540267101</v>
      </c>
      <c r="AE239" s="29"/>
      <c r="AF239" s="38"/>
      <c r="AG239" s="38"/>
      <c r="AH239" s="38"/>
      <c r="AI239" s="26"/>
      <c r="AJ239" s="25">
        <f>(AR239-IF(MID(E239,3,1)="3",트라이포드!$N$17,트라이포드!$M$17))*(1-입력란!$C$29/100)</f>
        <v>34.477458022440004</v>
      </c>
      <c r="AK23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39" s="25">
        <f>입력란!$C$37+IF(입력란!$C$17=1,10,IF(입력란!$C$17=2,25,IF(입력란!$C$17=3,50,0)))</f>
        <v>200</v>
      </c>
      <c r="AM239" s="29">
        <f>SUM(AN239:AP239)</f>
        <v>149598.91200651132</v>
      </c>
      <c r="AN239" s="29">
        <f>(VLOOKUP(C239,$B$4:$AK$7,19,FALSE)+VLOOKUP(C239,$B$8:$AK$11,19,FALSE)*입력란!$C$23)*입력란!$C$38/100</f>
        <v>44881.073324713521</v>
      </c>
      <c r="AO239" s="29">
        <f>(VLOOKUP(C239,$B$4:$AK$7,20,FALSE)+VLOOKUP(C239,$B$8:$AK$11,20,FALSE)*입력란!$C$23)*입력란!$C$38/100</f>
        <v>44881.073324713521</v>
      </c>
      <c r="AP239" s="29">
        <f>(VLOOKUP(C239,$B$4:$AK$7,21,FALSE)+VLOOKUP(C239,$B$8:$AK$11,21,FALSE)*입력란!$C$23)*입력란!$C$38/100</f>
        <v>59836.765357084274</v>
      </c>
      <c r="AQ239" s="29"/>
      <c r="AR239" s="28">
        <v>36</v>
      </c>
    </row>
    <row r="240" spans="2:44" ht="13.5" customHeight="1" x14ac:dyDescent="0.3">
      <c r="B240" s="30">
        <v>225</v>
      </c>
      <c r="C240" s="35">
        <v>4</v>
      </c>
      <c r="D240" s="42" t="s">
        <v>32</v>
      </c>
      <c r="E240" s="37" t="s">
        <v>307</v>
      </c>
      <c r="F240" s="39"/>
      <c r="G240" s="39"/>
      <c r="H240" s="51">
        <f>I240/AJ240</f>
        <v>7182.974827102732</v>
      </c>
      <c r="I240" s="52">
        <f>SUM(J240:Q240)*IF(입력란!C$15=1,1.04,IF(입력란!C$15=2,1.1,IF(입력란!C$15=3,1.2,1)))*IF(입력란!$C$13&lt;&gt;0,0,1)*IF(입력란!$C$17&lt;&gt;0,0.98,1)</f>
        <v>247650.71307767768</v>
      </c>
      <c r="J240" s="29">
        <f>S240*(1+IF($AK240+IF(입력란!$C$9=1,IF(MID(E240,1,1)&lt;&gt;"2",10,0),0)+IF(MID(E240,1,1)="2",10,0)+IF(입력란!$C$19=1,10,0)&gt;100,100,$AK240+IF(입력란!$C$9=1,IF(MID(E240,1,1)&lt;&gt;"2",10,0),0)+IF(MID(E240,1,1)="2",10,0)+IF(입력란!$C$19=1,10,0))/100*($AL240/100-1))</f>
        <v>74297.531068094046</v>
      </c>
      <c r="K240" s="29">
        <f>T240*(1+IF($AK240+IF(입력란!$C$9=1,IF(MID(E240,1,1)&lt;&gt;"2",10,0),0)+IF(MID(E240,1,1)="2",10,0)+IF(입력란!$C$19=1,10,0)&gt;100,100,$AK240+IF(입력란!$C$9=1,IF(MID(E240,1,1)&lt;&gt;"2",10,0),0)+IF(MID(E240,1,1)="2",10,0)+IF(입력란!$C$19=1,10,0))/100*($AL240/100-1))</f>
        <v>74297.531068094046</v>
      </c>
      <c r="L240" s="29">
        <f>U240*(1+IF($AK240+IF(입력란!$C$9=1,IF(MID(E240,1,1)&lt;&gt;"2",10,0),0)+IF(MID(E240,1,1)="2",10,0)+IF(입력란!$C$19=1,10,0)&gt;100,100,$AK240+IF(입력란!$C$9=1,IF(MID(E240,1,1)&lt;&gt;"2",10,0),0)+IF(MID(E240,1,1)="2",10,0)+IF(입력란!$C$19=1,10,0))/100*($AL240/100-1))</f>
        <v>99055.650941489585</v>
      </c>
      <c r="M240" s="29">
        <f>V240*(1+IF($AK240+IF(입력란!$C$9=1,IF(MID(E240,1,1)&lt;&gt;"2",10,0),0)+IF(MID(E240,1,1)="2",10,0)+IF(입력란!$C$19=1,10,0)&gt;100,100,$AK240+IF(입력란!$C$9=1,IF(MID(E240,1,1)&lt;&gt;"2",10,0),0)+IF(MID(E240,1,1)="2",10,0)+IF(입력란!$C$19=1,10,0))/100*($AL240/100-1))</f>
        <v>0</v>
      </c>
      <c r="N240" s="38"/>
      <c r="O240" s="38"/>
      <c r="P240" s="38"/>
      <c r="Q240" s="34"/>
      <c r="R240" s="23">
        <f>SUM(S240:Z240)</f>
        <v>187103.06274341498</v>
      </c>
      <c r="S240" s="29">
        <f>AN240*IF(MID(E240,1,1)="1",IF(입력란!$C$9=1,트라이포드!$D$17,트라이포드!$C$17),1)*IF(MID(E240,1,1)="2",트라이포드!$F$17,트라이포드!$E$17)*IF(MID(E240,3,1)="1",트라이포드!$J$17,트라이포드!$I$17)*IF(MID(E240,5,1)="2",트라이포드!$R$17,트라이포드!$Q$17)*(1+입력란!$C$33/100)*IF(입력란!$C$9=1,IF(MID(E240,1,1)&lt;&gt;"2",IF(입력란!$C$14=0,1.05,IF(입력란!$C$14=1,1.05*1.05,IF(입력란!$C$14=2,1.05*1.12,IF(입력란!$C$14=3,1.05*1.25)))),1),1)</f>
        <v>56132.669453506351</v>
      </c>
      <c r="T240" s="29">
        <f>AO240*IF(MID(E240,1,1)="1",IF(입력란!$C$9=1,트라이포드!$D$17,트라이포드!$C$17),1)*IF(MID(E240,1,1)="2",트라이포드!$F$17,트라이포드!$E$17)*IF(MID(E240,3,1)="1",트라이포드!$J$17,트라이포드!$I$17)*IF(MID(E240,5,1)="2",트라이포드!$R$17,트라이포드!$Q$17)*(1+입력란!$C$33/100)*IF(입력란!$C$9=1,IF(MID(E240,1,1)&lt;&gt;"2",IF(입력란!$C$14=0,1.05,IF(입력란!$C$14=1,1.05*1.05,IF(입력란!$C$14=2,1.05*1.12,IF(입력란!$C$14=3,1.05*1.25)))),1),1)</f>
        <v>56132.669453506351</v>
      </c>
      <c r="U240" s="29">
        <f>AP240*IF(MID(E240,1,1)="1",IF(입력란!$C$9=1,트라이포드!$D$17,트라이포드!$C$17),1)*IF(MID(E240,1,1)="2",트라이포드!$F$17,트라이포드!$E$17)*IF(MID(E240,3,1)="1",트라이포드!$J$17,트라이포드!$I$17)*IF(MID(E240,5,1)="2",트라이포드!$R$17,트라이포드!$Q$17)*(1+입력란!$C$33/100)*IF(입력란!$C$9=1,IF(MID(E240,1,1)&lt;&gt;"2",IF(입력란!$C$14=0,1.05,IF(입력란!$C$14=1,1.05*1.05,IF(입력란!$C$14=2,1.05*1.12,IF(입력란!$C$14=3,1.05*1.25)))),1),1)</f>
        <v>74837.723836402278</v>
      </c>
      <c r="V240" s="29">
        <f>IF(MID(E240,5,1)="1",(S240+T240+U240)*트라이포드!$P$17,트라이포드!$O$17)</f>
        <v>0</v>
      </c>
      <c r="W240" s="29"/>
      <c r="X240" s="38"/>
      <c r="Y240" s="38"/>
      <c r="Z240" s="26"/>
      <c r="AA240" s="29">
        <f>SUM(AB240:AI240)</f>
        <v>374206.12548682996</v>
      </c>
      <c r="AB240" s="29">
        <f>S240*2</f>
        <v>112265.3389070127</v>
      </c>
      <c r="AC240" s="29">
        <f>T240*2</f>
        <v>112265.3389070127</v>
      </c>
      <c r="AD240" s="29">
        <f>U240*2</f>
        <v>149675.44767280456</v>
      </c>
      <c r="AE240" s="29"/>
      <c r="AF240" s="38"/>
      <c r="AG240" s="38"/>
      <c r="AH240" s="38"/>
      <c r="AI240" s="26"/>
      <c r="AJ240" s="25">
        <f>(AR240-IF(MID(E240,3,1)="3",트라이포드!$N$17,트라이포드!$M$17))*(1-입력란!$C$29/100)</f>
        <v>34.477458022440004</v>
      </c>
      <c r="AK24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0" s="25">
        <f>입력란!$C$37+IF(입력란!$C$17=1,10,IF(입력란!$C$17=2,25,IF(입력란!$C$17=3,50,0)))</f>
        <v>200</v>
      </c>
      <c r="AM240" s="29">
        <f>SUM(AN240:AP240)</f>
        <v>149598.91200651132</v>
      </c>
      <c r="AN240" s="29">
        <f>(VLOOKUP(C240,$B$4:$AK$7,19,FALSE)+VLOOKUP(C240,$B$8:$AK$11,19,FALSE)*입력란!$C$23)*입력란!$C$38/100</f>
        <v>44881.073324713521</v>
      </c>
      <c r="AO240" s="29">
        <f>(VLOOKUP(C240,$B$4:$AK$7,20,FALSE)+VLOOKUP(C240,$B$8:$AK$11,20,FALSE)*입력란!$C$23)*입력란!$C$38/100</f>
        <v>44881.073324713521</v>
      </c>
      <c r="AP240" s="29">
        <f>(VLOOKUP(C240,$B$4:$AK$7,21,FALSE)+VLOOKUP(C240,$B$8:$AK$11,21,FALSE)*입력란!$C$23)*입력란!$C$38/100</f>
        <v>59836.765357084274</v>
      </c>
      <c r="AQ240" s="29"/>
      <c r="AR240" s="28">
        <v>36</v>
      </c>
    </row>
    <row r="241" spans="2:44" ht="13.5" customHeight="1" x14ac:dyDescent="0.3">
      <c r="B241" s="30">
        <v>226</v>
      </c>
      <c r="C241" s="35">
        <v>7</v>
      </c>
      <c r="D241" s="42" t="s">
        <v>173</v>
      </c>
      <c r="E241" s="37" t="s">
        <v>152</v>
      </c>
      <c r="F241" s="39"/>
      <c r="G241" s="39"/>
      <c r="H241" s="51">
        <f>I241/AJ241</f>
        <v>6335.7444448089655</v>
      </c>
      <c r="I241" s="52">
        <f>SUM(J241:Q241)*IF(입력란!C$15=1,1.04,IF(입력란!C$15=2,1.1,IF(입력란!C$15=3,1.2,1)))*IF(입력란!$C$13&lt;&gt;0,0,1)*IF(입력란!$C$17&lt;&gt;0,0.98,1)</f>
        <v>218440.36313680856</v>
      </c>
      <c r="J241" s="29">
        <f>S241*(1+IF($AK241+IF(입력란!$C$9=1,IF(MID(E241,1,1)&lt;&gt;"2",10,0),0)+IF(MID(E241,1,1)="2",10,0)+IF(입력란!$C$19=1,10,0)&gt;100,100,$AK241+IF(입력란!$C$9=1,IF(MID(E241,1,1)&lt;&gt;"2",10,0),0)+IF(MID(E241,1,1)="2",10,0)+IF(입력란!$C$19=1,10,0))/100*($AL241/100-1))</f>
        <v>65531.156850836072</v>
      </c>
      <c r="K241" s="29">
        <f>T241*(1+IF($AK241+IF(입력란!$C$9=1,IF(MID(E241,1,1)&lt;&gt;"2",10,0),0)+IF(MID(E241,1,1)="2",10,0)+IF(입력란!$C$19=1,10,0)&gt;100,100,$AK241+IF(입력란!$C$9=1,IF(MID(E241,1,1)&lt;&gt;"2",10,0),0)+IF(MID(E241,1,1)="2",10,0)+IF(입력란!$C$19=1,10,0))/100*($AL241/100-1))</f>
        <v>65531.156850836072</v>
      </c>
      <c r="L241" s="29">
        <f>U241*(1+IF($AK241+IF(입력란!$C$9=1,IF(MID(E241,1,1)&lt;&gt;"2",10,0),0)+IF(MID(E241,1,1)="2",10,0)+IF(입력란!$C$19=1,10,0)&gt;100,100,$AK241+IF(입력란!$C$9=1,IF(MID(E241,1,1)&lt;&gt;"2",10,0),0)+IF(MID(E241,1,1)="2",10,0)+IF(입력란!$C$19=1,10,0))/100*($AL241/100-1))</f>
        <v>87378.049435136432</v>
      </c>
      <c r="M241" s="29">
        <f>V241*(1+IF($AK241+IF(입력란!$C$9=1,IF(MID(E241,1,1)&lt;&gt;"2",10,0),0)+IF(MID(E241,1,1)="2",10,0)+IF(입력란!$C$19=1,10,0)&gt;100,100,$AK241+IF(입력란!$C$9=1,IF(MID(E241,1,1)&lt;&gt;"2",10,0),0)+IF(MID(E241,1,1)="2",10,0)+IF(입력란!$C$19=1,10,0))/100*($AL241/100-1))</f>
        <v>0</v>
      </c>
      <c r="N241" s="38"/>
      <c r="O241" s="38"/>
      <c r="P241" s="38"/>
      <c r="Q241" s="34"/>
      <c r="R241" s="23">
        <f>SUM(S241:Z241)</f>
        <v>178521.83256051183</v>
      </c>
      <c r="S241" s="29">
        <f>AN241*IF(MID(E241,1,1)="1",IF(입력란!$C$9=1,트라이포드!$D$17,트라이포드!$C$17),1)*IF(MID(E241,1,1)="2",트라이포드!$F$17,트라이포드!$E$17)*IF(MID(E241,3,1)="1",트라이포드!$J$17,트라이포드!$I$17)*IF(MID(E241,5,1)="2",트라이포드!$R$17,트라이포드!$Q$17)*(1+입력란!$C$33/100)*IF(입력란!$C$9=1,IF(MID(E241,1,1)&lt;&gt;"2",IF(입력란!$C$14=0,1.05,IF(입력란!$C$14=1,1.05*1.05,IF(입력란!$C$14=2,1.05*1.12,IF(입력란!$C$14=3,1.05*1.25)))),1),1)</f>
        <v>53555.771666130706</v>
      </c>
      <c r="T241" s="29">
        <f>AO241*IF(MID(E241,1,1)="1",IF(입력란!$C$9=1,트라이포드!$D$17,트라이포드!$C$17),1)*IF(MID(E241,1,1)="2",트라이포드!$F$17,트라이포드!$E$17)*IF(MID(E241,3,1)="1",트라이포드!$J$17,트라이포드!$I$17)*IF(MID(E241,5,1)="2",트라이포드!$R$17,트라이포드!$Q$17)*(1+입력란!$C$33/100)*IF(입력란!$C$9=1,IF(MID(E241,1,1)&lt;&gt;"2",IF(입력란!$C$14=0,1.05,IF(입력란!$C$14=1,1.05*1.05,IF(입력란!$C$14=2,1.05*1.12,IF(입력란!$C$14=3,1.05*1.25)))),1),1)</f>
        <v>53555.771666130706</v>
      </c>
      <c r="U241" s="29">
        <f>AP241*IF(MID(E241,1,1)="1",IF(입력란!$C$9=1,트라이포드!$D$17,트라이포드!$C$17),1)*IF(MID(E241,1,1)="2",트라이포드!$F$17,트라이포드!$E$17)*IF(MID(E241,3,1)="1",트라이포드!$J$17,트라이포드!$I$17)*IF(MID(E241,5,1)="2",트라이포드!$R$17,트라이포드!$Q$17)*(1+입력란!$C$33/100)*IF(입력란!$C$9=1,IF(MID(E241,1,1)&lt;&gt;"2",IF(입력란!$C$14=0,1.05,IF(입력란!$C$14=1,1.05*1.05,IF(입력란!$C$14=2,1.05*1.12,IF(입력란!$C$14=3,1.05*1.25)))),1),1)</f>
        <v>71410.289228250418</v>
      </c>
      <c r="V241" s="29">
        <f>IF(MID(E241,5,1)="1",(S241+T241+U241)*트라이포드!$P$17,트라이포드!$O$17)</f>
        <v>0</v>
      </c>
      <c r="W241" s="29"/>
      <c r="X241" s="38"/>
      <c r="Y241" s="38"/>
      <c r="Z241" s="26"/>
      <c r="AA241" s="29">
        <f>SUM(AB241:AI241)</f>
        <v>357043.66512102366</v>
      </c>
      <c r="AB241" s="29">
        <f>S241*2</f>
        <v>107111.54333226141</v>
      </c>
      <c r="AC241" s="29">
        <f>T241*2</f>
        <v>107111.54333226141</v>
      </c>
      <c r="AD241" s="29">
        <f>U241*2</f>
        <v>142820.57845650084</v>
      </c>
      <c r="AE241" s="29"/>
      <c r="AF241" s="38"/>
      <c r="AG241" s="38"/>
      <c r="AH241" s="38"/>
      <c r="AI241" s="26"/>
      <c r="AJ241" s="25">
        <f>(AR241-IF(MID(E241,3,1)="3",트라이포드!$N$17,트라이포드!$M$17))*(1-입력란!$C$29/100)</f>
        <v>34.477458022440004</v>
      </c>
      <c r="AK24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1" s="25">
        <f>입력란!$C$37+IF(입력란!$C$17=1,10,IF(입력란!$C$17=2,25,IF(입력란!$C$17=3,50,0)))</f>
        <v>200</v>
      </c>
      <c r="AM241" s="29">
        <f>SUM(AN241:AP241)</f>
        <v>149874.64718811045</v>
      </c>
      <c r="AN241" s="29">
        <f>(VLOOKUP(C241,$B$4:$AK$7,19,FALSE)+VLOOKUP(C241,$B$8:$AK$11,19,FALSE)*입력란!$C$23)*입력란!$C$38/100</f>
        <v>44961.740915513095</v>
      </c>
      <c r="AO241" s="29">
        <f>(VLOOKUP(C241,$B$4:$AK$7,20,FALSE)+VLOOKUP(C241,$B$8:$AK$11,20,FALSE)*입력란!$C$23)*입력란!$C$38/100</f>
        <v>44961.740915513095</v>
      </c>
      <c r="AP241" s="29">
        <f>(VLOOKUP(C241,$B$4:$AK$7,21,FALSE)+VLOOKUP(C241,$B$8:$AK$11,21,FALSE)*입력란!$C$23)*입력란!$C$38/100</f>
        <v>59951.165357084275</v>
      </c>
      <c r="AQ241" s="29"/>
      <c r="AR241" s="28">
        <v>36</v>
      </c>
    </row>
    <row r="242" spans="2:44" ht="13.5" customHeight="1" x14ac:dyDescent="0.3">
      <c r="B242" s="30">
        <v>227</v>
      </c>
      <c r="C242" s="35">
        <v>7</v>
      </c>
      <c r="D242" s="42" t="s">
        <v>173</v>
      </c>
      <c r="E242" s="37" t="s">
        <v>154</v>
      </c>
      <c r="F242" s="39"/>
      <c r="G242" s="39"/>
      <c r="H242" s="51">
        <f>I242/AJ242</f>
        <v>7919.680556011208</v>
      </c>
      <c r="I242" s="52">
        <f>SUM(J242:Q242)*IF(입력란!C$15=1,1.04,IF(입력란!C$15=2,1.1,IF(입력란!C$15=3,1.2,1)))*IF(입력란!$C$13&lt;&gt;0,0,1)*IF(입력란!$C$17&lt;&gt;0,0.98,1)</f>
        <v>273050.45392101072</v>
      </c>
      <c r="J242" s="29">
        <f>S242*(1+IF($AK242+IF(입력란!$C$9=1,IF(MID(E242,1,1)&lt;&gt;"2",10,0),0)+IF(MID(E242,1,1)="2",10,0)+IF(입력란!$C$19=1,10,0)&gt;100,100,$AK242+IF(입력란!$C$9=1,IF(MID(E242,1,1)&lt;&gt;"2",10,0),0)+IF(MID(E242,1,1)="2",10,0)+IF(입력란!$C$19=1,10,0))/100*($AL242/100-1))</f>
        <v>81913.946063545111</v>
      </c>
      <c r="K242" s="29">
        <f>T242*(1+IF($AK242+IF(입력란!$C$9=1,IF(MID(E242,1,1)&lt;&gt;"2",10,0),0)+IF(MID(E242,1,1)="2",10,0)+IF(입력란!$C$19=1,10,0)&gt;100,100,$AK242+IF(입력란!$C$9=1,IF(MID(E242,1,1)&lt;&gt;"2",10,0),0)+IF(MID(E242,1,1)="2",10,0)+IF(입력란!$C$19=1,10,0))/100*($AL242/100-1))</f>
        <v>81913.946063545111</v>
      </c>
      <c r="L242" s="29">
        <f>U242*(1+IF($AK242+IF(입력란!$C$9=1,IF(MID(E242,1,1)&lt;&gt;"2",10,0),0)+IF(MID(E242,1,1)="2",10,0)+IF(입력란!$C$19=1,10,0)&gt;100,100,$AK242+IF(입력란!$C$9=1,IF(MID(E242,1,1)&lt;&gt;"2",10,0),0)+IF(MID(E242,1,1)="2",10,0)+IF(입력란!$C$19=1,10,0))/100*($AL242/100-1))</f>
        <v>109222.56179392053</v>
      </c>
      <c r="M242" s="29">
        <f>V242*(1+IF($AK242+IF(입력란!$C$9=1,IF(MID(E242,1,1)&lt;&gt;"2",10,0),0)+IF(MID(E242,1,1)="2",10,0)+IF(입력란!$C$19=1,10,0)&gt;100,100,$AK242+IF(입력란!$C$9=1,IF(MID(E242,1,1)&lt;&gt;"2",10,0),0)+IF(MID(E242,1,1)="2",10,0)+IF(입력란!$C$19=1,10,0))/100*($AL242/100-1))</f>
        <v>0</v>
      </c>
      <c r="N242" s="38"/>
      <c r="O242" s="38"/>
      <c r="P242" s="38"/>
      <c r="Q242" s="34"/>
      <c r="R242" s="23">
        <f>SUM(S242:Z242)</f>
        <v>223152.2907006398</v>
      </c>
      <c r="S242" s="29">
        <f>AN242*IF(MID(E242,1,1)="1",IF(입력란!$C$9=1,트라이포드!$D$17,트라이포드!$C$17),1)*IF(MID(E242,1,1)="2",트라이포드!$F$17,트라이포드!$E$17)*IF(MID(E242,3,1)="1",트라이포드!$J$17,트라이포드!$I$17)*IF(MID(E242,5,1)="2",트라이포드!$R$17,트라이포드!$Q$17)*(1+입력란!$C$33/100)*IF(입력란!$C$9=1,IF(MID(E242,1,1)&lt;&gt;"2",IF(입력란!$C$14=0,1.05,IF(입력란!$C$14=1,1.05*1.05,IF(입력란!$C$14=2,1.05*1.12,IF(입력란!$C$14=3,1.05*1.25)))),1),1)</f>
        <v>66944.714582663393</v>
      </c>
      <c r="T242" s="29">
        <f>AO242*IF(MID(E242,1,1)="1",IF(입력란!$C$9=1,트라이포드!$D$17,트라이포드!$C$17),1)*IF(MID(E242,1,1)="2",트라이포드!$F$17,트라이포드!$E$17)*IF(MID(E242,3,1)="1",트라이포드!$J$17,트라이포드!$I$17)*IF(MID(E242,5,1)="2",트라이포드!$R$17,트라이포드!$Q$17)*(1+입력란!$C$33/100)*IF(입력란!$C$9=1,IF(MID(E242,1,1)&lt;&gt;"2",IF(입력란!$C$14=0,1.05,IF(입력란!$C$14=1,1.05*1.05,IF(입력란!$C$14=2,1.05*1.12,IF(입력란!$C$14=3,1.05*1.25)))),1),1)</f>
        <v>66944.714582663393</v>
      </c>
      <c r="U242" s="29">
        <f>AP242*IF(MID(E242,1,1)="1",IF(입력란!$C$9=1,트라이포드!$D$17,트라이포드!$C$17),1)*IF(MID(E242,1,1)="2",트라이포드!$F$17,트라이포드!$E$17)*IF(MID(E242,3,1)="1",트라이포드!$J$17,트라이포드!$I$17)*IF(MID(E242,5,1)="2",트라이포드!$R$17,트라이포드!$Q$17)*(1+입력란!$C$33/100)*IF(입력란!$C$9=1,IF(MID(E242,1,1)&lt;&gt;"2",IF(입력란!$C$14=0,1.05,IF(입력란!$C$14=1,1.05*1.05,IF(입력란!$C$14=2,1.05*1.12,IF(입력란!$C$14=3,1.05*1.25)))),1),1)</f>
        <v>89262.861535313015</v>
      </c>
      <c r="V242" s="29">
        <f>IF(MID(E242,5,1)="1",(S242+T242+U242)*트라이포드!$P$17,트라이포드!$O$17)</f>
        <v>0</v>
      </c>
      <c r="W242" s="29"/>
      <c r="X242" s="38"/>
      <c r="Y242" s="38"/>
      <c r="Z242" s="26"/>
      <c r="AA242" s="29">
        <f>SUM(AB242:AI242)</f>
        <v>446304.5814012796</v>
      </c>
      <c r="AB242" s="29">
        <f>S242*2</f>
        <v>133889.42916532679</v>
      </c>
      <c r="AC242" s="29">
        <f>T242*2</f>
        <v>133889.42916532679</v>
      </c>
      <c r="AD242" s="29">
        <f>U242*2</f>
        <v>178525.72307062603</v>
      </c>
      <c r="AE242" s="29"/>
      <c r="AF242" s="38"/>
      <c r="AG242" s="38"/>
      <c r="AH242" s="38"/>
      <c r="AI242" s="26"/>
      <c r="AJ242" s="25">
        <f>(AR242-IF(MID(E242,3,1)="3",트라이포드!$N$17,트라이포드!$M$17))*(1-입력란!$C$29/100)</f>
        <v>34.477458022440004</v>
      </c>
      <c r="AK24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2" s="25">
        <f>입력란!$C$37+IF(입력란!$C$17=1,10,IF(입력란!$C$17=2,25,IF(입력란!$C$17=3,50,0)))</f>
        <v>200</v>
      </c>
      <c r="AM242" s="29">
        <f>SUM(AN242:AP242)</f>
        <v>149874.64718811045</v>
      </c>
      <c r="AN242" s="29">
        <f>(VLOOKUP(C242,$B$4:$AK$7,19,FALSE)+VLOOKUP(C242,$B$8:$AK$11,19,FALSE)*입력란!$C$23)*입력란!$C$38/100</f>
        <v>44961.740915513095</v>
      </c>
      <c r="AO242" s="29">
        <f>(VLOOKUP(C242,$B$4:$AK$7,20,FALSE)+VLOOKUP(C242,$B$8:$AK$11,20,FALSE)*입력란!$C$23)*입력란!$C$38/100</f>
        <v>44961.740915513095</v>
      </c>
      <c r="AP242" s="29">
        <f>(VLOOKUP(C242,$B$4:$AK$7,21,FALSE)+VLOOKUP(C242,$B$8:$AK$11,21,FALSE)*입력란!$C$23)*입력란!$C$38/100</f>
        <v>59951.165357084275</v>
      </c>
      <c r="AQ242" s="29"/>
      <c r="AR242" s="28">
        <v>36</v>
      </c>
    </row>
    <row r="243" spans="2:44" ht="13.5" customHeight="1" x14ac:dyDescent="0.3">
      <c r="B243" s="30">
        <v>228</v>
      </c>
      <c r="C243" s="35">
        <v>7</v>
      </c>
      <c r="D243" s="42" t="s">
        <v>173</v>
      </c>
      <c r="E243" s="37" t="s">
        <v>174</v>
      </c>
      <c r="F243" s="39"/>
      <c r="G243" s="39"/>
      <c r="H243" s="51">
        <f>I243/AJ243</f>
        <v>9123.472000524911</v>
      </c>
      <c r="I243" s="52">
        <f>SUM(J243:Q243)*IF(입력란!C$15=1,1.04,IF(입력란!C$15=2,1.1,IF(입력란!C$15=3,1.2,1)))*IF(입력란!$C$13&lt;&gt;0,0,1)*IF(입력란!$C$17&lt;&gt;0,0.98,1)</f>
        <v>218440.36313680856</v>
      </c>
      <c r="J243" s="29">
        <f>S243*(1+IF($AK243+IF(입력란!$C$9=1,IF(MID(E243,1,1)&lt;&gt;"2",10,0),0)+IF(MID(E243,1,1)="2",10,0)+IF(입력란!$C$19=1,10,0)&gt;100,100,$AK243+IF(입력란!$C$9=1,IF(MID(E243,1,1)&lt;&gt;"2",10,0),0)+IF(MID(E243,1,1)="2",10,0)+IF(입력란!$C$19=1,10,0))/100*($AL243/100-1))</f>
        <v>65531.156850836072</v>
      </c>
      <c r="K243" s="29">
        <f>T243*(1+IF($AK243+IF(입력란!$C$9=1,IF(MID(E243,1,1)&lt;&gt;"2",10,0),0)+IF(MID(E243,1,1)="2",10,0)+IF(입력란!$C$19=1,10,0)&gt;100,100,$AK243+IF(입력란!$C$9=1,IF(MID(E243,1,1)&lt;&gt;"2",10,0),0)+IF(MID(E243,1,1)="2",10,0)+IF(입력란!$C$19=1,10,0))/100*($AL243/100-1))</f>
        <v>65531.156850836072</v>
      </c>
      <c r="L243" s="29">
        <f>U243*(1+IF($AK243+IF(입력란!$C$9=1,IF(MID(E243,1,1)&lt;&gt;"2",10,0),0)+IF(MID(E243,1,1)="2",10,0)+IF(입력란!$C$19=1,10,0)&gt;100,100,$AK243+IF(입력란!$C$9=1,IF(MID(E243,1,1)&lt;&gt;"2",10,0),0)+IF(MID(E243,1,1)="2",10,0)+IF(입력란!$C$19=1,10,0))/100*($AL243/100-1))</f>
        <v>87378.049435136432</v>
      </c>
      <c r="M243" s="29">
        <f>V243*(1+IF($AK243+IF(입력란!$C$9=1,IF(MID(E243,1,1)&lt;&gt;"2",10,0),0)+IF(MID(E243,1,1)="2",10,0)+IF(입력란!$C$19=1,10,0)&gt;100,100,$AK243+IF(입력란!$C$9=1,IF(MID(E243,1,1)&lt;&gt;"2",10,0),0)+IF(MID(E243,1,1)="2",10,0)+IF(입력란!$C$19=1,10,0))/100*($AL243/100-1))</f>
        <v>0</v>
      </c>
      <c r="N243" s="38"/>
      <c r="O243" s="38"/>
      <c r="P243" s="38"/>
      <c r="Q243" s="34"/>
      <c r="R243" s="23">
        <f>SUM(S243:Z243)</f>
        <v>178521.83256051183</v>
      </c>
      <c r="S243" s="29">
        <f>AN243*IF(MID(E243,1,1)="1",IF(입력란!$C$9=1,트라이포드!$D$17,트라이포드!$C$17),1)*IF(MID(E243,1,1)="2",트라이포드!$F$17,트라이포드!$E$17)*IF(MID(E243,3,1)="1",트라이포드!$J$17,트라이포드!$I$17)*IF(MID(E243,5,1)="2",트라이포드!$R$17,트라이포드!$Q$17)*(1+입력란!$C$33/100)*IF(입력란!$C$9=1,IF(MID(E243,1,1)&lt;&gt;"2",IF(입력란!$C$14=0,1.05,IF(입력란!$C$14=1,1.05*1.05,IF(입력란!$C$14=2,1.05*1.12,IF(입력란!$C$14=3,1.05*1.25)))),1),1)</f>
        <v>53555.771666130706</v>
      </c>
      <c r="T243" s="29">
        <f>AO243*IF(MID(E243,1,1)="1",IF(입력란!$C$9=1,트라이포드!$D$17,트라이포드!$C$17),1)*IF(MID(E243,1,1)="2",트라이포드!$F$17,트라이포드!$E$17)*IF(MID(E243,3,1)="1",트라이포드!$J$17,트라이포드!$I$17)*IF(MID(E243,5,1)="2",트라이포드!$R$17,트라이포드!$Q$17)*(1+입력란!$C$33/100)*IF(입력란!$C$9=1,IF(MID(E243,1,1)&lt;&gt;"2",IF(입력란!$C$14=0,1.05,IF(입력란!$C$14=1,1.05*1.05,IF(입력란!$C$14=2,1.05*1.12,IF(입력란!$C$14=3,1.05*1.25)))),1),1)</f>
        <v>53555.771666130706</v>
      </c>
      <c r="U243" s="29">
        <f>AP243*IF(MID(E243,1,1)="1",IF(입력란!$C$9=1,트라이포드!$D$17,트라이포드!$C$17),1)*IF(MID(E243,1,1)="2",트라이포드!$F$17,트라이포드!$E$17)*IF(MID(E243,3,1)="1",트라이포드!$J$17,트라이포드!$I$17)*IF(MID(E243,5,1)="2",트라이포드!$R$17,트라이포드!$Q$17)*(1+입력란!$C$33/100)*IF(입력란!$C$9=1,IF(MID(E243,1,1)&lt;&gt;"2",IF(입력란!$C$14=0,1.05,IF(입력란!$C$14=1,1.05*1.05,IF(입력란!$C$14=2,1.05*1.12,IF(입력란!$C$14=3,1.05*1.25)))),1),1)</f>
        <v>71410.289228250418</v>
      </c>
      <c r="V243" s="29">
        <f>IF(MID(E243,5,1)="1",(S243+T243+U243)*트라이포드!$P$17,트라이포드!$O$17)</f>
        <v>0</v>
      </c>
      <c r="W243" s="29"/>
      <c r="X243" s="38"/>
      <c r="Y243" s="38"/>
      <c r="Z243" s="26"/>
      <c r="AA243" s="29">
        <f>SUM(AB243:AI243)</f>
        <v>357043.66512102366</v>
      </c>
      <c r="AB243" s="29">
        <f>S243*2</f>
        <v>107111.54333226141</v>
      </c>
      <c r="AC243" s="29">
        <f>T243*2</f>
        <v>107111.54333226141</v>
      </c>
      <c r="AD243" s="29">
        <f>U243*2</f>
        <v>142820.57845650084</v>
      </c>
      <c r="AE243" s="29"/>
      <c r="AF243" s="38"/>
      <c r="AG243" s="38"/>
      <c r="AH243" s="38"/>
      <c r="AI243" s="26"/>
      <c r="AJ243" s="25">
        <f>(AR243-IF(MID(E243,3,1)="3",트라이포드!$N$17,트라이포드!$M$17))*(1-입력란!$C$29/100)</f>
        <v>23.94267918225</v>
      </c>
      <c r="AK24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3" s="25">
        <f>입력란!$C$37+IF(입력란!$C$17=1,10,IF(입력란!$C$17=2,25,IF(입력란!$C$17=3,50,0)))</f>
        <v>200</v>
      </c>
      <c r="AM243" s="29">
        <f>SUM(AN243:AP243)</f>
        <v>149874.64718811045</v>
      </c>
      <c r="AN243" s="29">
        <f>(VLOOKUP(C243,$B$4:$AK$7,19,FALSE)+VLOOKUP(C243,$B$8:$AK$11,19,FALSE)*입력란!$C$23)*입력란!$C$38/100</f>
        <v>44961.740915513095</v>
      </c>
      <c r="AO243" s="29">
        <f>(VLOOKUP(C243,$B$4:$AK$7,20,FALSE)+VLOOKUP(C243,$B$8:$AK$11,20,FALSE)*입력란!$C$23)*입력란!$C$38/100</f>
        <v>44961.740915513095</v>
      </c>
      <c r="AP243" s="29">
        <f>(VLOOKUP(C243,$B$4:$AK$7,21,FALSE)+VLOOKUP(C243,$B$8:$AK$11,21,FALSE)*입력란!$C$23)*입력란!$C$38/100</f>
        <v>59951.165357084275</v>
      </c>
      <c r="AQ243" s="29"/>
      <c r="AR243" s="28">
        <v>36</v>
      </c>
    </row>
    <row r="244" spans="2:44" ht="13.5" customHeight="1" x14ac:dyDescent="0.3">
      <c r="B244" s="30">
        <v>229</v>
      </c>
      <c r="C244" s="35">
        <v>7</v>
      </c>
      <c r="D244" s="42" t="s">
        <v>173</v>
      </c>
      <c r="E244" s="37" t="s">
        <v>153</v>
      </c>
      <c r="F244" s="39"/>
      <c r="G244" s="39"/>
      <c r="H244" s="51">
        <f>I244/AJ244</f>
        <v>6335.7444448089655</v>
      </c>
      <c r="I244" s="52">
        <f>SUM(J244:Q244)*IF(입력란!C$15=1,1.04,IF(입력란!C$15=2,1.1,IF(입력란!C$15=3,1.2,1)))*IF(입력란!$C$13&lt;&gt;0,0,1)*IF(입력란!$C$17&lt;&gt;0,0.98,1)</f>
        <v>218440.36313680856</v>
      </c>
      <c r="J244" s="29">
        <f>S244*(1+IF($AK244+IF(입력란!$C$9=1,IF(MID(E244,1,1)&lt;&gt;"2",10,0),0)+IF(MID(E244,1,1)="2",10,0)+IF(입력란!$C$19=1,10,0)&gt;100,100,$AK244+IF(입력란!$C$9=1,IF(MID(E244,1,1)&lt;&gt;"2",10,0),0)+IF(MID(E244,1,1)="2",10,0)+IF(입력란!$C$19=1,10,0))/100*($AL244/100-1))</f>
        <v>65531.156850836072</v>
      </c>
      <c r="K244" s="29">
        <f>T244*(1+IF($AK244+IF(입력란!$C$9=1,IF(MID(E244,1,1)&lt;&gt;"2",10,0),0)+IF(MID(E244,1,1)="2",10,0)+IF(입력란!$C$19=1,10,0)&gt;100,100,$AK244+IF(입력란!$C$9=1,IF(MID(E244,1,1)&lt;&gt;"2",10,0),0)+IF(MID(E244,1,1)="2",10,0)+IF(입력란!$C$19=1,10,0))/100*($AL244/100-1))</f>
        <v>65531.156850836072</v>
      </c>
      <c r="L244" s="29">
        <f>U244*(1+IF($AK244+IF(입력란!$C$9=1,IF(MID(E244,1,1)&lt;&gt;"2",10,0),0)+IF(MID(E244,1,1)="2",10,0)+IF(입력란!$C$19=1,10,0)&gt;100,100,$AK244+IF(입력란!$C$9=1,IF(MID(E244,1,1)&lt;&gt;"2",10,0),0)+IF(MID(E244,1,1)="2",10,0)+IF(입력란!$C$19=1,10,0))/100*($AL244/100-1))</f>
        <v>87378.049435136432</v>
      </c>
      <c r="M244" s="29">
        <f>V244*(1+IF($AK244+IF(입력란!$C$9=1,IF(MID(E244,1,1)&lt;&gt;"2",10,0),0)+IF(MID(E244,1,1)="2",10,0)+IF(입력란!$C$19=1,10,0)&gt;100,100,$AK244+IF(입력란!$C$9=1,IF(MID(E244,1,1)&lt;&gt;"2",10,0),0)+IF(MID(E244,1,1)="2",10,0)+IF(입력란!$C$19=1,10,0))/100*($AL244/100-1))</f>
        <v>0</v>
      </c>
      <c r="N244" s="38"/>
      <c r="O244" s="38"/>
      <c r="P244" s="38"/>
      <c r="Q244" s="34"/>
      <c r="R244" s="23">
        <f>SUM(S244:Z244)</f>
        <v>178521.83256051183</v>
      </c>
      <c r="S244" s="29">
        <f>AN244*IF(MID(E244,1,1)="1",IF(입력란!$C$9=1,트라이포드!$D$17,트라이포드!$C$17),1)*IF(MID(E244,1,1)="2",트라이포드!$F$17,트라이포드!$E$17)*IF(MID(E244,3,1)="1",트라이포드!$J$17,트라이포드!$I$17)*IF(MID(E244,5,1)="2",트라이포드!$R$17,트라이포드!$Q$17)*(1+입력란!$C$33/100)*IF(입력란!$C$9=1,IF(MID(E244,1,1)&lt;&gt;"2",IF(입력란!$C$14=0,1.05,IF(입력란!$C$14=1,1.05*1.05,IF(입력란!$C$14=2,1.05*1.12,IF(입력란!$C$14=3,1.05*1.25)))),1),1)</f>
        <v>53555.771666130706</v>
      </c>
      <c r="T244" s="29">
        <f>AO244*IF(MID(E244,1,1)="1",IF(입력란!$C$9=1,트라이포드!$D$17,트라이포드!$C$17),1)*IF(MID(E244,1,1)="2",트라이포드!$F$17,트라이포드!$E$17)*IF(MID(E244,3,1)="1",트라이포드!$J$17,트라이포드!$I$17)*IF(MID(E244,5,1)="2",트라이포드!$R$17,트라이포드!$Q$17)*(1+입력란!$C$33/100)*IF(입력란!$C$9=1,IF(MID(E244,1,1)&lt;&gt;"2",IF(입력란!$C$14=0,1.05,IF(입력란!$C$14=1,1.05*1.05,IF(입력란!$C$14=2,1.05*1.12,IF(입력란!$C$14=3,1.05*1.25)))),1),1)</f>
        <v>53555.771666130706</v>
      </c>
      <c r="U244" s="29">
        <f>AP244*IF(MID(E244,1,1)="1",IF(입력란!$C$9=1,트라이포드!$D$17,트라이포드!$C$17),1)*IF(MID(E244,1,1)="2",트라이포드!$F$17,트라이포드!$E$17)*IF(MID(E244,3,1)="1",트라이포드!$J$17,트라이포드!$I$17)*IF(MID(E244,5,1)="2",트라이포드!$R$17,트라이포드!$Q$17)*(1+입력란!$C$33/100)*IF(입력란!$C$9=1,IF(MID(E244,1,1)&lt;&gt;"2",IF(입력란!$C$14=0,1.05,IF(입력란!$C$14=1,1.05*1.05,IF(입력란!$C$14=2,1.05*1.12,IF(입력란!$C$14=3,1.05*1.25)))),1),1)</f>
        <v>71410.289228250418</v>
      </c>
      <c r="V244" s="29">
        <f>IF(MID(E244,5,1)="1",(S244+T244+U244)*트라이포드!$P$17,트라이포드!$O$17)</f>
        <v>0</v>
      </c>
      <c r="W244" s="29"/>
      <c r="X244" s="38"/>
      <c r="Y244" s="38"/>
      <c r="Z244" s="26"/>
      <c r="AA244" s="29">
        <f>SUM(AB244:AI244)</f>
        <v>357043.66512102366</v>
      </c>
      <c r="AB244" s="29">
        <f>S244*2</f>
        <v>107111.54333226141</v>
      </c>
      <c r="AC244" s="29">
        <f>T244*2</f>
        <v>107111.54333226141</v>
      </c>
      <c r="AD244" s="29">
        <f>U244*2</f>
        <v>142820.57845650084</v>
      </c>
      <c r="AE244" s="29"/>
      <c r="AF244" s="38"/>
      <c r="AG244" s="38"/>
      <c r="AH244" s="38"/>
      <c r="AI244" s="26"/>
      <c r="AJ244" s="25">
        <f>(AR244-IF(MID(E244,3,1)="3",트라이포드!$N$17,트라이포드!$M$17))*(1-입력란!$C$29/100)</f>
        <v>34.477458022440004</v>
      </c>
      <c r="AK24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4" s="25">
        <f>입력란!$C$37+IF(입력란!$C$17=1,10,IF(입력란!$C$17=2,25,IF(입력란!$C$17=3,50,0)))</f>
        <v>200</v>
      </c>
      <c r="AM244" s="29">
        <f>SUM(AN244:AP244)</f>
        <v>149874.64718811045</v>
      </c>
      <c r="AN244" s="29">
        <f>(VLOOKUP(C244,$B$4:$AK$7,19,FALSE)+VLOOKUP(C244,$B$8:$AK$11,19,FALSE)*입력란!$C$23)*입력란!$C$38/100</f>
        <v>44961.740915513095</v>
      </c>
      <c r="AO244" s="29">
        <f>(VLOOKUP(C244,$B$4:$AK$7,20,FALSE)+VLOOKUP(C244,$B$8:$AK$11,20,FALSE)*입력란!$C$23)*입력란!$C$38/100</f>
        <v>44961.740915513095</v>
      </c>
      <c r="AP244" s="29">
        <f>(VLOOKUP(C244,$B$4:$AK$7,21,FALSE)+VLOOKUP(C244,$B$8:$AK$11,21,FALSE)*입력란!$C$23)*입력란!$C$38/100</f>
        <v>59951.165357084275</v>
      </c>
      <c r="AQ244" s="29"/>
      <c r="AR244" s="28">
        <v>36</v>
      </c>
    </row>
    <row r="245" spans="2:44" ht="13.5" customHeight="1" x14ac:dyDescent="0.3">
      <c r="B245" s="30">
        <v>230</v>
      </c>
      <c r="C245" s="35">
        <v>7</v>
      </c>
      <c r="D245" s="42" t="s">
        <v>32</v>
      </c>
      <c r="E245" s="37" t="s">
        <v>307</v>
      </c>
      <c r="F245" s="39"/>
      <c r="G245" s="39"/>
      <c r="H245" s="51">
        <f>I245/AJ245</f>
        <v>7196.2142206371391</v>
      </c>
      <c r="I245" s="52">
        <f>SUM(J245:Q245)*IF(입력란!C$15=1,1.04,IF(입력란!C$15=2,1.1,IF(입력란!C$15=3,1.2,1)))*IF(입력란!$C$13&lt;&gt;0,0,1)*IF(입력란!$C$17&lt;&gt;0,0.98,1)</f>
        <v>248107.17371250276</v>
      </c>
      <c r="J245" s="29">
        <f>S245*(1+IF($AK245+IF(입력란!$C$9=1,IF(MID(E245,1,1)&lt;&gt;"2",10,0),0)+IF(MID(E245,1,1)="2",10,0)+IF(입력란!$C$19=1,10,0)&gt;100,100,$AK245+IF(입력란!$C$9=1,IF(MID(E245,1,1)&lt;&gt;"2",10,0),0)+IF(MID(E245,1,1)="2",10,0)+IF(입력란!$C$19=1,10,0))/100*($AL245/100-1))</f>
        <v>74431.0707183216</v>
      </c>
      <c r="K245" s="29">
        <f>T245*(1+IF($AK245+IF(입력란!$C$9=1,IF(MID(E245,1,1)&lt;&gt;"2",10,0),0)+IF(MID(E245,1,1)="2",10,0)+IF(입력란!$C$19=1,10,0)&gt;100,100,$AK245+IF(입력란!$C$9=1,IF(MID(E245,1,1)&lt;&gt;"2",10,0),0)+IF(MID(E245,1,1)="2",10,0)+IF(입력란!$C$19=1,10,0))/100*($AL245/100-1))</f>
        <v>74431.0707183216</v>
      </c>
      <c r="L245" s="29">
        <f>U245*(1+IF($AK245+IF(입력란!$C$9=1,IF(MID(E245,1,1)&lt;&gt;"2",10,0),0)+IF(MID(E245,1,1)="2",10,0)+IF(입력란!$C$19=1,10,0)&gt;100,100,$AK245+IF(입력란!$C$9=1,IF(MID(E245,1,1)&lt;&gt;"2",10,0),0)+IF(MID(E245,1,1)="2",10,0)+IF(입력란!$C$19=1,10,0))/100*($AL245/100-1))</f>
        <v>99245.032275859558</v>
      </c>
      <c r="M245" s="29">
        <f>V245*(1+IF($AK245+IF(입력란!$C$9=1,IF(MID(E245,1,1)&lt;&gt;"2",10,0),0)+IF(MID(E245,1,1)="2",10,0)+IF(입력란!$C$19=1,10,0)&gt;100,100,$AK245+IF(입력란!$C$9=1,IF(MID(E245,1,1)&lt;&gt;"2",10,0),0)+IF(MID(E245,1,1)="2",10,0)+IF(입력란!$C$19=1,10,0))/100*($AL245/100-1))</f>
        <v>0</v>
      </c>
      <c r="N245" s="38"/>
      <c r="O245" s="38"/>
      <c r="P245" s="38"/>
      <c r="Q245" s="34"/>
      <c r="R245" s="23">
        <f>SUM(S245:Z245)</f>
        <v>187447.92418853744</v>
      </c>
      <c r="S245" s="29">
        <f>AN245*IF(MID(E245,1,1)="1",IF(입력란!$C$9=1,트라이포드!$D$17,트라이포드!$C$17),1)*IF(MID(E245,1,1)="2",트라이포드!$F$17,트라이포드!$E$17)*IF(MID(E245,3,1)="1",트라이포드!$J$17,트라이포드!$I$17)*IF(MID(E245,5,1)="2",트라이포드!$R$17,트라이포드!$Q$17)*(1+입력란!$C$33/100)*IF(입력란!$C$9=1,IF(MID(E245,1,1)&lt;&gt;"2",IF(입력란!$C$14=0,1.05,IF(입력란!$C$14=1,1.05*1.05,IF(입력란!$C$14=2,1.05*1.12,IF(입력란!$C$14=3,1.05*1.25)))),1),1)</f>
        <v>56233.560249437243</v>
      </c>
      <c r="T245" s="29">
        <f>AO245*IF(MID(E245,1,1)="1",IF(입력란!$C$9=1,트라이포드!$D$17,트라이포드!$C$17),1)*IF(MID(E245,1,1)="2",트라이포드!$F$17,트라이포드!$E$17)*IF(MID(E245,3,1)="1",트라이포드!$J$17,트라이포드!$I$17)*IF(MID(E245,5,1)="2",트라이포드!$R$17,트라이포드!$Q$17)*(1+입력란!$C$33/100)*IF(입력란!$C$9=1,IF(MID(E245,1,1)&lt;&gt;"2",IF(입력란!$C$14=0,1.05,IF(입력란!$C$14=1,1.05*1.05,IF(입력란!$C$14=2,1.05*1.12,IF(입력란!$C$14=3,1.05*1.25)))),1),1)</f>
        <v>56233.560249437243</v>
      </c>
      <c r="U245" s="29">
        <f>AP245*IF(MID(E245,1,1)="1",IF(입력란!$C$9=1,트라이포드!$D$17,트라이포드!$C$17),1)*IF(MID(E245,1,1)="2",트라이포드!$F$17,트라이포드!$E$17)*IF(MID(E245,3,1)="1",트라이포드!$J$17,트라이포드!$I$17)*IF(MID(E245,5,1)="2",트라이포드!$R$17,트라이포드!$Q$17)*(1+입력란!$C$33/100)*IF(입력란!$C$9=1,IF(MID(E245,1,1)&lt;&gt;"2",IF(입력란!$C$14=0,1.05,IF(입력란!$C$14=1,1.05*1.05,IF(입력란!$C$14=2,1.05*1.12,IF(입력란!$C$14=3,1.05*1.25)))),1),1)</f>
        <v>74980.803689662949</v>
      </c>
      <c r="V245" s="29">
        <f>IF(MID(E245,5,1)="1",(S245+T245+U245)*트라이포드!$P$17,트라이포드!$O$17)</f>
        <v>0</v>
      </c>
      <c r="W245" s="29"/>
      <c r="X245" s="38"/>
      <c r="Y245" s="38"/>
      <c r="Z245" s="26"/>
      <c r="AA245" s="29">
        <f>SUM(AB245:AI245)</f>
        <v>374895.84837707487</v>
      </c>
      <c r="AB245" s="29">
        <f>S245*2</f>
        <v>112467.12049887449</v>
      </c>
      <c r="AC245" s="29">
        <f>T245*2</f>
        <v>112467.12049887449</v>
      </c>
      <c r="AD245" s="29">
        <f>U245*2</f>
        <v>149961.6073793259</v>
      </c>
      <c r="AE245" s="29"/>
      <c r="AF245" s="38"/>
      <c r="AG245" s="38"/>
      <c r="AH245" s="38"/>
      <c r="AI245" s="26"/>
      <c r="AJ245" s="25">
        <f>(AR245-IF(MID(E245,3,1)="3",트라이포드!$N$17,트라이포드!$M$17))*(1-입력란!$C$29/100)</f>
        <v>34.477458022440004</v>
      </c>
      <c r="AK24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5" s="25">
        <f>입력란!$C$37+IF(입력란!$C$17=1,10,IF(입력란!$C$17=2,25,IF(입력란!$C$17=3,50,0)))</f>
        <v>200</v>
      </c>
      <c r="AM245" s="29">
        <f>SUM(AN245:AP245)</f>
        <v>149874.64718811045</v>
      </c>
      <c r="AN245" s="29">
        <f>(VLOOKUP(C245,$B$4:$AK$7,19,FALSE)+VLOOKUP(C245,$B$8:$AK$11,19,FALSE)*입력란!$C$23)*입력란!$C$38/100</f>
        <v>44961.740915513095</v>
      </c>
      <c r="AO245" s="29">
        <f>(VLOOKUP(C245,$B$4:$AK$7,20,FALSE)+VLOOKUP(C245,$B$8:$AK$11,20,FALSE)*입력란!$C$23)*입력란!$C$38/100</f>
        <v>44961.740915513095</v>
      </c>
      <c r="AP245" s="29">
        <f>(VLOOKUP(C245,$B$4:$AK$7,21,FALSE)+VLOOKUP(C245,$B$8:$AK$11,21,FALSE)*입력란!$C$23)*입력란!$C$38/100</f>
        <v>59951.165357084275</v>
      </c>
      <c r="AQ245" s="29"/>
      <c r="AR245" s="28">
        <v>36</v>
      </c>
    </row>
    <row r="246" spans="2:44" ht="13.5" customHeight="1" x14ac:dyDescent="0.3">
      <c r="B246" s="30">
        <v>231</v>
      </c>
      <c r="C246" s="35">
        <v>7</v>
      </c>
      <c r="D246" s="42" t="s">
        <v>173</v>
      </c>
      <c r="E246" s="37" t="s">
        <v>155</v>
      </c>
      <c r="F246" s="39"/>
      <c r="G246" s="39"/>
      <c r="H246" s="51">
        <f>I246/AJ246</f>
        <v>7919.680556011208</v>
      </c>
      <c r="I246" s="52">
        <f>SUM(J246:Q246)*IF(입력란!C$15=1,1.04,IF(입력란!C$15=2,1.1,IF(입력란!C$15=3,1.2,1)))*IF(입력란!$C$13&lt;&gt;0,0,1)*IF(입력란!$C$17&lt;&gt;0,0.98,1)</f>
        <v>273050.45392101072</v>
      </c>
      <c r="J246" s="29">
        <f>S246*(1+IF($AK246+IF(입력란!$C$9=1,IF(MID(E246,1,1)&lt;&gt;"2",10,0),0)+IF(MID(E246,1,1)="2",10,0)+IF(입력란!$C$19=1,10,0)&gt;100,100,$AK246+IF(입력란!$C$9=1,IF(MID(E246,1,1)&lt;&gt;"2",10,0),0)+IF(MID(E246,1,1)="2",10,0)+IF(입력란!$C$19=1,10,0))/100*($AL246/100-1))</f>
        <v>81913.946063545111</v>
      </c>
      <c r="K246" s="29">
        <f>T246*(1+IF($AK246+IF(입력란!$C$9=1,IF(MID(E246,1,1)&lt;&gt;"2",10,0),0)+IF(MID(E246,1,1)="2",10,0)+IF(입력란!$C$19=1,10,0)&gt;100,100,$AK246+IF(입력란!$C$9=1,IF(MID(E246,1,1)&lt;&gt;"2",10,0),0)+IF(MID(E246,1,1)="2",10,0)+IF(입력란!$C$19=1,10,0))/100*($AL246/100-1))</f>
        <v>81913.946063545111</v>
      </c>
      <c r="L246" s="29">
        <f>U246*(1+IF($AK246+IF(입력란!$C$9=1,IF(MID(E246,1,1)&lt;&gt;"2",10,0),0)+IF(MID(E246,1,1)="2",10,0)+IF(입력란!$C$19=1,10,0)&gt;100,100,$AK246+IF(입력란!$C$9=1,IF(MID(E246,1,1)&lt;&gt;"2",10,0),0)+IF(MID(E246,1,1)="2",10,0)+IF(입력란!$C$19=1,10,0))/100*($AL246/100-1))</f>
        <v>109222.56179392053</v>
      </c>
      <c r="M246" s="29">
        <f>V246*(1+IF($AK246+IF(입력란!$C$9=1,IF(MID(E246,1,1)&lt;&gt;"2",10,0),0)+IF(MID(E246,1,1)="2",10,0)+IF(입력란!$C$19=1,10,0)&gt;100,100,$AK246+IF(입력란!$C$9=1,IF(MID(E246,1,1)&lt;&gt;"2",10,0),0)+IF(MID(E246,1,1)="2",10,0)+IF(입력란!$C$19=1,10,0))/100*($AL246/100-1))</f>
        <v>0</v>
      </c>
      <c r="N246" s="38"/>
      <c r="O246" s="38"/>
      <c r="P246" s="38"/>
      <c r="Q246" s="34"/>
      <c r="R246" s="23">
        <f>SUM(S246:Z246)</f>
        <v>223152.2907006398</v>
      </c>
      <c r="S246" s="29">
        <f>AN246*IF(MID(E246,1,1)="1",IF(입력란!$C$9=1,트라이포드!$D$17,트라이포드!$C$17),1)*IF(MID(E246,1,1)="2",트라이포드!$F$17,트라이포드!$E$17)*IF(MID(E246,3,1)="1",트라이포드!$J$17,트라이포드!$I$17)*IF(MID(E246,5,1)="2",트라이포드!$R$17,트라이포드!$Q$17)*(1+입력란!$C$33/100)*IF(입력란!$C$9=1,IF(MID(E246,1,1)&lt;&gt;"2",IF(입력란!$C$14=0,1.05,IF(입력란!$C$14=1,1.05*1.05,IF(입력란!$C$14=2,1.05*1.12,IF(입력란!$C$14=3,1.05*1.25)))),1),1)</f>
        <v>66944.714582663393</v>
      </c>
      <c r="T246" s="29">
        <f>AO246*IF(MID(E246,1,1)="1",IF(입력란!$C$9=1,트라이포드!$D$17,트라이포드!$C$17),1)*IF(MID(E246,1,1)="2",트라이포드!$F$17,트라이포드!$E$17)*IF(MID(E246,3,1)="1",트라이포드!$J$17,트라이포드!$I$17)*IF(MID(E246,5,1)="2",트라이포드!$R$17,트라이포드!$Q$17)*(1+입력란!$C$33/100)*IF(입력란!$C$9=1,IF(MID(E246,1,1)&lt;&gt;"2",IF(입력란!$C$14=0,1.05,IF(입력란!$C$14=1,1.05*1.05,IF(입력란!$C$14=2,1.05*1.12,IF(입력란!$C$14=3,1.05*1.25)))),1),1)</f>
        <v>66944.714582663393</v>
      </c>
      <c r="U246" s="29">
        <f>AP246*IF(MID(E246,1,1)="1",IF(입력란!$C$9=1,트라이포드!$D$17,트라이포드!$C$17),1)*IF(MID(E246,1,1)="2",트라이포드!$F$17,트라이포드!$E$17)*IF(MID(E246,3,1)="1",트라이포드!$J$17,트라이포드!$I$17)*IF(MID(E246,5,1)="2",트라이포드!$R$17,트라이포드!$Q$17)*(1+입력란!$C$33/100)*IF(입력란!$C$9=1,IF(MID(E246,1,1)&lt;&gt;"2",IF(입력란!$C$14=0,1.05,IF(입력란!$C$14=1,1.05*1.05,IF(입력란!$C$14=2,1.05*1.12,IF(입력란!$C$14=3,1.05*1.25)))),1),1)</f>
        <v>89262.861535313015</v>
      </c>
      <c r="V246" s="29">
        <f>IF(MID(E246,5,1)="1",(S246+T246+U246)*트라이포드!$P$17,트라이포드!$O$17)</f>
        <v>0</v>
      </c>
      <c r="W246" s="29"/>
      <c r="X246" s="38"/>
      <c r="Y246" s="38"/>
      <c r="Z246" s="26"/>
      <c r="AA246" s="29">
        <f>SUM(AB246:AI246)</f>
        <v>446304.5814012796</v>
      </c>
      <c r="AB246" s="29">
        <f>S246*2</f>
        <v>133889.42916532679</v>
      </c>
      <c r="AC246" s="29">
        <f>T246*2</f>
        <v>133889.42916532679</v>
      </c>
      <c r="AD246" s="29">
        <f>U246*2</f>
        <v>178525.72307062603</v>
      </c>
      <c r="AE246" s="29"/>
      <c r="AF246" s="38"/>
      <c r="AG246" s="38"/>
      <c r="AH246" s="38"/>
      <c r="AI246" s="26"/>
      <c r="AJ246" s="25">
        <f>(AR246-IF(MID(E246,3,1)="3",트라이포드!$N$17,트라이포드!$M$17))*(1-입력란!$C$29/100)</f>
        <v>34.477458022440004</v>
      </c>
      <c r="AK24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6" s="25">
        <f>입력란!$C$37+IF(입력란!$C$17=1,10,IF(입력란!$C$17=2,25,IF(입력란!$C$17=3,50,0)))</f>
        <v>200</v>
      </c>
      <c r="AM246" s="29">
        <f>SUM(AN246:AP246)</f>
        <v>149874.64718811045</v>
      </c>
      <c r="AN246" s="29">
        <f>(VLOOKUP(C246,$B$4:$AK$7,19,FALSE)+VLOOKUP(C246,$B$8:$AK$11,19,FALSE)*입력란!$C$23)*입력란!$C$38/100</f>
        <v>44961.740915513095</v>
      </c>
      <c r="AO246" s="29">
        <f>(VLOOKUP(C246,$B$4:$AK$7,20,FALSE)+VLOOKUP(C246,$B$8:$AK$11,20,FALSE)*입력란!$C$23)*입력란!$C$38/100</f>
        <v>44961.740915513095</v>
      </c>
      <c r="AP246" s="29">
        <f>(VLOOKUP(C246,$B$4:$AK$7,21,FALSE)+VLOOKUP(C246,$B$8:$AK$11,21,FALSE)*입력란!$C$23)*입력란!$C$38/100</f>
        <v>59951.165357084275</v>
      </c>
      <c r="AQ246" s="29"/>
      <c r="AR246" s="28">
        <v>36</v>
      </c>
    </row>
    <row r="247" spans="2:44" ht="13.5" customHeight="1" x14ac:dyDescent="0.3">
      <c r="B247" s="30">
        <v>232</v>
      </c>
      <c r="C247" s="35">
        <v>7</v>
      </c>
      <c r="D247" s="42" t="s">
        <v>32</v>
      </c>
      <c r="E247" s="37" t="s">
        <v>308</v>
      </c>
      <c r="F247" s="39"/>
      <c r="G247" s="39"/>
      <c r="H247" s="51">
        <f>I247/AJ247</f>
        <v>8995.2677757964211</v>
      </c>
      <c r="I247" s="52">
        <f>SUM(J247:Q247)*IF(입력란!C$15=1,1.04,IF(입력란!C$15=2,1.1,IF(입력란!C$15=3,1.2,1)))*IF(입력란!$C$13&lt;&gt;0,0,1)*IF(입력란!$C$17&lt;&gt;0,0.98,1)</f>
        <v>310133.96714062837</v>
      </c>
      <c r="J247" s="29">
        <f>S247*(1+IF($AK247+IF(입력란!$C$9=1,IF(MID(E247,1,1)&lt;&gt;"2",10,0),0)+IF(MID(E247,1,1)="2",10,0)+IF(입력란!$C$19=1,10,0)&gt;100,100,$AK247+IF(입력란!$C$9=1,IF(MID(E247,1,1)&lt;&gt;"2",10,0),0)+IF(MID(E247,1,1)="2",10,0)+IF(입력란!$C$19=1,10,0))/100*($AL247/100-1))</f>
        <v>93038.838397901985</v>
      </c>
      <c r="K247" s="29">
        <f>T247*(1+IF($AK247+IF(입력란!$C$9=1,IF(MID(E247,1,1)&lt;&gt;"2",10,0),0)+IF(MID(E247,1,1)="2",10,0)+IF(입력란!$C$19=1,10,0)&gt;100,100,$AK247+IF(입력란!$C$9=1,IF(MID(E247,1,1)&lt;&gt;"2",10,0),0)+IF(MID(E247,1,1)="2",10,0)+IF(입력란!$C$19=1,10,0))/100*($AL247/100-1))</f>
        <v>93038.838397901985</v>
      </c>
      <c r="L247" s="29">
        <f>U247*(1+IF($AK247+IF(입력란!$C$9=1,IF(MID(E247,1,1)&lt;&gt;"2",10,0),0)+IF(MID(E247,1,1)="2",10,0)+IF(입력란!$C$19=1,10,0)&gt;100,100,$AK247+IF(입력란!$C$9=1,IF(MID(E247,1,1)&lt;&gt;"2",10,0),0)+IF(MID(E247,1,1)="2",10,0)+IF(입력란!$C$19=1,10,0))/100*($AL247/100-1))</f>
        <v>124056.29034482443</v>
      </c>
      <c r="M247" s="29">
        <f>V247*(1+IF($AK247+IF(입력란!$C$9=1,IF(MID(E247,1,1)&lt;&gt;"2",10,0),0)+IF(MID(E247,1,1)="2",10,0)+IF(입력란!$C$19=1,10,0)&gt;100,100,$AK247+IF(입력란!$C$9=1,IF(MID(E247,1,1)&lt;&gt;"2",10,0),0)+IF(MID(E247,1,1)="2",10,0)+IF(입력란!$C$19=1,10,0))/100*($AL247/100-1))</f>
        <v>0</v>
      </c>
      <c r="N247" s="38"/>
      <c r="O247" s="38"/>
      <c r="P247" s="38"/>
      <c r="Q247" s="34"/>
      <c r="R247" s="23">
        <f>SUM(S247:Z247)</f>
        <v>234309.90523567179</v>
      </c>
      <c r="S247" s="29">
        <f>AN247*IF(MID(E247,1,1)="1",IF(입력란!$C$9=1,트라이포드!$D$17,트라이포드!$C$17),1)*IF(MID(E247,1,1)="2",트라이포드!$F$17,트라이포드!$E$17)*IF(MID(E247,3,1)="1",트라이포드!$J$17,트라이포드!$I$17)*IF(MID(E247,5,1)="2",트라이포드!$R$17,트라이포드!$Q$17)*(1+입력란!$C$33/100)*IF(입력란!$C$9=1,IF(MID(E247,1,1)&lt;&gt;"2",IF(입력란!$C$14=0,1.05,IF(입력란!$C$14=1,1.05*1.05,IF(입력란!$C$14=2,1.05*1.12,IF(입력란!$C$14=3,1.05*1.25)))),1),1)</f>
        <v>70291.950311796551</v>
      </c>
      <c r="T247" s="29">
        <f>AO247*IF(MID(E247,1,1)="1",IF(입력란!$C$9=1,트라이포드!$D$17,트라이포드!$C$17),1)*IF(MID(E247,1,1)="2",트라이포드!$F$17,트라이포드!$E$17)*IF(MID(E247,3,1)="1",트라이포드!$J$17,트라이포드!$I$17)*IF(MID(E247,5,1)="2",트라이포드!$R$17,트라이포드!$Q$17)*(1+입력란!$C$33/100)*IF(입력란!$C$9=1,IF(MID(E247,1,1)&lt;&gt;"2",IF(입력란!$C$14=0,1.05,IF(입력란!$C$14=1,1.05*1.05,IF(입력란!$C$14=2,1.05*1.12,IF(입력란!$C$14=3,1.05*1.25)))),1),1)</f>
        <v>70291.950311796551</v>
      </c>
      <c r="U247" s="29">
        <f>AP247*IF(MID(E247,1,1)="1",IF(입력란!$C$9=1,트라이포드!$D$17,트라이포드!$C$17),1)*IF(MID(E247,1,1)="2",트라이포드!$F$17,트라이포드!$E$17)*IF(MID(E247,3,1)="1",트라이포드!$J$17,트라이포드!$I$17)*IF(MID(E247,5,1)="2",트라이포드!$R$17,트라이포드!$Q$17)*(1+입력란!$C$33/100)*IF(입력란!$C$9=1,IF(MID(E247,1,1)&lt;&gt;"2",IF(입력란!$C$14=0,1.05,IF(입력란!$C$14=1,1.05*1.05,IF(입력란!$C$14=2,1.05*1.12,IF(입력란!$C$14=3,1.05*1.25)))),1),1)</f>
        <v>93726.004612078686</v>
      </c>
      <c r="V247" s="29">
        <f>IF(MID(E247,5,1)="1",(S247+T247+U247)*트라이포드!$P$17,트라이포드!$O$17)</f>
        <v>0</v>
      </c>
      <c r="W247" s="29"/>
      <c r="X247" s="38"/>
      <c r="Y247" s="38"/>
      <c r="Z247" s="26"/>
      <c r="AA247" s="29">
        <f>SUM(AB247:AI247)</f>
        <v>468619.81047134358</v>
      </c>
      <c r="AB247" s="29">
        <f>S247*2</f>
        <v>140583.9006235931</v>
      </c>
      <c r="AC247" s="29">
        <f>T247*2</f>
        <v>140583.9006235931</v>
      </c>
      <c r="AD247" s="29">
        <f>U247*2</f>
        <v>187452.00922415737</v>
      </c>
      <c r="AE247" s="29"/>
      <c r="AF247" s="38"/>
      <c r="AG247" s="38"/>
      <c r="AH247" s="38"/>
      <c r="AI247" s="26"/>
      <c r="AJ247" s="25">
        <f>(AR247-IF(MID(E247,3,1)="3",트라이포드!$N$17,트라이포드!$M$17))*(1-입력란!$C$29/100)</f>
        <v>34.477458022440004</v>
      </c>
      <c r="AK24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7" s="25">
        <f>입력란!$C$37+IF(입력란!$C$17=1,10,IF(입력란!$C$17=2,25,IF(입력란!$C$17=3,50,0)))</f>
        <v>200</v>
      </c>
      <c r="AM247" s="29">
        <f>SUM(AN247:AP247)</f>
        <v>149874.64718811045</v>
      </c>
      <c r="AN247" s="29">
        <f>(VLOOKUP(C247,$B$4:$AK$7,19,FALSE)+VLOOKUP(C247,$B$8:$AK$11,19,FALSE)*입력란!$C$23)*입력란!$C$38/100</f>
        <v>44961.740915513095</v>
      </c>
      <c r="AO247" s="29">
        <f>(VLOOKUP(C247,$B$4:$AK$7,20,FALSE)+VLOOKUP(C247,$B$8:$AK$11,20,FALSE)*입력란!$C$23)*입력란!$C$38/100</f>
        <v>44961.740915513095</v>
      </c>
      <c r="AP247" s="29">
        <f>(VLOOKUP(C247,$B$4:$AK$7,21,FALSE)+VLOOKUP(C247,$B$8:$AK$11,21,FALSE)*입력란!$C$23)*입력란!$C$38/100</f>
        <v>59951.165357084275</v>
      </c>
      <c r="AQ247" s="29"/>
      <c r="AR247" s="28">
        <v>36</v>
      </c>
    </row>
    <row r="248" spans="2:44" ht="13.5" customHeight="1" x14ac:dyDescent="0.3">
      <c r="B248" s="30">
        <v>233</v>
      </c>
      <c r="C248" s="35">
        <v>7</v>
      </c>
      <c r="D248" s="42" t="s">
        <v>173</v>
      </c>
      <c r="E248" s="37" t="s">
        <v>156</v>
      </c>
      <c r="F248" s="39"/>
      <c r="G248" s="39"/>
      <c r="H248" s="51">
        <f>I248/AJ248</f>
        <v>9123.472000524911</v>
      </c>
      <c r="I248" s="52">
        <f>SUM(J248:Q248)*IF(입력란!C$15=1,1.04,IF(입력란!C$15=2,1.1,IF(입력란!C$15=3,1.2,1)))*IF(입력란!$C$13&lt;&gt;0,0,1)*IF(입력란!$C$17&lt;&gt;0,0.98,1)</f>
        <v>218440.36313680856</v>
      </c>
      <c r="J248" s="29">
        <f>S248*(1+IF($AK248+IF(입력란!$C$9=1,IF(MID(E248,1,1)&lt;&gt;"2",10,0),0)+IF(MID(E248,1,1)="2",10,0)+IF(입력란!$C$19=1,10,0)&gt;100,100,$AK248+IF(입력란!$C$9=1,IF(MID(E248,1,1)&lt;&gt;"2",10,0),0)+IF(MID(E248,1,1)="2",10,0)+IF(입력란!$C$19=1,10,0))/100*($AL248/100-1))</f>
        <v>65531.156850836072</v>
      </c>
      <c r="K248" s="29">
        <f>T248*(1+IF($AK248+IF(입력란!$C$9=1,IF(MID(E248,1,1)&lt;&gt;"2",10,0),0)+IF(MID(E248,1,1)="2",10,0)+IF(입력란!$C$19=1,10,0)&gt;100,100,$AK248+IF(입력란!$C$9=1,IF(MID(E248,1,1)&lt;&gt;"2",10,0),0)+IF(MID(E248,1,1)="2",10,0)+IF(입력란!$C$19=1,10,0))/100*($AL248/100-1))</f>
        <v>65531.156850836072</v>
      </c>
      <c r="L248" s="29">
        <f>U248*(1+IF($AK248+IF(입력란!$C$9=1,IF(MID(E248,1,1)&lt;&gt;"2",10,0),0)+IF(MID(E248,1,1)="2",10,0)+IF(입력란!$C$19=1,10,0)&gt;100,100,$AK248+IF(입력란!$C$9=1,IF(MID(E248,1,1)&lt;&gt;"2",10,0),0)+IF(MID(E248,1,1)="2",10,0)+IF(입력란!$C$19=1,10,0))/100*($AL248/100-1))</f>
        <v>87378.049435136432</v>
      </c>
      <c r="M248" s="29">
        <f>V248*(1+IF($AK248+IF(입력란!$C$9=1,IF(MID(E248,1,1)&lt;&gt;"2",10,0),0)+IF(MID(E248,1,1)="2",10,0)+IF(입력란!$C$19=1,10,0)&gt;100,100,$AK248+IF(입력란!$C$9=1,IF(MID(E248,1,1)&lt;&gt;"2",10,0),0)+IF(MID(E248,1,1)="2",10,0)+IF(입력란!$C$19=1,10,0))/100*($AL248/100-1))</f>
        <v>0</v>
      </c>
      <c r="N248" s="38"/>
      <c r="O248" s="38"/>
      <c r="P248" s="38"/>
      <c r="Q248" s="34"/>
      <c r="R248" s="23">
        <f>SUM(S248:Z248)</f>
        <v>178521.83256051183</v>
      </c>
      <c r="S248" s="29">
        <f>AN248*IF(MID(E248,1,1)="1",IF(입력란!$C$9=1,트라이포드!$D$17,트라이포드!$C$17),1)*IF(MID(E248,1,1)="2",트라이포드!$F$17,트라이포드!$E$17)*IF(MID(E248,3,1)="1",트라이포드!$J$17,트라이포드!$I$17)*IF(MID(E248,5,1)="2",트라이포드!$R$17,트라이포드!$Q$17)*(1+입력란!$C$33/100)*IF(입력란!$C$9=1,IF(MID(E248,1,1)&lt;&gt;"2",IF(입력란!$C$14=0,1.05,IF(입력란!$C$14=1,1.05*1.05,IF(입력란!$C$14=2,1.05*1.12,IF(입력란!$C$14=3,1.05*1.25)))),1),1)</f>
        <v>53555.771666130706</v>
      </c>
      <c r="T248" s="29">
        <f>AO248*IF(MID(E248,1,1)="1",IF(입력란!$C$9=1,트라이포드!$D$17,트라이포드!$C$17),1)*IF(MID(E248,1,1)="2",트라이포드!$F$17,트라이포드!$E$17)*IF(MID(E248,3,1)="1",트라이포드!$J$17,트라이포드!$I$17)*IF(MID(E248,5,1)="2",트라이포드!$R$17,트라이포드!$Q$17)*(1+입력란!$C$33/100)*IF(입력란!$C$9=1,IF(MID(E248,1,1)&lt;&gt;"2",IF(입력란!$C$14=0,1.05,IF(입력란!$C$14=1,1.05*1.05,IF(입력란!$C$14=2,1.05*1.12,IF(입력란!$C$14=3,1.05*1.25)))),1),1)</f>
        <v>53555.771666130706</v>
      </c>
      <c r="U248" s="29">
        <f>AP248*IF(MID(E248,1,1)="1",IF(입력란!$C$9=1,트라이포드!$D$17,트라이포드!$C$17),1)*IF(MID(E248,1,1)="2",트라이포드!$F$17,트라이포드!$E$17)*IF(MID(E248,3,1)="1",트라이포드!$J$17,트라이포드!$I$17)*IF(MID(E248,5,1)="2",트라이포드!$R$17,트라이포드!$Q$17)*(1+입력란!$C$33/100)*IF(입력란!$C$9=1,IF(MID(E248,1,1)&lt;&gt;"2",IF(입력란!$C$14=0,1.05,IF(입력란!$C$14=1,1.05*1.05,IF(입력란!$C$14=2,1.05*1.12,IF(입력란!$C$14=3,1.05*1.25)))),1),1)</f>
        <v>71410.289228250418</v>
      </c>
      <c r="V248" s="29">
        <f>IF(MID(E248,5,1)="1",(S248+T248+U248)*트라이포드!$P$17,트라이포드!$O$17)</f>
        <v>0</v>
      </c>
      <c r="W248" s="29"/>
      <c r="X248" s="38"/>
      <c r="Y248" s="38"/>
      <c r="Z248" s="26"/>
      <c r="AA248" s="29">
        <f>SUM(AB248:AI248)</f>
        <v>357043.66512102366</v>
      </c>
      <c r="AB248" s="29">
        <f>S248*2</f>
        <v>107111.54333226141</v>
      </c>
      <c r="AC248" s="29">
        <f>T248*2</f>
        <v>107111.54333226141</v>
      </c>
      <c r="AD248" s="29">
        <f>U248*2</f>
        <v>142820.57845650084</v>
      </c>
      <c r="AE248" s="29"/>
      <c r="AF248" s="38"/>
      <c r="AG248" s="38"/>
      <c r="AH248" s="38"/>
      <c r="AI248" s="26"/>
      <c r="AJ248" s="25">
        <f>(AR248-IF(MID(E248,3,1)="3",트라이포드!$N$17,트라이포드!$M$17))*(1-입력란!$C$29/100)</f>
        <v>23.94267918225</v>
      </c>
      <c r="AK24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8" s="25">
        <f>입력란!$C$37+IF(입력란!$C$17=1,10,IF(입력란!$C$17=2,25,IF(입력란!$C$17=3,50,0)))</f>
        <v>200</v>
      </c>
      <c r="AM248" s="29">
        <f>SUM(AN248:AP248)</f>
        <v>149874.64718811045</v>
      </c>
      <c r="AN248" s="29">
        <f>(VLOOKUP(C248,$B$4:$AK$7,19,FALSE)+VLOOKUP(C248,$B$8:$AK$11,19,FALSE)*입력란!$C$23)*입력란!$C$38/100</f>
        <v>44961.740915513095</v>
      </c>
      <c r="AO248" s="29">
        <f>(VLOOKUP(C248,$B$4:$AK$7,20,FALSE)+VLOOKUP(C248,$B$8:$AK$11,20,FALSE)*입력란!$C$23)*입력란!$C$38/100</f>
        <v>44961.740915513095</v>
      </c>
      <c r="AP248" s="29">
        <f>(VLOOKUP(C248,$B$4:$AK$7,21,FALSE)+VLOOKUP(C248,$B$8:$AK$11,21,FALSE)*입력란!$C$23)*입력란!$C$38/100</f>
        <v>59951.165357084275</v>
      </c>
      <c r="AQ248" s="29"/>
      <c r="AR248" s="28">
        <v>36</v>
      </c>
    </row>
    <row r="249" spans="2:44" ht="13.5" customHeight="1" x14ac:dyDescent="0.3">
      <c r="B249" s="30">
        <v>234</v>
      </c>
      <c r="C249" s="35">
        <v>7</v>
      </c>
      <c r="D249" s="42" t="s">
        <v>32</v>
      </c>
      <c r="E249" s="37" t="s">
        <v>304</v>
      </c>
      <c r="F249" s="39"/>
      <c r="G249" s="39"/>
      <c r="H249" s="51">
        <f>I249/AJ249</f>
        <v>10362.548477717481</v>
      </c>
      <c r="I249" s="52">
        <f>SUM(J249:Q249)*IF(입력란!C$15=1,1.04,IF(입력란!C$15=2,1.1,IF(입력란!C$15=3,1.2,1)))*IF(입력란!$C$13&lt;&gt;0,0,1)*IF(입력란!$C$17&lt;&gt;0,0.98,1)</f>
        <v>248107.17371250276</v>
      </c>
      <c r="J249" s="29">
        <f>S249*(1+IF($AK249+IF(입력란!$C$9=1,IF(MID(E249,1,1)&lt;&gt;"2",10,0),0)+IF(MID(E249,1,1)="2",10,0)+IF(입력란!$C$19=1,10,0)&gt;100,100,$AK249+IF(입력란!$C$9=1,IF(MID(E249,1,1)&lt;&gt;"2",10,0),0)+IF(MID(E249,1,1)="2",10,0)+IF(입력란!$C$19=1,10,0))/100*($AL249/100-1))</f>
        <v>74431.0707183216</v>
      </c>
      <c r="K249" s="29">
        <f>T249*(1+IF($AK249+IF(입력란!$C$9=1,IF(MID(E249,1,1)&lt;&gt;"2",10,0),0)+IF(MID(E249,1,1)="2",10,0)+IF(입력란!$C$19=1,10,0)&gt;100,100,$AK249+IF(입력란!$C$9=1,IF(MID(E249,1,1)&lt;&gt;"2",10,0),0)+IF(MID(E249,1,1)="2",10,0)+IF(입력란!$C$19=1,10,0))/100*($AL249/100-1))</f>
        <v>74431.0707183216</v>
      </c>
      <c r="L249" s="29">
        <f>U249*(1+IF($AK249+IF(입력란!$C$9=1,IF(MID(E249,1,1)&lt;&gt;"2",10,0),0)+IF(MID(E249,1,1)="2",10,0)+IF(입력란!$C$19=1,10,0)&gt;100,100,$AK249+IF(입력란!$C$9=1,IF(MID(E249,1,1)&lt;&gt;"2",10,0),0)+IF(MID(E249,1,1)="2",10,0)+IF(입력란!$C$19=1,10,0))/100*($AL249/100-1))</f>
        <v>99245.032275859558</v>
      </c>
      <c r="M249" s="29">
        <f>V249*(1+IF($AK249+IF(입력란!$C$9=1,IF(MID(E249,1,1)&lt;&gt;"2",10,0),0)+IF(MID(E249,1,1)="2",10,0)+IF(입력란!$C$19=1,10,0)&gt;100,100,$AK249+IF(입력란!$C$9=1,IF(MID(E249,1,1)&lt;&gt;"2",10,0),0)+IF(MID(E249,1,1)="2",10,0)+IF(입력란!$C$19=1,10,0))/100*($AL249/100-1))</f>
        <v>0</v>
      </c>
      <c r="N249" s="38"/>
      <c r="O249" s="38"/>
      <c r="P249" s="38"/>
      <c r="Q249" s="34"/>
      <c r="R249" s="23">
        <f>SUM(S249:Z249)</f>
        <v>187447.92418853744</v>
      </c>
      <c r="S249" s="29">
        <f>AN249*IF(MID(E249,1,1)="1",IF(입력란!$C$9=1,트라이포드!$D$17,트라이포드!$C$17),1)*IF(MID(E249,1,1)="2",트라이포드!$F$17,트라이포드!$E$17)*IF(MID(E249,3,1)="1",트라이포드!$J$17,트라이포드!$I$17)*IF(MID(E249,5,1)="2",트라이포드!$R$17,트라이포드!$Q$17)*(1+입력란!$C$33/100)*IF(입력란!$C$9=1,IF(MID(E249,1,1)&lt;&gt;"2",IF(입력란!$C$14=0,1.05,IF(입력란!$C$14=1,1.05*1.05,IF(입력란!$C$14=2,1.05*1.12,IF(입력란!$C$14=3,1.05*1.25)))),1),1)</f>
        <v>56233.560249437243</v>
      </c>
      <c r="T249" s="29">
        <f>AO249*IF(MID(E249,1,1)="1",IF(입력란!$C$9=1,트라이포드!$D$17,트라이포드!$C$17),1)*IF(MID(E249,1,1)="2",트라이포드!$F$17,트라이포드!$E$17)*IF(MID(E249,3,1)="1",트라이포드!$J$17,트라이포드!$I$17)*IF(MID(E249,5,1)="2",트라이포드!$R$17,트라이포드!$Q$17)*(1+입력란!$C$33/100)*IF(입력란!$C$9=1,IF(MID(E249,1,1)&lt;&gt;"2",IF(입력란!$C$14=0,1.05,IF(입력란!$C$14=1,1.05*1.05,IF(입력란!$C$14=2,1.05*1.12,IF(입력란!$C$14=3,1.05*1.25)))),1),1)</f>
        <v>56233.560249437243</v>
      </c>
      <c r="U249" s="29">
        <f>AP249*IF(MID(E249,1,1)="1",IF(입력란!$C$9=1,트라이포드!$D$17,트라이포드!$C$17),1)*IF(MID(E249,1,1)="2",트라이포드!$F$17,트라이포드!$E$17)*IF(MID(E249,3,1)="1",트라이포드!$J$17,트라이포드!$I$17)*IF(MID(E249,5,1)="2",트라이포드!$R$17,트라이포드!$Q$17)*(1+입력란!$C$33/100)*IF(입력란!$C$9=1,IF(MID(E249,1,1)&lt;&gt;"2",IF(입력란!$C$14=0,1.05,IF(입력란!$C$14=1,1.05*1.05,IF(입력란!$C$14=2,1.05*1.12,IF(입력란!$C$14=3,1.05*1.25)))),1),1)</f>
        <v>74980.803689662949</v>
      </c>
      <c r="V249" s="29">
        <f>IF(MID(E249,5,1)="1",(S249+T249+U249)*트라이포드!$P$17,트라이포드!$O$17)</f>
        <v>0</v>
      </c>
      <c r="W249" s="29"/>
      <c r="X249" s="38"/>
      <c r="Y249" s="38"/>
      <c r="Z249" s="26"/>
      <c r="AA249" s="29">
        <f>SUM(AB249:AI249)</f>
        <v>374895.84837707487</v>
      </c>
      <c r="AB249" s="29">
        <f>S249*2</f>
        <v>112467.12049887449</v>
      </c>
      <c r="AC249" s="29">
        <f>T249*2</f>
        <v>112467.12049887449</v>
      </c>
      <c r="AD249" s="29">
        <f>U249*2</f>
        <v>149961.6073793259</v>
      </c>
      <c r="AE249" s="29"/>
      <c r="AF249" s="38"/>
      <c r="AG249" s="38"/>
      <c r="AH249" s="38"/>
      <c r="AI249" s="26"/>
      <c r="AJ249" s="25">
        <f>(AR249-IF(MID(E249,3,1)="3",트라이포드!$N$17,트라이포드!$M$17))*(1-입력란!$C$29/100)</f>
        <v>23.94267918225</v>
      </c>
      <c r="AK24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49" s="25">
        <f>입력란!$C$37+IF(입력란!$C$17=1,10,IF(입력란!$C$17=2,25,IF(입력란!$C$17=3,50,0)))</f>
        <v>200</v>
      </c>
      <c r="AM249" s="29">
        <f>SUM(AN249:AP249)</f>
        <v>149874.64718811045</v>
      </c>
      <c r="AN249" s="29">
        <f>(VLOOKUP(C249,$B$4:$AK$7,19,FALSE)+VLOOKUP(C249,$B$8:$AK$11,19,FALSE)*입력란!$C$23)*입력란!$C$38/100</f>
        <v>44961.740915513095</v>
      </c>
      <c r="AO249" s="29">
        <f>(VLOOKUP(C249,$B$4:$AK$7,20,FALSE)+VLOOKUP(C249,$B$8:$AK$11,20,FALSE)*입력란!$C$23)*입력란!$C$38/100</f>
        <v>44961.740915513095</v>
      </c>
      <c r="AP249" s="29">
        <f>(VLOOKUP(C249,$B$4:$AK$7,21,FALSE)+VLOOKUP(C249,$B$8:$AK$11,21,FALSE)*입력란!$C$23)*입력란!$C$38/100</f>
        <v>59951.165357084275</v>
      </c>
      <c r="AQ249" s="29"/>
      <c r="AR249" s="28">
        <v>36</v>
      </c>
    </row>
    <row r="250" spans="2:44" ht="13.5" customHeight="1" x14ac:dyDescent="0.3">
      <c r="B250" s="30">
        <v>235</v>
      </c>
      <c r="C250" s="35">
        <v>10</v>
      </c>
      <c r="D250" s="42" t="s">
        <v>173</v>
      </c>
      <c r="E250" s="37" t="s">
        <v>152</v>
      </c>
      <c r="F250" s="39"/>
      <c r="G250" s="39"/>
      <c r="H250" s="51">
        <f>I250/AJ250</f>
        <v>6343.8721754022972</v>
      </c>
      <c r="I250" s="52">
        <f>SUM(J250:Q250)*IF(입력란!C$15=1,1.04,IF(입력란!C$15=2,1.1,IF(입력란!C$15=3,1.2,1)))*IF(입력란!$C$13&lt;&gt;0,0,1)*IF(입력란!$C$17&lt;&gt;0,0.98,1)</f>
        <v>218720.58662715784</v>
      </c>
      <c r="J250" s="29">
        <f>S250*(1+IF($AK250+IF(입력란!$C$9=1,IF(MID(E250,1,1)&lt;&gt;"2",10,0),0)+IF(MID(E250,1,1)="2",10,0)+IF(입력란!$C$19=1,10,0)&gt;100,100,$AK250+IF(입력란!$C$9=1,IF(MID(E250,1,1)&lt;&gt;"2",10,0),0)+IF(MID(E250,1,1)="2",10,0)+IF(입력란!$C$19=1,10,0))/100*($AL250/100-1))</f>
        <v>65618.216065997403</v>
      </c>
      <c r="K250" s="29">
        <f>T250*(1+IF($AK250+IF(입력란!$C$9=1,IF(MID(E250,1,1)&lt;&gt;"2",10,0),0)+IF(MID(E250,1,1)="2",10,0)+IF(입력란!$C$19=1,10,0)&gt;100,100,$AK250+IF(입력란!$C$9=1,IF(MID(E250,1,1)&lt;&gt;"2",10,0),0)+IF(MID(E250,1,1)="2",10,0)+IF(입력란!$C$19=1,10,0))/100*($AL250/100-1))</f>
        <v>65618.216065997403</v>
      </c>
      <c r="L250" s="29">
        <f>U250*(1+IF($AK250+IF(입력란!$C$9=1,IF(MID(E250,1,1)&lt;&gt;"2",10,0),0)+IF(MID(E250,1,1)="2",10,0)+IF(입력란!$C$19=1,10,0)&gt;100,100,$AK250+IF(입력란!$C$9=1,IF(MID(E250,1,1)&lt;&gt;"2",10,0),0)+IF(MID(E250,1,1)="2",10,0)+IF(입력란!$C$19=1,10,0))/100*($AL250/100-1))</f>
        <v>87484.154495163035</v>
      </c>
      <c r="M250" s="29">
        <f>V250*(1+IF($AK250+IF(입력란!$C$9=1,IF(MID(E250,1,1)&lt;&gt;"2",10,0),0)+IF(MID(E250,1,1)="2",10,0)+IF(입력란!$C$19=1,10,0)&gt;100,100,$AK250+IF(입력란!$C$9=1,IF(MID(E250,1,1)&lt;&gt;"2",10,0),0)+IF(MID(E250,1,1)="2",10,0)+IF(입력란!$C$19=1,10,0))/100*($AL250/100-1))</f>
        <v>0</v>
      </c>
      <c r="N250" s="38"/>
      <c r="O250" s="38"/>
      <c r="P250" s="38"/>
      <c r="Q250" s="34"/>
      <c r="R250" s="23">
        <f>SUM(S250:Z250)</f>
        <v>178750.84706270951</v>
      </c>
      <c r="S250" s="29">
        <f>AN250*IF(MID(E250,1,1)="1",IF(입력란!$C$9=1,트라이포드!$D$17,트라이포드!$C$17),1)*IF(MID(E250,1,1)="2",트라이포드!$F$17,트라이포드!$E$17)*IF(MID(E250,3,1)="1",트라이포드!$J$17,트라이포드!$I$17)*IF(MID(E250,5,1)="2",트라이포드!$R$17,트라이포드!$Q$17)*(1+입력란!$C$33/100)*IF(입력란!$C$9=1,IF(MID(E250,1,1)&lt;&gt;"2",IF(입력란!$C$14=0,1.05,IF(입력란!$C$14=1,1.05*1.05,IF(입력란!$C$14=2,1.05*1.12,IF(입력란!$C$14=3,1.05*1.25)))),1),1)</f>
        <v>53626.921385938425</v>
      </c>
      <c r="T250" s="29">
        <f>AO250*IF(MID(E250,1,1)="1",IF(입력란!$C$9=1,트라이포드!$D$17,트라이포드!$C$17),1)*IF(MID(E250,1,1)="2",트라이포드!$F$17,트라이포드!$E$17)*IF(MID(E250,3,1)="1",트라이포드!$J$17,트라이포드!$I$17)*IF(MID(E250,5,1)="2",트라이포드!$R$17,트라이포드!$Q$17)*(1+입력란!$C$33/100)*IF(입력란!$C$9=1,IF(MID(E250,1,1)&lt;&gt;"2",IF(입력란!$C$14=0,1.05,IF(입력란!$C$14=1,1.05*1.05,IF(입력란!$C$14=2,1.05*1.12,IF(입력란!$C$14=3,1.05*1.25)))),1),1)</f>
        <v>53626.921385938425</v>
      </c>
      <c r="U250" s="29">
        <f>AP250*IF(MID(E250,1,1)="1",IF(입력란!$C$9=1,트라이포드!$D$17,트라이포드!$C$17),1)*IF(MID(E250,1,1)="2",트라이포드!$F$17,트라이포드!$E$17)*IF(MID(E250,3,1)="1",트라이포드!$J$17,트라이포드!$I$17)*IF(MID(E250,5,1)="2",트라이포드!$R$17,트라이포드!$Q$17)*(1+입력란!$C$33/100)*IF(입력란!$C$9=1,IF(MID(E250,1,1)&lt;&gt;"2",IF(입력란!$C$14=0,1.05,IF(입력란!$C$14=1,1.05*1.05,IF(입력란!$C$14=2,1.05*1.12,IF(입력란!$C$14=3,1.05*1.25)))),1),1)</f>
        <v>71497.004290832643</v>
      </c>
      <c r="V250" s="29">
        <f>IF(MID(E250,5,1)="1",(S250+T250+U250)*트라이포드!$P$17,트라이포드!$O$17)</f>
        <v>0</v>
      </c>
      <c r="W250" s="29"/>
      <c r="X250" s="38"/>
      <c r="Y250" s="38"/>
      <c r="Z250" s="26"/>
      <c r="AA250" s="29">
        <f>SUM(AB250:AI250)</f>
        <v>357501.69412541902</v>
      </c>
      <c r="AB250" s="29">
        <f>S250*2</f>
        <v>107253.84277187685</v>
      </c>
      <c r="AC250" s="29">
        <f>T250*2</f>
        <v>107253.84277187685</v>
      </c>
      <c r="AD250" s="29">
        <f>U250*2</f>
        <v>142994.00858166529</v>
      </c>
      <c r="AE250" s="29"/>
      <c r="AF250" s="38"/>
      <c r="AG250" s="38"/>
      <c r="AH250" s="38"/>
      <c r="AI250" s="26"/>
      <c r="AJ250" s="25">
        <f>(AR250-IF(MID(E250,3,1)="3",트라이포드!$N$17,트라이포드!$M$17))*(1-입력란!$C$29/100)</f>
        <v>34.477458022440004</v>
      </c>
      <c r="AK25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0" s="25">
        <f>입력란!$C$37+IF(입력란!$C$17=1,10,IF(입력란!$C$17=2,25,IF(입력란!$C$17=3,50,0)))</f>
        <v>200</v>
      </c>
      <c r="AM250" s="29">
        <f>SUM(AN250:AP250)</f>
        <v>150066.91200651132</v>
      </c>
      <c r="AN250" s="29">
        <f>(VLOOKUP(C250,$B$4:$AK$7,19,FALSE)+VLOOKUP(C250,$B$8:$AK$11,19,FALSE)*입력란!$C$23)*입력란!$C$38/100</f>
        <v>45021.473324713523</v>
      </c>
      <c r="AO250" s="29">
        <f>(VLOOKUP(C250,$B$4:$AK$7,20,FALSE)+VLOOKUP(C250,$B$8:$AK$11,20,FALSE)*입력란!$C$23)*입력란!$C$38/100</f>
        <v>45021.473324713523</v>
      </c>
      <c r="AP250" s="29">
        <f>(VLOOKUP(C250,$B$4:$AK$7,21,FALSE)+VLOOKUP(C250,$B$8:$AK$11,21,FALSE)*입력란!$C$23)*입력란!$C$38/100</f>
        <v>60023.965357084271</v>
      </c>
      <c r="AQ250" s="29"/>
      <c r="AR250" s="28">
        <v>36</v>
      </c>
    </row>
    <row r="251" spans="2:44" ht="13.5" customHeight="1" x14ac:dyDescent="0.3">
      <c r="B251" s="30">
        <v>236</v>
      </c>
      <c r="C251" s="35">
        <v>10</v>
      </c>
      <c r="D251" s="42" t="s">
        <v>173</v>
      </c>
      <c r="E251" s="37" t="s">
        <v>157</v>
      </c>
      <c r="F251" s="39"/>
      <c r="G251" s="39"/>
      <c r="H251" s="51">
        <f>I251/AJ251</f>
        <v>10150.195480643675</v>
      </c>
      <c r="I251" s="52">
        <f>SUM(J251:Q251)*IF(입력란!C$15=1,1.04,IF(입력란!C$15=2,1.1,IF(입력란!C$15=3,1.2,1)))*IF(입력란!$C$13&lt;&gt;0,0,1)*IF(입력란!$C$17&lt;&gt;0,0.98,1)</f>
        <v>349952.93860345252</v>
      </c>
      <c r="J251" s="29">
        <f>S251*(1+IF($AK251+IF(입력란!$C$9=1,IF(MID(E251,1,1)&lt;&gt;"2",10,0),0)+IF(MID(E251,1,1)="2",10,0)+IF(입력란!$C$19=1,10,0)&gt;100,100,$AK251+IF(입력란!$C$9=1,IF(MID(E251,1,1)&lt;&gt;"2",10,0),0)+IF(MID(E251,1,1)="2",10,0)+IF(입력란!$C$19=1,10,0))/100*($AL251/100-1))</f>
        <v>65618.216065997403</v>
      </c>
      <c r="K251" s="29">
        <f>T251*(1+IF($AK251+IF(입력란!$C$9=1,IF(MID(E251,1,1)&lt;&gt;"2",10,0),0)+IF(MID(E251,1,1)="2",10,0)+IF(입력란!$C$19=1,10,0)&gt;100,100,$AK251+IF(입력란!$C$9=1,IF(MID(E251,1,1)&lt;&gt;"2",10,0),0)+IF(MID(E251,1,1)="2",10,0)+IF(입력란!$C$19=1,10,0))/100*($AL251/100-1))</f>
        <v>65618.216065997403</v>
      </c>
      <c r="L251" s="29">
        <f>U251*(1+IF($AK251+IF(입력란!$C$9=1,IF(MID(E251,1,1)&lt;&gt;"2",10,0),0)+IF(MID(E251,1,1)="2",10,0)+IF(입력란!$C$19=1,10,0)&gt;100,100,$AK251+IF(입력란!$C$9=1,IF(MID(E251,1,1)&lt;&gt;"2",10,0),0)+IF(MID(E251,1,1)="2",10,0)+IF(입력란!$C$19=1,10,0))/100*($AL251/100-1))</f>
        <v>87484.154495163035</v>
      </c>
      <c r="M251" s="29">
        <f>V251*(1+IF($AK251+IF(입력란!$C$9=1,IF(MID(E251,1,1)&lt;&gt;"2",10,0),0)+IF(MID(E251,1,1)="2",10,0)+IF(입력란!$C$19=1,10,0)&gt;100,100,$AK251+IF(입력란!$C$9=1,IF(MID(E251,1,1)&lt;&gt;"2",10,0),0)+IF(MID(E251,1,1)="2",10,0)+IF(입력란!$C$19=1,10,0))/100*($AL251/100-1))</f>
        <v>131232.35197629471</v>
      </c>
      <c r="N251" s="38"/>
      <c r="O251" s="38"/>
      <c r="P251" s="38"/>
      <c r="Q251" s="34"/>
      <c r="R251" s="23">
        <f>SUM(S251:Z251)</f>
        <v>286001.35530033521</v>
      </c>
      <c r="S251" s="29">
        <f>AN251*IF(MID(E251,1,1)="1",IF(입력란!$C$9=1,트라이포드!$D$17,트라이포드!$C$17),1)*IF(MID(E251,1,1)="2",트라이포드!$F$17,트라이포드!$E$17)*IF(MID(E251,3,1)="1",트라이포드!$J$17,트라이포드!$I$17)*IF(MID(E251,5,1)="2",트라이포드!$R$17,트라이포드!$Q$17)*(1+입력란!$C$33/100)*IF(입력란!$C$9=1,IF(MID(E251,1,1)&lt;&gt;"2",IF(입력란!$C$14=0,1.05,IF(입력란!$C$14=1,1.05*1.05,IF(입력란!$C$14=2,1.05*1.12,IF(입력란!$C$14=3,1.05*1.25)))),1),1)</f>
        <v>53626.921385938425</v>
      </c>
      <c r="T251" s="29">
        <f>AO251*IF(MID(E251,1,1)="1",IF(입력란!$C$9=1,트라이포드!$D$17,트라이포드!$C$17),1)*IF(MID(E251,1,1)="2",트라이포드!$F$17,트라이포드!$E$17)*IF(MID(E251,3,1)="1",트라이포드!$J$17,트라이포드!$I$17)*IF(MID(E251,5,1)="2",트라이포드!$R$17,트라이포드!$Q$17)*(1+입력란!$C$33/100)*IF(입력란!$C$9=1,IF(MID(E251,1,1)&lt;&gt;"2",IF(입력란!$C$14=0,1.05,IF(입력란!$C$14=1,1.05*1.05,IF(입력란!$C$14=2,1.05*1.12,IF(입력란!$C$14=3,1.05*1.25)))),1),1)</f>
        <v>53626.921385938425</v>
      </c>
      <c r="U251" s="29">
        <f>AP251*IF(MID(E251,1,1)="1",IF(입력란!$C$9=1,트라이포드!$D$17,트라이포드!$C$17),1)*IF(MID(E251,1,1)="2",트라이포드!$F$17,트라이포드!$E$17)*IF(MID(E251,3,1)="1",트라이포드!$J$17,트라이포드!$I$17)*IF(MID(E251,5,1)="2",트라이포드!$R$17,트라이포드!$Q$17)*(1+입력란!$C$33/100)*IF(입력란!$C$9=1,IF(MID(E251,1,1)&lt;&gt;"2",IF(입력란!$C$14=0,1.05,IF(입력란!$C$14=1,1.05*1.05,IF(입력란!$C$14=2,1.05*1.12,IF(입력란!$C$14=3,1.05*1.25)))),1),1)</f>
        <v>71497.004290832643</v>
      </c>
      <c r="V251" s="29">
        <f>IF(MID(E251,5,1)="1",(S251+T251+U251)*트라이포드!$P$17,트라이포드!$O$17)</f>
        <v>107250.50823762571</v>
      </c>
      <c r="W251" s="29"/>
      <c r="X251" s="38"/>
      <c r="Y251" s="38"/>
      <c r="Z251" s="26"/>
      <c r="AA251" s="29">
        <f>SUM(AB251:AI251)</f>
        <v>357501.69412541902</v>
      </c>
      <c r="AB251" s="29">
        <f>S251*2</f>
        <v>107253.84277187685</v>
      </c>
      <c r="AC251" s="29">
        <f>T251*2</f>
        <v>107253.84277187685</v>
      </c>
      <c r="AD251" s="29">
        <f>U251*2</f>
        <v>142994.00858166529</v>
      </c>
      <c r="AE251" s="29"/>
      <c r="AF251" s="38"/>
      <c r="AG251" s="38"/>
      <c r="AH251" s="38"/>
      <c r="AI251" s="26"/>
      <c r="AJ251" s="25">
        <f>(AR251-IF(MID(E251,3,1)="3",트라이포드!$N$17,트라이포드!$M$17))*(1-입력란!$C$29/100)</f>
        <v>34.477458022440004</v>
      </c>
      <c r="AK25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1" s="25">
        <f>입력란!$C$37+IF(입력란!$C$17=1,10,IF(입력란!$C$17=2,25,IF(입력란!$C$17=3,50,0)))</f>
        <v>200</v>
      </c>
      <c r="AM251" s="29">
        <f>SUM(AN251:AP251)</f>
        <v>150066.91200651132</v>
      </c>
      <c r="AN251" s="29">
        <f>(VLOOKUP(C251,$B$4:$AK$7,19,FALSE)+VLOOKUP(C251,$B$8:$AK$11,19,FALSE)*입력란!$C$23)*입력란!$C$38/100</f>
        <v>45021.473324713523</v>
      </c>
      <c r="AO251" s="29">
        <f>(VLOOKUP(C251,$B$4:$AK$7,20,FALSE)+VLOOKUP(C251,$B$8:$AK$11,20,FALSE)*입력란!$C$23)*입력란!$C$38/100</f>
        <v>45021.473324713523</v>
      </c>
      <c r="AP251" s="29">
        <f>(VLOOKUP(C251,$B$4:$AK$7,21,FALSE)+VLOOKUP(C251,$B$8:$AK$11,21,FALSE)*입력란!$C$23)*입력란!$C$38/100</f>
        <v>60023.965357084271</v>
      </c>
      <c r="AQ251" s="29"/>
      <c r="AR251" s="28">
        <v>36</v>
      </c>
    </row>
    <row r="252" spans="2:44" ht="13.5" customHeight="1" x14ac:dyDescent="0.3">
      <c r="B252" s="30">
        <v>237</v>
      </c>
      <c r="C252" s="35">
        <v>10</v>
      </c>
      <c r="D252" s="42" t="s">
        <v>173</v>
      </c>
      <c r="E252" s="37" t="s">
        <v>169</v>
      </c>
      <c r="F252" s="39" t="s">
        <v>181</v>
      </c>
      <c r="G252" s="39"/>
      <c r="H252" s="51">
        <f>I252/AJ252</f>
        <v>11418.969915724136</v>
      </c>
      <c r="I252" s="52">
        <f>SUM(J252:Q252)*IF(입력란!C$15=1,1.04,IF(입력란!C$15=2,1.1,IF(입력란!C$15=3,1.2,1)))*IF(입력란!$C$13&lt;&gt;0,0,1)*IF(입력란!$C$17&lt;&gt;0,0.98,1)</f>
        <v>393697.05592888413</v>
      </c>
      <c r="J252" s="29">
        <f>S252*(1+IF($AK252+IF(입력란!$C$9=1,IF(MID(E252,1,1)&lt;&gt;"2",10,0),0)+IF(MID(E252,1,1)="2",10,0)+IF(입력란!$C$19=1,10,0)&gt;100,100,$AK252+IF(입력란!$C$9=1,IF(MID(E252,1,1)&lt;&gt;"2",10,0),0)+IF(MID(E252,1,1)="2",10,0)+IF(입력란!$C$19=1,10,0))/100*($AL252/100-1))</f>
        <v>118112.78891879533</v>
      </c>
      <c r="K252" s="29">
        <f>T252*(1+IF($AK252+IF(입력란!$C$9=1,IF(MID(E252,1,1)&lt;&gt;"2",10,0),0)+IF(MID(E252,1,1)="2",10,0)+IF(입력란!$C$19=1,10,0)&gt;100,100,$AK252+IF(입력란!$C$9=1,IF(MID(E252,1,1)&lt;&gt;"2",10,0),0)+IF(MID(E252,1,1)="2",10,0)+IF(입력란!$C$19=1,10,0))/100*($AL252/100-1))</f>
        <v>118112.78891879533</v>
      </c>
      <c r="L252" s="29">
        <f>U252*(1+IF($AK252+IF(입력란!$C$9=1,IF(MID(E252,1,1)&lt;&gt;"2",10,0),0)+IF(MID(E252,1,1)="2",10,0)+IF(입력란!$C$19=1,10,0)&gt;100,100,$AK252+IF(입력란!$C$9=1,IF(MID(E252,1,1)&lt;&gt;"2",10,0),0)+IF(MID(E252,1,1)="2",10,0)+IF(입력란!$C$19=1,10,0))/100*($AL252/100-1))</f>
        <v>157471.47809129348</v>
      </c>
      <c r="M252" s="29">
        <f>V252*(1+IF($AK252+IF(입력란!$C$9=1,IF(MID(E252,1,1)&lt;&gt;"2",10,0),0)+IF(MID(E252,1,1)="2",10,0)+IF(입력란!$C$19=1,10,0)&gt;100,100,$AK252+IF(입력란!$C$9=1,IF(MID(E252,1,1)&lt;&gt;"2",10,0),0)+IF(MID(E252,1,1)="2",10,0)+IF(입력란!$C$19=1,10,0))/100*($AL252/100-1))</f>
        <v>0</v>
      </c>
      <c r="N252" s="38"/>
      <c r="O252" s="38"/>
      <c r="P252" s="38"/>
      <c r="Q252" s="34"/>
      <c r="R252" s="23">
        <f>SUM(S252:Z252)</f>
        <v>321751.52471287712</v>
      </c>
      <c r="S252" s="29">
        <f>AN252*IF(MID(E252,1,1)="1",IF(입력란!$C$9=1,트라이포드!$D$17,트라이포드!$C$17),1)*IF(MID(E252,1,1)="2",트라이포드!$F$17,트라이포드!$E$17)*IF(MID(E252,3,1)="1",트라이포드!$J$17,트라이포드!$I$17)*IF(MID(E252,5,1)="2",트라이포드!$R$17,트라이포드!$Q$17)*(1+입력란!$C$33/100)*IF(입력란!$C$9=1,IF(MID(E252,1,1)&lt;&gt;"2",IF(입력란!$C$14=0,1.05,IF(입력란!$C$14=1,1.05*1.05,IF(입력란!$C$14=2,1.05*1.12,IF(입력란!$C$14=3,1.05*1.25)))),1),1)</f>
        <v>96528.45849468917</v>
      </c>
      <c r="T252" s="29">
        <f>AO252*IF(MID(E252,1,1)="1",IF(입력란!$C$9=1,트라이포드!$D$17,트라이포드!$C$17),1)*IF(MID(E252,1,1)="2",트라이포드!$F$17,트라이포드!$E$17)*IF(MID(E252,3,1)="1",트라이포드!$J$17,트라이포드!$I$17)*IF(MID(E252,5,1)="2",트라이포드!$R$17,트라이포드!$Q$17)*(1+입력란!$C$33/100)*IF(입력란!$C$9=1,IF(MID(E252,1,1)&lt;&gt;"2",IF(입력란!$C$14=0,1.05,IF(입력란!$C$14=1,1.05*1.05,IF(입력란!$C$14=2,1.05*1.12,IF(입력란!$C$14=3,1.05*1.25)))),1),1)</f>
        <v>96528.45849468917</v>
      </c>
      <c r="U252" s="29">
        <f>AP252*IF(MID(E252,1,1)="1",IF(입력란!$C$9=1,트라이포드!$D$17,트라이포드!$C$17),1)*IF(MID(E252,1,1)="2",트라이포드!$F$17,트라이포드!$E$17)*IF(MID(E252,3,1)="1",트라이포드!$J$17,트라이포드!$I$17)*IF(MID(E252,5,1)="2",트라이포드!$R$17,트라이포드!$Q$17)*(1+입력란!$C$33/100)*IF(입력란!$C$9=1,IF(MID(E252,1,1)&lt;&gt;"2",IF(입력란!$C$14=0,1.05,IF(입력란!$C$14=1,1.05*1.05,IF(입력란!$C$14=2,1.05*1.12,IF(입력란!$C$14=3,1.05*1.25)))),1),1)</f>
        <v>128694.60772349876</v>
      </c>
      <c r="V252" s="29">
        <f>IF(MID(E252,5,1)="1",(S252+T252+U252)*트라이포드!$P$17,트라이포드!$O$17)</f>
        <v>0</v>
      </c>
      <c r="W252" s="29"/>
      <c r="X252" s="38"/>
      <c r="Y252" s="38"/>
      <c r="Z252" s="26"/>
      <c r="AA252" s="29">
        <f>SUM(AB252:AI252)</f>
        <v>643503.04942575423</v>
      </c>
      <c r="AB252" s="29">
        <f>S252*2</f>
        <v>193056.91698937834</v>
      </c>
      <c r="AC252" s="29">
        <f>T252*2</f>
        <v>193056.91698937834</v>
      </c>
      <c r="AD252" s="29">
        <f>U252*2</f>
        <v>257389.21544699752</v>
      </c>
      <c r="AE252" s="29"/>
      <c r="AF252" s="38"/>
      <c r="AG252" s="38"/>
      <c r="AH252" s="38"/>
      <c r="AI252" s="26"/>
      <c r="AJ252" s="25">
        <f>(AR252-IF(MID(E252,3,1)="3",트라이포드!$N$17,트라이포드!$M$17))*(1-입력란!$C$29/100)</f>
        <v>34.477458022440004</v>
      </c>
      <c r="AK25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2" s="25">
        <f>입력란!$C$37+IF(입력란!$C$17=1,10,IF(입력란!$C$17=2,25,IF(입력란!$C$17=3,50,0)))</f>
        <v>200</v>
      </c>
      <c r="AM252" s="29">
        <f>SUM(AN252:AP252)</f>
        <v>150066.91200651132</v>
      </c>
      <c r="AN252" s="29">
        <f>(VLOOKUP(C252,$B$4:$AK$7,19,FALSE)+VLOOKUP(C252,$B$8:$AK$11,19,FALSE)*입력란!$C$23)*입력란!$C$38/100</f>
        <v>45021.473324713523</v>
      </c>
      <c r="AO252" s="29">
        <f>(VLOOKUP(C252,$B$4:$AK$7,20,FALSE)+VLOOKUP(C252,$B$8:$AK$11,20,FALSE)*입력란!$C$23)*입력란!$C$38/100</f>
        <v>45021.473324713523</v>
      </c>
      <c r="AP252" s="29">
        <f>(VLOOKUP(C252,$B$4:$AK$7,21,FALSE)+VLOOKUP(C252,$B$8:$AK$11,21,FALSE)*입력란!$C$23)*입력란!$C$38/100</f>
        <v>60023.965357084271</v>
      </c>
      <c r="AQ252" s="29"/>
      <c r="AR252" s="28">
        <v>36</v>
      </c>
    </row>
    <row r="253" spans="2:44" ht="13.5" customHeight="1" x14ac:dyDescent="0.3">
      <c r="B253" s="30">
        <v>238</v>
      </c>
      <c r="C253" s="35">
        <v>10</v>
      </c>
      <c r="D253" s="42" t="s">
        <v>173</v>
      </c>
      <c r="E253" s="37" t="s">
        <v>175</v>
      </c>
      <c r="F253" s="39"/>
      <c r="G253" s="39"/>
      <c r="H253" s="51">
        <f>I253/AJ253</f>
        <v>10150.195480643675</v>
      </c>
      <c r="I253" s="52">
        <f>SUM(J253:Q253)*IF(입력란!C$15=1,1.04,IF(입력란!C$15=2,1.1,IF(입력란!C$15=3,1.2,1)))*IF(입력란!$C$13&lt;&gt;0,0,1)*IF(입력란!$C$17&lt;&gt;0,0.98,1)</f>
        <v>349952.93860345252</v>
      </c>
      <c r="J253" s="29">
        <f>S253*(1+IF($AK253+IF(입력란!$C$9=1,IF(MID(E253,1,1)&lt;&gt;"2",10,0),0)+IF(MID(E253,1,1)="2",10,0)+IF(입력란!$C$19=1,10,0)&gt;100,100,$AK253+IF(입력란!$C$9=1,IF(MID(E253,1,1)&lt;&gt;"2",10,0),0)+IF(MID(E253,1,1)="2",10,0)+IF(입력란!$C$19=1,10,0))/100*($AL253/100-1))</f>
        <v>65618.216065997403</v>
      </c>
      <c r="K253" s="29">
        <f>T253*(1+IF($AK253+IF(입력란!$C$9=1,IF(MID(E253,1,1)&lt;&gt;"2",10,0),0)+IF(MID(E253,1,1)="2",10,0)+IF(입력란!$C$19=1,10,0)&gt;100,100,$AK253+IF(입력란!$C$9=1,IF(MID(E253,1,1)&lt;&gt;"2",10,0),0)+IF(MID(E253,1,1)="2",10,0)+IF(입력란!$C$19=1,10,0))/100*($AL253/100-1))</f>
        <v>65618.216065997403</v>
      </c>
      <c r="L253" s="29">
        <f>U253*(1+IF($AK253+IF(입력란!$C$9=1,IF(MID(E253,1,1)&lt;&gt;"2",10,0),0)+IF(MID(E253,1,1)="2",10,0)+IF(입력란!$C$19=1,10,0)&gt;100,100,$AK253+IF(입력란!$C$9=1,IF(MID(E253,1,1)&lt;&gt;"2",10,0),0)+IF(MID(E253,1,1)="2",10,0)+IF(입력란!$C$19=1,10,0))/100*($AL253/100-1))</f>
        <v>87484.154495163035</v>
      </c>
      <c r="M253" s="29">
        <f>V253*(1+IF($AK253+IF(입력란!$C$9=1,IF(MID(E253,1,1)&lt;&gt;"2",10,0),0)+IF(MID(E253,1,1)="2",10,0)+IF(입력란!$C$19=1,10,0)&gt;100,100,$AK253+IF(입력란!$C$9=1,IF(MID(E253,1,1)&lt;&gt;"2",10,0),0)+IF(MID(E253,1,1)="2",10,0)+IF(입력란!$C$19=1,10,0))/100*($AL253/100-1))</f>
        <v>131232.35197629471</v>
      </c>
      <c r="N253" s="38"/>
      <c r="O253" s="38"/>
      <c r="P253" s="38"/>
      <c r="Q253" s="34"/>
      <c r="R253" s="23">
        <f>SUM(S253:Z253)</f>
        <v>286001.35530033521</v>
      </c>
      <c r="S253" s="29">
        <f>AN253*IF(MID(E253,1,1)="1",IF(입력란!$C$9=1,트라이포드!$D$17,트라이포드!$C$17),1)*IF(MID(E253,1,1)="2",트라이포드!$F$17,트라이포드!$E$17)*IF(MID(E253,3,1)="1",트라이포드!$J$17,트라이포드!$I$17)*IF(MID(E253,5,1)="2",트라이포드!$R$17,트라이포드!$Q$17)*(1+입력란!$C$33/100)*IF(입력란!$C$9=1,IF(MID(E253,1,1)&lt;&gt;"2",IF(입력란!$C$14=0,1.05,IF(입력란!$C$14=1,1.05*1.05,IF(입력란!$C$14=2,1.05*1.12,IF(입력란!$C$14=3,1.05*1.25)))),1),1)</f>
        <v>53626.921385938425</v>
      </c>
      <c r="T253" s="29">
        <f>AO253*IF(MID(E253,1,1)="1",IF(입력란!$C$9=1,트라이포드!$D$17,트라이포드!$C$17),1)*IF(MID(E253,1,1)="2",트라이포드!$F$17,트라이포드!$E$17)*IF(MID(E253,3,1)="1",트라이포드!$J$17,트라이포드!$I$17)*IF(MID(E253,5,1)="2",트라이포드!$R$17,트라이포드!$Q$17)*(1+입력란!$C$33/100)*IF(입력란!$C$9=1,IF(MID(E253,1,1)&lt;&gt;"2",IF(입력란!$C$14=0,1.05,IF(입력란!$C$14=1,1.05*1.05,IF(입력란!$C$14=2,1.05*1.12,IF(입력란!$C$14=3,1.05*1.25)))),1),1)</f>
        <v>53626.921385938425</v>
      </c>
      <c r="U253" s="29">
        <f>AP253*IF(MID(E253,1,1)="1",IF(입력란!$C$9=1,트라이포드!$D$17,트라이포드!$C$17),1)*IF(MID(E253,1,1)="2",트라이포드!$F$17,트라이포드!$E$17)*IF(MID(E253,3,1)="1",트라이포드!$J$17,트라이포드!$I$17)*IF(MID(E253,5,1)="2",트라이포드!$R$17,트라이포드!$Q$17)*(1+입력란!$C$33/100)*IF(입력란!$C$9=1,IF(MID(E253,1,1)&lt;&gt;"2",IF(입력란!$C$14=0,1.05,IF(입력란!$C$14=1,1.05*1.05,IF(입력란!$C$14=2,1.05*1.12,IF(입력란!$C$14=3,1.05*1.25)))),1),1)</f>
        <v>71497.004290832643</v>
      </c>
      <c r="V253" s="29">
        <f>IF(MID(E253,5,1)="1",(S253+T253+U253)*트라이포드!$P$17,트라이포드!$O$17)</f>
        <v>107250.50823762571</v>
      </c>
      <c r="W253" s="29"/>
      <c r="X253" s="38"/>
      <c r="Y253" s="38"/>
      <c r="Z253" s="26"/>
      <c r="AA253" s="29">
        <f>SUM(AB253:AI253)</f>
        <v>357501.69412541902</v>
      </c>
      <c r="AB253" s="29">
        <f>S253*2</f>
        <v>107253.84277187685</v>
      </c>
      <c r="AC253" s="29">
        <f>T253*2</f>
        <v>107253.84277187685</v>
      </c>
      <c r="AD253" s="29">
        <f>U253*2</f>
        <v>142994.00858166529</v>
      </c>
      <c r="AE253" s="29"/>
      <c r="AF253" s="38"/>
      <c r="AG253" s="38"/>
      <c r="AH253" s="38"/>
      <c r="AI253" s="26"/>
      <c r="AJ253" s="25">
        <f>(AR253-IF(MID(E253,3,1)="3",트라이포드!$N$17,트라이포드!$M$17))*(1-입력란!$C$29/100)</f>
        <v>34.477458022440004</v>
      </c>
      <c r="AK25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3" s="25">
        <f>입력란!$C$37+IF(입력란!$C$17=1,10,IF(입력란!$C$17=2,25,IF(입력란!$C$17=3,50,0)))</f>
        <v>200</v>
      </c>
      <c r="AM253" s="29">
        <f>SUM(AN253:AP253)</f>
        <v>150066.91200651132</v>
      </c>
      <c r="AN253" s="29">
        <f>(VLOOKUP(C253,$B$4:$AK$7,19,FALSE)+VLOOKUP(C253,$B$8:$AK$11,19,FALSE)*입력란!$C$23)*입력란!$C$38/100</f>
        <v>45021.473324713523</v>
      </c>
      <c r="AO253" s="29">
        <f>(VLOOKUP(C253,$B$4:$AK$7,20,FALSE)+VLOOKUP(C253,$B$8:$AK$11,20,FALSE)*입력란!$C$23)*입력란!$C$38/100</f>
        <v>45021.473324713523</v>
      </c>
      <c r="AP253" s="29">
        <f>(VLOOKUP(C253,$B$4:$AK$7,21,FALSE)+VLOOKUP(C253,$B$8:$AK$11,21,FALSE)*입력란!$C$23)*입력란!$C$38/100</f>
        <v>60023.965357084271</v>
      </c>
      <c r="AQ253" s="29"/>
      <c r="AR253" s="28">
        <v>36</v>
      </c>
    </row>
    <row r="254" spans="2:44" ht="13.5" customHeight="1" x14ac:dyDescent="0.3">
      <c r="B254" s="30">
        <v>239</v>
      </c>
      <c r="C254" s="35">
        <v>10</v>
      </c>
      <c r="D254" s="42" t="s">
        <v>32</v>
      </c>
      <c r="E254" s="37" t="s">
        <v>319</v>
      </c>
      <c r="F254" s="39"/>
      <c r="G254" s="39"/>
      <c r="H254" s="51">
        <f>I254/AJ254</f>
        <v>11528.713270608756</v>
      </c>
      <c r="I254" s="52">
        <f>SUM(J254:Q254)*IF(입력란!C$15=1,1.04,IF(입력란!C$15=2,1.1,IF(입력란!C$15=3,1.2,1)))*IF(입력란!$C$13&lt;&gt;0,0,1)*IF(입력란!$C$17&lt;&gt;0,0.98,1)</f>
        <v>397480.72784016037</v>
      </c>
      <c r="J254" s="29">
        <f>S254*(1+IF($AK254+IF(입력란!$C$9=1,IF(MID(E254,1,1)&lt;&gt;"2",10,0),0)+IF(MID(E254,1,1)="2",10,0)+IF(입력란!$C$19=1,10,0)&gt;100,100,$AK254+IF(입력란!$C$9=1,IF(MID(E254,1,1)&lt;&gt;"2",10,0),0)+IF(MID(E254,1,1)="2",10,0)+IF(입력란!$C$19=1,10,0))/100*($AL254/100-1))</f>
        <v>74529.953614820814</v>
      </c>
      <c r="K254" s="29">
        <f>T254*(1+IF($AK254+IF(입력란!$C$9=1,IF(MID(E254,1,1)&lt;&gt;"2",10,0),0)+IF(MID(E254,1,1)="2",10,0)+IF(입력란!$C$19=1,10,0)&gt;100,100,$AK254+IF(입력란!$C$9=1,IF(MID(E254,1,1)&lt;&gt;"2",10,0),0)+IF(MID(E254,1,1)="2",10,0)+IF(입력란!$C$19=1,10,0))/100*($AL254/100-1))</f>
        <v>74529.953614820814</v>
      </c>
      <c r="L254" s="29">
        <f>U254*(1+IF($AK254+IF(입력란!$C$9=1,IF(MID(E254,1,1)&lt;&gt;"2",10,0),0)+IF(MID(E254,1,1)="2",10,0)+IF(입력란!$C$19=1,10,0)&gt;100,100,$AK254+IF(입력란!$C$9=1,IF(MID(E254,1,1)&lt;&gt;"2",10,0),0)+IF(MID(E254,1,1)="2",10,0)+IF(입력란!$C$19=1,10,0))/100*($AL254/100-1))</f>
        <v>99365.547670458604</v>
      </c>
      <c r="M254" s="29">
        <f>V254*(1+IF($AK254+IF(입력란!$C$9=1,IF(MID(E254,1,1)&lt;&gt;"2",10,0),0)+IF(MID(E254,1,1)="2",10,0)+IF(입력란!$C$19=1,10,0)&gt;100,100,$AK254+IF(입력란!$C$9=1,IF(MID(E254,1,1)&lt;&gt;"2",10,0),0)+IF(MID(E254,1,1)="2",10,0)+IF(입력란!$C$19=1,10,0))/100*($AL254/100-1))</f>
        <v>149055.27294006015</v>
      </c>
      <c r="N254" s="38"/>
      <c r="O254" s="38"/>
      <c r="P254" s="38"/>
      <c r="Q254" s="34"/>
      <c r="R254" s="23">
        <f>SUM(S254:Z254)</f>
        <v>300301.42306535196</v>
      </c>
      <c r="S254" s="29">
        <f>AN254*IF(MID(E254,1,1)="1",IF(입력란!$C$9=1,트라이포드!$D$17,트라이포드!$C$17),1)*IF(MID(E254,1,1)="2",트라이포드!$F$17,트라이포드!$E$17)*IF(MID(E254,3,1)="1",트라이포드!$J$17,트라이포드!$I$17)*IF(MID(E254,5,1)="2",트라이포드!$R$17,트라이포드!$Q$17)*(1+입력란!$C$33/100)*IF(입력란!$C$9=1,IF(MID(E254,1,1)&lt;&gt;"2",IF(입력란!$C$14=0,1.05,IF(입력란!$C$14=1,1.05*1.05,IF(입력란!$C$14=2,1.05*1.12,IF(입력란!$C$14=3,1.05*1.25)))),1),1)</f>
        <v>56308.267455235356</v>
      </c>
      <c r="T254" s="29">
        <f>AO254*IF(MID(E254,1,1)="1",IF(입력란!$C$9=1,트라이포드!$D$17,트라이포드!$C$17),1)*IF(MID(E254,1,1)="2",트라이포드!$F$17,트라이포드!$E$17)*IF(MID(E254,3,1)="1",트라이포드!$J$17,트라이포드!$I$17)*IF(MID(E254,5,1)="2",트라이포드!$R$17,트라이포드!$Q$17)*(1+입력란!$C$33/100)*IF(입력란!$C$9=1,IF(MID(E254,1,1)&lt;&gt;"2",IF(입력란!$C$14=0,1.05,IF(입력란!$C$14=1,1.05*1.05,IF(입력란!$C$14=2,1.05*1.12,IF(입력란!$C$14=3,1.05*1.25)))),1),1)</f>
        <v>56308.267455235356</v>
      </c>
      <c r="U254" s="29">
        <f>AP254*IF(MID(E254,1,1)="1",IF(입력란!$C$9=1,트라이포드!$D$17,트라이포드!$C$17),1)*IF(MID(E254,1,1)="2",트라이포드!$F$17,트라이포드!$E$17)*IF(MID(E254,3,1)="1",트라이포드!$J$17,트라이포드!$I$17)*IF(MID(E254,5,1)="2",트라이포드!$R$17,트라이포드!$Q$17)*(1+입력란!$C$33/100)*IF(입력란!$C$9=1,IF(MID(E254,1,1)&lt;&gt;"2",IF(입력란!$C$14=0,1.05,IF(입력란!$C$14=1,1.05*1.05,IF(입력란!$C$14=2,1.05*1.12,IF(입력란!$C$14=3,1.05*1.25)))),1),1)</f>
        <v>75071.854505374271</v>
      </c>
      <c r="V254" s="29">
        <f>IF(MID(E254,5,1)="1",(S254+T254+U254)*트라이포드!$P$17,트라이포드!$O$17)</f>
        <v>112613.03364950699</v>
      </c>
      <c r="W254" s="29"/>
      <c r="X254" s="38"/>
      <c r="Y254" s="38"/>
      <c r="Z254" s="26"/>
      <c r="AA254" s="29">
        <f>SUM(AB254:AI254)</f>
        <v>375376.77883168997</v>
      </c>
      <c r="AB254" s="29">
        <f>S254*2</f>
        <v>112616.53491047071</v>
      </c>
      <c r="AC254" s="29">
        <f>T254*2</f>
        <v>112616.53491047071</v>
      </c>
      <c r="AD254" s="29">
        <f>U254*2</f>
        <v>150143.70901074854</v>
      </c>
      <c r="AE254" s="29"/>
      <c r="AF254" s="38"/>
      <c r="AG254" s="38"/>
      <c r="AH254" s="38"/>
      <c r="AI254" s="26"/>
      <c r="AJ254" s="25">
        <f>(AR254-IF(MID(E254,3,1)="3",트라이포드!$N$17,트라이포드!$M$17))*(1-입력란!$C$29/100)</f>
        <v>34.477458022440004</v>
      </c>
      <c r="AK25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4" s="25">
        <f>입력란!$C$37+IF(입력란!$C$17=1,10,IF(입력란!$C$17=2,25,IF(입력란!$C$17=3,50,0)))</f>
        <v>200</v>
      </c>
      <c r="AM254" s="29">
        <f>SUM(AN254:AP254)</f>
        <v>150066.91200651132</v>
      </c>
      <c r="AN254" s="29">
        <f>(VLOOKUP(C254,$B$4:$AK$7,19,FALSE)+VLOOKUP(C254,$B$8:$AK$11,19,FALSE)*입력란!$C$23)*입력란!$C$38/100</f>
        <v>45021.473324713523</v>
      </c>
      <c r="AO254" s="29">
        <f>(VLOOKUP(C254,$B$4:$AK$7,20,FALSE)+VLOOKUP(C254,$B$8:$AK$11,20,FALSE)*입력란!$C$23)*입력란!$C$38/100</f>
        <v>45021.473324713523</v>
      </c>
      <c r="AP254" s="29">
        <f>(VLOOKUP(C254,$B$4:$AK$7,21,FALSE)+VLOOKUP(C254,$B$8:$AK$11,21,FALSE)*입력란!$C$23)*입력란!$C$38/100</f>
        <v>60023.965357084271</v>
      </c>
      <c r="AQ254" s="29"/>
      <c r="AR254" s="28">
        <v>36</v>
      </c>
    </row>
    <row r="255" spans="2:44" ht="13.5" customHeight="1" x14ac:dyDescent="0.3">
      <c r="B255" s="30">
        <v>240</v>
      </c>
      <c r="C255" s="35">
        <v>10</v>
      </c>
      <c r="D255" s="42" t="s">
        <v>173</v>
      </c>
      <c r="E255" s="37" t="s">
        <v>170</v>
      </c>
      <c r="F255" s="39" t="s">
        <v>181</v>
      </c>
      <c r="G255" s="39"/>
      <c r="H255" s="51">
        <f>I255/AJ255</f>
        <v>11418.969915724136</v>
      </c>
      <c r="I255" s="52">
        <f>SUM(J255:Q255)*IF(입력란!C$15=1,1.04,IF(입력란!C$15=2,1.1,IF(입력란!C$15=3,1.2,1)))*IF(입력란!$C$13&lt;&gt;0,0,1)*IF(입력란!$C$17&lt;&gt;0,0.98,1)</f>
        <v>393697.05592888413</v>
      </c>
      <c r="J255" s="29">
        <f>S255*(1+IF($AK255+IF(입력란!$C$9=1,IF(MID(E255,1,1)&lt;&gt;"2",10,0),0)+IF(MID(E255,1,1)="2",10,0)+IF(입력란!$C$19=1,10,0)&gt;100,100,$AK255+IF(입력란!$C$9=1,IF(MID(E255,1,1)&lt;&gt;"2",10,0),0)+IF(MID(E255,1,1)="2",10,0)+IF(입력란!$C$19=1,10,0))/100*($AL255/100-1))</f>
        <v>118112.78891879533</v>
      </c>
      <c r="K255" s="29">
        <f>T255*(1+IF($AK255+IF(입력란!$C$9=1,IF(MID(E255,1,1)&lt;&gt;"2",10,0),0)+IF(MID(E255,1,1)="2",10,0)+IF(입력란!$C$19=1,10,0)&gt;100,100,$AK255+IF(입력란!$C$9=1,IF(MID(E255,1,1)&lt;&gt;"2",10,0),0)+IF(MID(E255,1,1)="2",10,0)+IF(입력란!$C$19=1,10,0))/100*($AL255/100-1))</f>
        <v>118112.78891879533</v>
      </c>
      <c r="L255" s="29">
        <f>U255*(1+IF($AK255+IF(입력란!$C$9=1,IF(MID(E255,1,1)&lt;&gt;"2",10,0),0)+IF(MID(E255,1,1)="2",10,0)+IF(입력란!$C$19=1,10,0)&gt;100,100,$AK255+IF(입력란!$C$9=1,IF(MID(E255,1,1)&lt;&gt;"2",10,0),0)+IF(MID(E255,1,1)="2",10,0)+IF(입력란!$C$19=1,10,0))/100*($AL255/100-1))</f>
        <v>157471.47809129348</v>
      </c>
      <c r="M255" s="29">
        <f>V255*(1+IF($AK255+IF(입력란!$C$9=1,IF(MID(E255,1,1)&lt;&gt;"2",10,0),0)+IF(MID(E255,1,1)="2",10,0)+IF(입력란!$C$19=1,10,0)&gt;100,100,$AK255+IF(입력란!$C$9=1,IF(MID(E255,1,1)&lt;&gt;"2",10,0),0)+IF(MID(E255,1,1)="2",10,0)+IF(입력란!$C$19=1,10,0))/100*($AL255/100-1))</f>
        <v>0</v>
      </c>
      <c r="N255" s="38"/>
      <c r="O255" s="38"/>
      <c r="P255" s="38"/>
      <c r="Q255" s="34"/>
      <c r="R255" s="23">
        <f>SUM(S255:Z255)</f>
        <v>321751.52471287712</v>
      </c>
      <c r="S255" s="29">
        <f>AN255*IF(MID(E255,1,1)="1",IF(입력란!$C$9=1,트라이포드!$D$17,트라이포드!$C$17),1)*IF(MID(E255,1,1)="2",트라이포드!$F$17,트라이포드!$E$17)*IF(MID(E255,3,1)="1",트라이포드!$J$17,트라이포드!$I$17)*IF(MID(E255,5,1)="2",트라이포드!$R$17,트라이포드!$Q$17)*(1+입력란!$C$33/100)*IF(입력란!$C$9=1,IF(MID(E255,1,1)&lt;&gt;"2",IF(입력란!$C$14=0,1.05,IF(입력란!$C$14=1,1.05*1.05,IF(입력란!$C$14=2,1.05*1.12,IF(입력란!$C$14=3,1.05*1.25)))),1),1)</f>
        <v>96528.45849468917</v>
      </c>
      <c r="T255" s="29">
        <f>AO255*IF(MID(E255,1,1)="1",IF(입력란!$C$9=1,트라이포드!$D$17,트라이포드!$C$17),1)*IF(MID(E255,1,1)="2",트라이포드!$F$17,트라이포드!$E$17)*IF(MID(E255,3,1)="1",트라이포드!$J$17,트라이포드!$I$17)*IF(MID(E255,5,1)="2",트라이포드!$R$17,트라이포드!$Q$17)*(1+입력란!$C$33/100)*IF(입력란!$C$9=1,IF(MID(E255,1,1)&lt;&gt;"2",IF(입력란!$C$14=0,1.05,IF(입력란!$C$14=1,1.05*1.05,IF(입력란!$C$14=2,1.05*1.12,IF(입력란!$C$14=3,1.05*1.25)))),1),1)</f>
        <v>96528.45849468917</v>
      </c>
      <c r="U255" s="29">
        <f>AP255*IF(MID(E255,1,1)="1",IF(입력란!$C$9=1,트라이포드!$D$17,트라이포드!$C$17),1)*IF(MID(E255,1,1)="2",트라이포드!$F$17,트라이포드!$E$17)*IF(MID(E255,3,1)="1",트라이포드!$J$17,트라이포드!$I$17)*IF(MID(E255,5,1)="2",트라이포드!$R$17,트라이포드!$Q$17)*(1+입력란!$C$33/100)*IF(입력란!$C$9=1,IF(MID(E255,1,1)&lt;&gt;"2",IF(입력란!$C$14=0,1.05,IF(입력란!$C$14=1,1.05*1.05,IF(입력란!$C$14=2,1.05*1.12,IF(입력란!$C$14=3,1.05*1.25)))),1),1)</f>
        <v>128694.60772349876</v>
      </c>
      <c r="V255" s="29">
        <f>IF(MID(E255,5,1)="1",(S255+T255+U255)*트라이포드!$P$17,트라이포드!$O$17)</f>
        <v>0</v>
      </c>
      <c r="W255" s="29"/>
      <c r="X255" s="38"/>
      <c r="Y255" s="38"/>
      <c r="Z255" s="26"/>
      <c r="AA255" s="29">
        <f>SUM(AB255:AI255)</f>
        <v>643503.04942575423</v>
      </c>
      <c r="AB255" s="29">
        <f>S255*2</f>
        <v>193056.91698937834</v>
      </c>
      <c r="AC255" s="29">
        <f>T255*2</f>
        <v>193056.91698937834</v>
      </c>
      <c r="AD255" s="29">
        <f>U255*2</f>
        <v>257389.21544699752</v>
      </c>
      <c r="AE255" s="29"/>
      <c r="AF255" s="38"/>
      <c r="AG255" s="38"/>
      <c r="AH255" s="38"/>
      <c r="AI255" s="26"/>
      <c r="AJ255" s="25">
        <f>(AR255-IF(MID(E255,3,1)="3",트라이포드!$N$17,트라이포드!$M$17))*(1-입력란!$C$29/100)</f>
        <v>34.477458022440004</v>
      </c>
      <c r="AK25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5" s="25">
        <f>입력란!$C$37+IF(입력란!$C$17=1,10,IF(입력란!$C$17=2,25,IF(입력란!$C$17=3,50,0)))</f>
        <v>200</v>
      </c>
      <c r="AM255" s="29">
        <f>SUM(AN255:AP255)</f>
        <v>150066.91200651132</v>
      </c>
      <c r="AN255" s="29">
        <f>(VLOOKUP(C255,$B$4:$AK$7,19,FALSE)+VLOOKUP(C255,$B$8:$AK$11,19,FALSE)*입력란!$C$23)*입력란!$C$38/100</f>
        <v>45021.473324713523</v>
      </c>
      <c r="AO255" s="29">
        <f>(VLOOKUP(C255,$B$4:$AK$7,20,FALSE)+VLOOKUP(C255,$B$8:$AK$11,20,FALSE)*입력란!$C$23)*입력란!$C$38/100</f>
        <v>45021.473324713523</v>
      </c>
      <c r="AP255" s="29">
        <f>(VLOOKUP(C255,$B$4:$AK$7,21,FALSE)+VLOOKUP(C255,$B$8:$AK$11,21,FALSE)*입력란!$C$23)*입력란!$C$38/100</f>
        <v>60023.965357084271</v>
      </c>
      <c r="AQ255" s="29"/>
      <c r="AR255" s="28">
        <v>36</v>
      </c>
    </row>
    <row r="256" spans="2:44" ht="13.5" customHeight="1" x14ac:dyDescent="0.3">
      <c r="B256" s="30">
        <v>241</v>
      </c>
      <c r="C256" s="35">
        <v>10</v>
      </c>
      <c r="D256" s="42" t="s">
        <v>32</v>
      </c>
      <c r="E256" s="37" t="s">
        <v>320</v>
      </c>
      <c r="F256" s="39" t="s">
        <v>112</v>
      </c>
      <c r="G256" s="39"/>
      <c r="H256" s="51">
        <f>I256/AJ256</f>
        <v>12969.802429434849</v>
      </c>
      <c r="I256" s="52">
        <f>SUM(J256:Q256)*IF(입력란!C$15=1,1.04,IF(입력란!C$15=2,1.1,IF(입력란!C$15=3,1.2,1)))*IF(입력란!$C$13&lt;&gt;0,0,1)*IF(입력란!$C$17&lt;&gt;0,0.98,1)</f>
        <v>447165.81882018037</v>
      </c>
      <c r="J256" s="29">
        <f>S256*(1+IF($AK256+IF(입력란!$C$9=1,IF(MID(E256,1,1)&lt;&gt;"2",10,0),0)+IF(MID(E256,1,1)="2",10,0)+IF(입력란!$C$19=1,10,0)&gt;100,100,$AK256+IF(입력란!$C$9=1,IF(MID(E256,1,1)&lt;&gt;"2",10,0),0)+IF(MID(E256,1,1)="2",10,0)+IF(입력란!$C$19=1,10,0))/100*($AL256/100-1))</f>
        <v>134153.91650667746</v>
      </c>
      <c r="K256" s="29">
        <f>T256*(1+IF($AK256+IF(입력란!$C$9=1,IF(MID(E256,1,1)&lt;&gt;"2",10,0),0)+IF(MID(E256,1,1)="2",10,0)+IF(입력란!$C$19=1,10,0)&gt;100,100,$AK256+IF(입력란!$C$9=1,IF(MID(E256,1,1)&lt;&gt;"2",10,0),0)+IF(MID(E256,1,1)="2",10,0)+IF(입력란!$C$19=1,10,0))/100*($AL256/100-1))</f>
        <v>134153.91650667746</v>
      </c>
      <c r="L256" s="29">
        <f>U256*(1+IF($AK256+IF(입력란!$C$9=1,IF(MID(E256,1,1)&lt;&gt;"2",10,0),0)+IF(MID(E256,1,1)="2",10,0)+IF(입력란!$C$19=1,10,0)&gt;100,100,$AK256+IF(입력란!$C$9=1,IF(MID(E256,1,1)&lt;&gt;"2",10,0),0)+IF(MID(E256,1,1)="2",10,0)+IF(입력란!$C$19=1,10,0))/100*($AL256/100-1))</f>
        <v>178857.98580682548</v>
      </c>
      <c r="M256" s="29">
        <f>V256*(1+IF($AK256+IF(입력란!$C$9=1,IF(MID(E256,1,1)&lt;&gt;"2",10,0),0)+IF(MID(E256,1,1)="2",10,0)+IF(입력란!$C$19=1,10,0)&gt;100,100,$AK256+IF(입력란!$C$9=1,IF(MID(E256,1,1)&lt;&gt;"2",10,0),0)+IF(MID(E256,1,1)="2",10,0)+IF(입력란!$C$19=1,10,0))/100*($AL256/100-1))</f>
        <v>0</v>
      </c>
      <c r="N256" s="38"/>
      <c r="O256" s="38"/>
      <c r="P256" s="38"/>
      <c r="Q256" s="34"/>
      <c r="R256" s="23">
        <f>SUM(S256:Z256)</f>
        <v>337839.10094852094</v>
      </c>
      <c r="S256" s="29">
        <f>AN256*IF(MID(E256,1,1)="1",IF(입력란!$C$9=1,트라이포드!$D$17,트라이포드!$C$17),1)*IF(MID(E256,1,1)="2",트라이포드!$F$17,트라이포드!$E$17)*IF(MID(E256,3,1)="1",트라이포드!$J$17,트라이포드!$I$17)*IF(MID(E256,5,1)="2",트라이포드!$R$17,트라이포드!$Q$17)*(1+입력란!$C$33/100)*IF(입력란!$C$9=1,IF(MID(E256,1,1)&lt;&gt;"2",IF(입력란!$C$14=0,1.05,IF(입력란!$C$14=1,1.05*1.05,IF(입력란!$C$14=2,1.05*1.12,IF(입력란!$C$14=3,1.05*1.25)))),1),1)</f>
        <v>101354.88141942363</v>
      </c>
      <c r="T256" s="29">
        <f>AO256*IF(MID(E256,1,1)="1",IF(입력란!$C$9=1,트라이포드!$D$17,트라이포드!$C$17),1)*IF(MID(E256,1,1)="2",트라이포드!$F$17,트라이포드!$E$17)*IF(MID(E256,3,1)="1",트라이포드!$J$17,트라이포드!$I$17)*IF(MID(E256,5,1)="2",트라이포드!$R$17,트라이포드!$Q$17)*(1+입력란!$C$33/100)*IF(입력란!$C$9=1,IF(MID(E256,1,1)&lt;&gt;"2",IF(입력란!$C$14=0,1.05,IF(입력란!$C$14=1,1.05*1.05,IF(입력란!$C$14=2,1.05*1.12,IF(입력란!$C$14=3,1.05*1.25)))),1),1)</f>
        <v>101354.88141942363</v>
      </c>
      <c r="U256" s="29">
        <f>AP256*IF(MID(E256,1,1)="1",IF(입력란!$C$9=1,트라이포드!$D$17,트라이포드!$C$17),1)*IF(MID(E256,1,1)="2",트라이포드!$F$17,트라이포드!$E$17)*IF(MID(E256,3,1)="1",트라이포드!$J$17,트라이포드!$I$17)*IF(MID(E256,5,1)="2",트라이포드!$R$17,트라이포드!$Q$17)*(1+입력란!$C$33/100)*IF(입력란!$C$9=1,IF(MID(E256,1,1)&lt;&gt;"2",IF(입력란!$C$14=0,1.05,IF(입력란!$C$14=1,1.05*1.05,IF(입력란!$C$14=2,1.05*1.12,IF(입력란!$C$14=3,1.05*1.25)))),1),1)</f>
        <v>135129.3381096737</v>
      </c>
      <c r="V256" s="29">
        <f>IF(MID(E256,5,1)="1",(S256+T256+U256)*트라이포드!$P$17,트라이포드!$O$17)</f>
        <v>0</v>
      </c>
      <c r="W256" s="29"/>
      <c r="X256" s="38"/>
      <c r="Y256" s="38"/>
      <c r="Z256" s="26"/>
      <c r="AA256" s="29">
        <f>SUM(AB256:AI256)</f>
        <v>675678.20189704187</v>
      </c>
      <c r="AB256" s="29">
        <f>S256*2</f>
        <v>202709.76283884727</v>
      </c>
      <c r="AC256" s="29">
        <f>T256*2</f>
        <v>202709.76283884727</v>
      </c>
      <c r="AD256" s="29">
        <f>U256*2</f>
        <v>270258.6762193474</v>
      </c>
      <c r="AE256" s="29"/>
      <c r="AF256" s="38"/>
      <c r="AG256" s="38"/>
      <c r="AH256" s="38"/>
      <c r="AI256" s="26"/>
      <c r="AJ256" s="25">
        <f>(AR256-IF(MID(E256,3,1)="3",트라이포드!$N$17,트라이포드!$M$17))*(1-입력란!$C$29/100)</f>
        <v>34.477458022440004</v>
      </c>
      <c r="AK25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6" s="25">
        <f>입력란!$C$37+IF(입력란!$C$17=1,10,IF(입력란!$C$17=2,25,IF(입력란!$C$17=3,50,0)))</f>
        <v>200</v>
      </c>
      <c r="AM256" s="29">
        <f>SUM(AN256:AP256)</f>
        <v>150066.91200651132</v>
      </c>
      <c r="AN256" s="29">
        <f>(VLOOKUP(C256,$B$4:$AK$7,19,FALSE)+VLOOKUP(C256,$B$8:$AK$11,19,FALSE)*입력란!$C$23)*입력란!$C$38/100</f>
        <v>45021.473324713523</v>
      </c>
      <c r="AO256" s="29">
        <f>(VLOOKUP(C256,$B$4:$AK$7,20,FALSE)+VLOOKUP(C256,$B$8:$AK$11,20,FALSE)*입력란!$C$23)*입력란!$C$38/100</f>
        <v>45021.473324713523</v>
      </c>
      <c r="AP256" s="29">
        <f>(VLOOKUP(C256,$B$4:$AK$7,21,FALSE)+VLOOKUP(C256,$B$8:$AK$11,21,FALSE)*입력란!$C$23)*입력란!$C$38/100</f>
        <v>60023.965357084271</v>
      </c>
      <c r="AQ256" s="29"/>
      <c r="AR256" s="28">
        <v>36</v>
      </c>
    </row>
    <row r="257" spans="2:44" ht="13.5" customHeight="1" x14ac:dyDescent="0.3">
      <c r="B257" s="30">
        <v>242</v>
      </c>
      <c r="C257" s="35">
        <v>10</v>
      </c>
      <c r="D257" s="42" t="s">
        <v>173</v>
      </c>
      <c r="E257" s="37" t="s">
        <v>161</v>
      </c>
      <c r="F257" s="39"/>
      <c r="G257" s="39"/>
      <c r="H257" s="51">
        <f>I257/AJ257</f>
        <v>12687.744350804596</v>
      </c>
      <c r="I257" s="52">
        <f>SUM(J257:Q257)*IF(입력란!C$15=1,1.04,IF(입력란!C$15=2,1.1,IF(입력란!C$15=3,1.2,1)))*IF(입력란!$C$13&lt;&gt;0,0,1)*IF(입력란!$C$17&lt;&gt;0,0.98,1)</f>
        <v>437441.17325431574</v>
      </c>
      <c r="J257" s="29">
        <f>S257*(1+IF($AK257+IF(입력란!$C$9=1,IF(MID(E257,1,1)&lt;&gt;"2",10,0),0)+IF(MID(E257,1,1)="2",10,0)+IF(입력란!$C$19=1,10,0)&gt;100,100,$AK257+IF(입력란!$C$9=1,IF(MID(E257,1,1)&lt;&gt;"2",10,0),0)+IF(MID(E257,1,1)="2",10,0)+IF(입력란!$C$19=1,10,0))/100*($AL257/100-1))</f>
        <v>82022.770082496761</v>
      </c>
      <c r="K257" s="29">
        <f>T257*(1+IF($AK257+IF(입력란!$C$9=1,IF(MID(E257,1,1)&lt;&gt;"2",10,0),0)+IF(MID(E257,1,1)="2",10,0)+IF(입력란!$C$19=1,10,0)&gt;100,100,$AK257+IF(입력란!$C$9=1,IF(MID(E257,1,1)&lt;&gt;"2",10,0),0)+IF(MID(E257,1,1)="2",10,0)+IF(입력란!$C$19=1,10,0))/100*($AL257/100-1))</f>
        <v>82022.770082496761</v>
      </c>
      <c r="L257" s="29">
        <f>U257*(1+IF($AK257+IF(입력란!$C$9=1,IF(MID(E257,1,1)&lt;&gt;"2",10,0),0)+IF(MID(E257,1,1)="2",10,0)+IF(입력란!$C$19=1,10,0)&gt;100,100,$AK257+IF(입력란!$C$9=1,IF(MID(E257,1,1)&lt;&gt;"2",10,0),0)+IF(MID(E257,1,1)="2",10,0)+IF(입력란!$C$19=1,10,0))/100*($AL257/100-1))</f>
        <v>109355.19311895379</v>
      </c>
      <c r="M257" s="29">
        <f>V257*(1+IF($AK257+IF(입력란!$C$9=1,IF(MID(E257,1,1)&lt;&gt;"2",10,0),0)+IF(MID(E257,1,1)="2",10,0)+IF(입력란!$C$19=1,10,0)&gt;100,100,$AK257+IF(입력란!$C$9=1,IF(MID(E257,1,1)&lt;&gt;"2",10,0),0)+IF(MID(E257,1,1)="2",10,0)+IF(입력란!$C$19=1,10,0))/100*($AL257/100-1))</f>
        <v>164040.4399703684</v>
      </c>
      <c r="N257" s="38"/>
      <c r="O257" s="38"/>
      <c r="P257" s="38"/>
      <c r="Q257" s="34"/>
      <c r="R257" s="23">
        <f>SUM(S257:Z257)</f>
        <v>357501.69412541902</v>
      </c>
      <c r="S257" s="29">
        <f>AN257*IF(MID(E257,1,1)="1",IF(입력란!$C$9=1,트라이포드!$D$17,트라이포드!$C$17),1)*IF(MID(E257,1,1)="2",트라이포드!$F$17,트라이포드!$E$17)*IF(MID(E257,3,1)="1",트라이포드!$J$17,트라이포드!$I$17)*IF(MID(E257,5,1)="2",트라이포드!$R$17,트라이포드!$Q$17)*(1+입력란!$C$33/100)*IF(입력란!$C$9=1,IF(MID(E257,1,1)&lt;&gt;"2",IF(입력란!$C$14=0,1.05,IF(입력란!$C$14=1,1.05*1.05,IF(입력란!$C$14=2,1.05*1.12,IF(입력란!$C$14=3,1.05*1.25)))),1),1)</f>
        <v>67033.651732423037</v>
      </c>
      <c r="T257" s="29">
        <f>AO257*IF(MID(E257,1,1)="1",IF(입력란!$C$9=1,트라이포드!$D$17,트라이포드!$C$17),1)*IF(MID(E257,1,1)="2",트라이포드!$F$17,트라이포드!$E$17)*IF(MID(E257,3,1)="1",트라이포드!$J$17,트라이포드!$I$17)*IF(MID(E257,5,1)="2",트라이포드!$R$17,트라이포드!$Q$17)*(1+입력란!$C$33/100)*IF(입력란!$C$9=1,IF(MID(E257,1,1)&lt;&gt;"2",IF(입력란!$C$14=0,1.05,IF(입력란!$C$14=1,1.05*1.05,IF(입력란!$C$14=2,1.05*1.12,IF(입력란!$C$14=3,1.05*1.25)))),1),1)</f>
        <v>67033.651732423037</v>
      </c>
      <c r="U257" s="29">
        <f>AP257*IF(MID(E257,1,1)="1",IF(입력란!$C$9=1,트라이포드!$D$17,트라이포드!$C$17),1)*IF(MID(E257,1,1)="2",트라이포드!$F$17,트라이포드!$E$17)*IF(MID(E257,3,1)="1",트라이포드!$J$17,트라이포드!$I$17)*IF(MID(E257,5,1)="2",트라이포드!$R$17,트라이포드!$Q$17)*(1+입력란!$C$33/100)*IF(입력란!$C$9=1,IF(MID(E257,1,1)&lt;&gt;"2",IF(입력란!$C$14=0,1.05,IF(입력란!$C$14=1,1.05*1.05,IF(입력란!$C$14=2,1.05*1.12,IF(입력란!$C$14=3,1.05*1.25)))),1),1)</f>
        <v>89371.255363540797</v>
      </c>
      <c r="V257" s="29">
        <f>IF(MID(E257,5,1)="1",(S257+T257+U257)*트라이포드!$P$17,트라이포드!$O$17)</f>
        <v>134063.13529703213</v>
      </c>
      <c r="W257" s="29"/>
      <c r="X257" s="38"/>
      <c r="Y257" s="38"/>
      <c r="Z257" s="26"/>
      <c r="AA257" s="29">
        <f>SUM(AB257:AI257)</f>
        <v>446877.11765677377</v>
      </c>
      <c r="AB257" s="29">
        <f>S257*2</f>
        <v>134067.30346484607</v>
      </c>
      <c r="AC257" s="29">
        <f>T257*2</f>
        <v>134067.30346484607</v>
      </c>
      <c r="AD257" s="29">
        <f>U257*2</f>
        <v>178742.51072708159</v>
      </c>
      <c r="AE257" s="29"/>
      <c r="AF257" s="38"/>
      <c r="AG257" s="38"/>
      <c r="AH257" s="38"/>
      <c r="AI257" s="26"/>
      <c r="AJ257" s="25">
        <f>(AR257-IF(MID(E257,3,1)="3",트라이포드!$N$17,트라이포드!$M$17))*(1-입력란!$C$29/100)</f>
        <v>34.477458022440004</v>
      </c>
      <c r="AK25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7" s="25">
        <f>입력란!$C$37+IF(입력란!$C$17=1,10,IF(입력란!$C$17=2,25,IF(입력란!$C$17=3,50,0)))</f>
        <v>200</v>
      </c>
      <c r="AM257" s="29">
        <f>SUM(AN257:AP257)</f>
        <v>150066.91200651132</v>
      </c>
      <c r="AN257" s="29">
        <f>(VLOOKUP(C257,$B$4:$AK$7,19,FALSE)+VLOOKUP(C257,$B$8:$AK$11,19,FALSE)*입력란!$C$23)*입력란!$C$38/100</f>
        <v>45021.473324713523</v>
      </c>
      <c r="AO257" s="29">
        <f>(VLOOKUP(C257,$B$4:$AK$7,20,FALSE)+VLOOKUP(C257,$B$8:$AK$11,20,FALSE)*입력란!$C$23)*입력란!$C$38/100</f>
        <v>45021.473324713523</v>
      </c>
      <c r="AP257" s="29">
        <f>(VLOOKUP(C257,$B$4:$AK$7,21,FALSE)+VLOOKUP(C257,$B$8:$AK$11,21,FALSE)*입력란!$C$23)*입력란!$C$38/100</f>
        <v>60023.965357084271</v>
      </c>
      <c r="AQ257" s="29"/>
      <c r="AR257" s="28">
        <v>36</v>
      </c>
    </row>
    <row r="258" spans="2:44" ht="13.5" customHeight="1" x14ac:dyDescent="0.3">
      <c r="B258" s="30">
        <v>243</v>
      </c>
      <c r="C258" s="35">
        <v>10</v>
      </c>
      <c r="D258" s="42" t="s">
        <v>32</v>
      </c>
      <c r="E258" s="37" t="s">
        <v>125</v>
      </c>
      <c r="F258" s="39"/>
      <c r="G258" s="39"/>
      <c r="H258" s="51">
        <f>I258/AJ258</f>
        <v>14410.891588260945</v>
      </c>
      <c r="I258" s="52">
        <f>SUM(J258:Q258)*IF(입력란!C$15=1,1.04,IF(입력란!C$15=2,1.1,IF(입력란!C$15=3,1.2,1)))*IF(입력란!$C$13&lt;&gt;0,0,1)*IF(입력란!$C$17&lt;&gt;0,0.98,1)</f>
        <v>496850.90980020049</v>
      </c>
      <c r="J258" s="29">
        <f>S258*(1+IF($AK258+IF(입력란!$C$9=1,IF(MID(E258,1,1)&lt;&gt;"2",10,0),0)+IF(MID(E258,1,1)="2",10,0)+IF(입력란!$C$19=1,10,0)&gt;100,100,$AK258+IF(입력란!$C$9=1,IF(MID(E258,1,1)&lt;&gt;"2",10,0),0)+IF(MID(E258,1,1)="2",10,0)+IF(입력란!$C$19=1,10,0))/100*($AL258/100-1))</f>
        <v>93162.44201852601</v>
      </c>
      <c r="K258" s="29">
        <f>T258*(1+IF($AK258+IF(입력란!$C$9=1,IF(MID(E258,1,1)&lt;&gt;"2",10,0),0)+IF(MID(E258,1,1)="2",10,0)+IF(입력란!$C$19=1,10,0)&gt;100,100,$AK258+IF(입력란!$C$9=1,IF(MID(E258,1,1)&lt;&gt;"2",10,0),0)+IF(MID(E258,1,1)="2",10,0)+IF(입력란!$C$19=1,10,0))/100*($AL258/100-1))</f>
        <v>93162.44201852601</v>
      </c>
      <c r="L258" s="29">
        <f>U258*(1+IF($AK258+IF(입력란!$C$9=1,IF(MID(E258,1,1)&lt;&gt;"2",10,0),0)+IF(MID(E258,1,1)="2",10,0)+IF(입력란!$C$19=1,10,0)&gt;100,100,$AK258+IF(입력란!$C$9=1,IF(MID(E258,1,1)&lt;&gt;"2",10,0),0)+IF(MID(E258,1,1)="2",10,0)+IF(입력란!$C$19=1,10,0))/100*($AL258/100-1))</f>
        <v>124206.93458807324</v>
      </c>
      <c r="M258" s="29">
        <f>V258*(1+IF($AK258+IF(입력란!$C$9=1,IF(MID(E258,1,1)&lt;&gt;"2",10,0),0)+IF(MID(E258,1,1)="2",10,0)+IF(입력란!$C$19=1,10,0)&gt;100,100,$AK258+IF(입력란!$C$9=1,IF(MID(E258,1,1)&lt;&gt;"2",10,0),0)+IF(MID(E258,1,1)="2",10,0)+IF(입력란!$C$19=1,10,0))/100*($AL258/100-1))</f>
        <v>186319.09117507518</v>
      </c>
      <c r="N258" s="38"/>
      <c r="O258" s="38"/>
      <c r="P258" s="38"/>
      <c r="Q258" s="34"/>
      <c r="R258" s="23">
        <f>SUM(S258:Z258)</f>
        <v>375376.77883168997</v>
      </c>
      <c r="S258" s="29">
        <f>AN258*IF(MID(E258,1,1)="1",IF(입력란!$C$9=1,트라이포드!$D$17,트라이포드!$C$17),1)*IF(MID(E258,1,1)="2",트라이포드!$F$17,트라이포드!$E$17)*IF(MID(E258,3,1)="1",트라이포드!$J$17,트라이포드!$I$17)*IF(MID(E258,5,1)="2",트라이포드!$R$17,트라이포드!$Q$17)*(1+입력란!$C$33/100)*IF(입력란!$C$9=1,IF(MID(E258,1,1)&lt;&gt;"2",IF(입력란!$C$14=0,1.05,IF(입력란!$C$14=1,1.05*1.05,IF(입력란!$C$14=2,1.05*1.12,IF(입력란!$C$14=3,1.05*1.25)))),1),1)</f>
        <v>70385.334319044196</v>
      </c>
      <c r="T258" s="29">
        <f>AO258*IF(MID(E258,1,1)="1",IF(입력란!$C$9=1,트라이포드!$D$17,트라이포드!$C$17),1)*IF(MID(E258,1,1)="2",트라이포드!$F$17,트라이포드!$E$17)*IF(MID(E258,3,1)="1",트라이포드!$J$17,트라이포드!$I$17)*IF(MID(E258,5,1)="2",트라이포드!$R$17,트라이포드!$Q$17)*(1+입력란!$C$33/100)*IF(입력란!$C$9=1,IF(MID(E258,1,1)&lt;&gt;"2",IF(입력란!$C$14=0,1.05,IF(입력란!$C$14=1,1.05*1.05,IF(입력란!$C$14=2,1.05*1.12,IF(입력란!$C$14=3,1.05*1.25)))),1),1)</f>
        <v>70385.334319044196</v>
      </c>
      <c r="U258" s="29">
        <f>AP258*IF(MID(E258,1,1)="1",IF(입력란!$C$9=1,트라이포드!$D$17,트라이포드!$C$17),1)*IF(MID(E258,1,1)="2",트라이포드!$F$17,트라이포드!$E$17)*IF(MID(E258,3,1)="1",트라이포드!$J$17,트라이포드!$I$17)*IF(MID(E258,5,1)="2",트라이포드!$R$17,트라이포드!$Q$17)*(1+입력란!$C$33/100)*IF(입력란!$C$9=1,IF(MID(E258,1,1)&lt;&gt;"2",IF(입력란!$C$14=0,1.05,IF(입력란!$C$14=1,1.05*1.05,IF(입력란!$C$14=2,1.05*1.12,IF(입력란!$C$14=3,1.05*1.25)))),1),1)</f>
        <v>93839.818131717839</v>
      </c>
      <c r="V258" s="29">
        <f>IF(MID(E258,5,1)="1",(S258+T258+U258)*트라이포드!$P$17,트라이포드!$O$17)</f>
        <v>140766.29206188375</v>
      </c>
      <c r="W258" s="29"/>
      <c r="X258" s="38"/>
      <c r="Y258" s="38"/>
      <c r="Z258" s="26"/>
      <c r="AA258" s="29">
        <f>SUM(AB258:AI258)</f>
        <v>469220.97353961249</v>
      </c>
      <c r="AB258" s="29">
        <f>S258*2</f>
        <v>140770.66863808839</v>
      </c>
      <c r="AC258" s="29">
        <f>T258*2</f>
        <v>140770.66863808839</v>
      </c>
      <c r="AD258" s="29">
        <f>U258*2</f>
        <v>187679.63626343568</v>
      </c>
      <c r="AE258" s="29"/>
      <c r="AF258" s="38"/>
      <c r="AG258" s="38"/>
      <c r="AH258" s="38"/>
      <c r="AI258" s="26"/>
      <c r="AJ258" s="25">
        <f>(AR258-IF(MID(E258,3,1)="3",트라이포드!$N$17,트라이포드!$M$17))*(1-입력란!$C$29/100)</f>
        <v>34.477458022440004</v>
      </c>
      <c r="AK25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8" s="25">
        <f>입력란!$C$37+IF(입력란!$C$17=1,10,IF(입력란!$C$17=2,25,IF(입력란!$C$17=3,50,0)))</f>
        <v>200</v>
      </c>
      <c r="AM258" s="29">
        <f>SUM(AN258:AP258)</f>
        <v>150066.91200651132</v>
      </c>
      <c r="AN258" s="29">
        <f>(VLOOKUP(C258,$B$4:$AK$7,19,FALSE)+VLOOKUP(C258,$B$8:$AK$11,19,FALSE)*입력란!$C$23)*입력란!$C$38/100</f>
        <v>45021.473324713523</v>
      </c>
      <c r="AO258" s="29">
        <f>(VLOOKUP(C258,$B$4:$AK$7,20,FALSE)+VLOOKUP(C258,$B$8:$AK$11,20,FALSE)*입력란!$C$23)*입력란!$C$38/100</f>
        <v>45021.473324713523</v>
      </c>
      <c r="AP258" s="29">
        <f>(VLOOKUP(C258,$B$4:$AK$7,21,FALSE)+VLOOKUP(C258,$B$8:$AK$11,21,FALSE)*입력란!$C$23)*입력란!$C$38/100</f>
        <v>60023.965357084271</v>
      </c>
      <c r="AQ258" s="29"/>
      <c r="AR258" s="28">
        <v>36</v>
      </c>
    </row>
    <row r="259" spans="2:44" ht="13.5" customHeight="1" x14ac:dyDescent="0.3">
      <c r="B259" s="30">
        <v>244</v>
      </c>
      <c r="C259" s="35">
        <v>10</v>
      </c>
      <c r="D259" s="42" t="s">
        <v>173</v>
      </c>
      <c r="E259" s="37" t="s">
        <v>162</v>
      </c>
      <c r="F259" s="39" t="s">
        <v>181</v>
      </c>
      <c r="G259" s="39"/>
      <c r="H259" s="51">
        <f>I259/AJ259</f>
        <v>14273.712394655167</v>
      </c>
      <c r="I259" s="52">
        <f>SUM(J259:Q259)*IF(입력란!C$15=1,1.04,IF(입력란!C$15=2,1.1,IF(입력란!C$15=3,1.2,1)))*IF(입력란!$C$13&lt;&gt;0,0,1)*IF(입력란!$C$17&lt;&gt;0,0.98,1)</f>
        <v>492121.31991110515</v>
      </c>
      <c r="J259" s="29">
        <f>S259*(1+IF($AK259+IF(입력란!$C$9=1,IF(MID(E259,1,1)&lt;&gt;"2",10,0),0)+IF(MID(E259,1,1)="2",10,0)+IF(입력란!$C$19=1,10,0)&gt;100,100,$AK259+IF(입력란!$C$9=1,IF(MID(E259,1,1)&lt;&gt;"2",10,0),0)+IF(MID(E259,1,1)="2",10,0)+IF(입력란!$C$19=1,10,0))/100*($AL259/100-1))</f>
        <v>147640.98614849418</v>
      </c>
      <c r="K259" s="29">
        <f>T259*(1+IF($AK259+IF(입력란!$C$9=1,IF(MID(E259,1,1)&lt;&gt;"2",10,0),0)+IF(MID(E259,1,1)="2",10,0)+IF(입력란!$C$19=1,10,0)&gt;100,100,$AK259+IF(입력란!$C$9=1,IF(MID(E259,1,1)&lt;&gt;"2",10,0),0)+IF(MID(E259,1,1)="2",10,0)+IF(입력란!$C$19=1,10,0))/100*($AL259/100-1))</f>
        <v>147640.98614849418</v>
      </c>
      <c r="L259" s="29">
        <f>U259*(1+IF($AK259+IF(입력란!$C$9=1,IF(MID(E259,1,1)&lt;&gt;"2",10,0),0)+IF(MID(E259,1,1)="2",10,0)+IF(입력란!$C$19=1,10,0)&gt;100,100,$AK259+IF(입력란!$C$9=1,IF(MID(E259,1,1)&lt;&gt;"2",10,0),0)+IF(MID(E259,1,1)="2",10,0)+IF(입력란!$C$19=1,10,0))/100*($AL259/100-1))</f>
        <v>196839.34761411679</v>
      </c>
      <c r="M259" s="29">
        <f>V259*(1+IF($AK259+IF(입력란!$C$9=1,IF(MID(E259,1,1)&lt;&gt;"2",10,0),0)+IF(MID(E259,1,1)="2",10,0)+IF(입력란!$C$19=1,10,0)&gt;100,100,$AK259+IF(입력란!$C$9=1,IF(MID(E259,1,1)&lt;&gt;"2",10,0),0)+IF(MID(E259,1,1)="2",10,0)+IF(입력란!$C$19=1,10,0))/100*($AL259/100-1))</f>
        <v>0</v>
      </c>
      <c r="N259" s="38"/>
      <c r="O259" s="38"/>
      <c r="P259" s="38"/>
      <c r="Q259" s="34"/>
      <c r="R259" s="23">
        <f>SUM(S259:Z259)</f>
        <v>402189.40589109634</v>
      </c>
      <c r="S259" s="29">
        <f>AN259*IF(MID(E259,1,1)="1",IF(입력란!$C$9=1,트라이포드!$D$17,트라이포드!$C$17),1)*IF(MID(E259,1,1)="2",트라이포드!$F$17,트라이포드!$E$17)*IF(MID(E259,3,1)="1",트라이포드!$J$17,트라이포드!$I$17)*IF(MID(E259,5,1)="2",트라이포드!$R$17,트라이포드!$Q$17)*(1+입력란!$C$33/100)*IF(입력란!$C$9=1,IF(MID(E259,1,1)&lt;&gt;"2",IF(입력란!$C$14=0,1.05,IF(입력란!$C$14=1,1.05*1.05,IF(입력란!$C$14=2,1.05*1.12,IF(입력란!$C$14=3,1.05*1.25)))),1),1)</f>
        <v>120660.57311836147</v>
      </c>
      <c r="T259" s="29">
        <f>AO259*IF(MID(E259,1,1)="1",IF(입력란!$C$9=1,트라이포드!$D$17,트라이포드!$C$17),1)*IF(MID(E259,1,1)="2",트라이포드!$F$17,트라이포드!$E$17)*IF(MID(E259,3,1)="1",트라이포드!$J$17,트라이포드!$I$17)*IF(MID(E259,5,1)="2",트라이포드!$R$17,트라이포드!$Q$17)*(1+입력란!$C$33/100)*IF(입력란!$C$9=1,IF(MID(E259,1,1)&lt;&gt;"2",IF(입력란!$C$14=0,1.05,IF(입력란!$C$14=1,1.05*1.05,IF(입력란!$C$14=2,1.05*1.12,IF(입력란!$C$14=3,1.05*1.25)))),1),1)</f>
        <v>120660.57311836147</v>
      </c>
      <c r="U259" s="29">
        <f>AP259*IF(MID(E259,1,1)="1",IF(입력란!$C$9=1,트라이포드!$D$17,트라이포드!$C$17),1)*IF(MID(E259,1,1)="2",트라이포드!$F$17,트라이포드!$E$17)*IF(MID(E259,3,1)="1",트라이포드!$J$17,트라이포드!$I$17)*IF(MID(E259,5,1)="2",트라이포드!$R$17,트라이포드!$Q$17)*(1+입력란!$C$33/100)*IF(입력란!$C$9=1,IF(MID(E259,1,1)&lt;&gt;"2",IF(입력란!$C$14=0,1.05,IF(입력란!$C$14=1,1.05*1.05,IF(입력란!$C$14=2,1.05*1.12,IF(입력란!$C$14=3,1.05*1.25)))),1),1)</f>
        <v>160868.25965437343</v>
      </c>
      <c r="V259" s="29">
        <f>IF(MID(E259,5,1)="1",(S259+T259+U259)*트라이포드!$P$17,트라이포드!$O$17)</f>
        <v>0</v>
      </c>
      <c r="W259" s="29"/>
      <c r="X259" s="38"/>
      <c r="Y259" s="38"/>
      <c r="Z259" s="26"/>
      <c r="AA259" s="29">
        <f>SUM(AB259:AI259)</f>
        <v>804378.81178219267</v>
      </c>
      <c r="AB259" s="29">
        <f>S259*2</f>
        <v>241321.14623672294</v>
      </c>
      <c r="AC259" s="29">
        <f>T259*2</f>
        <v>241321.14623672294</v>
      </c>
      <c r="AD259" s="29">
        <f>U259*2</f>
        <v>321736.51930874685</v>
      </c>
      <c r="AE259" s="29"/>
      <c r="AF259" s="38"/>
      <c r="AG259" s="38"/>
      <c r="AH259" s="38"/>
      <c r="AI259" s="26"/>
      <c r="AJ259" s="25">
        <f>(AR259-IF(MID(E259,3,1)="3",트라이포드!$N$17,트라이포드!$M$17))*(1-입력란!$C$29/100)</f>
        <v>34.477458022440004</v>
      </c>
      <c r="AK25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59" s="25">
        <f>입력란!$C$37+IF(입력란!$C$17=1,10,IF(입력란!$C$17=2,25,IF(입력란!$C$17=3,50,0)))</f>
        <v>200</v>
      </c>
      <c r="AM259" s="29">
        <f>SUM(AN259:AP259)</f>
        <v>150066.91200651132</v>
      </c>
      <c r="AN259" s="29">
        <f>(VLOOKUP(C259,$B$4:$AK$7,19,FALSE)+VLOOKUP(C259,$B$8:$AK$11,19,FALSE)*입력란!$C$23)*입력란!$C$38/100</f>
        <v>45021.473324713523</v>
      </c>
      <c r="AO259" s="29">
        <f>(VLOOKUP(C259,$B$4:$AK$7,20,FALSE)+VLOOKUP(C259,$B$8:$AK$11,20,FALSE)*입력란!$C$23)*입력란!$C$38/100</f>
        <v>45021.473324713523</v>
      </c>
      <c r="AP259" s="29">
        <f>(VLOOKUP(C259,$B$4:$AK$7,21,FALSE)+VLOOKUP(C259,$B$8:$AK$11,21,FALSE)*입력란!$C$23)*입력란!$C$38/100</f>
        <v>60023.965357084271</v>
      </c>
      <c r="AQ259" s="29"/>
      <c r="AR259" s="28">
        <v>36</v>
      </c>
    </row>
    <row r="260" spans="2:44" ht="13.5" customHeight="1" x14ac:dyDescent="0.3">
      <c r="B260" s="30">
        <v>245</v>
      </c>
      <c r="C260" s="35">
        <v>10</v>
      </c>
      <c r="D260" s="42" t="s">
        <v>32</v>
      </c>
      <c r="E260" s="37" t="s">
        <v>126</v>
      </c>
      <c r="F260" s="39" t="s">
        <v>112</v>
      </c>
      <c r="G260" s="39"/>
      <c r="H260" s="51">
        <f>I260/AJ260</f>
        <v>16212.253036793561</v>
      </c>
      <c r="I260" s="52">
        <f>SUM(J260:Q260)*IF(입력란!C$15=1,1.04,IF(입력란!C$15=2,1.1,IF(입력란!C$15=3,1.2,1)))*IF(입력란!$C$13&lt;&gt;0,0,1)*IF(입력란!$C$17&lt;&gt;0,0.98,1)</f>
        <v>558957.27352522546</v>
      </c>
      <c r="J260" s="29">
        <f>S260*(1+IF($AK260+IF(입력란!$C$9=1,IF(MID(E260,1,1)&lt;&gt;"2",10,0),0)+IF(MID(E260,1,1)="2",10,0)+IF(입력란!$C$19=1,10,0)&gt;100,100,$AK260+IF(입력란!$C$9=1,IF(MID(E260,1,1)&lt;&gt;"2",10,0),0)+IF(MID(E260,1,1)="2",10,0)+IF(입력란!$C$19=1,10,0))/100*($AL260/100-1))</f>
        <v>167692.39563334681</v>
      </c>
      <c r="K260" s="29">
        <f>T260*(1+IF($AK260+IF(입력란!$C$9=1,IF(MID(E260,1,1)&lt;&gt;"2",10,0),0)+IF(MID(E260,1,1)="2",10,0)+IF(입력란!$C$19=1,10,0)&gt;100,100,$AK260+IF(입력란!$C$9=1,IF(MID(E260,1,1)&lt;&gt;"2",10,0),0)+IF(MID(E260,1,1)="2",10,0)+IF(입력란!$C$19=1,10,0))/100*($AL260/100-1))</f>
        <v>167692.39563334681</v>
      </c>
      <c r="L260" s="29">
        <f>U260*(1+IF($AK260+IF(입력란!$C$9=1,IF(MID(E260,1,1)&lt;&gt;"2",10,0),0)+IF(MID(E260,1,1)="2",10,0)+IF(입력란!$C$19=1,10,0)&gt;100,100,$AK260+IF(입력란!$C$9=1,IF(MID(E260,1,1)&lt;&gt;"2",10,0),0)+IF(MID(E260,1,1)="2",10,0)+IF(입력란!$C$19=1,10,0))/100*($AL260/100-1))</f>
        <v>223572.48225853182</v>
      </c>
      <c r="M260" s="29">
        <f>V260*(1+IF($AK260+IF(입력란!$C$9=1,IF(MID(E260,1,1)&lt;&gt;"2",10,0),0)+IF(MID(E260,1,1)="2",10,0)+IF(입력란!$C$19=1,10,0)&gt;100,100,$AK260+IF(입력란!$C$9=1,IF(MID(E260,1,1)&lt;&gt;"2",10,0),0)+IF(MID(E260,1,1)="2",10,0)+IF(입력란!$C$19=1,10,0))/100*($AL260/100-1))</f>
        <v>0</v>
      </c>
      <c r="N260" s="38"/>
      <c r="O260" s="38"/>
      <c r="P260" s="38"/>
      <c r="Q260" s="34"/>
      <c r="R260" s="23">
        <f>SUM(S260:Z260)</f>
        <v>422298.87618565117</v>
      </c>
      <c r="S260" s="29">
        <f>AN260*IF(MID(E260,1,1)="1",IF(입력란!$C$9=1,트라이포드!$D$17,트라이포드!$C$17),1)*IF(MID(E260,1,1)="2",트라이포드!$F$17,트라이포드!$E$17)*IF(MID(E260,3,1)="1",트라이포드!$J$17,트라이포드!$I$17)*IF(MID(E260,5,1)="2",트라이포드!$R$17,트라이포드!$Q$17)*(1+입력란!$C$33/100)*IF(입력란!$C$9=1,IF(MID(E260,1,1)&lt;&gt;"2",IF(입력란!$C$14=0,1.05,IF(입력란!$C$14=1,1.05*1.05,IF(입력란!$C$14=2,1.05*1.12,IF(입력란!$C$14=3,1.05*1.25)))),1),1)</f>
        <v>126693.60177427954</v>
      </c>
      <c r="T260" s="29">
        <f>AO260*IF(MID(E260,1,1)="1",IF(입력란!$C$9=1,트라이포드!$D$17,트라이포드!$C$17),1)*IF(MID(E260,1,1)="2",트라이포드!$F$17,트라이포드!$E$17)*IF(MID(E260,3,1)="1",트라이포드!$J$17,트라이포드!$I$17)*IF(MID(E260,5,1)="2",트라이포드!$R$17,트라이포드!$Q$17)*(1+입력란!$C$33/100)*IF(입력란!$C$9=1,IF(MID(E260,1,1)&lt;&gt;"2",IF(입력란!$C$14=0,1.05,IF(입력란!$C$14=1,1.05*1.05,IF(입력란!$C$14=2,1.05*1.12,IF(입력란!$C$14=3,1.05*1.25)))),1),1)</f>
        <v>126693.60177427954</v>
      </c>
      <c r="U260" s="29">
        <f>AP260*IF(MID(E260,1,1)="1",IF(입력란!$C$9=1,트라이포드!$D$17,트라이포드!$C$17),1)*IF(MID(E260,1,1)="2",트라이포드!$F$17,트라이포드!$E$17)*IF(MID(E260,3,1)="1",트라이포드!$J$17,트라이포드!$I$17)*IF(MID(E260,5,1)="2",트라이포드!$R$17,트라이포드!$Q$17)*(1+입력란!$C$33/100)*IF(입력란!$C$9=1,IF(MID(E260,1,1)&lt;&gt;"2",IF(입력란!$C$14=0,1.05,IF(입력란!$C$14=1,1.05*1.05,IF(입력란!$C$14=2,1.05*1.12,IF(입력란!$C$14=3,1.05*1.25)))),1),1)</f>
        <v>168911.6726370921</v>
      </c>
      <c r="V260" s="29">
        <f>IF(MID(E260,5,1)="1",(S260+T260+U260)*트라이포드!$P$17,트라이포드!$O$17)</f>
        <v>0</v>
      </c>
      <c r="W260" s="29"/>
      <c r="X260" s="38"/>
      <c r="Y260" s="38"/>
      <c r="Z260" s="26"/>
      <c r="AA260" s="29">
        <f>SUM(AB260:AI260)</f>
        <v>844597.75237130234</v>
      </c>
      <c r="AB260" s="29">
        <f>S260*2</f>
        <v>253387.20354855907</v>
      </c>
      <c r="AC260" s="29">
        <f>T260*2</f>
        <v>253387.20354855907</v>
      </c>
      <c r="AD260" s="29">
        <f>U260*2</f>
        <v>337823.34527418419</v>
      </c>
      <c r="AE260" s="29"/>
      <c r="AF260" s="38"/>
      <c r="AG260" s="38"/>
      <c r="AH260" s="38"/>
      <c r="AI260" s="26"/>
      <c r="AJ260" s="25">
        <f>(AR260-IF(MID(E260,3,1)="3",트라이포드!$N$17,트라이포드!$M$17))*(1-입력란!$C$29/100)</f>
        <v>34.477458022440004</v>
      </c>
      <c r="AK26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0" s="25">
        <f>입력란!$C$37+IF(입력란!$C$17=1,10,IF(입력란!$C$17=2,25,IF(입력란!$C$17=3,50,0)))</f>
        <v>200</v>
      </c>
      <c r="AM260" s="29">
        <f>SUM(AN260:AP260)</f>
        <v>150066.91200651132</v>
      </c>
      <c r="AN260" s="29">
        <f>(VLOOKUP(C260,$B$4:$AK$7,19,FALSE)+VLOOKUP(C260,$B$8:$AK$11,19,FALSE)*입력란!$C$23)*입력란!$C$38/100</f>
        <v>45021.473324713523</v>
      </c>
      <c r="AO260" s="29">
        <f>(VLOOKUP(C260,$B$4:$AK$7,20,FALSE)+VLOOKUP(C260,$B$8:$AK$11,20,FALSE)*입력란!$C$23)*입력란!$C$38/100</f>
        <v>45021.473324713523</v>
      </c>
      <c r="AP260" s="29">
        <f>(VLOOKUP(C260,$B$4:$AK$7,21,FALSE)+VLOOKUP(C260,$B$8:$AK$11,21,FALSE)*입력란!$C$23)*입력란!$C$38/100</f>
        <v>60023.965357084271</v>
      </c>
      <c r="AQ260" s="29"/>
      <c r="AR260" s="28">
        <v>36</v>
      </c>
    </row>
    <row r="261" spans="2:44" ht="13.5" customHeight="1" x14ac:dyDescent="0.3">
      <c r="B261" s="30">
        <v>246</v>
      </c>
      <c r="C261" s="35">
        <v>10</v>
      </c>
      <c r="D261" s="42" t="s">
        <v>173</v>
      </c>
      <c r="E261" s="37" t="s">
        <v>163</v>
      </c>
      <c r="F261" s="39"/>
      <c r="G261" s="39"/>
      <c r="H261" s="51">
        <f>I261/AJ261</f>
        <v>14616.281492126893</v>
      </c>
      <c r="I261" s="52">
        <f>SUM(J261:Q261)*IF(입력란!C$15=1,1.04,IF(입력란!C$15=2,1.1,IF(입력란!C$15=3,1.2,1)))*IF(입력란!$C$13&lt;&gt;0,0,1)*IF(입력란!$C$17&lt;&gt;0,0.98,1)</f>
        <v>349952.93860345252</v>
      </c>
      <c r="J261" s="29">
        <f>S261*(1+IF($AK261+IF(입력란!$C$9=1,IF(MID(E261,1,1)&lt;&gt;"2",10,0),0)+IF(MID(E261,1,1)="2",10,0)+IF(입력란!$C$19=1,10,0)&gt;100,100,$AK261+IF(입력란!$C$9=1,IF(MID(E261,1,1)&lt;&gt;"2",10,0),0)+IF(MID(E261,1,1)="2",10,0)+IF(입력란!$C$19=1,10,0))/100*($AL261/100-1))</f>
        <v>65618.216065997403</v>
      </c>
      <c r="K261" s="29">
        <f>T261*(1+IF($AK261+IF(입력란!$C$9=1,IF(MID(E261,1,1)&lt;&gt;"2",10,0),0)+IF(MID(E261,1,1)="2",10,0)+IF(입력란!$C$19=1,10,0)&gt;100,100,$AK261+IF(입력란!$C$9=1,IF(MID(E261,1,1)&lt;&gt;"2",10,0),0)+IF(MID(E261,1,1)="2",10,0)+IF(입력란!$C$19=1,10,0))/100*($AL261/100-1))</f>
        <v>65618.216065997403</v>
      </c>
      <c r="L261" s="29">
        <f>U261*(1+IF($AK261+IF(입력란!$C$9=1,IF(MID(E261,1,1)&lt;&gt;"2",10,0),0)+IF(MID(E261,1,1)="2",10,0)+IF(입력란!$C$19=1,10,0)&gt;100,100,$AK261+IF(입력란!$C$9=1,IF(MID(E261,1,1)&lt;&gt;"2",10,0),0)+IF(MID(E261,1,1)="2",10,0)+IF(입력란!$C$19=1,10,0))/100*($AL261/100-1))</f>
        <v>87484.154495163035</v>
      </c>
      <c r="M261" s="29">
        <f>V261*(1+IF($AK261+IF(입력란!$C$9=1,IF(MID(E261,1,1)&lt;&gt;"2",10,0),0)+IF(MID(E261,1,1)="2",10,0)+IF(입력란!$C$19=1,10,0)&gt;100,100,$AK261+IF(입력란!$C$9=1,IF(MID(E261,1,1)&lt;&gt;"2",10,0),0)+IF(MID(E261,1,1)="2",10,0)+IF(입력란!$C$19=1,10,0))/100*($AL261/100-1))</f>
        <v>131232.35197629471</v>
      </c>
      <c r="N261" s="38"/>
      <c r="O261" s="38"/>
      <c r="P261" s="38"/>
      <c r="Q261" s="34"/>
      <c r="R261" s="23">
        <f>SUM(S261:Z261)</f>
        <v>286001.35530033521</v>
      </c>
      <c r="S261" s="29">
        <f>AN261*IF(MID(E261,1,1)="1",IF(입력란!$C$9=1,트라이포드!$D$17,트라이포드!$C$17),1)*IF(MID(E261,1,1)="2",트라이포드!$F$17,트라이포드!$E$17)*IF(MID(E261,3,1)="1",트라이포드!$J$17,트라이포드!$I$17)*IF(MID(E261,5,1)="2",트라이포드!$R$17,트라이포드!$Q$17)*(1+입력란!$C$33/100)*IF(입력란!$C$9=1,IF(MID(E261,1,1)&lt;&gt;"2",IF(입력란!$C$14=0,1.05,IF(입력란!$C$14=1,1.05*1.05,IF(입력란!$C$14=2,1.05*1.12,IF(입력란!$C$14=3,1.05*1.25)))),1),1)</f>
        <v>53626.921385938425</v>
      </c>
      <c r="T261" s="29">
        <f>AO261*IF(MID(E261,1,1)="1",IF(입력란!$C$9=1,트라이포드!$D$17,트라이포드!$C$17),1)*IF(MID(E261,1,1)="2",트라이포드!$F$17,트라이포드!$E$17)*IF(MID(E261,3,1)="1",트라이포드!$J$17,트라이포드!$I$17)*IF(MID(E261,5,1)="2",트라이포드!$R$17,트라이포드!$Q$17)*(1+입력란!$C$33/100)*IF(입력란!$C$9=1,IF(MID(E261,1,1)&lt;&gt;"2",IF(입력란!$C$14=0,1.05,IF(입력란!$C$14=1,1.05*1.05,IF(입력란!$C$14=2,1.05*1.12,IF(입력란!$C$14=3,1.05*1.25)))),1),1)</f>
        <v>53626.921385938425</v>
      </c>
      <c r="U261" s="29">
        <f>AP261*IF(MID(E261,1,1)="1",IF(입력란!$C$9=1,트라이포드!$D$17,트라이포드!$C$17),1)*IF(MID(E261,1,1)="2",트라이포드!$F$17,트라이포드!$E$17)*IF(MID(E261,3,1)="1",트라이포드!$J$17,트라이포드!$I$17)*IF(MID(E261,5,1)="2",트라이포드!$R$17,트라이포드!$Q$17)*(1+입력란!$C$33/100)*IF(입력란!$C$9=1,IF(MID(E261,1,1)&lt;&gt;"2",IF(입력란!$C$14=0,1.05,IF(입력란!$C$14=1,1.05*1.05,IF(입력란!$C$14=2,1.05*1.12,IF(입력란!$C$14=3,1.05*1.25)))),1),1)</f>
        <v>71497.004290832643</v>
      </c>
      <c r="V261" s="29">
        <f>IF(MID(E261,5,1)="1",(S261+T261+U261)*트라이포드!$P$17,트라이포드!$O$17)</f>
        <v>107250.50823762571</v>
      </c>
      <c r="W261" s="29"/>
      <c r="X261" s="38"/>
      <c r="Y261" s="38"/>
      <c r="Z261" s="26"/>
      <c r="AA261" s="29">
        <f>SUM(AB261:AI261)</f>
        <v>357501.69412541902</v>
      </c>
      <c r="AB261" s="29">
        <f>S261*2</f>
        <v>107253.84277187685</v>
      </c>
      <c r="AC261" s="29">
        <f>T261*2</f>
        <v>107253.84277187685</v>
      </c>
      <c r="AD261" s="29">
        <f>U261*2</f>
        <v>142994.00858166529</v>
      </c>
      <c r="AE261" s="29"/>
      <c r="AF261" s="38"/>
      <c r="AG261" s="38"/>
      <c r="AH261" s="38"/>
      <c r="AI261" s="26"/>
      <c r="AJ261" s="25">
        <f>(AR261-IF(MID(E261,3,1)="3",트라이포드!$N$17,트라이포드!$M$17))*(1-입력란!$C$29/100)</f>
        <v>23.94267918225</v>
      </c>
      <c r="AK26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1" s="25">
        <f>입력란!$C$37+IF(입력란!$C$17=1,10,IF(입력란!$C$17=2,25,IF(입력란!$C$17=3,50,0)))</f>
        <v>200</v>
      </c>
      <c r="AM261" s="29">
        <f>SUM(AN261:AP261)</f>
        <v>150066.91200651132</v>
      </c>
      <c r="AN261" s="29">
        <f>(VLOOKUP(C261,$B$4:$AK$7,19,FALSE)+VLOOKUP(C261,$B$8:$AK$11,19,FALSE)*입력란!$C$23)*입력란!$C$38/100</f>
        <v>45021.473324713523</v>
      </c>
      <c r="AO261" s="29">
        <f>(VLOOKUP(C261,$B$4:$AK$7,20,FALSE)+VLOOKUP(C261,$B$8:$AK$11,20,FALSE)*입력란!$C$23)*입력란!$C$38/100</f>
        <v>45021.473324713523</v>
      </c>
      <c r="AP261" s="29">
        <f>(VLOOKUP(C261,$B$4:$AK$7,21,FALSE)+VLOOKUP(C261,$B$8:$AK$11,21,FALSE)*입력란!$C$23)*입력란!$C$38/100</f>
        <v>60023.965357084271</v>
      </c>
      <c r="AQ261" s="29"/>
      <c r="AR261" s="28">
        <v>36</v>
      </c>
    </row>
    <row r="262" spans="2:44" ht="13.5" customHeight="1" x14ac:dyDescent="0.3">
      <c r="B262" s="30">
        <v>247</v>
      </c>
      <c r="C262" s="35">
        <v>10</v>
      </c>
      <c r="D262" s="42" t="s">
        <v>32</v>
      </c>
      <c r="E262" s="37" t="s">
        <v>84</v>
      </c>
      <c r="F262" s="39"/>
      <c r="G262" s="39"/>
      <c r="H262" s="51">
        <f>I262/AJ262</f>
        <v>16601.347109676608</v>
      </c>
      <c r="I262" s="52">
        <f>SUM(J262:Q262)*IF(입력란!C$15=1,1.04,IF(입력란!C$15=2,1.1,IF(입력란!C$15=3,1.2,1)))*IF(입력란!$C$13&lt;&gt;0,0,1)*IF(입력란!$C$17&lt;&gt;0,0.98,1)</f>
        <v>397480.72784016037</v>
      </c>
      <c r="J262" s="29">
        <f>S262*(1+IF($AK262+IF(입력란!$C$9=1,IF(MID(E262,1,1)&lt;&gt;"2",10,0),0)+IF(MID(E262,1,1)="2",10,0)+IF(입력란!$C$19=1,10,0)&gt;100,100,$AK262+IF(입력란!$C$9=1,IF(MID(E262,1,1)&lt;&gt;"2",10,0),0)+IF(MID(E262,1,1)="2",10,0)+IF(입력란!$C$19=1,10,0))/100*($AL262/100-1))</f>
        <v>74529.953614820814</v>
      </c>
      <c r="K262" s="29">
        <f>T262*(1+IF($AK262+IF(입력란!$C$9=1,IF(MID(E262,1,1)&lt;&gt;"2",10,0),0)+IF(MID(E262,1,1)="2",10,0)+IF(입력란!$C$19=1,10,0)&gt;100,100,$AK262+IF(입력란!$C$9=1,IF(MID(E262,1,1)&lt;&gt;"2",10,0),0)+IF(MID(E262,1,1)="2",10,0)+IF(입력란!$C$19=1,10,0))/100*($AL262/100-1))</f>
        <v>74529.953614820814</v>
      </c>
      <c r="L262" s="29">
        <f>U262*(1+IF($AK262+IF(입력란!$C$9=1,IF(MID(E262,1,1)&lt;&gt;"2",10,0),0)+IF(MID(E262,1,1)="2",10,0)+IF(입력란!$C$19=1,10,0)&gt;100,100,$AK262+IF(입력란!$C$9=1,IF(MID(E262,1,1)&lt;&gt;"2",10,0),0)+IF(MID(E262,1,1)="2",10,0)+IF(입력란!$C$19=1,10,0))/100*($AL262/100-1))</f>
        <v>99365.547670458604</v>
      </c>
      <c r="M262" s="29">
        <f>V262*(1+IF($AK262+IF(입력란!$C$9=1,IF(MID(E262,1,1)&lt;&gt;"2",10,0),0)+IF(MID(E262,1,1)="2",10,0)+IF(입력란!$C$19=1,10,0)&gt;100,100,$AK262+IF(입력란!$C$9=1,IF(MID(E262,1,1)&lt;&gt;"2",10,0),0)+IF(MID(E262,1,1)="2",10,0)+IF(입력란!$C$19=1,10,0))/100*($AL262/100-1))</f>
        <v>149055.27294006015</v>
      </c>
      <c r="N262" s="38"/>
      <c r="O262" s="38"/>
      <c r="P262" s="38"/>
      <c r="Q262" s="34"/>
      <c r="R262" s="23">
        <f>SUM(S262:Z262)</f>
        <v>300301.42306535196</v>
      </c>
      <c r="S262" s="29">
        <f>AN262*IF(MID(E262,1,1)="1",IF(입력란!$C$9=1,트라이포드!$D$17,트라이포드!$C$17),1)*IF(MID(E262,1,1)="2",트라이포드!$F$17,트라이포드!$E$17)*IF(MID(E262,3,1)="1",트라이포드!$J$17,트라이포드!$I$17)*IF(MID(E262,5,1)="2",트라이포드!$R$17,트라이포드!$Q$17)*(1+입력란!$C$33/100)*IF(입력란!$C$9=1,IF(MID(E262,1,1)&lt;&gt;"2",IF(입력란!$C$14=0,1.05,IF(입력란!$C$14=1,1.05*1.05,IF(입력란!$C$14=2,1.05*1.12,IF(입력란!$C$14=3,1.05*1.25)))),1),1)</f>
        <v>56308.267455235356</v>
      </c>
      <c r="T262" s="29">
        <f>AO262*IF(MID(E262,1,1)="1",IF(입력란!$C$9=1,트라이포드!$D$17,트라이포드!$C$17),1)*IF(MID(E262,1,1)="2",트라이포드!$F$17,트라이포드!$E$17)*IF(MID(E262,3,1)="1",트라이포드!$J$17,트라이포드!$I$17)*IF(MID(E262,5,1)="2",트라이포드!$R$17,트라이포드!$Q$17)*(1+입력란!$C$33/100)*IF(입력란!$C$9=1,IF(MID(E262,1,1)&lt;&gt;"2",IF(입력란!$C$14=0,1.05,IF(입력란!$C$14=1,1.05*1.05,IF(입력란!$C$14=2,1.05*1.12,IF(입력란!$C$14=3,1.05*1.25)))),1),1)</f>
        <v>56308.267455235356</v>
      </c>
      <c r="U262" s="29">
        <f>AP262*IF(MID(E262,1,1)="1",IF(입력란!$C$9=1,트라이포드!$D$17,트라이포드!$C$17),1)*IF(MID(E262,1,1)="2",트라이포드!$F$17,트라이포드!$E$17)*IF(MID(E262,3,1)="1",트라이포드!$J$17,트라이포드!$I$17)*IF(MID(E262,5,1)="2",트라이포드!$R$17,트라이포드!$Q$17)*(1+입력란!$C$33/100)*IF(입력란!$C$9=1,IF(MID(E262,1,1)&lt;&gt;"2",IF(입력란!$C$14=0,1.05,IF(입력란!$C$14=1,1.05*1.05,IF(입력란!$C$14=2,1.05*1.12,IF(입력란!$C$14=3,1.05*1.25)))),1),1)</f>
        <v>75071.854505374271</v>
      </c>
      <c r="V262" s="29">
        <f>IF(MID(E262,5,1)="1",(S262+T262+U262)*트라이포드!$P$17,트라이포드!$O$17)</f>
        <v>112613.03364950699</v>
      </c>
      <c r="W262" s="29"/>
      <c r="X262" s="38"/>
      <c r="Y262" s="38"/>
      <c r="Z262" s="26"/>
      <c r="AA262" s="29">
        <f>SUM(AB262:AI262)</f>
        <v>375376.77883168997</v>
      </c>
      <c r="AB262" s="29">
        <f>S262*2</f>
        <v>112616.53491047071</v>
      </c>
      <c r="AC262" s="29">
        <f>T262*2</f>
        <v>112616.53491047071</v>
      </c>
      <c r="AD262" s="29">
        <f>U262*2</f>
        <v>150143.70901074854</v>
      </c>
      <c r="AE262" s="29"/>
      <c r="AF262" s="38"/>
      <c r="AG262" s="38"/>
      <c r="AH262" s="38"/>
      <c r="AI262" s="26"/>
      <c r="AJ262" s="25">
        <f>(AR262-IF(MID(E262,3,1)="3",트라이포드!$N$17,트라이포드!$M$17))*(1-입력란!$C$29/100)</f>
        <v>23.94267918225</v>
      </c>
      <c r="AK26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2" s="25">
        <f>입력란!$C$37+IF(입력란!$C$17=1,10,IF(입력란!$C$17=2,25,IF(입력란!$C$17=3,50,0)))</f>
        <v>200</v>
      </c>
      <c r="AM262" s="29">
        <f>SUM(AN262:AP262)</f>
        <v>150066.91200651132</v>
      </c>
      <c r="AN262" s="29">
        <f>(VLOOKUP(C262,$B$4:$AK$7,19,FALSE)+VLOOKUP(C262,$B$8:$AK$11,19,FALSE)*입력란!$C$23)*입력란!$C$38/100</f>
        <v>45021.473324713523</v>
      </c>
      <c r="AO262" s="29">
        <f>(VLOOKUP(C262,$B$4:$AK$7,20,FALSE)+VLOOKUP(C262,$B$8:$AK$11,20,FALSE)*입력란!$C$23)*입력란!$C$38/100</f>
        <v>45021.473324713523</v>
      </c>
      <c r="AP262" s="29">
        <f>(VLOOKUP(C262,$B$4:$AK$7,21,FALSE)+VLOOKUP(C262,$B$8:$AK$11,21,FALSE)*입력란!$C$23)*입력란!$C$38/100</f>
        <v>60023.965357084271</v>
      </c>
      <c r="AQ262" s="29"/>
      <c r="AR262" s="28">
        <v>36</v>
      </c>
    </row>
    <row r="263" spans="2:44" ht="13.5" customHeight="1" x14ac:dyDescent="0.3">
      <c r="B263" s="30">
        <v>248</v>
      </c>
      <c r="C263" s="35">
        <v>10</v>
      </c>
      <c r="D263" s="42" t="s">
        <v>173</v>
      </c>
      <c r="E263" s="37" t="s">
        <v>164</v>
      </c>
      <c r="F263" s="39" t="s">
        <v>181</v>
      </c>
      <c r="G263" s="39"/>
      <c r="H263" s="51">
        <f>I263/AJ263</f>
        <v>16443.316678642757</v>
      </c>
      <c r="I263" s="52">
        <f>SUM(J263:Q263)*IF(입력란!C$15=1,1.04,IF(입력란!C$15=2,1.1,IF(입력란!C$15=3,1.2,1)))*IF(입력란!$C$13&lt;&gt;0,0,1)*IF(입력란!$C$17&lt;&gt;0,0.98,1)</f>
        <v>393697.05592888413</v>
      </c>
      <c r="J263" s="29">
        <f>S263*(1+IF($AK263+IF(입력란!$C$9=1,IF(MID(E263,1,1)&lt;&gt;"2",10,0),0)+IF(MID(E263,1,1)="2",10,0)+IF(입력란!$C$19=1,10,0)&gt;100,100,$AK263+IF(입력란!$C$9=1,IF(MID(E263,1,1)&lt;&gt;"2",10,0),0)+IF(MID(E263,1,1)="2",10,0)+IF(입력란!$C$19=1,10,0))/100*($AL263/100-1))</f>
        <v>118112.78891879533</v>
      </c>
      <c r="K263" s="29">
        <f>T263*(1+IF($AK263+IF(입력란!$C$9=1,IF(MID(E263,1,1)&lt;&gt;"2",10,0),0)+IF(MID(E263,1,1)="2",10,0)+IF(입력란!$C$19=1,10,0)&gt;100,100,$AK263+IF(입력란!$C$9=1,IF(MID(E263,1,1)&lt;&gt;"2",10,0),0)+IF(MID(E263,1,1)="2",10,0)+IF(입력란!$C$19=1,10,0))/100*($AL263/100-1))</f>
        <v>118112.78891879533</v>
      </c>
      <c r="L263" s="29">
        <f>U263*(1+IF($AK263+IF(입력란!$C$9=1,IF(MID(E263,1,1)&lt;&gt;"2",10,0),0)+IF(MID(E263,1,1)="2",10,0)+IF(입력란!$C$19=1,10,0)&gt;100,100,$AK263+IF(입력란!$C$9=1,IF(MID(E263,1,1)&lt;&gt;"2",10,0),0)+IF(MID(E263,1,1)="2",10,0)+IF(입력란!$C$19=1,10,0))/100*($AL263/100-1))</f>
        <v>157471.47809129348</v>
      </c>
      <c r="M263" s="29">
        <f>V263*(1+IF($AK263+IF(입력란!$C$9=1,IF(MID(E263,1,1)&lt;&gt;"2",10,0),0)+IF(MID(E263,1,1)="2",10,0)+IF(입력란!$C$19=1,10,0)&gt;100,100,$AK263+IF(입력란!$C$9=1,IF(MID(E263,1,1)&lt;&gt;"2",10,0),0)+IF(MID(E263,1,1)="2",10,0)+IF(입력란!$C$19=1,10,0))/100*($AL263/100-1))</f>
        <v>0</v>
      </c>
      <c r="N263" s="38"/>
      <c r="O263" s="38"/>
      <c r="P263" s="38"/>
      <c r="Q263" s="34"/>
      <c r="R263" s="23">
        <f>SUM(S263:Z263)</f>
        <v>321751.52471287712</v>
      </c>
      <c r="S263" s="29">
        <f>AN263*IF(MID(E263,1,1)="1",IF(입력란!$C$9=1,트라이포드!$D$17,트라이포드!$C$17),1)*IF(MID(E263,1,1)="2",트라이포드!$F$17,트라이포드!$E$17)*IF(MID(E263,3,1)="1",트라이포드!$J$17,트라이포드!$I$17)*IF(MID(E263,5,1)="2",트라이포드!$R$17,트라이포드!$Q$17)*(1+입력란!$C$33/100)*IF(입력란!$C$9=1,IF(MID(E263,1,1)&lt;&gt;"2",IF(입력란!$C$14=0,1.05,IF(입력란!$C$14=1,1.05*1.05,IF(입력란!$C$14=2,1.05*1.12,IF(입력란!$C$14=3,1.05*1.25)))),1),1)</f>
        <v>96528.45849468917</v>
      </c>
      <c r="T263" s="29">
        <f>AO263*IF(MID(E263,1,1)="1",IF(입력란!$C$9=1,트라이포드!$D$17,트라이포드!$C$17),1)*IF(MID(E263,1,1)="2",트라이포드!$F$17,트라이포드!$E$17)*IF(MID(E263,3,1)="1",트라이포드!$J$17,트라이포드!$I$17)*IF(MID(E263,5,1)="2",트라이포드!$R$17,트라이포드!$Q$17)*(1+입력란!$C$33/100)*IF(입력란!$C$9=1,IF(MID(E263,1,1)&lt;&gt;"2",IF(입력란!$C$14=0,1.05,IF(입력란!$C$14=1,1.05*1.05,IF(입력란!$C$14=2,1.05*1.12,IF(입력란!$C$14=3,1.05*1.25)))),1),1)</f>
        <v>96528.45849468917</v>
      </c>
      <c r="U263" s="29">
        <f>AP263*IF(MID(E263,1,1)="1",IF(입력란!$C$9=1,트라이포드!$D$17,트라이포드!$C$17),1)*IF(MID(E263,1,1)="2",트라이포드!$F$17,트라이포드!$E$17)*IF(MID(E263,3,1)="1",트라이포드!$J$17,트라이포드!$I$17)*IF(MID(E263,5,1)="2",트라이포드!$R$17,트라이포드!$Q$17)*(1+입력란!$C$33/100)*IF(입력란!$C$9=1,IF(MID(E263,1,1)&lt;&gt;"2",IF(입력란!$C$14=0,1.05,IF(입력란!$C$14=1,1.05*1.05,IF(입력란!$C$14=2,1.05*1.12,IF(입력란!$C$14=3,1.05*1.25)))),1),1)</f>
        <v>128694.60772349876</v>
      </c>
      <c r="V263" s="29">
        <f>IF(MID(E263,5,1)="1",(S263+T263+U263)*트라이포드!$P$17,트라이포드!$O$17)</f>
        <v>0</v>
      </c>
      <c r="W263" s="29"/>
      <c r="X263" s="38"/>
      <c r="Y263" s="38"/>
      <c r="Z263" s="26"/>
      <c r="AA263" s="29">
        <f>SUM(AB263:AI263)</f>
        <v>643503.04942575423</v>
      </c>
      <c r="AB263" s="29">
        <f>S263*2</f>
        <v>193056.91698937834</v>
      </c>
      <c r="AC263" s="29">
        <f>T263*2</f>
        <v>193056.91698937834</v>
      </c>
      <c r="AD263" s="29">
        <f>U263*2</f>
        <v>257389.21544699752</v>
      </c>
      <c r="AE263" s="29"/>
      <c r="AF263" s="38"/>
      <c r="AG263" s="38"/>
      <c r="AH263" s="38"/>
      <c r="AI263" s="26"/>
      <c r="AJ263" s="25">
        <f>(AR263-IF(MID(E263,3,1)="3",트라이포드!$N$17,트라이포드!$M$17))*(1-입력란!$C$29/100)</f>
        <v>23.94267918225</v>
      </c>
      <c r="AK26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3" s="25">
        <f>입력란!$C$37+IF(입력란!$C$17=1,10,IF(입력란!$C$17=2,25,IF(입력란!$C$17=3,50,0)))</f>
        <v>200</v>
      </c>
      <c r="AM263" s="29">
        <f>SUM(AN263:AP263)</f>
        <v>150066.91200651132</v>
      </c>
      <c r="AN263" s="29">
        <f>(VLOOKUP(C263,$B$4:$AK$7,19,FALSE)+VLOOKUP(C263,$B$8:$AK$11,19,FALSE)*입력란!$C$23)*입력란!$C$38/100</f>
        <v>45021.473324713523</v>
      </c>
      <c r="AO263" s="29">
        <f>(VLOOKUP(C263,$B$4:$AK$7,20,FALSE)+VLOOKUP(C263,$B$8:$AK$11,20,FALSE)*입력란!$C$23)*입력란!$C$38/100</f>
        <v>45021.473324713523</v>
      </c>
      <c r="AP263" s="29">
        <f>(VLOOKUP(C263,$B$4:$AK$7,21,FALSE)+VLOOKUP(C263,$B$8:$AK$11,21,FALSE)*입력란!$C$23)*입력란!$C$38/100</f>
        <v>60023.965357084271</v>
      </c>
      <c r="AQ263" s="29"/>
      <c r="AR263" s="28">
        <v>36</v>
      </c>
    </row>
    <row r="264" spans="2:44" ht="13.5" customHeight="1" x14ac:dyDescent="0.3">
      <c r="B264" s="30">
        <v>249</v>
      </c>
      <c r="C264" s="35">
        <v>10</v>
      </c>
      <c r="D264" s="42" t="s">
        <v>32</v>
      </c>
      <c r="E264" s="37" t="s">
        <v>85</v>
      </c>
      <c r="F264" s="39" t="s">
        <v>112</v>
      </c>
      <c r="G264" s="39"/>
      <c r="H264" s="51">
        <f>I264/AJ264</f>
        <v>18676.515498386183</v>
      </c>
      <c r="I264" s="52">
        <f>SUM(J264:Q264)*IF(입력란!C$15=1,1.04,IF(입력란!C$15=2,1.1,IF(입력란!C$15=3,1.2,1)))*IF(입력란!$C$13&lt;&gt;0,0,1)*IF(입력란!$C$17&lt;&gt;0,0.98,1)</f>
        <v>447165.81882018037</v>
      </c>
      <c r="J264" s="29">
        <f>S264*(1+IF($AK264+IF(입력란!$C$9=1,IF(MID(E264,1,1)&lt;&gt;"2",10,0),0)+IF(MID(E264,1,1)="2",10,0)+IF(입력란!$C$19=1,10,0)&gt;100,100,$AK264+IF(입력란!$C$9=1,IF(MID(E264,1,1)&lt;&gt;"2",10,0),0)+IF(MID(E264,1,1)="2",10,0)+IF(입력란!$C$19=1,10,0))/100*($AL264/100-1))</f>
        <v>134153.91650667746</v>
      </c>
      <c r="K264" s="29">
        <f>T264*(1+IF($AK264+IF(입력란!$C$9=1,IF(MID(E264,1,1)&lt;&gt;"2",10,0),0)+IF(MID(E264,1,1)="2",10,0)+IF(입력란!$C$19=1,10,0)&gt;100,100,$AK264+IF(입력란!$C$9=1,IF(MID(E264,1,1)&lt;&gt;"2",10,0),0)+IF(MID(E264,1,1)="2",10,0)+IF(입력란!$C$19=1,10,0))/100*($AL264/100-1))</f>
        <v>134153.91650667746</v>
      </c>
      <c r="L264" s="29">
        <f>U264*(1+IF($AK264+IF(입력란!$C$9=1,IF(MID(E264,1,1)&lt;&gt;"2",10,0),0)+IF(MID(E264,1,1)="2",10,0)+IF(입력란!$C$19=1,10,0)&gt;100,100,$AK264+IF(입력란!$C$9=1,IF(MID(E264,1,1)&lt;&gt;"2",10,0),0)+IF(MID(E264,1,1)="2",10,0)+IF(입력란!$C$19=1,10,0))/100*($AL264/100-1))</f>
        <v>178857.98580682548</v>
      </c>
      <c r="M264" s="29">
        <f>V264*(1+IF($AK264+IF(입력란!$C$9=1,IF(MID(E264,1,1)&lt;&gt;"2",10,0),0)+IF(MID(E264,1,1)="2",10,0)+IF(입력란!$C$19=1,10,0)&gt;100,100,$AK264+IF(입력란!$C$9=1,IF(MID(E264,1,1)&lt;&gt;"2",10,0),0)+IF(MID(E264,1,1)="2",10,0)+IF(입력란!$C$19=1,10,0))/100*($AL264/100-1))</f>
        <v>0</v>
      </c>
      <c r="N264" s="38"/>
      <c r="O264" s="38"/>
      <c r="P264" s="38"/>
      <c r="Q264" s="34"/>
      <c r="R264" s="23">
        <f>SUM(S264:Z264)</f>
        <v>337839.10094852094</v>
      </c>
      <c r="S264" s="29">
        <f>AN264*IF(MID(E264,1,1)="1",IF(입력란!$C$9=1,트라이포드!$D$17,트라이포드!$C$17),1)*IF(MID(E264,1,1)="2",트라이포드!$F$17,트라이포드!$E$17)*IF(MID(E264,3,1)="1",트라이포드!$J$17,트라이포드!$I$17)*IF(MID(E264,5,1)="2",트라이포드!$R$17,트라이포드!$Q$17)*(1+입력란!$C$33/100)*IF(입력란!$C$9=1,IF(MID(E264,1,1)&lt;&gt;"2",IF(입력란!$C$14=0,1.05,IF(입력란!$C$14=1,1.05*1.05,IF(입력란!$C$14=2,1.05*1.12,IF(입력란!$C$14=3,1.05*1.25)))),1),1)</f>
        <v>101354.88141942363</v>
      </c>
      <c r="T264" s="29">
        <f>AO264*IF(MID(E264,1,1)="1",IF(입력란!$C$9=1,트라이포드!$D$17,트라이포드!$C$17),1)*IF(MID(E264,1,1)="2",트라이포드!$F$17,트라이포드!$E$17)*IF(MID(E264,3,1)="1",트라이포드!$J$17,트라이포드!$I$17)*IF(MID(E264,5,1)="2",트라이포드!$R$17,트라이포드!$Q$17)*(1+입력란!$C$33/100)*IF(입력란!$C$9=1,IF(MID(E264,1,1)&lt;&gt;"2",IF(입력란!$C$14=0,1.05,IF(입력란!$C$14=1,1.05*1.05,IF(입력란!$C$14=2,1.05*1.12,IF(입력란!$C$14=3,1.05*1.25)))),1),1)</f>
        <v>101354.88141942363</v>
      </c>
      <c r="U264" s="29">
        <f>AP264*IF(MID(E264,1,1)="1",IF(입력란!$C$9=1,트라이포드!$D$17,트라이포드!$C$17),1)*IF(MID(E264,1,1)="2",트라이포드!$F$17,트라이포드!$E$17)*IF(MID(E264,3,1)="1",트라이포드!$J$17,트라이포드!$I$17)*IF(MID(E264,5,1)="2",트라이포드!$R$17,트라이포드!$Q$17)*(1+입력란!$C$33/100)*IF(입력란!$C$9=1,IF(MID(E264,1,1)&lt;&gt;"2",IF(입력란!$C$14=0,1.05,IF(입력란!$C$14=1,1.05*1.05,IF(입력란!$C$14=2,1.05*1.12,IF(입력란!$C$14=3,1.05*1.25)))),1),1)</f>
        <v>135129.3381096737</v>
      </c>
      <c r="V264" s="29">
        <f>IF(MID(E264,5,1)="1",(S264+T264+U264)*트라이포드!$P$17,트라이포드!$O$17)</f>
        <v>0</v>
      </c>
      <c r="W264" s="29"/>
      <c r="X264" s="38"/>
      <c r="Y264" s="38"/>
      <c r="Z264" s="26"/>
      <c r="AA264" s="29">
        <f>SUM(AB264:AI264)</f>
        <v>675678.20189704187</v>
      </c>
      <c r="AB264" s="29">
        <f>S264*2</f>
        <v>202709.76283884727</v>
      </c>
      <c r="AC264" s="29">
        <f>T264*2</f>
        <v>202709.76283884727</v>
      </c>
      <c r="AD264" s="29">
        <f>U264*2</f>
        <v>270258.6762193474</v>
      </c>
      <c r="AE264" s="29"/>
      <c r="AF264" s="38"/>
      <c r="AG264" s="38"/>
      <c r="AH264" s="38"/>
      <c r="AI264" s="26"/>
      <c r="AJ264" s="25">
        <f>(AR264-IF(MID(E264,3,1)="3",트라이포드!$N$17,트라이포드!$M$17))*(1-입력란!$C$29/100)</f>
        <v>23.94267918225</v>
      </c>
      <c r="AK26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4" s="25">
        <f>입력란!$C$37+IF(입력란!$C$17=1,10,IF(입력란!$C$17=2,25,IF(입력란!$C$17=3,50,0)))</f>
        <v>200</v>
      </c>
      <c r="AM264" s="29">
        <f>SUM(AN264:AP264)</f>
        <v>150066.91200651132</v>
      </c>
      <c r="AN264" s="29">
        <f>(VLOOKUP(C264,$B$4:$AK$7,19,FALSE)+VLOOKUP(C264,$B$8:$AK$11,19,FALSE)*입력란!$C$23)*입력란!$C$38/100</f>
        <v>45021.473324713523</v>
      </c>
      <c r="AO264" s="29">
        <f>(VLOOKUP(C264,$B$4:$AK$7,20,FALSE)+VLOOKUP(C264,$B$8:$AK$11,20,FALSE)*입력란!$C$23)*입력란!$C$38/100</f>
        <v>45021.473324713523</v>
      </c>
      <c r="AP264" s="29">
        <f>(VLOOKUP(C264,$B$4:$AK$7,21,FALSE)+VLOOKUP(C264,$B$8:$AK$11,21,FALSE)*입력란!$C$23)*입력란!$C$38/100</f>
        <v>60023.965357084271</v>
      </c>
      <c r="AQ264" s="29"/>
      <c r="AR264" s="28">
        <v>36</v>
      </c>
    </row>
    <row r="265" spans="2:44" ht="13.5" customHeight="1" x14ac:dyDescent="0.3">
      <c r="B265" s="30">
        <v>250</v>
      </c>
      <c r="C265" s="35">
        <v>1</v>
      </c>
      <c r="D265" s="42" t="s">
        <v>183</v>
      </c>
      <c r="E265" s="37" t="s">
        <v>152</v>
      </c>
      <c r="F265" s="39"/>
      <c r="G265" s="39"/>
      <c r="H265" s="80">
        <f>I265/AJ265</f>
        <v>5379.4145243455814</v>
      </c>
      <c r="I265" s="52">
        <f>SUM(J265:Q265)*IF(입력란!C$15=1,1.04,IF(입력란!C$15=2,1.1,IF(입력란!C$15=3,1.2,1)))*IF(입력란!$C$13&lt;&gt;0,0,1)*IF(입력란!$C$17&lt;&gt;0,0.98,1)</f>
        <v>185468.53844842885</v>
      </c>
      <c r="J265" s="29">
        <f>S265*(1+IF($AK265+IF(입력란!$C$10=1,0,IF(입력란!$C$9=1,10,0))+IF(입력란!$C$19=1,10,0)&gt;100,100,$AK265+IF(입력란!$C$10=1,0,IF(입력란!$C$9=1,10,0))+IF(입력란!$C$19=1,10,0))/100*($AL265/100-1))</f>
        <v>185468.53844842885</v>
      </c>
      <c r="K265" s="29">
        <f>T265*(1+IF($AK265+IF(입력란!$C$19=1,10,0)&gt;100,100,$AK265+IF(입력란!$C$19=1,10,0))/100*($AL265/100-1))</f>
        <v>0</v>
      </c>
      <c r="L265" s="29"/>
      <c r="M265" s="29"/>
      <c r="N265" s="38"/>
      <c r="O265" s="38"/>
      <c r="P265" s="38"/>
      <c r="Q265" s="34">
        <f>Z265*(1+IF($AK265+IF(입력란!$C$19=1,10,0)&gt;100,100,$AK265+IF(입력란!$C$19=1,10,0))/100*($AL265/100-1))</f>
        <v>0</v>
      </c>
      <c r="R265" s="23">
        <f>SUM(S265:Z265)</f>
        <v>151575.39060396294</v>
      </c>
      <c r="S265" s="29">
        <f>AN265*IF(MID(E265,3,1)="2",트라이포드!$L$18,트라이포드!$K$18)*IF(MID(E265,3,1)="3",트라이포드!$N$18,트라이포드!$M$18)*IF(MID(E265,5,1)="1",트라이포드!$P$18,트라이포드!$O$18)*IF(MID(E265,5,1)="2",트라이포드!$R$18,트라이포드!$Q$18)*(1+입력란!$C$33/100)*IF(입력란!$C$10=1,1.2,IF(입력란!$C$9=1,IF(입력란!$C$14=0,1.05,IF(입력란!$C$14=1,1.05*1.05,IF(입력란!$C$14=2,1.05*1.12,IF(입력란!$C$14=3,1.05*1.25)))),1))</f>
        <v>151575.39060396294</v>
      </c>
      <c r="T265" s="29">
        <f>AN265*IF(MID(E265,3,1)="1",트라이포드!$J$18,트라이포드!$I$18)*IF(MID(E265,5,1)="1",2,1)*(1+입력란!$C$33/100)</f>
        <v>0</v>
      </c>
      <c r="U265" s="29"/>
      <c r="V265" s="29"/>
      <c r="W265" s="29"/>
      <c r="X265" s="38"/>
      <c r="Y265" s="38"/>
      <c r="Z265" s="26">
        <f>AN265*IF(MID(E265,1,1)="2",트라이포드!$F$18,트라이포드!$E$18)*IF(MID(E265,5,1)="1",2,1)*(1+입력란!$C$33/100)</f>
        <v>0</v>
      </c>
      <c r="AA265" s="29">
        <f>SUM(AB265:AI265)</f>
        <v>303150.78120792587</v>
      </c>
      <c r="AB265" s="29">
        <f>S265*2</f>
        <v>303150.78120792587</v>
      </c>
      <c r="AC265" s="29">
        <f>T265*2</f>
        <v>0</v>
      </c>
      <c r="AD265" s="29"/>
      <c r="AE265" s="29"/>
      <c r="AF265" s="38"/>
      <c r="AG265" s="38"/>
      <c r="AH265" s="38"/>
      <c r="AI265" s="26">
        <f>Z265*2</f>
        <v>0</v>
      </c>
      <c r="AJ265" s="25">
        <f>(AR265-IF(MID(E265,1,1)="1",트라이포드!$D$18,트라이포드!$C$18))*(1-입력란!$C$29/100)</f>
        <v>34.477458022440004</v>
      </c>
      <c r="AK26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5" s="25">
        <f>입력란!$C$37+IF(입력란!$C$17=1,10,IF(입력란!$C$17=2,25,IF(입력란!$C$17=3,50,0)))</f>
        <v>200</v>
      </c>
      <c r="AM265" s="29">
        <f>SUM(AN265:AP265)</f>
        <v>127252.26860680309</v>
      </c>
      <c r="AN265" s="29">
        <f>(VLOOKUP(C265,$B$4:$AK$7,22,FALSE)+VLOOKUP(C265,$B$8:$AK$11,22,FALSE)*입력란!$C$23)*입력란!$C$38/100</f>
        <v>127252.26860680309</v>
      </c>
      <c r="AO265" s="29"/>
      <c r="AP265" s="29"/>
      <c r="AQ265" s="29"/>
      <c r="AR265" s="22">
        <v>36</v>
      </c>
    </row>
    <row r="266" spans="2:44" ht="13.5" customHeight="1" x14ac:dyDescent="0.3">
      <c r="B266" s="30">
        <v>251</v>
      </c>
      <c r="C266" s="35">
        <v>4</v>
      </c>
      <c r="D266" s="42" t="s">
        <v>183</v>
      </c>
      <c r="E266" s="37" t="s">
        <v>152</v>
      </c>
      <c r="F266" s="39"/>
      <c r="G266" s="39"/>
      <c r="H266" s="80">
        <f>I266/AJ266</f>
        <v>5401.6166315387827</v>
      </c>
      <c r="I266" s="52">
        <f>SUM(J266:Q266)*IF(입력란!C$15=1,1.04,IF(입력란!C$15=2,1.1,IF(입력란!C$15=3,1.2,1)))*IF(입력란!$C$13&lt;&gt;0,0,1)*IF(입력란!$C$17&lt;&gt;0,0.98,1)</f>
        <v>186234.01066719217</v>
      </c>
      <c r="J266" s="29">
        <f>S266*(1+IF($AK266+IF(입력란!$C$10=1,0,IF(입력란!$C$9=1,10,0))+IF(입력란!$C$19=1,10,0)&gt;100,100,$AK266+IF(입력란!$C$10=1,0,IF(입력란!$C$9=1,10,0))+IF(입력란!$C$19=1,10,0))/100*($AL266/100-1))</f>
        <v>186234.01066719217</v>
      </c>
      <c r="K266" s="29">
        <f>T266*(1+IF($AK266+IF(입력란!$C$19=1,10,0)&gt;100,100,$AK266+IF(입력란!$C$19=1,10,0))/100*($AL266/100-1))</f>
        <v>0</v>
      </c>
      <c r="L266" s="29"/>
      <c r="M266" s="29"/>
      <c r="N266" s="38"/>
      <c r="O266" s="38"/>
      <c r="P266" s="38"/>
      <c r="Q266" s="34">
        <f>Z266*(1+IF($AK266+IF(입력란!$C$19=1,10,0)&gt;100,100,$AK266+IF(입력란!$C$19=1,10,0))/100*($AL266/100-1))</f>
        <v>0</v>
      </c>
      <c r="R266" s="23">
        <f>SUM(S266:Z266)</f>
        <v>152200.97784116323</v>
      </c>
      <c r="S266" s="29">
        <f>AN266*IF(MID(E266,3,1)="2",트라이포드!$L$18,트라이포드!$K$18)*IF(MID(E266,3,1)="3",트라이포드!$N$18,트라이포드!$M$18)*IF(MID(E266,5,1)="1",트라이포드!$P$18,트라이포드!$O$18)*IF(MID(E266,5,1)="2",트라이포드!$R$18,트라이포드!$Q$18)*(1+입력란!$C$33/100)*IF(입력란!$C$10=1,1.2,IF(입력란!$C$9=1,IF(입력란!$C$14=0,1.05,IF(입력란!$C$14=1,1.05*1.05,IF(입력란!$C$14=2,1.05*1.12,IF(입력란!$C$14=3,1.05*1.25)))),1))</f>
        <v>152200.97784116323</v>
      </c>
      <c r="T266" s="29">
        <f>AN266*IF(MID(E266,3,1)="1",트라이포드!$J$18,트라이포드!$I$18)*IF(MID(E266,5,1)="1",2,1)*(1+입력란!$C$33/100)</f>
        <v>0</v>
      </c>
      <c r="U266" s="29"/>
      <c r="V266" s="29"/>
      <c r="W266" s="29"/>
      <c r="X266" s="38"/>
      <c r="Y266" s="38"/>
      <c r="Z266" s="26">
        <f>AN266*IF(MID(E266,1,1)="2",트라이포드!$F$18,트라이포드!$E$18)*IF(MID(E266,5,1)="1",2,1)*(1+입력란!$C$33/100)</f>
        <v>0</v>
      </c>
      <c r="AA266" s="29">
        <f>SUM(AB266:AI266)</f>
        <v>304401.95568232646</v>
      </c>
      <c r="AB266" s="29">
        <f>S266*2</f>
        <v>304401.95568232646</v>
      </c>
      <c r="AC266" s="29">
        <f>T266*2</f>
        <v>0</v>
      </c>
      <c r="AD266" s="29"/>
      <c r="AE266" s="29"/>
      <c r="AF266" s="38"/>
      <c r="AG266" s="38"/>
      <c r="AH266" s="38"/>
      <c r="AI266" s="26">
        <f>Z266*2</f>
        <v>0</v>
      </c>
      <c r="AJ266" s="25">
        <f>(AR266-IF(MID(E266,1,1)="1",트라이포드!$D$18,트라이포드!$C$18))*(1-입력란!$C$29/100)</f>
        <v>34.477458022440004</v>
      </c>
      <c r="AK26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6" s="25">
        <f>입력란!$C$37+IF(입력란!$C$17=1,10,IF(입력란!$C$17=2,25,IF(입력란!$C$17=3,50,0)))</f>
        <v>200</v>
      </c>
      <c r="AM266" s="29">
        <f>SUM(AN266:AP266)</f>
        <v>127777.46860680309</v>
      </c>
      <c r="AN266" s="29">
        <f>(VLOOKUP(C266,$B$4:$AK$7,22,FALSE)+VLOOKUP(C266,$B$8:$AK$11,22,FALSE)*입력란!$C$23)*입력란!$C$38/100</f>
        <v>127777.46860680309</v>
      </c>
      <c r="AO266" s="29"/>
      <c r="AP266" s="29"/>
      <c r="AQ266" s="29"/>
      <c r="AR266" s="22">
        <v>36</v>
      </c>
    </row>
    <row r="267" spans="2:44" ht="13.5" customHeight="1" x14ac:dyDescent="0.3">
      <c r="B267" s="30">
        <v>252</v>
      </c>
      <c r="C267" s="35">
        <v>4</v>
      </c>
      <c r="D267" s="42" t="s">
        <v>183</v>
      </c>
      <c r="E267" s="37" t="s">
        <v>153</v>
      </c>
      <c r="F267" s="39"/>
      <c r="G267" s="39"/>
      <c r="H267" s="80">
        <f>I267/AJ267</f>
        <v>6705.4551288067651</v>
      </c>
      <c r="I267" s="52">
        <f>SUM(J267:Q267)*IF(입력란!C$15=1,1.04,IF(입력란!C$15=2,1.1,IF(입력란!C$15=3,1.2,1)))*IF(입력란!$C$13&lt;&gt;0,0,1)*IF(입력란!$C$17&lt;&gt;0,0.98,1)</f>
        <v>186234.01066719217</v>
      </c>
      <c r="J267" s="29">
        <f>S267*(1+IF($AK267+IF(입력란!$C$10=1,0,IF(입력란!$C$9=1,10,0))+IF(입력란!$C$19=1,10,0)&gt;100,100,$AK267+IF(입력란!$C$10=1,0,IF(입력란!$C$9=1,10,0))+IF(입력란!$C$19=1,10,0))/100*($AL267/100-1))</f>
        <v>186234.01066719217</v>
      </c>
      <c r="K267" s="29">
        <f>T267*(1+IF($AK267+IF(입력란!$C$19=1,10,0)&gt;100,100,$AK267+IF(입력란!$C$19=1,10,0))/100*($AL267/100-1))</f>
        <v>0</v>
      </c>
      <c r="L267" s="29"/>
      <c r="M267" s="29"/>
      <c r="N267" s="38"/>
      <c r="O267" s="38"/>
      <c r="P267" s="38"/>
      <c r="Q267" s="34">
        <f>Z267*(1+IF($AK267+IF(입력란!$C$19=1,10,0)&gt;100,100,$AK267+IF(입력란!$C$19=1,10,0))/100*($AL267/100-1))</f>
        <v>0</v>
      </c>
      <c r="R267" s="23">
        <f>SUM(S267:Z267)</f>
        <v>152200.97784116323</v>
      </c>
      <c r="S267" s="29">
        <f>AN267*IF(MID(E267,3,1)="2",트라이포드!$L$18,트라이포드!$K$18)*IF(MID(E267,3,1)="3",트라이포드!$N$18,트라이포드!$M$18)*IF(MID(E267,5,1)="1",트라이포드!$P$18,트라이포드!$O$18)*IF(MID(E267,5,1)="2",트라이포드!$R$18,트라이포드!$Q$18)*(1+입력란!$C$33/100)*IF(입력란!$C$10=1,1.2,IF(입력란!$C$9=1,IF(입력란!$C$14=0,1.05,IF(입력란!$C$14=1,1.05*1.05,IF(입력란!$C$14=2,1.05*1.12,IF(입력란!$C$14=3,1.05*1.25)))),1))</f>
        <v>152200.97784116323</v>
      </c>
      <c r="T267" s="29">
        <f>AN267*IF(MID(E267,3,1)="1",트라이포드!$J$18,트라이포드!$I$18)*IF(MID(E267,5,1)="1",2,1)*(1+입력란!$C$33/100)</f>
        <v>0</v>
      </c>
      <c r="U267" s="29"/>
      <c r="V267" s="29"/>
      <c r="W267" s="29"/>
      <c r="X267" s="38"/>
      <c r="Y267" s="38"/>
      <c r="Z267" s="26">
        <f>AN267*IF(MID(E267,1,1)="2",트라이포드!$F$18,트라이포드!$E$18)*IF(MID(E267,5,1)="1",2,1)*(1+입력란!$C$33/100)</f>
        <v>0</v>
      </c>
      <c r="AA267" s="29">
        <f>SUM(AB267:AI267)</f>
        <v>304401.95568232646</v>
      </c>
      <c r="AB267" s="29">
        <f>S267*2</f>
        <v>304401.95568232646</v>
      </c>
      <c r="AC267" s="29">
        <f>T267*2</f>
        <v>0</v>
      </c>
      <c r="AD267" s="29"/>
      <c r="AE267" s="29"/>
      <c r="AF267" s="38"/>
      <c r="AG267" s="38"/>
      <c r="AH267" s="38"/>
      <c r="AI267" s="26">
        <f>Z267*2</f>
        <v>0</v>
      </c>
      <c r="AJ267" s="25">
        <f>(AR267-IF(MID(E267,1,1)="1",트라이포드!$D$18,트라이포드!$C$18))*(1-입력란!$C$29/100)</f>
        <v>27.773507851410002</v>
      </c>
      <c r="AK26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7" s="25">
        <f>입력란!$C$37+IF(입력란!$C$17=1,10,IF(입력란!$C$17=2,25,IF(입력란!$C$17=3,50,0)))</f>
        <v>200</v>
      </c>
      <c r="AM267" s="29">
        <f>SUM(AN267:AP267)</f>
        <v>127777.46860680309</v>
      </c>
      <c r="AN267" s="29">
        <f>(VLOOKUP(C267,$B$4:$AK$7,22,FALSE)+VLOOKUP(C267,$B$8:$AK$11,22,FALSE)*입력란!$C$23)*입력란!$C$38/100</f>
        <v>127777.46860680309</v>
      </c>
      <c r="AO267" s="29"/>
      <c r="AP267" s="29"/>
      <c r="AQ267" s="29"/>
      <c r="AR267" s="22">
        <v>36</v>
      </c>
    </row>
    <row r="268" spans="2:44" ht="13.5" customHeight="1" x14ac:dyDescent="0.3">
      <c r="B268" s="30">
        <v>253</v>
      </c>
      <c r="C268" s="35">
        <v>4</v>
      </c>
      <c r="D268" s="42" t="s">
        <v>183</v>
      </c>
      <c r="E268" s="37" t="s">
        <v>166</v>
      </c>
      <c r="F268" s="39" t="s">
        <v>180</v>
      </c>
      <c r="G268" s="39"/>
      <c r="H268" s="80">
        <f>I268/AJ268</f>
        <v>6481.93995784654</v>
      </c>
      <c r="I268" s="52">
        <f>SUM(J268:Q268)*IF(입력란!C$15=1,1.04,IF(입력란!C$15=2,1.1,IF(입력란!C$15=3,1.2,1)))*IF(입력란!$C$13&lt;&gt;0,0,1)*IF(입력란!$C$17&lt;&gt;0,0.98,1)</f>
        <v>223480.81280063061</v>
      </c>
      <c r="J268" s="29">
        <f>S268*(1+IF($AK268+IF(입력란!$C$10=1,0,IF(입력란!$C$9=1,10,0))+IF(입력란!$C$19=1,10,0)&gt;100,100,$AK268+IF(입력란!$C$10=1,0,IF(입력란!$C$9=1,10,0))+IF(입력란!$C$19=1,10,0))/100*($AL268/100-1))</f>
        <v>186234.01066719217</v>
      </c>
      <c r="K268" s="29">
        <f>T268*(1+IF($AK268+IF(입력란!$C$19=1,10,0)&gt;100,100,$AK268+IF(입력란!$C$19=1,10,0))/100*($AL268/100-1))</f>
        <v>0</v>
      </c>
      <c r="L268" s="29"/>
      <c r="M268" s="29"/>
      <c r="N268" s="38"/>
      <c r="O268" s="38"/>
      <c r="P268" s="38"/>
      <c r="Q268" s="34">
        <f>Z268*(1+IF($AK268+IF(입력란!$C$19=1,10,0)&gt;100,100,$AK268+IF(입력란!$C$19=1,10,0))/100*($AL268/100-1))</f>
        <v>37246.802133438432</v>
      </c>
      <c r="R268" s="23">
        <f>SUM(S268:Z268)</f>
        <v>182641.17340939588</v>
      </c>
      <c r="S268" s="29">
        <f>AN268*IF(MID(E268,3,1)="2",트라이포드!$L$18,트라이포드!$K$18)*IF(MID(E268,3,1)="3",트라이포드!$N$18,트라이포드!$M$18)*IF(MID(E268,5,1)="1",트라이포드!$P$18,트라이포드!$O$18)*IF(MID(E268,5,1)="2",트라이포드!$R$18,트라이포드!$Q$18)*(1+입력란!$C$33/100)*IF(입력란!$C$10=1,1.2,IF(입력란!$C$9=1,IF(입력란!$C$14=0,1.05,IF(입력란!$C$14=1,1.05*1.05,IF(입력란!$C$14=2,1.05*1.12,IF(입력란!$C$14=3,1.05*1.25)))),1))</f>
        <v>152200.97784116323</v>
      </c>
      <c r="T268" s="29">
        <f>AN268*IF(MID(E268,3,1)="1",트라이포드!$J$18,트라이포드!$I$18)*IF(MID(E268,5,1)="1",2,1)*(1+입력란!$C$33/100)</f>
        <v>0</v>
      </c>
      <c r="U268" s="29"/>
      <c r="V268" s="29"/>
      <c r="W268" s="29"/>
      <c r="X268" s="38"/>
      <c r="Y268" s="38"/>
      <c r="Z268" s="26">
        <f>AN268*IF(MID(E268,1,1)="2",트라이포드!$F$18,트라이포드!$E$18)*IF(MID(E268,5,1)="1",2,1)*(1+입력란!$C$33/100)</f>
        <v>30440.195568232648</v>
      </c>
      <c r="AA268" s="29">
        <f>SUM(AB268:AI268)</f>
        <v>365282.34681879176</v>
      </c>
      <c r="AB268" s="29">
        <f>S268*2</f>
        <v>304401.95568232646</v>
      </c>
      <c r="AC268" s="29">
        <f>T268*2</f>
        <v>0</v>
      </c>
      <c r="AD268" s="29"/>
      <c r="AE268" s="29"/>
      <c r="AF268" s="38"/>
      <c r="AG268" s="38"/>
      <c r="AH268" s="38"/>
      <c r="AI268" s="26">
        <f>Z268*2</f>
        <v>60880.391136465296</v>
      </c>
      <c r="AJ268" s="25">
        <f>(AR268-IF(MID(E268,1,1)="1",트라이포드!$D$18,트라이포드!$C$18))*(1-입력란!$C$29/100)</f>
        <v>34.477458022440004</v>
      </c>
      <c r="AK26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8" s="25">
        <f>입력란!$C$37+IF(입력란!$C$17=1,10,IF(입력란!$C$17=2,25,IF(입력란!$C$17=3,50,0)))</f>
        <v>200</v>
      </c>
      <c r="AM268" s="29">
        <f>SUM(AN268:AP268)</f>
        <v>127777.46860680309</v>
      </c>
      <c r="AN268" s="29">
        <f>(VLOOKUP(C268,$B$4:$AK$7,22,FALSE)+VLOOKUP(C268,$B$8:$AK$11,22,FALSE)*입력란!$C$23)*입력란!$C$38/100</f>
        <v>127777.46860680309</v>
      </c>
      <c r="AO268" s="29"/>
      <c r="AP268" s="29"/>
      <c r="AQ268" s="29"/>
      <c r="AR268" s="22">
        <v>36</v>
      </c>
    </row>
    <row r="269" spans="2:44" ht="13.5" customHeight="1" x14ac:dyDescent="0.3">
      <c r="B269" s="30">
        <v>254</v>
      </c>
      <c r="C269" s="35">
        <v>7</v>
      </c>
      <c r="D269" s="42" t="s">
        <v>183</v>
      </c>
      <c r="E269" s="37" t="s">
        <v>152</v>
      </c>
      <c r="F269" s="39"/>
      <c r="G269" s="39"/>
      <c r="H269" s="80">
        <f>I269/AJ269</f>
        <v>5411.9483051831439</v>
      </c>
      <c r="I269" s="52">
        <f>SUM(J269:Q269)*IF(입력란!C$15=1,1.04,IF(입력란!C$15=2,1.1,IF(입력란!C$15=3,1.2,1)))*IF(입력란!$C$13&lt;&gt;0,0,1)*IF(입력란!$C$17&lt;&gt;0,0.98,1)</f>
        <v>186590.22051156717</v>
      </c>
      <c r="J269" s="29">
        <f>S269*(1+IF($AK269+IF(입력란!$C$10=1,0,IF(입력란!$C$9=1,10,0))+IF(입력란!$C$19=1,10,0)&gt;100,100,$AK269+IF(입력란!$C$10=1,0,IF(입력란!$C$9=1,10,0))+IF(입력란!$C$19=1,10,0))/100*($AL269/100-1))</f>
        <v>186590.22051156717</v>
      </c>
      <c r="K269" s="29">
        <f>T269*(1+IF($AK269+IF(입력란!$C$19=1,10,0)&gt;100,100,$AK269+IF(입력란!$C$19=1,10,0))/100*($AL269/100-1))</f>
        <v>0</v>
      </c>
      <c r="L269" s="29"/>
      <c r="M269" s="29"/>
      <c r="N269" s="38"/>
      <c r="O269" s="38"/>
      <c r="P269" s="38"/>
      <c r="Q269" s="34">
        <f>Z269*(1+IF($AK269+IF(입력란!$C$19=1,10,0)&gt;100,100,$AK269+IF(입력란!$C$19=1,10,0))/100*($AL269/100-1))</f>
        <v>0</v>
      </c>
      <c r="R269" s="23">
        <f>SUM(S269:Z269)</f>
        <v>152492.09269411783</v>
      </c>
      <c r="S269" s="29">
        <f>AN269*IF(MID(E269,3,1)="2",트라이포드!$L$18,트라이포드!$K$18)*IF(MID(E269,3,1)="3",트라이포드!$N$18,트라이포드!$M$18)*IF(MID(E269,5,1)="1",트라이포드!$P$18,트라이포드!$O$18)*IF(MID(E269,5,1)="2",트라이포드!$R$18,트라이포드!$Q$18)*(1+입력란!$C$33/100)*IF(입력란!$C$10=1,1.2,IF(입력란!$C$9=1,IF(입력란!$C$14=0,1.05,IF(입력란!$C$14=1,1.05*1.05,IF(입력란!$C$14=2,1.05*1.12,IF(입력란!$C$14=3,1.05*1.25)))),1))</f>
        <v>152492.09269411783</v>
      </c>
      <c r="T269" s="29">
        <f>AN269*IF(MID(E269,3,1)="1",트라이포드!$J$18,트라이포드!$I$18)*IF(MID(E269,5,1)="1",2,1)*(1+입력란!$C$33/100)</f>
        <v>0</v>
      </c>
      <c r="U269" s="29"/>
      <c r="V269" s="29"/>
      <c r="W269" s="29"/>
      <c r="X269" s="38"/>
      <c r="Y269" s="38"/>
      <c r="Z269" s="26">
        <f>AN269*IF(MID(E269,1,1)="2",트라이포드!$F$18,트라이포드!$E$18)*IF(MID(E269,5,1)="1",2,1)*(1+입력란!$C$33/100)</f>
        <v>0</v>
      </c>
      <c r="AA269" s="29">
        <f>SUM(AB269:AI269)</f>
        <v>304984.18538823567</v>
      </c>
      <c r="AB269" s="29">
        <f>S269*2</f>
        <v>304984.18538823567</v>
      </c>
      <c r="AC269" s="29">
        <f>T269*2</f>
        <v>0</v>
      </c>
      <c r="AD269" s="29"/>
      <c r="AE269" s="29"/>
      <c r="AF269" s="38"/>
      <c r="AG269" s="38"/>
      <c r="AH269" s="38"/>
      <c r="AI269" s="26">
        <f>Z269*2</f>
        <v>0</v>
      </c>
      <c r="AJ269" s="25">
        <f>(AR269-IF(MID(E269,1,1)="1",트라이포드!$D$18,트라이포드!$C$18))*(1-입력란!$C$29/100)</f>
        <v>34.477458022440004</v>
      </c>
      <c r="AK26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69" s="25">
        <f>입력란!$C$37+IF(입력란!$C$17=1,10,IF(입력란!$C$17=2,25,IF(입력란!$C$17=3,50,0)))</f>
        <v>200</v>
      </c>
      <c r="AM269" s="29">
        <f>SUM(AN269:AP269)</f>
        <v>128021.86860680308</v>
      </c>
      <c r="AN269" s="29">
        <f>(VLOOKUP(C269,$B$4:$AK$7,22,FALSE)+VLOOKUP(C269,$B$8:$AK$11,22,FALSE)*입력란!$C$23)*입력란!$C$38/100</f>
        <v>128021.86860680308</v>
      </c>
      <c r="AO269" s="29"/>
      <c r="AP269" s="29"/>
      <c r="AQ269" s="29"/>
      <c r="AR269" s="22">
        <v>36</v>
      </c>
    </row>
    <row r="270" spans="2:44" ht="13.5" customHeight="1" x14ac:dyDescent="0.3">
      <c r="B270" s="30">
        <v>255</v>
      </c>
      <c r="C270" s="35">
        <v>7</v>
      </c>
      <c r="D270" s="42" t="s">
        <v>183</v>
      </c>
      <c r="E270" s="37" t="s">
        <v>154</v>
      </c>
      <c r="F270" s="39"/>
      <c r="G270" s="39"/>
      <c r="H270" s="80">
        <f>I270/AJ270</f>
        <v>7035.5327967380863</v>
      </c>
      <c r="I270" s="52">
        <f>SUM(J270:Q270)*IF(입력란!C$15=1,1.04,IF(입력란!C$15=2,1.1,IF(입력란!C$15=3,1.2,1)))*IF(입력란!$C$13&lt;&gt;0,0,1)*IF(입력란!$C$17&lt;&gt;0,0.98,1)</f>
        <v>242567.2866650373</v>
      </c>
      <c r="J270" s="29">
        <f>S270*(1+IF($AK270+IF(입력란!$C$10=1,0,IF(입력란!$C$9=1,10,0))+IF(입력란!$C$19=1,10,0)&gt;100,100,$AK270+IF(입력란!$C$10=1,0,IF(입력란!$C$9=1,10,0))+IF(입력란!$C$19=1,10,0))/100*($AL270/100-1))</f>
        <v>186590.22051156717</v>
      </c>
      <c r="K270" s="29">
        <f>T270*(1+IF($AK270+IF(입력란!$C$19=1,10,0)&gt;100,100,$AK270+IF(입력란!$C$19=1,10,0))/100*($AL270/100-1))</f>
        <v>55977.066153470143</v>
      </c>
      <c r="L270" s="29"/>
      <c r="M270" s="29"/>
      <c r="N270" s="38"/>
      <c r="O270" s="38"/>
      <c r="P270" s="38"/>
      <c r="Q270" s="34">
        <f>Z270*(1+IF($AK270+IF(입력란!$C$19=1,10,0)&gt;100,100,$AK270+IF(입력란!$C$19=1,10,0))/100*($AL270/100-1))</f>
        <v>0</v>
      </c>
      <c r="R270" s="23">
        <f>SUM(S270:Z270)</f>
        <v>198239.72050235319</v>
      </c>
      <c r="S270" s="29">
        <f>AN270*IF(MID(E270,3,1)="2",트라이포드!$L$18,트라이포드!$K$18)*IF(MID(E270,3,1)="3",트라이포드!$N$18,트라이포드!$M$18)*IF(MID(E270,5,1)="1",트라이포드!$P$18,트라이포드!$O$18)*IF(MID(E270,5,1)="2",트라이포드!$R$18,트라이포드!$Q$18)*(1+입력란!$C$33/100)*IF(입력란!$C$10=1,1.2,IF(입력란!$C$9=1,IF(입력란!$C$14=0,1.05,IF(입력란!$C$14=1,1.05*1.05,IF(입력란!$C$14=2,1.05*1.12,IF(입력란!$C$14=3,1.05*1.25)))),1))</f>
        <v>152492.09269411783</v>
      </c>
      <c r="T270" s="29">
        <f>AN270*IF(MID(E270,3,1)="1",트라이포드!$J$18,트라이포드!$I$18)*IF(MID(E270,5,1)="1",2,1)*(1+입력란!$C$33/100)</f>
        <v>45747.627808235346</v>
      </c>
      <c r="U270" s="29"/>
      <c r="V270" s="29"/>
      <c r="W270" s="29"/>
      <c r="X270" s="38"/>
      <c r="Y270" s="38"/>
      <c r="Z270" s="26">
        <f>AN270*IF(MID(E270,1,1)="2",트라이포드!$F$18,트라이포드!$E$18)*IF(MID(E270,5,1)="1",2,1)*(1+입력란!$C$33/100)</f>
        <v>0</v>
      </c>
      <c r="AA270" s="29">
        <f>SUM(AB270:AI270)</f>
        <v>396479.44100470637</v>
      </c>
      <c r="AB270" s="29">
        <f>S270*2</f>
        <v>304984.18538823567</v>
      </c>
      <c r="AC270" s="29">
        <f>T270*2</f>
        <v>91495.255616470691</v>
      </c>
      <c r="AD270" s="29"/>
      <c r="AE270" s="29"/>
      <c r="AF270" s="38"/>
      <c r="AG270" s="38"/>
      <c r="AH270" s="38"/>
      <c r="AI270" s="26">
        <f>Z270*2</f>
        <v>0</v>
      </c>
      <c r="AJ270" s="25">
        <f>(AR270-IF(MID(E270,1,1)="1",트라이포드!$D$18,트라이포드!$C$18))*(1-입력란!$C$29/100)</f>
        <v>34.477458022440004</v>
      </c>
      <c r="AK27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0" s="25">
        <f>입력란!$C$37+IF(입력란!$C$17=1,10,IF(입력란!$C$17=2,25,IF(입력란!$C$17=3,50,0)))</f>
        <v>200</v>
      </c>
      <c r="AM270" s="29">
        <f>SUM(AN270:AP270)</f>
        <v>128021.86860680308</v>
      </c>
      <c r="AN270" s="29">
        <f>(VLOOKUP(C270,$B$4:$AK$7,22,FALSE)+VLOOKUP(C270,$B$8:$AK$11,22,FALSE)*입력란!$C$23)*입력란!$C$38/100</f>
        <v>128021.86860680308</v>
      </c>
      <c r="AO270" s="29"/>
      <c r="AP270" s="29"/>
      <c r="AQ270" s="29"/>
      <c r="AR270" s="22">
        <v>36</v>
      </c>
    </row>
    <row r="271" spans="2:44" ht="13.5" customHeight="1" x14ac:dyDescent="0.3">
      <c r="B271" s="30">
        <v>256</v>
      </c>
      <c r="C271" s="35">
        <v>7</v>
      </c>
      <c r="D271" s="42" t="s">
        <v>183</v>
      </c>
      <c r="E271" s="37" t="s">
        <v>178</v>
      </c>
      <c r="F271" s="39"/>
      <c r="G271" s="39"/>
      <c r="H271" s="80">
        <f>I271/AJ271</f>
        <v>6494.3379662197722</v>
      </c>
      <c r="I271" s="52">
        <f>SUM(J271:Q271)*IF(입력란!C$15=1,1.04,IF(입력란!C$15=2,1.1,IF(입력란!C$15=3,1.2,1)))*IF(입력란!$C$13&lt;&gt;0,0,1)*IF(입력란!$C$17&lt;&gt;0,0.98,1)</f>
        <v>223908.26461388057</v>
      </c>
      <c r="J271" s="29">
        <f>S271*(1+IF($AK271+IF(입력란!$C$10=1,0,IF(입력란!$C$9=1,10,0))+IF(입력란!$C$19=1,10,0)&gt;100,100,$AK271+IF(입력란!$C$10=1,0,IF(입력란!$C$9=1,10,0))+IF(입력란!$C$19=1,10,0))/100*($AL271/100-1))</f>
        <v>223908.26461388057</v>
      </c>
      <c r="K271" s="29">
        <f>T271*(1+IF($AK271+IF(입력란!$C$19=1,10,0)&gt;100,100,$AK271+IF(입력란!$C$19=1,10,0))/100*($AL271/100-1))</f>
        <v>0</v>
      </c>
      <c r="L271" s="29"/>
      <c r="M271" s="29"/>
      <c r="N271" s="38"/>
      <c r="O271" s="38"/>
      <c r="P271" s="38"/>
      <c r="Q271" s="34">
        <f>Z271*(1+IF($AK271+IF(입력란!$C$19=1,10,0)&gt;100,100,$AK271+IF(입력란!$C$19=1,10,0))/100*($AL271/100-1))</f>
        <v>0</v>
      </c>
      <c r="R271" s="23">
        <f>SUM(S271:Z271)</f>
        <v>182990.51123294138</v>
      </c>
      <c r="S271" s="29">
        <f>AN271*IF(MID(E271,3,1)="2",트라이포드!$L$18,트라이포드!$K$18)*IF(MID(E271,3,1)="3",트라이포드!$N$18,트라이포드!$M$18)*IF(MID(E271,5,1)="1",트라이포드!$P$18,트라이포드!$O$18)*IF(MID(E271,5,1)="2",트라이포드!$R$18,트라이포드!$Q$18)*(1+입력란!$C$33/100)*IF(입력란!$C$10=1,1.2,IF(입력란!$C$9=1,IF(입력란!$C$14=0,1.05,IF(입력란!$C$14=1,1.05*1.05,IF(입력란!$C$14=2,1.05*1.12,IF(입력란!$C$14=3,1.05*1.25)))),1))</f>
        <v>182990.51123294138</v>
      </c>
      <c r="T271" s="29">
        <f>AN271*IF(MID(E271,3,1)="1",트라이포드!$J$18,트라이포드!$I$18)*IF(MID(E271,5,1)="1",2,1)*(1+입력란!$C$33/100)</f>
        <v>0</v>
      </c>
      <c r="U271" s="29"/>
      <c r="V271" s="29"/>
      <c r="W271" s="29"/>
      <c r="X271" s="38"/>
      <c r="Y271" s="38"/>
      <c r="Z271" s="26">
        <f>AN271*IF(MID(E271,1,1)="2",트라이포드!$F$18,트라이포드!$E$18)*IF(MID(E271,5,1)="1",2,1)*(1+입력란!$C$33/100)</f>
        <v>0</v>
      </c>
      <c r="AA271" s="29">
        <f>SUM(AB271:AI271)</f>
        <v>365981.02246588276</v>
      </c>
      <c r="AB271" s="29">
        <f>S271*2</f>
        <v>365981.02246588276</v>
      </c>
      <c r="AC271" s="29">
        <f>T271*2</f>
        <v>0</v>
      </c>
      <c r="AD271" s="29"/>
      <c r="AE271" s="29"/>
      <c r="AF271" s="38"/>
      <c r="AG271" s="38"/>
      <c r="AH271" s="38"/>
      <c r="AI271" s="26">
        <f>Z271*2</f>
        <v>0</v>
      </c>
      <c r="AJ271" s="25">
        <f>(AR271-IF(MID(E271,1,1)="1",트라이포드!$D$18,트라이포드!$C$18))*(1-입력란!$C$29/100)</f>
        <v>34.477458022440004</v>
      </c>
      <c r="AK27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1" s="25">
        <f>입력란!$C$37+IF(입력란!$C$17=1,10,IF(입력란!$C$17=2,25,IF(입력란!$C$17=3,50,0)))</f>
        <v>200</v>
      </c>
      <c r="AM271" s="29">
        <f>SUM(AN271:AP271)</f>
        <v>128021.86860680308</v>
      </c>
      <c r="AN271" s="29">
        <f>(VLOOKUP(C271,$B$4:$AK$7,22,FALSE)+VLOOKUP(C271,$B$8:$AK$11,22,FALSE)*입력란!$C$23)*입력란!$C$38/100</f>
        <v>128021.86860680308</v>
      </c>
      <c r="AO271" s="29"/>
      <c r="AP271" s="29"/>
      <c r="AQ271" s="29"/>
      <c r="AR271" s="22">
        <v>36</v>
      </c>
    </row>
    <row r="272" spans="2:44" ht="13.5" customHeight="1" x14ac:dyDescent="0.3">
      <c r="B272" s="30">
        <v>257</v>
      </c>
      <c r="C272" s="35">
        <v>7</v>
      </c>
      <c r="D272" s="42" t="s">
        <v>183</v>
      </c>
      <c r="E272" s="37" t="s">
        <v>174</v>
      </c>
      <c r="F272" s="39" t="s">
        <v>192</v>
      </c>
      <c r="G272" s="39"/>
      <c r="H272" s="80">
        <f>I272/AJ272</f>
        <v>8117.9224577747154</v>
      </c>
      <c r="I272" s="52">
        <f>SUM(J272:Q272)*IF(입력란!C$15=1,1.04,IF(입력란!C$15=2,1.1,IF(입력란!C$15=3,1.2,1)))*IF(입력란!$C$13&lt;&gt;0,0,1)*IF(입력란!$C$17&lt;&gt;0,0.98,1)</f>
        <v>279885.33076735074</v>
      </c>
      <c r="J272" s="29">
        <f>S272*(1+IF($AK272+IF(입력란!$C$10=1,0,IF(입력란!$C$9=1,10,0))+IF(입력란!$C$19=1,10,0)&gt;100,100,$AK272+IF(입력란!$C$10=1,0,IF(입력란!$C$9=1,10,0))+IF(입력란!$C$19=1,10,0))/100*($AL272/100-1))</f>
        <v>279885.33076735074</v>
      </c>
      <c r="K272" s="29">
        <f>T272*(1+IF($AK272+IF(입력란!$C$19=1,10,0)&gt;100,100,$AK272+IF(입력란!$C$19=1,10,0))/100*($AL272/100-1))</f>
        <v>0</v>
      </c>
      <c r="L272" s="29"/>
      <c r="M272" s="29"/>
      <c r="N272" s="38"/>
      <c r="O272" s="38"/>
      <c r="P272" s="38"/>
      <c r="Q272" s="34">
        <f>Z272*(1+IF($AK272+IF(입력란!$C$19=1,10,0)&gt;100,100,$AK272+IF(입력란!$C$19=1,10,0))/100*($AL272/100-1))</f>
        <v>0</v>
      </c>
      <c r="R272" s="23">
        <f>SUM(S272:Z272)</f>
        <v>228738.13904117674</v>
      </c>
      <c r="S272" s="29">
        <f>AN272*IF(MID(E272,3,1)="2",트라이포드!$L$18,트라이포드!$K$18)*IF(MID(E272,3,1)="3",트라이포드!$N$18,트라이포드!$M$18)*IF(MID(E272,5,1)="1",트라이포드!$P$18,트라이포드!$O$18)*IF(MID(E272,5,1)="2",트라이포드!$R$18,트라이포드!$Q$18)*(1+입력란!$C$33/100)*IF(입력란!$C$10=1,1.2,IF(입력란!$C$9=1,IF(입력란!$C$14=0,1.05,IF(입력란!$C$14=1,1.05*1.05,IF(입력란!$C$14=2,1.05*1.12,IF(입력란!$C$14=3,1.05*1.25)))),1))</f>
        <v>228738.13904117674</v>
      </c>
      <c r="T272" s="29">
        <f>AN272*IF(MID(E272,3,1)="1",트라이포드!$J$18,트라이포드!$I$18)*IF(MID(E272,5,1)="1",2,1)*(1+입력란!$C$33/100)</f>
        <v>0</v>
      </c>
      <c r="U272" s="29"/>
      <c r="V272" s="29"/>
      <c r="W272" s="29"/>
      <c r="X272" s="38"/>
      <c r="Y272" s="38"/>
      <c r="Z272" s="26">
        <f>AN272*IF(MID(E272,1,1)="2",트라이포드!$F$18,트라이포드!$E$18)*IF(MID(E272,5,1)="1",2,1)*(1+입력란!$C$33/100)</f>
        <v>0</v>
      </c>
      <c r="AA272" s="29">
        <f>SUM(AB272:AI272)</f>
        <v>457476.27808235347</v>
      </c>
      <c r="AB272" s="29">
        <f>S272*2</f>
        <v>457476.27808235347</v>
      </c>
      <c r="AC272" s="29">
        <f>T272*2</f>
        <v>0</v>
      </c>
      <c r="AD272" s="29"/>
      <c r="AE272" s="29"/>
      <c r="AF272" s="38"/>
      <c r="AG272" s="38"/>
      <c r="AH272" s="38"/>
      <c r="AI272" s="26">
        <f>Z272*2</f>
        <v>0</v>
      </c>
      <c r="AJ272" s="25">
        <f>(AR272-IF(MID(E272,1,1)="1",트라이포드!$D$18,트라이포드!$C$18))*(1-입력란!$C$29/100)</f>
        <v>34.477458022440004</v>
      </c>
      <c r="AK27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2" s="25">
        <f>입력란!$C$37+IF(입력란!$C$17=1,10,IF(입력란!$C$17=2,25,IF(입력란!$C$17=3,50,0)))</f>
        <v>200</v>
      </c>
      <c r="AM272" s="29">
        <f>SUM(AN272:AP272)</f>
        <v>128021.86860680308</v>
      </c>
      <c r="AN272" s="29">
        <f>(VLOOKUP(C272,$B$4:$AK$7,22,FALSE)+VLOOKUP(C272,$B$8:$AK$11,22,FALSE)*입력란!$C$23)*입력란!$C$38/100</f>
        <v>128021.86860680308</v>
      </c>
      <c r="AO272" s="29"/>
      <c r="AP272" s="29"/>
      <c r="AQ272" s="29"/>
      <c r="AR272" s="22">
        <v>36</v>
      </c>
    </row>
    <row r="273" spans="2:44" ht="13.5" customHeight="1" x14ac:dyDescent="0.3">
      <c r="B273" s="30">
        <v>258</v>
      </c>
      <c r="C273" s="35">
        <v>7</v>
      </c>
      <c r="D273" s="42" t="s">
        <v>183</v>
      </c>
      <c r="E273" s="37" t="s">
        <v>155</v>
      </c>
      <c r="F273" s="39"/>
      <c r="G273" s="39"/>
      <c r="H273" s="80">
        <f>I273/AJ273</f>
        <v>8733.7648511231419</v>
      </c>
      <c r="I273" s="52">
        <f>SUM(J273:Q273)*IF(입력란!C$15=1,1.04,IF(입력란!C$15=2,1.1,IF(입력란!C$15=3,1.2,1)))*IF(입력란!$C$13&lt;&gt;0,0,1)*IF(입력란!$C$17&lt;&gt;0,0.98,1)</f>
        <v>242567.2866650373</v>
      </c>
      <c r="J273" s="29">
        <f>S273*(1+IF($AK273+IF(입력란!$C$10=1,0,IF(입력란!$C$9=1,10,0))+IF(입력란!$C$19=1,10,0)&gt;100,100,$AK273+IF(입력란!$C$10=1,0,IF(입력란!$C$9=1,10,0))+IF(입력란!$C$19=1,10,0))/100*($AL273/100-1))</f>
        <v>186590.22051156717</v>
      </c>
      <c r="K273" s="29">
        <f>T273*(1+IF($AK273+IF(입력란!$C$19=1,10,0)&gt;100,100,$AK273+IF(입력란!$C$19=1,10,0))/100*($AL273/100-1))</f>
        <v>55977.066153470143</v>
      </c>
      <c r="L273" s="29"/>
      <c r="M273" s="29"/>
      <c r="N273" s="38"/>
      <c r="O273" s="38"/>
      <c r="P273" s="38"/>
      <c r="Q273" s="34">
        <f>Z273*(1+IF($AK273+IF(입력란!$C$19=1,10,0)&gt;100,100,$AK273+IF(입력란!$C$19=1,10,0))/100*($AL273/100-1))</f>
        <v>0</v>
      </c>
      <c r="R273" s="23">
        <f>SUM(S273:Z273)</f>
        <v>198239.72050235319</v>
      </c>
      <c r="S273" s="29">
        <f>AN273*IF(MID(E273,3,1)="2",트라이포드!$L$18,트라이포드!$K$18)*IF(MID(E273,3,1)="3",트라이포드!$N$18,트라이포드!$M$18)*IF(MID(E273,5,1)="1",트라이포드!$P$18,트라이포드!$O$18)*IF(MID(E273,5,1)="2",트라이포드!$R$18,트라이포드!$Q$18)*(1+입력란!$C$33/100)*IF(입력란!$C$10=1,1.2,IF(입력란!$C$9=1,IF(입력란!$C$14=0,1.05,IF(입력란!$C$14=1,1.05*1.05,IF(입력란!$C$14=2,1.05*1.12,IF(입력란!$C$14=3,1.05*1.25)))),1))</f>
        <v>152492.09269411783</v>
      </c>
      <c r="T273" s="29">
        <f>AN273*IF(MID(E273,3,1)="1",트라이포드!$J$18,트라이포드!$I$18)*IF(MID(E273,5,1)="1",2,1)*(1+입력란!$C$33/100)</f>
        <v>45747.627808235346</v>
      </c>
      <c r="U273" s="29"/>
      <c r="V273" s="29"/>
      <c r="W273" s="29"/>
      <c r="X273" s="38"/>
      <c r="Y273" s="38"/>
      <c r="Z273" s="26">
        <f>AN273*IF(MID(E273,1,1)="2",트라이포드!$F$18,트라이포드!$E$18)*IF(MID(E273,5,1)="1",2,1)*(1+입력란!$C$33/100)</f>
        <v>0</v>
      </c>
      <c r="AA273" s="29">
        <f>SUM(AB273:AI273)</f>
        <v>396479.44100470637</v>
      </c>
      <c r="AB273" s="29">
        <f>S273*2</f>
        <v>304984.18538823567</v>
      </c>
      <c r="AC273" s="29">
        <f>T273*2</f>
        <v>91495.255616470691</v>
      </c>
      <c r="AD273" s="29"/>
      <c r="AE273" s="29"/>
      <c r="AF273" s="38"/>
      <c r="AG273" s="38"/>
      <c r="AH273" s="38"/>
      <c r="AI273" s="26">
        <f>Z273*2</f>
        <v>0</v>
      </c>
      <c r="AJ273" s="25">
        <f>(AR273-IF(MID(E273,1,1)="1",트라이포드!$D$18,트라이포드!$C$18))*(1-입력란!$C$29/100)</f>
        <v>27.773507851410002</v>
      </c>
      <c r="AK27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3" s="25">
        <f>입력란!$C$37+IF(입력란!$C$17=1,10,IF(입력란!$C$17=2,25,IF(입력란!$C$17=3,50,0)))</f>
        <v>200</v>
      </c>
      <c r="AM273" s="29">
        <f>SUM(AN273:AP273)</f>
        <v>128021.86860680308</v>
      </c>
      <c r="AN273" s="29">
        <f>(VLOOKUP(C273,$B$4:$AK$7,22,FALSE)+VLOOKUP(C273,$B$8:$AK$11,22,FALSE)*입력란!$C$23)*입력란!$C$38/100</f>
        <v>128021.86860680308</v>
      </c>
      <c r="AO273" s="29"/>
      <c r="AP273" s="29"/>
      <c r="AQ273" s="29"/>
      <c r="AR273" s="22">
        <v>36</v>
      </c>
    </row>
    <row r="274" spans="2:44" ht="13.5" customHeight="1" x14ac:dyDescent="0.3">
      <c r="B274" s="30">
        <v>259</v>
      </c>
      <c r="C274" s="35">
        <v>7</v>
      </c>
      <c r="D274" s="42" t="s">
        <v>183</v>
      </c>
      <c r="E274" s="37" t="s">
        <v>167</v>
      </c>
      <c r="F274" s="39"/>
      <c r="G274" s="39"/>
      <c r="H274" s="80">
        <f>I274/AJ274</f>
        <v>8061.9367856521312</v>
      </c>
      <c r="I274" s="52">
        <f>SUM(J274:Q274)*IF(입력란!C$15=1,1.04,IF(입력란!C$15=2,1.1,IF(입력란!C$15=3,1.2,1)))*IF(입력란!$C$13&lt;&gt;0,0,1)*IF(입력란!$C$17&lt;&gt;0,0.98,1)</f>
        <v>223908.26461388057</v>
      </c>
      <c r="J274" s="29">
        <f>S274*(1+IF($AK274+IF(입력란!$C$10=1,0,IF(입력란!$C$9=1,10,0))+IF(입력란!$C$19=1,10,0)&gt;100,100,$AK274+IF(입력란!$C$10=1,0,IF(입력란!$C$9=1,10,0))+IF(입력란!$C$19=1,10,0))/100*($AL274/100-1))</f>
        <v>223908.26461388057</v>
      </c>
      <c r="K274" s="29">
        <f>T274*(1+IF($AK274+IF(입력란!$C$19=1,10,0)&gt;100,100,$AK274+IF(입력란!$C$19=1,10,0))/100*($AL274/100-1))</f>
        <v>0</v>
      </c>
      <c r="L274" s="29"/>
      <c r="M274" s="29"/>
      <c r="N274" s="38"/>
      <c r="O274" s="38"/>
      <c r="P274" s="38"/>
      <c r="Q274" s="34">
        <f>Z274*(1+IF($AK274+IF(입력란!$C$19=1,10,0)&gt;100,100,$AK274+IF(입력란!$C$19=1,10,0))/100*($AL274/100-1))</f>
        <v>0</v>
      </c>
      <c r="R274" s="23">
        <f>SUM(S274:Z274)</f>
        <v>182990.51123294138</v>
      </c>
      <c r="S274" s="29">
        <f>AN274*IF(MID(E274,3,1)="2",트라이포드!$L$18,트라이포드!$K$18)*IF(MID(E274,3,1)="3",트라이포드!$N$18,트라이포드!$M$18)*IF(MID(E274,5,1)="1",트라이포드!$P$18,트라이포드!$O$18)*IF(MID(E274,5,1)="2",트라이포드!$R$18,트라이포드!$Q$18)*(1+입력란!$C$33/100)*IF(입력란!$C$10=1,1.2,IF(입력란!$C$9=1,IF(입력란!$C$14=0,1.05,IF(입력란!$C$14=1,1.05*1.05,IF(입력란!$C$14=2,1.05*1.12,IF(입력란!$C$14=3,1.05*1.25)))),1))</f>
        <v>182990.51123294138</v>
      </c>
      <c r="T274" s="29">
        <f>AN274*IF(MID(E274,3,1)="1",트라이포드!$J$18,트라이포드!$I$18)*IF(MID(E274,5,1)="1",2,1)*(1+입력란!$C$33/100)</f>
        <v>0</v>
      </c>
      <c r="U274" s="29"/>
      <c r="V274" s="29"/>
      <c r="W274" s="29"/>
      <c r="X274" s="38"/>
      <c r="Y274" s="38"/>
      <c r="Z274" s="26">
        <f>AN274*IF(MID(E274,1,1)="2",트라이포드!$F$18,트라이포드!$E$18)*IF(MID(E274,5,1)="1",2,1)*(1+입력란!$C$33/100)</f>
        <v>0</v>
      </c>
      <c r="AA274" s="29">
        <f>SUM(AB274:AI274)</f>
        <v>365981.02246588276</v>
      </c>
      <c r="AB274" s="29">
        <f>S274*2</f>
        <v>365981.02246588276</v>
      </c>
      <c r="AC274" s="29">
        <f>T274*2</f>
        <v>0</v>
      </c>
      <c r="AD274" s="29"/>
      <c r="AE274" s="29"/>
      <c r="AF274" s="38"/>
      <c r="AG274" s="38"/>
      <c r="AH274" s="38"/>
      <c r="AI274" s="26">
        <f>Z274*2</f>
        <v>0</v>
      </c>
      <c r="AJ274" s="25">
        <f>(AR274-IF(MID(E274,1,1)="1",트라이포드!$D$18,트라이포드!$C$18))*(1-입력란!$C$29/100)</f>
        <v>27.773507851410002</v>
      </c>
      <c r="AK27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4" s="25">
        <f>입력란!$C$37+IF(입력란!$C$17=1,10,IF(입력란!$C$17=2,25,IF(입력란!$C$17=3,50,0)))</f>
        <v>200</v>
      </c>
      <c r="AM274" s="29">
        <f>SUM(AN274:AP274)</f>
        <v>128021.86860680308</v>
      </c>
      <c r="AN274" s="29">
        <f>(VLOOKUP(C274,$B$4:$AK$7,22,FALSE)+VLOOKUP(C274,$B$8:$AK$11,22,FALSE)*입력란!$C$23)*입력란!$C$38/100</f>
        <v>128021.86860680308</v>
      </c>
      <c r="AO274" s="29"/>
      <c r="AP274" s="29"/>
      <c r="AQ274" s="29"/>
      <c r="AR274" s="22">
        <v>36</v>
      </c>
    </row>
    <row r="275" spans="2:44" ht="13.5" customHeight="1" x14ac:dyDescent="0.3">
      <c r="B275" s="30">
        <v>260</v>
      </c>
      <c r="C275" s="35">
        <v>7</v>
      </c>
      <c r="D275" s="42" t="s">
        <v>183</v>
      </c>
      <c r="E275" s="37" t="s">
        <v>156</v>
      </c>
      <c r="F275" s="39" t="s">
        <v>192</v>
      </c>
      <c r="G275" s="39"/>
      <c r="H275" s="80">
        <f>I275/AJ275</f>
        <v>10077.420982065165</v>
      </c>
      <c r="I275" s="52">
        <f>SUM(J275:Q275)*IF(입력란!C$15=1,1.04,IF(입력란!C$15=2,1.1,IF(입력란!C$15=3,1.2,1)))*IF(입력란!$C$13&lt;&gt;0,0,1)*IF(입력란!$C$17&lt;&gt;0,0.98,1)</f>
        <v>279885.33076735074</v>
      </c>
      <c r="J275" s="29">
        <f>S275*(1+IF($AK275+IF(입력란!$C$10=1,0,IF(입력란!$C$9=1,10,0))+IF(입력란!$C$19=1,10,0)&gt;100,100,$AK275+IF(입력란!$C$10=1,0,IF(입력란!$C$9=1,10,0))+IF(입력란!$C$19=1,10,0))/100*($AL275/100-1))</f>
        <v>279885.33076735074</v>
      </c>
      <c r="K275" s="29">
        <f>T275*(1+IF($AK275+IF(입력란!$C$19=1,10,0)&gt;100,100,$AK275+IF(입력란!$C$19=1,10,0))/100*($AL275/100-1))</f>
        <v>0</v>
      </c>
      <c r="L275" s="29"/>
      <c r="M275" s="29"/>
      <c r="N275" s="38"/>
      <c r="O275" s="38"/>
      <c r="P275" s="38"/>
      <c r="Q275" s="34">
        <f>Z275*(1+IF($AK275+IF(입력란!$C$19=1,10,0)&gt;100,100,$AK275+IF(입력란!$C$19=1,10,0))/100*($AL275/100-1))</f>
        <v>0</v>
      </c>
      <c r="R275" s="23">
        <f>SUM(S275:Z275)</f>
        <v>228738.13904117674</v>
      </c>
      <c r="S275" s="29">
        <f>AN275*IF(MID(E275,3,1)="2",트라이포드!$L$18,트라이포드!$K$18)*IF(MID(E275,3,1)="3",트라이포드!$N$18,트라이포드!$M$18)*IF(MID(E275,5,1)="1",트라이포드!$P$18,트라이포드!$O$18)*IF(MID(E275,5,1)="2",트라이포드!$R$18,트라이포드!$Q$18)*(1+입력란!$C$33/100)*IF(입력란!$C$10=1,1.2,IF(입력란!$C$9=1,IF(입력란!$C$14=0,1.05,IF(입력란!$C$14=1,1.05*1.05,IF(입력란!$C$14=2,1.05*1.12,IF(입력란!$C$14=3,1.05*1.25)))),1))</f>
        <v>228738.13904117674</v>
      </c>
      <c r="T275" s="29">
        <f>AN275*IF(MID(E275,3,1)="1",트라이포드!$J$18,트라이포드!$I$18)*IF(MID(E275,5,1)="1",2,1)*(1+입력란!$C$33/100)</f>
        <v>0</v>
      </c>
      <c r="U275" s="29"/>
      <c r="V275" s="29"/>
      <c r="W275" s="29"/>
      <c r="X275" s="38"/>
      <c r="Y275" s="38"/>
      <c r="Z275" s="26">
        <f>AN275*IF(MID(E275,1,1)="2",트라이포드!$F$18,트라이포드!$E$18)*IF(MID(E275,5,1)="1",2,1)*(1+입력란!$C$33/100)</f>
        <v>0</v>
      </c>
      <c r="AA275" s="29">
        <f>SUM(AB275:AI275)</f>
        <v>457476.27808235347</v>
      </c>
      <c r="AB275" s="29">
        <f>S275*2</f>
        <v>457476.27808235347</v>
      </c>
      <c r="AC275" s="29">
        <f>T275*2</f>
        <v>0</v>
      </c>
      <c r="AD275" s="29"/>
      <c r="AE275" s="29"/>
      <c r="AF275" s="38"/>
      <c r="AG275" s="38"/>
      <c r="AH275" s="38"/>
      <c r="AI275" s="26">
        <f>Z275*2</f>
        <v>0</v>
      </c>
      <c r="AJ275" s="25">
        <f>(AR275-IF(MID(E275,1,1)="1",트라이포드!$D$18,트라이포드!$C$18))*(1-입력란!$C$29/100)</f>
        <v>27.773507851410002</v>
      </c>
      <c r="AK27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5" s="25">
        <f>입력란!$C$37+IF(입력란!$C$17=1,10,IF(입력란!$C$17=2,25,IF(입력란!$C$17=3,50,0)))</f>
        <v>200</v>
      </c>
      <c r="AM275" s="29">
        <f>SUM(AN275:AP275)</f>
        <v>128021.86860680308</v>
      </c>
      <c r="AN275" s="29">
        <f>(VLOOKUP(C275,$B$4:$AK$7,22,FALSE)+VLOOKUP(C275,$B$8:$AK$11,22,FALSE)*입력란!$C$23)*입력란!$C$38/100</f>
        <v>128021.86860680308</v>
      </c>
      <c r="AO275" s="29"/>
      <c r="AP275" s="29"/>
      <c r="AQ275" s="29"/>
      <c r="AR275" s="22">
        <v>36</v>
      </c>
    </row>
    <row r="276" spans="2:44" ht="13.5" customHeight="1" x14ac:dyDescent="0.3">
      <c r="B276" s="30">
        <v>261</v>
      </c>
      <c r="C276" s="35">
        <v>7</v>
      </c>
      <c r="D276" s="42" t="s">
        <v>183</v>
      </c>
      <c r="E276" s="37" t="s">
        <v>184</v>
      </c>
      <c r="F276" s="39" t="s">
        <v>180</v>
      </c>
      <c r="G276" s="39"/>
      <c r="H276" s="80">
        <f>I276/AJ276</f>
        <v>8117.9224577747154</v>
      </c>
      <c r="I276" s="52">
        <f>SUM(J276:Q276)*IF(입력란!C$15=1,1.04,IF(입력란!C$15=2,1.1,IF(입력란!C$15=3,1.2,1)))*IF(입력란!$C$13&lt;&gt;0,0,1)*IF(입력란!$C$17&lt;&gt;0,0.98,1)</f>
        <v>279885.33076735074</v>
      </c>
      <c r="J276" s="29">
        <f>S276*(1+IF($AK276+IF(입력란!$C$10=1,0,IF(입력란!$C$9=1,10,0))+IF(입력란!$C$19=1,10,0)&gt;100,100,$AK276+IF(입력란!$C$10=1,0,IF(입력란!$C$9=1,10,0))+IF(입력란!$C$19=1,10,0))/100*($AL276/100-1))</f>
        <v>186590.22051156717</v>
      </c>
      <c r="K276" s="29">
        <f>T276*(1+IF($AK276+IF(입력란!$C$19=1,10,0)&gt;100,100,$AK276+IF(입력란!$C$19=1,10,0))/100*($AL276/100-1))</f>
        <v>55977.066153470143</v>
      </c>
      <c r="L276" s="29"/>
      <c r="M276" s="29"/>
      <c r="N276" s="38"/>
      <c r="O276" s="38"/>
      <c r="P276" s="38"/>
      <c r="Q276" s="34">
        <f>Z276*(1+IF($AK276+IF(입력란!$C$19=1,10,0)&gt;100,100,$AK276+IF(입력란!$C$19=1,10,0))/100*($AL276/100-1))</f>
        <v>37318.044102313434</v>
      </c>
      <c r="R276" s="23">
        <f>SUM(S276:Z276)</f>
        <v>228738.13904117676</v>
      </c>
      <c r="S276" s="29">
        <f>AN276*IF(MID(E276,3,1)="2",트라이포드!$L$18,트라이포드!$K$18)*IF(MID(E276,3,1)="3",트라이포드!$N$18,트라이포드!$M$18)*IF(MID(E276,5,1)="1",트라이포드!$P$18,트라이포드!$O$18)*IF(MID(E276,5,1)="2",트라이포드!$R$18,트라이포드!$Q$18)*(1+입력란!$C$33/100)*IF(입력란!$C$10=1,1.2,IF(입력란!$C$9=1,IF(입력란!$C$14=0,1.05,IF(입력란!$C$14=1,1.05*1.05,IF(입력란!$C$14=2,1.05*1.12,IF(입력란!$C$14=3,1.05*1.25)))),1))</f>
        <v>152492.09269411783</v>
      </c>
      <c r="T276" s="29">
        <f>AN276*IF(MID(E276,3,1)="1",트라이포드!$J$18,트라이포드!$I$18)*IF(MID(E276,5,1)="1",2,1)*(1+입력란!$C$33/100)</f>
        <v>45747.627808235346</v>
      </c>
      <c r="U276" s="29"/>
      <c r="V276" s="29"/>
      <c r="W276" s="29"/>
      <c r="X276" s="38"/>
      <c r="Y276" s="38"/>
      <c r="Z276" s="26">
        <f>AN276*IF(MID(E276,1,1)="2",트라이포드!$F$18,트라이포드!$E$18)*IF(MID(E276,5,1)="1",2,1)*(1+입력란!$C$33/100)</f>
        <v>30498.418538823567</v>
      </c>
      <c r="AA276" s="29">
        <f>SUM(AB276:AI276)</f>
        <v>457476.27808235353</v>
      </c>
      <c r="AB276" s="29">
        <f>S276*2</f>
        <v>304984.18538823567</v>
      </c>
      <c r="AC276" s="29">
        <f>T276*2</f>
        <v>91495.255616470691</v>
      </c>
      <c r="AD276" s="29"/>
      <c r="AE276" s="29"/>
      <c r="AF276" s="38"/>
      <c r="AG276" s="38"/>
      <c r="AH276" s="38"/>
      <c r="AI276" s="26">
        <f>Z276*2</f>
        <v>60996.837077647135</v>
      </c>
      <c r="AJ276" s="25">
        <f>(AR276-IF(MID(E276,1,1)="1",트라이포드!$D$18,트라이포드!$C$18))*(1-입력란!$C$29/100)</f>
        <v>34.477458022440004</v>
      </c>
      <c r="AK27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6" s="25">
        <f>입력란!$C$37+IF(입력란!$C$17=1,10,IF(입력란!$C$17=2,25,IF(입력란!$C$17=3,50,0)))</f>
        <v>200</v>
      </c>
      <c r="AM276" s="29">
        <f>SUM(AN276:AP276)</f>
        <v>128021.86860680308</v>
      </c>
      <c r="AN276" s="29">
        <f>(VLOOKUP(C276,$B$4:$AK$7,22,FALSE)+VLOOKUP(C276,$B$8:$AK$11,22,FALSE)*입력란!$C$23)*입력란!$C$38/100</f>
        <v>128021.86860680308</v>
      </c>
      <c r="AO276" s="29"/>
      <c r="AP276" s="29"/>
      <c r="AQ276" s="29"/>
      <c r="AR276" s="22">
        <v>36</v>
      </c>
    </row>
    <row r="277" spans="2:44" ht="13.5" customHeight="1" x14ac:dyDescent="0.3">
      <c r="B277" s="30">
        <v>262</v>
      </c>
      <c r="C277" s="35">
        <v>7</v>
      </c>
      <c r="D277" s="42" t="s">
        <v>183</v>
      </c>
      <c r="E277" s="37" t="s">
        <v>168</v>
      </c>
      <c r="F277" s="39" t="s">
        <v>180</v>
      </c>
      <c r="G277" s="39"/>
      <c r="H277" s="80">
        <f>I277/AJ277</f>
        <v>7576.7276272564004</v>
      </c>
      <c r="I277" s="52">
        <f>SUM(J277:Q277)*IF(입력란!C$15=1,1.04,IF(입력란!C$15=2,1.1,IF(입력란!C$15=3,1.2,1)))*IF(입력란!$C$13&lt;&gt;0,0,1)*IF(입력란!$C$17&lt;&gt;0,0.98,1)</f>
        <v>261226.30871619401</v>
      </c>
      <c r="J277" s="29">
        <f>S277*(1+IF($AK277+IF(입력란!$C$10=1,0,IF(입력란!$C$9=1,10,0))+IF(입력란!$C$19=1,10,0)&gt;100,100,$AK277+IF(입력란!$C$10=1,0,IF(입력란!$C$9=1,10,0))+IF(입력란!$C$19=1,10,0))/100*($AL277/100-1))</f>
        <v>223908.26461388057</v>
      </c>
      <c r="K277" s="29">
        <f>T277*(1+IF($AK277+IF(입력란!$C$19=1,10,0)&gt;100,100,$AK277+IF(입력란!$C$19=1,10,0))/100*($AL277/100-1))</f>
        <v>0</v>
      </c>
      <c r="L277" s="29"/>
      <c r="M277" s="29"/>
      <c r="N277" s="38"/>
      <c r="O277" s="38"/>
      <c r="P277" s="38"/>
      <c r="Q277" s="34">
        <f>Z277*(1+IF($AK277+IF(입력란!$C$19=1,10,0)&gt;100,100,$AK277+IF(입력란!$C$19=1,10,0))/100*($AL277/100-1))</f>
        <v>37318.044102313434</v>
      </c>
      <c r="R277" s="23">
        <f>SUM(S277:Z277)</f>
        <v>213488.92977176496</v>
      </c>
      <c r="S277" s="29">
        <f>AN277*IF(MID(E277,3,1)="2",트라이포드!$L$18,트라이포드!$K$18)*IF(MID(E277,3,1)="3",트라이포드!$N$18,트라이포드!$M$18)*IF(MID(E277,5,1)="1",트라이포드!$P$18,트라이포드!$O$18)*IF(MID(E277,5,1)="2",트라이포드!$R$18,트라이포드!$Q$18)*(1+입력란!$C$33/100)*IF(입력란!$C$10=1,1.2,IF(입력란!$C$9=1,IF(입력란!$C$14=0,1.05,IF(입력란!$C$14=1,1.05*1.05,IF(입력란!$C$14=2,1.05*1.12,IF(입력란!$C$14=3,1.05*1.25)))),1))</f>
        <v>182990.51123294138</v>
      </c>
      <c r="T277" s="29">
        <f>AN277*IF(MID(E277,3,1)="1",트라이포드!$J$18,트라이포드!$I$18)*IF(MID(E277,5,1)="1",2,1)*(1+입력란!$C$33/100)</f>
        <v>0</v>
      </c>
      <c r="U277" s="29"/>
      <c r="V277" s="29"/>
      <c r="W277" s="29"/>
      <c r="X277" s="38"/>
      <c r="Y277" s="38"/>
      <c r="Z277" s="26">
        <f>AN277*IF(MID(E277,1,1)="2",트라이포드!$F$18,트라이포드!$E$18)*IF(MID(E277,5,1)="1",2,1)*(1+입력란!$C$33/100)</f>
        <v>30498.418538823567</v>
      </c>
      <c r="AA277" s="29">
        <f>SUM(AB277:AI277)</f>
        <v>426977.85954352992</v>
      </c>
      <c r="AB277" s="29">
        <f>S277*2</f>
        <v>365981.02246588276</v>
      </c>
      <c r="AC277" s="29">
        <f>T277*2</f>
        <v>0</v>
      </c>
      <c r="AD277" s="29"/>
      <c r="AE277" s="29"/>
      <c r="AF277" s="38"/>
      <c r="AG277" s="38"/>
      <c r="AH277" s="38"/>
      <c r="AI277" s="26">
        <f>Z277*2</f>
        <v>60996.837077647135</v>
      </c>
      <c r="AJ277" s="25">
        <f>(AR277-IF(MID(E277,1,1)="1",트라이포드!$D$18,트라이포드!$C$18))*(1-입력란!$C$29/100)</f>
        <v>34.477458022440004</v>
      </c>
      <c r="AK27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7" s="25">
        <f>입력란!$C$37+IF(입력란!$C$17=1,10,IF(입력란!$C$17=2,25,IF(입력란!$C$17=3,50,0)))</f>
        <v>200</v>
      </c>
      <c r="AM277" s="29">
        <f>SUM(AN277:AP277)</f>
        <v>128021.86860680308</v>
      </c>
      <c r="AN277" s="29">
        <f>(VLOOKUP(C277,$B$4:$AK$7,22,FALSE)+VLOOKUP(C277,$B$8:$AK$11,22,FALSE)*입력란!$C$23)*입력란!$C$38/100</f>
        <v>128021.86860680308</v>
      </c>
      <c r="AO277" s="29"/>
      <c r="AP277" s="29"/>
      <c r="AQ277" s="29"/>
      <c r="AR277" s="22">
        <v>36</v>
      </c>
    </row>
    <row r="278" spans="2:44" ht="13.5" customHeight="1" x14ac:dyDescent="0.3">
      <c r="B278" s="30">
        <v>263</v>
      </c>
      <c r="C278" s="35">
        <v>7</v>
      </c>
      <c r="D278" s="42" t="s">
        <v>183</v>
      </c>
      <c r="E278" s="37" t="s">
        <v>185</v>
      </c>
      <c r="F278" s="39" t="s">
        <v>193</v>
      </c>
      <c r="G278" s="39"/>
      <c r="H278" s="80">
        <f>I278/AJ278</f>
        <v>9200.3121188113455</v>
      </c>
      <c r="I278" s="52">
        <f>SUM(J278:Q278)*IF(입력란!C$15=1,1.04,IF(입력란!C$15=2,1.1,IF(입력란!C$15=3,1.2,1)))*IF(입력란!$C$13&lt;&gt;0,0,1)*IF(입력란!$C$17&lt;&gt;0,0.98,1)</f>
        <v>317203.3748696642</v>
      </c>
      <c r="J278" s="29">
        <f>S278*(1+IF($AK278+IF(입력란!$C$10=1,0,IF(입력란!$C$9=1,10,0))+IF(입력란!$C$19=1,10,0)&gt;100,100,$AK278+IF(입력란!$C$10=1,0,IF(입력란!$C$9=1,10,0))+IF(입력란!$C$19=1,10,0))/100*($AL278/100-1))</f>
        <v>279885.33076735074</v>
      </c>
      <c r="K278" s="29">
        <f>T278*(1+IF($AK278+IF(입력란!$C$19=1,10,0)&gt;100,100,$AK278+IF(입력란!$C$19=1,10,0))/100*($AL278/100-1))</f>
        <v>0</v>
      </c>
      <c r="L278" s="29"/>
      <c r="M278" s="29"/>
      <c r="N278" s="38"/>
      <c r="O278" s="38"/>
      <c r="P278" s="38"/>
      <c r="Q278" s="34">
        <f>Z278*(1+IF($AK278+IF(입력란!$C$19=1,10,0)&gt;100,100,$AK278+IF(입력란!$C$19=1,10,0))/100*($AL278/100-1))</f>
        <v>37318.044102313434</v>
      </c>
      <c r="R278" s="23">
        <f>SUM(S278:Z278)</f>
        <v>259236.55758000031</v>
      </c>
      <c r="S278" s="29">
        <f>AN278*IF(MID(E278,3,1)="2",트라이포드!$L$18,트라이포드!$K$18)*IF(MID(E278,3,1)="3",트라이포드!$N$18,트라이포드!$M$18)*IF(MID(E278,5,1)="1",트라이포드!$P$18,트라이포드!$O$18)*IF(MID(E278,5,1)="2",트라이포드!$R$18,트라이포드!$Q$18)*(1+입력란!$C$33/100)*IF(입력란!$C$10=1,1.2,IF(입력란!$C$9=1,IF(입력란!$C$14=0,1.05,IF(입력란!$C$14=1,1.05*1.05,IF(입력란!$C$14=2,1.05*1.12,IF(입력란!$C$14=3,1.05*1.25)))),1))</f>
        <v>228738.13904117674</v>
      </c>
      <c r="T278" s="29">
        <f>AN278*IF(MID(E278,3,1)="1",트라이포드!$J$18,트라이포드!$I$18)*IF(MID(E278,5,1)="1",2,1)*(1+입력란!$C$33/100)</f>
        <v>0</v>
      </c>
      <c r="U278" s="29"/>
      <c r="V278" s="29"/>
      <c r="W278" s="29"/>
      <c r="X278" s="38"/>
      <c r="Y278" s="38"/>
      <c r="Z278" s="26">
        <f>AN278*IF(MID(E278,1,1)="2",트라이포드!$F$18,트라이포드!$E$18)*IF(MID(E278,5,1)="1",2,1)*(1+입력란!$C$33/100)</f>
        <v>30498.418538823567</v>
      </c>
      <c r="AA278" s="29">
        <f>SUM(AB278:AI278)</f>
        <v>518473.11516000063</v>
      </c>
      <c r="AB278" s="29">
        <f>S278*2</f>
        <v>457476.27808235347</v>
      </c>
      <c r="AC278" s="29">
        <f>T278*2</f>
        <v>0</v>
      </c>
      <c r="AD278" s="29"/>
      <c r="AE278" s="29"/>
      <c r="AF278" s="38"/>
      <c r="AG278" s="38"/>
      <c r="AH278" s="38"/>
      <c r="AI278" s="26">
        <f>Z278*2</f>
        <v>60996.837077647135</v>
      </c>
      <c r="AJ278" s="25">
        <f>(AR278-IF(MID(E278,1,1)="1",트라이포드!$D$18,트라이포드!$C$18))*(1-입력란!$C$29/100)</f>
        <v>34.477458022440004</v>
      </c>
      <c r="AK27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8" s="25">
        <f>입력란!$C$37+IF(입력란!$C$17=1,10,IF(입력란!$C$17=2,25,IF(입력란!$C$17=3,50,0)))</f>
        <v>200</v>
      </c>
      <c r="AM278" s="29">
        <f>SUM(AN278:AP278)</f>
        <v>128021.86860680308</v>
      </c>
      <c r="AN278" s="29">
        <f>(VLOOKUP(C278,$B$4:$AK$7,22,FALSE)+VLOOKUP(C278,$B$8:$AK$11,22,FALSE)*입력란!$C$23)*입력란!$C$38/100</f>
        <v>128021.86860680308</v>
      </c>
      <c r="AO278" s="29"/>
      <c r="AP278" s="29"/>
      <c r="AQ278" s="29"/>
      <c r="AR278" s="22">
        <v>36</v>
      </c>
    </row>
    <row r="279" spans="2:44" ht="13.5" customHeight="1" x14ac:dyDescent="0.3">
      <c r="B279" s="30">
        <v>264</v>
      </c>
      <c r="C279" s="35">
        <v>10</v>
      </c>
      <c r="D279" s="42" t="s">
        <v>183</v>
      </c>
      <c r="E279" s="37" t="s">
        <v>152</v>
      </c>
      <c r="F279" s="39"/>
      <c r="G279" s="39"/>
      <c r="H279" s="80">
        <f>I279/AJ279</f>
        <v>5418.5260810385553</v>
      </c>
      <c r="I279" s="52">
        <f>SUM(J279:Q279)*IF(입력란!C$15=1,1.04,IF(입력란!C$15=2,1.1,IF(입력란!C$15=3,1.2,1)))*IF(입력란!$C$13&lt;&gt;0,0,1)*IF(입력란!$C$17&lt;&gt;0,0.98,1)</f>
        <v>186817.00550250313</v>
      </c>
      <c r="J279" s="29">
        <f>S279*(1+IF($AK279+IF(입력란!$C$10=1,0,IF(입력란!$C$9=1,10,0))+IF(입력란!$C$19=1,10,0)&gt;100,100,$AK279+IF(입력란!$C$10=1,0,IF(입력란!$C$9=1,10,0))+IF(입력란!$C$19=1,10,0))/100*($AL279/100-1))</f>
        <v>186817.00550250313</v>
      </c>
      <c r="K279" s="29">
        <f>T279*(1+IF($AK279+IF(입력란!$C$19=1,10,0)&gt;100,100,$AK279+IF(입력란!$C$19=1,10,0))/100*($AL279/100-1))</f>
        <v>0</v>
      </c>
      <c r="L279" s="29"/>
      <c r="M279" s="29"/>
      <c r="N279" s="38"/>
      <c r="O279" s="38"/>
      <c r="P279" s="38"/>
      <c r="Q279" s="34">
        <f>Z279*(1+IF($AK279+IF(입력란!$C$19=1,10,0)&gt;100,100,$AK279+IF(입력란!$C$19=1,10,0))/100*($AL279/100-1))</f>
        <v>0</v>
      </c>
      <c r="R279" s="23">
        <f>SUM(S279:Z279)</f>
        <v>152677.43422897763</v>
      </c>
      <c r="S279" s="29">
        <f>AN279*IF(MID(E279,3,1)="2",트라이포드!$L$18,트라이포드!$K$18)*IF(MID(E279,3,1)="3",트라이포드!$N$18,트라이포드!$M$18)*IF(MID(E279,5,1)="1",트라이포드!$P$18,트라이포드!$O$18)*IF(MID(E279,5,1)="2",트라이포드!$R$18,트라이포드!$Q$18)*(1+입력란!$C$33/100)*IF(입력란!$C$10=1,1.2,IF(입력란!$C$9=1,IF(입력란!$C$14=0,1.05,IF(입력란!$C$14=1,1.05*1.05,IF(입력란!$C$14=2,1.05*1.12,IF(입력란!$C$14=3,1.05*1.25)))),1))</f>
        <v>152677.43422897763</v>
      </c>
      <c r="T279" s="29">
        <f>AN279*IF(MID(E279,3,1)="1",트라이포드!$J$18,트라이포드!$I$18)*IF(MID(E279,5,1)="1",2,1)*(1+입력란!$C$33/100)</f>
        <v>0</v>
      </c>
      <c r="U279" s="29"/>
      <c r="V279" s="29"/>
      <c r="W279" s="29"/>
      <c r="X279" s="38"/>
      <c r="Y279" s="38"/>
      <c r="Z279" s="26">
        <f>AN279*IF(MID(E279,1,1)="2",트라이포드!$F$18,트라이포드!$E$18)*IF(MID(E279,5,1)="1",2,1)*(1+입력란!$C$33/100)</f>
        <v>0</v>
      </c>
      <c r="AA279" s="29">
        <f>SUM(AB279:AI279)</f>
        <v>305354.86845795525</v>
      </c>
      <c r="AB279" s="29">
        <f>S279*2</f>
        <v>305354.86845795525</v>
      </c>
      <c r="AC279" s="29">
        <f>T279*2</f>
        <v>0</v>
      </c>
      <c r="AD279" s="29"/>
      <c r="AE279" s="29"/>
      <c r="AF279" s="38"/>
      <c r="AG279" s="38"/>
      <c r="AH279" s="38"/>
      <c r="AI279" s="26">
        <f>Z279*2</f>
        <v>0</v>
      </c>
      <c r="AJ279" s="25">
        <f>(AR279-IF(MID(E279,1,1)="1",트라이포드!$D$18,트라이포드!$C$18))*(1-입력란!$C$29/100)</f>
        <v>34.477458022440004</v>
      </c>
      <c r="AK27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79" s="25">
        <f>입력란!$C$37+IF(입력란!$C$17=1,10,IF(입력란!$C$17=2,25,IF(입력란!$C$17=3,50,0)))</f>
        <v>200</v>
      </c>
      <c r="AM279" s="29">
        <f>SUM(AN279:AP279)</f>
        <v>128177.46860680309</v>
      </c>
      <c r="AN279" s="29">
        <f>(VLOOKUP(C279,$B$4:$AK$7,22,FALSE)+VLOOKUP(C279,$B$8:$AK$11,22,FALSE)*입력란!$C$23)*입력란!$C$38/100</f>
        <v>128177.46860680309</v>
      </c>
      <c r="AO279" s="29"/>
      <c r="AP279" s="29"/>
      <c r="AQ279" s="29"/>
      <c r="AR279" s="22">
        <v>36</v>
      </c>
    </row>
    <row r="280" spans="2:44" ht="13.5" customHeight="1" x14ac:dyDescent="0.3">
      <c r="B280" s="30">
        <v>265</v>
      </c>
      <c r="C280" s="35">
        <v>10</v>
      </c>
      <c r="D280" s="42" t="s">
        <v>183</v>
      </c>
      <c r="E280" s="37" t="s">
        <v>157</v>
      </c>
      <c r="F280" s="39"/>
      <c r="G280" s="39"/>
      <c r="H280" s="80">
        <f>I280/AJ280</f>
        <v>8669.6417296616874</v>
      </c>
      <c r="I280" s="52">
        <f>SUM(J280:Q280)*IF(입력란!C$15=1,1.04,IF(입력란!C$15=2,1.1,IF(입력란!C$15=3,1.2,1)))*IF(입력란!$C$13&lt;&gt;0,0,1)*IF(입력란!$C$17&lt;&gt;0,0.98,1)</f>
        <v>298907.208804005</v>
      </c>
      <c r="J280" s="29">
        <f>S280*(1+IF($AK280+IF(입력란!$C$10=1,0,IF(입력란!$C$9=1,10,0))+IF(입력란!$C$19=1,10,0)&gt;100,100,$AK280+IF(입력란!$C$10=1,0,IF(입력란!$C$9=1,10,0))+IF(입력란!$C$19=1,10,0))/100*($AL280/100-1))</f>
        <v>298907.208804005</v>
      </c>
      <c r="K280" s="29">
        <f>T280*(1+IF($AK280+IF(입력란!$C$19=1,10,0)&gt;100,100,$AK280+IF(입력란!$C$19=1,10,0))/100*($AL280/100-1))</f>
        <v>0</v>
      </c>
      <c r="L280" s="29"/>
      <c r="M280" s="29"/>
      <c r="N280" s="38"/>
      <c r="O280" s="38"/>
      <c r="P280" s="38"/>
      <c r="Q280" s="34">
        <f>Z280*(1+IF($AK280+IF(입력란!$C$19=1,10,0)&gt;100,100,$AK280+IF(입력란!$C$19=1,10,0))/100*($AL280/100-1))</f>
        <v>0</v>
      </c>
      <c r="R280" s="23">
        <f>SUM(S280:Z280)</f>
        <v>244283.89476636422</v>
      </c>
      <c r="S280" s="29">
        <f>AN280*IF(MID(E280,3,1)="2",트라이포드!$L$18,트라이포드!$K$18)*IF(MID(E280,3,1)="3",트라이포드!$N$18,트라이포드!$M$18)*IF(MID(E280,5,1)="1",트라이포드!$P$18,트라이포드!$O$18)*IF(MID(E280,5,1)="2",트라이포드!$R$18,트라이포드!$Q$18)*(1+입력란!$C$33/100)*IF(입력란!$C$10=1,1.2,IF(입력란!$C$9=1,IF(입력란!$C$14=0,1.05,IF(입력란!$C$14=1,1.05*1.05,IF(입력란!$C$14=2,1.05*1.12,IF(입력란!$C$14=3,1.05*1.25)))),1))</f>
        <v>244283.89476636422</v>
      </c>
      <c r="T280" s="29">
        <f>AN280*IF(MID(E280,3,1)="1",트라이포드!$J$18,트라이포드!$I$18)*IF(MID(E280,5,1)="1",2,1)*(1+입력란!$C$33/100)</f>
        <v>0</v>
      </c>
      <c r="U280" s="29"/>
      <c r="V280" s="29"/>
      <c r="W280" s="29"/>
      <c r="X280" s="38"/>
      <c r="Y280" s="38"/>
      <c r="Z280" s="26">
        <f>AN280*IF(MID(E280,1,1)="2",트라이포드!$F$18,트라이포드!$E$18)*IF(MID(E280,5,1)="1",2,1)*(1+입력란!$C$33/100)</f>
        <v>0</v>
      </c>
      <c r="AA280" s="29">
        <f>SUM(AB280:AI280)</f>
        <v>488567.78953272844</v>
      </c>
      <c r="AB280" s="29">
        <f>S280*2</f>
        <v>488567.78953272844</v>
      </c>
      <c r="AC280" s="29">
        <f>T280*2</f>
        <v>0</v>
      </c>
      <c r="AD280" s="29"/>
      <c r="AE280" s="29"/>
      <c r="AF280" s="38"/>
      <c r="AG280" s="38"/>
      <c r="AH280" s="38"/>
      <c r="AI280" s="26">
        <f>Z280*2</f>
        <v>0</v>
      </c>
      <c r="AJ280" s="25">
        <f>(AR280-IF(MID(E280,1,1)="1",트라이포드!$D$18,트라이포드!$C$18))*(1-입력란!$C$29/100)</f>
        <v>34.477458022440004</v>
      </c>
      <c r="AK28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0" s="25">
        <f>입력란!$C$37+IF(입력란!$C$17=1,10,IF(입력란!$C$17=2,25,IF(입력란!$C$17=3,50,0)))</f>
        <v>200</v>
      </c>
      <c r="AM280" s="29">
        <f>SUM(AN280:AP280)</f>
        <v>128177.46860680309</v>
      </c>
      <c r="AN280" s="29">
        <f>(VLOOKUP(C280,$B$4:$AK$7,22,FALSE)+VLOOKUP(C280,$B$8:$AK$11,22,FALSE)*입력란!$C$23)*입력란!$C$38/100</f>
        <v>128177.46860680309</v>
      </c>
      <c r="AO280" s="29"/>
      <c r="AP280" s="29"/>
      <c r="AQ280" s="29"/>
      <c r="AR280" s="22">
        <v>36</v>
      </c>
    </row>
    <row r="281" spans="2:44" ht="13.5" customHeight="1" x14ac:dyDescent="0.3">
      <c r="B281" s="30">
        <v>266</v>
      </c>
      <c r="C281" s="35">
        <v>10</v>
      </c>
      <c r="D281" s="42" t="s">
        <v>183</v>
      </c>
      <c r="E281" s="37" t="s">
        <v>169</v>
      </c>
      <c r="F281" s="39"/>
      <c r="G281" s="39"/>
      <c r="H281" s="80">
        <f>I281/AJ281</f>
        <v>9753.3469458694017</v>
      </c>
      <c r="I281" s="52">
        <f>SUM(J281:Q281)*IF(입력란!C$15=1,1.04,IF(입력란!C$15=2,1.1,IF(입력란!C$15=3,1.2,1)))*IF(입력란!$C$13&lt;&gt;0,0,1)*IF(입력란!$C$17&lt;&gt;0,0.98,1)</f>
        <v>336270.60990450572</v>
      </c>
      <c r="J281" s="29">
        <f>S281*(1+IF($AK281+IF(입력란!$C$10=1,0,IF(입력란!$C$9=1,10,0))+IF(입력란!$C$19=1,10,0)&gt;100,100,$AK281+IF(입력란!$C$10=1,0,IF(입력란!$C$9=1,10,0))+IF(입력란!$C$19=1,10,0))/100*($AL281/100-1))</f>
        <v>336270.60990450572</v>
      </c>
      <c r="K281" s="29">
        <f>T281*(1+IF($AK281+IF(입력란!$C$19=1,10,0)&gt;100,100,$AK281+IF(입력란!$C$19=1,10,0))/100*($AL281/100-1))</f>
        <v>0</v>
      </c>
      <c r="L281" s="29"/>
      <c r="M281" s="29"/>
      <c r="N281" s="38"/>
      <c r="O281" s="38"/>
      <c r="P281" s="38"/>
      <c r="Q281" s="34">
        <f>Z281*(1+IF($AK281+IF(입력란!$C$19=1,10,0)&gt;100,100,$AK281+IF(입력란!$C$19=1,10,0))/100*($AL281/100-1))</f>
        <v>0</v>
      </c>
      <c r="R281" s="23">
        <f>SUM(S281:Z281)</f>
        <v>274819.38161215978</v>
      </c>
      <c r="S281" s="29">
        <f>AN281*IF(MID(E281,3,1)="2",트라이포드!$L$18,트라이포드!$K$18)*IF(MID(E281,3,1)="3",트라이포드!$N$18,트라이포드!$M$18)*IF(MID(E281,5,1)="1",트라이포드!$P$18,트라이포드!$O$18)*IF(MID(E281,5,1)="2",트라이포드!$R$18,트라이포드!$Q$18)*(1+입력란!$C$33/100)*IF(입력란!$C$10=1,1.2,IF(입력란!$C$9=1,IF(입력란!$C$14=0,1.05,IF(입력란!$C$14=1,1.05*1.05,IF(입력란!$C$14=2,1.05*1.12,IF(입력란!$C$14=3,1.05*1.25)))),1))</f>
        <v>274819.38161215978</v>
      </c>
      <c r="T281" s="29">
        <f>AN281*IF(MID(E281,3,1)="1",트라이포드!$J$18,트라이포드!$I$18)*IF(MID(E281,5,1)="1",2,1)*(1+입력란!$C$33/100)</f>
        <v>0</v>
      </c>
      <c r="U281" s="29"/>
      <c r="V281" s="29"/>
      <c r="W281" s="29"/>
      <c r="X281" s="38"/>
      <c r="Y281" s="38"/>
      <c r="Z281" s="26">
        <f>AN281*IF(MID(E281,1,1)="2",트라이포드!$F$18,트라이포드!$E$18)*IF(MID(E281,5,1)="1",2,1)*(1+입력란!$C$33/100)</f>
        <v>0</v>
      </c>
      <c r="AA281" s="29">
        <f>SUM(AB281:AI281)</f>
        <v>549638.76322431955</v>
      </c>
      <c r="AB281" s="29">
        <f>S281*2</f>
        <v>549638.76322431955</v>
      </c>
      <c r="AC281" s="29">
        <f>T281*2</f>
        <v>0</v>
      </c>
      <c r="AD281" s="29"/>
      <c r="AE281" s="29"/>
      <c r="AF281" s="38"/>
      <c r="AG281" s="38"/>
      <c r="AH281" s="38"/>
      <c r="AI281" s="26">
        <f>Z281*2</f>
        <v>0</v>
      </c>
      <c r="AJ281" s="25">
        <f>(AR281-IF(MID(E281,1,1)="1",트라이포드!$D$18,트라이포드!$C$18))*(1-입력란!$C$29/100)</f>
        <v>34.477458022440004</v>
      </c>
      <c r="AK28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1" s="25">
        <f>입력란!$C$37+IF(입력란!$C$17=1,10,IF(입력란!$C$17=2,25,IF(입력란!$C$17=3,50,0)))</f>
        <v>200</v>
      </c>
      <c r="AM281" s="29">
        <f>SUM(AN281:AP281)</f>
        <v>128177.46860680309</v>
      </c>
      <c r="AN281" s="29">
        <f>(VLOOKUP(C281,$B$4:$AK$7,22,FALSE)+VLOOKUP(C281,$B$8:$AK$11,22,FALSE)*입력란!$C$23)*입력란!$C$38/100</f>
        <v>128177.46860680309</v>
      </c>
      <c r="AO281" s="29"/>
      <c r="AP281" s="29"/>
      <c r="AQ281" s="29"/>
      <c r="AR281" s="22">
        <v>36</v>
      </c>
    </row>
    <row r="282" spans="2:44" ht="13.5" customHeight="1" x14ac:dyDescent="0.3">
      <c r="B282" s="30">
        <v>267</v>
      </c>
      <c r="C282" s="35">
        <v>10</v>
      </c>
      <c r="D282" s="42" t="s">
        <v>183</v>
      </c>
      <c r="E282" s="37" t="s">
        <v>161</v>
      </c>
      <c r="F282" s="39"/>
      <c r="G282" s="39"/>
      <c r="H282" s="80">
        <f>I282/AJ282</f>
        <v>14798.181573043226</v>
      </c>
      <c r="I282" s="52">
        <f>SUM(J282:Q282)*IF(입력란!C$15=1,1.04,IF(입력란!C$15=2,1.1,IF(입력란!C$15=3,1.2,1)))*IF(입력란!$C$13&lt;&gt;0,0,1)*IF(입력란!$C$17&lt;&gt;0,0.98,1)</f>
        <v>410997.41210550687</v>
      </c>
      <c r="J282" s="29">
        <f>S282*(1+IF($AK282+IF(입력란!$C$10=1,0,IF(입력란!$C$9=1,10,0))+IF(입력란!$C$19=1,10,0)&gt;100,100,$AK282+IF(입력란!$C$10=1,0,IF(입력란!$C$9=1,10,0))+IF(입력란!$C$19=1,10,0))/100*($AL282/100-1))</f>
        <v>298907.208804005</v>
      </c>
      <c r="K282" s="29">
        <f>T282*(1+IF($AK282+IF(입력란!$C$19=1,10,0)&gt;100,100,$AK282+IF(입력란!$C$19=1,10,0))/100*($AL282/100-1))</f>
        <v>112090.20330150188</v>
      </c>
      <c r="L282" s="29"/>
      <c r="M282" s="29"/>
      <c r="N282" s="38"/>
      <c r="O282" s="38"/>
      <c r="P282" s="38"/>
      <c r="Q282" s="34">
        <f>Z282*(1+IF($AK282+IF(입력란!$C$19=1,10,0)&gt;100,100,$AK282+IF(입력란!$C$19=1,10,0))/100*($AL282/100-1))</f>
        <v>0</v>
      </c>
      <c r="R282" s="23">
        <f>SUM(S282:Z282)</f>
        <v>335890.35530375078</v>
      </c>
      <c r="S282" s="29">
        <f>AN282*IF(MID(E282,3,1)="2",트라이포드!$L$18,트라이포드!$K$18)*IF(MID(E282,3,1)="3",트라이포드!$N$18,트라이포드!$M$18)*IF(MID(E282,5,1)="1",트라이포드!$P$18,트라이포드!$O$18)*IF(MID(E282,5,1)="2",트라이포드!$R$18,트라이포드!$Q$18)*(1+입력란!$C$33/100)*IF(입력란!$C$10=1,1.2,IF(입력란!$C$9=1,IF(입력란!$C$14=0,1.05,IF(입력란!$C$14=1,1.05*1.05,IF(입력란!$C$14=2,1.05*1.12,IF(입력란!$C$14=3,1.05*1.25)))),1))</f>
        <v>244283.89476636422</v>
      </c>
      <c r="T282" s="29">
        <f>AN282*IF(MID(E282,3,1)="1",트라이포드!$J$18,트라이포드!$I$18)*IF(MID(E282,5,1)="1",2,1)*(1+입력란!$C$33/100)</f>
        <v>91606.460537386578</v>
      </c>
      <c r="U282" s="29"/>
      <c r="V282" s="29"/>
      <c r="W282" s="29"/>
      <c r="X282" s="38"/>
      <c r="Y282" s="38"/>
      <c r="Z282" s="26">
        <f>AN282*IF(MID(E282,1,1)="2",트라이포드!$F$18,트라이포드!$E$18)*IF(MID(E282,5,1)="1",2,1)*(1+입력란!$C$33/100)</f>
        <v>0</v>
      </c>
      <c r="AA282" s="29">
        <f>SUM(AB282:AI282)</f>
        <v>671780.71060750156</v>
      </c>
      <c r="AB282" s="29">
        <f>S282*2</f>
        <v>488567.78953272844</v>
      </c>
      <c r="AC282" s="29">
        <f>T282*2</f>
        <v>183212.92107477316</v>
      </c>
      <c r="AD282" s="29"/>
      <c r="AE282" s="29"/>
      <c r="AF282" s="38"/>
      <c r="AG282" s="38"/>
      <c r="AH282" s="38"/>
      <c r="AI282" s="26">
        <f>Z282*2</f>
        <v>0</v>
      </c>
      <c r="AJ282" s="25">
        <f>(AR282-IF(MID(E282,1,1)="1",트라이포드!$D$18,트라이포드!$C$18))*(1-입력란!$C$29/100)</f>
        <v>27.773507851410002</v>
      </c>
      <c r="AK28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2" s="25">
        <f>입력란!$C$37+IF(입력란!$C$17=1,10,IF(입력란!$C$17=2,25,IF(입력란!$C$17=3,50,0)))</f>
        <v>200</v>
      </c>
      <c r="AM282" s="29">
        <f>SUM(AN282:AP282)</f>
        <v>128177.46860680309</v>
      </c>
      <c r="AN282" s="29">
        <f>(VLOOKUP(C282,$B$4:$AK$7,22,FALSE)+VLOOKUP(C282,$B$8:$AK$11,22,FALSE)*입력란!$C$23)*입력란!$C$38/100</f>
        <v>128177.46860680309</v>
      </c>
      <c r="AO282" s="29"/>
      <c r="AP282" s="29"/>
      <c r="AQ282" s="29"/>
      <c r="AR282" s="22">
        <v>36</v>
      </c>
    </row>
    <row r="283" spans="2:44" ht="13.5" customHeight="1" x14ac:dyDescent="0.3">
      <c r="B283" s="30">
        <v>268</v>
      </c>
      <c r="C283" s="35">
        <v>10</v>
      </c>
      <c r="D283" s="42" t="s">
        <v>183</v>
      </c>
      <c r="E283" s="37" t="s">
        <v>162</v>
      </c>
      <c r="F283" s="39"/>
      <c r="G283" s="39"/>
      <c r="H283" s="80">
        <f>I283/AJ283</f>
        <v>14125.53695608672</v>
      </c>
      <c r="I283" s="52">
        <f>SUM(J283:Q283)*IF(입력란!C$15=1,1.04,IF(입력란!C$15=2,1.1,IF(입력란!C$15=3,1.2,1)))*IF(입력란!$C$13&lt;&gt;0,0,1)*IF(입력란!$C$17&lt;&gt;0,0.98,1)</f>
        <v>392315.71155525668</v>
      </c>
      <c r="J283" s="29">
        <f>S283*(1+IF($AK283+IF(입력란!$C$10=1,0,IF(입력란!$C$9=1,10,0))+IF(입력란!$C$19=1,10,0)&gt;100,100,$AK283+IF(입력란!$C$10=1,0,IF(입력란!$C$9=1,10,0))+IF(입력란!$C$19=1,10,0))/100*($AL283/100-1))</f>
        <v>336270.60990450572</v>
      </c>
      <c r="K283" s="29">
        <f>T283*(1+IF($AK283+IF(입력란!$C$19=1,10,0)&gt;100,100,$AK283+IF(입력란!$C$19=1,10,0))/100*($AL283/100-1))</f>
        <v>56045.101650750941</v>
      </c>
      <c r="L283" s="29"/>
      <c r="M283" s="29"/>
      <c r="N283" s="38"/>
      <c r="O283" s="38"/>
      <c r="P283" s="38"/>
      <c r="Q283" s="34">
        <f>Z283*(1+IF($AK283+IF(입력란!$C$19=1,10,0)&gt;100,100,$AK283+IF(입력란!$C$19=1,10,0))/100*($AL283/100-1))</f>
        <v>0</v>
      </c>
      <c r="R283" s="23">
        <f>SUM(S283:Z283)</f>
        <v>320622.61188085307</v>
      </c>
      <c r="S283" s="29">
        <f>AN283*IF(MID(E283,3,1)="2",트라이포드!$L$18,트라이포드!$K$18)*IF(MID(E283,3,1)="3",트라이포드!$N$18,트라이포드!$M$18)*IF(MID(E283,5,1)="1",트라이포드!$P$18,트라이포드!$O$18)*IF(MID(E283,5,1)="2",트라이포드!$R$18,트라이포드!$Q$18)*(1+입력란!$C$33/100)*IF(입력란!$C$10=1,1.2,IF(입력란!$C$9=1,IF(입력란!$C$14=0,1.05,IF(입력란!$C$14=1,1.05*1.05,IF(입력란!$C$14=2,1.05*1.12,IF(입력란!$C$14=3,1.05*1.25)))),1))</f>
        <v>274819.38161215978</v>
      </c>
      <c r="T283" s="29">
        <f>AN283*IF(MID(E283,3,1)="1",트라이포드!$J$18,트라이포드!$I$18)*IF(MID(E283,5,1)="1",2,1)*(1+입력란!$C$33/100)</f>
        <v>45803.230268693289</v>
      </c>
      <c r="U283" s="29"/>
      <c r="V283" s="29"/>
      <c r="W283" s="29"/>
      <c r="X283" s="38"/>
      <c r="Y283" s="38"/>
      <c r="Z283" s="26">
        <f>AN283*IF(MID(E283,1,1)="2",트라이포드!$F$18,트라이포드!$E$18)*IF(MID(E283,5,1)="1",2,1)*(1+입력란!$C$33/100)</f>
        <v>0</v>
      </c>
      <c r="AA283" s="29">
        <f>SUM(AB283:AI283)</f>
        <v>641245.22376170615</v>
      </c>
      <c r="AB283" s="29">
        <f>S283*2</f>
        <v>549638.76322431955</v>
      </c>
      <c r="AC283" s="29">
        <f>T283*2</f>
        <v>91606.460537386578</v>
      </c>
      <c r="AD283" s="29"/>
      <c r="AE283" s="29"/>
      <c r="AF283" s="38"/>
      <c r="AG283" s="38"/>
      <c r="AH283" s="38"/>
      <c r="AI283" s="26">
        <f>Z283*2</f>
        <v>0</v>
      </c>
      <c r="AJ283" s="25">
        <f>(AR283-IF(MID(E283,1,1)="1",트라이포드!$D$18,트라이포드!$C$18))*(1-입력란!$C$29/100)</f>
        <v>27.773507851410002</v>
      </c>
      <c r="AK28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3" s="25">
        <f>입력란!$C$37+IF(입력란!$C$17=1,10,IF(입력란!$C$17=2,25,IF(입력란!$C$17=3,50,0)))</f>
        <v>200</v>
      </c>
      <c r="AM283" s="29">
        <f>SUM(AN283:AP283)</f>
        <v>128177.46860680309</v>
      </c>
      <c r="AN283" s="29">
        <f>(VLOOKUP(C283,$B$4:$AK$7,22,FALSE)+VLOOKUP(C283,$B$8:$AK$11,22,FALSE)*입력란!$C$23)*입력란!$C$38/100</f>
        <v>128177.46860680309</v>
      </c>
      <c r="AO283" s="29"/>
      <c r="AP283" s="29"/>
      <c r="AQ283" s="29"/>
      <c r="AR283" s="22">
        <v>36</v>
      </c>
    </row>
    <row r="284" spans="2:44" ht="13.5" customHeight="1" x14ac:dyDescent="0.3">
      <c r="B284" s="30">
        <v>269</v>
      </c>
      <c r="C284" s="35">
        <v>10</v>
      </c>
      <c r="D284" s="42" t="s">
        <v>183</v>
      </c>
      <c r="E284" s="37" t="s">
        <v>171</v>
      </c>
      <c r="F284" s="39"/>
      <c r="G284" s="39"/>
      <c r="H284" s="80">
        <f>I284/AJ284</f>
        <v>12914.776645564998</v>
      </c>
      <c r="I284" s="52">
        <f>SUM(J284:Q284)*IF(입력란!C$15=1,1.04,IF(입력란!C$15=2,1.1,IF(입력란!C$15=3,1.2,1)))*IF(입력란!$C$13&lt;&gt;0,0,1)*IF(입력란!$C$17&lt;&gt;0,0.98,1)</f>
        <v>358688.65056480601</v>
      </c>
      <c r="J284" s="29">
        <f>S284*(1+IF($AK284+IF(입력란!$C$10=1,0,IF(입력란!$C$9=1,10,0))+IF(입력란!$C$19=1,10,0)&gt;100,100,$AK284+IF(입력란!$C$10=1,0,IF(입력란!$C$9=1,10,0))+IF(입력란!$C$19=1,10,0))/100*($AL284/100-1))</f>
        <v>358688.65056480601</v>
      </c>
      <c r="K284" s="29">
        <f>T284*(1+IF($AK284+IF(입력란!$C$19=1,10,0)&gt;100,100,$AK284+IF(입력란!$C$19=1,10,0))/100*($AL284/100-1))</f>
        <v>0</v>
      </c>
      <c r="L284" s="29"/>
      <c r="M284" s="29"/>
      <c r="N284" s="38"/>
      <c r="O284" s="38"/>
      <c r="P284" s="38"/>
      <c r="Q284" s="34">
        <f>Z284*(1+IF($AK284+IF(입력란!$C$19=1,10,0)&gt;100,100,$AK284+IF(입력란!$C$19=1,10,0))/100*($AL284/100-1))</f>
        <v>0</v>
      </c>
      <c r="R284" s="23">
        <f>SUM(S284:Z284)</f>
        <v>293140.67371963704</v>
      </c>
      <c r="S284" s="29">
        <f>AN284*IF(MID(E284,3,1)="2",트라이포드!$L$18,트라이포드!$K$18)*IF(MID(E284,3,1)="3",트라이포드!$N$18,트라이포드!$M$18)*IF(MID(E284,5,1)="1",트라이포드!$P$18,트라이포드!$O$18)*IF(MID(E284,5,1)="2",트라이포드!$R$18,트라이포드!$Q$18)*(1+입력란!$C$33/100)*IF(입력란!$C$10=1,1.2,IF(입력란!$C$9=1,IF(입력란!$C$14=0,1.05,IF(입력란!$C$14=1,1.05*1.05,IF(입력란!$C$14=2,1.05*1.12,IF(입력란!$C$14=3,1.05*1.25)))),1))</f>
        <v>293140.67371963704</v>
      </c>
      <c r="T284" s="29">
        <f>AN284*IF(MID(E284,3,1)="1",트라이포드!$J$18,트라이포드!$I$18)*IF(MID(E284,5,1)="1",2,1)*(1+입력란!$C$33/100)</f>
        <v>0</v>
      </c>
      <c r="U284" s="29"/>
      <c r="V284" s="29"/>
      <c r="W284" s="29"/>
      <c r="X284" s="38"/>
      <c r="Y284" s="38"/>
      <c r="Z284" s="26">
        <f>AN284*IF(MID(E284,1,1)="2",트라이포드!$F$18,트라이포드!$E$18)*IF(MID(E284,5,1)="1",2,1)*(1+입력란!$C$33/100)</f>
        <v>0</v>
      </c>
      <c r="AA284" s="29">
        <f>SUM(AB284:AI284)</f>
        <v>586281.34743927408</v>
      </c>
      <c r="AB284" s="29">
        <f>S284*2</f>
        <v>586281.34743927408</v>
      </c>
      <c r="AC284" s="29">
        <f>T284*2</f>
        <v>0</v>
      </c>
      <c r="AD284" s="29"/>
      <c r="AE284" s="29"/>
      <c r="AF284" s="38"/>
      <c r="AG284" s="38"/>
      <c r="AH284" s="38"/>
      <c r="AI284" s="26">
        <f>Z284*2</f>
        <v>0</v>
      </c>
      <c r="AJ284" s="25">
        <f>(AR284-IF(MID(E284,1,1)="1",트라이포드!$D$18,트라이포드!$C$18))*(1-입력란!$C$29/100)</f>
        <v>27.773507851410002</v>
      </c>
      <c r="AK28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4" s="25">
        <f>입력란!$C$37+IF(입력란!$C$17=1,10,IF(입력란!$C$17=2,25,IF(입력란!$C$17=3,50,0)))</f>
        <v>200</v>
      </c>
      <c r="AM284" s="29">
        <f>SUM(AN284:AP284)</f>
        <v>128177.46860680309</v>
      </c>
      <c r="AN284" s="29">
        <f>(VLOOKUP(C284,$B$4:$AK$7,22,FALSE)+VLOOKUP(C284,$B$8:$AK$11,22,FALSE)*입력란!$C$23)*입력란!$C$38/100</f>
        <v>128177.46860680309</v>
      </c>
      <c r="AO284" s="29"/>
      <c r="AP284" s="29"/>
      <c r="AQ284" s="29"/>
      <c r="AR284" s="22">
        <v>36</v>
      </c>
    </row>
    <row r="285" spans="2:44" ht="13.5" customHeight="1" x14ac:dyDescent="0.3">
      <c r="B285" s="30">
        <v>270</v>
      </c>
      <c r="C285" s="35">
        <v>10</v>
      </c>
      <c r="D285" s="42" t="s">
        <v>183</v>
      </c>
      <c r="E285" s="37" t="s">
        <v>182</v>
      </c>
      <c r="F285" s="39"/>
      <c r="G285" s="39"/>
      <c r="H285" s="80">
        <f>I285/AJ285</f>
        <v>14529.123726260625</v>
      </c>
      <c r="I285" s="52">
        <f>SUM(J285:Q285)*IF(입력란!C$15=1,1.04,IF(입력란!C$15=2,1.1,IF(입력란!C$15=3,1.2,1)))*IF(입력란!$C$13&lt;&gt;0,0,1)*IF(입력란!$C$17&lt;&gt;0,0.98,1)</f>
        <v>403524.73188540683</v>
      </c>
      <c r="J285" s="29">
        <f>S285*(1+IF($AK285+IF(입력란!$C$10=1,0,IF(입력란!$C$9=1,10,0))+IF(입력란!$C$19=1,10,0)&gt;100,100,$AK285+IF(입력란!$C$10=1,0,IF(입력란!$C$9=1,10,0))+IF(입력란!$C$19=1,10,0))/100*($AL285/100-1))</f>
        <v>403524.73188540683</v>
      </c>
      <c r="K285" s="29">
        <f>T285*(1+IF($AK285+IF(입력란!$C$19=1,10,0)&gt;100,100,$AK285+IF(입력란!$C$19=1,10,0))/100*($AL285/100-1))</f>
        <v>0</v>
      </c>
      <c r="L285" s="29"/>
      <c r="M285" s="29"/>
      <c r="N285" s="38"/>
      <c r="O285" s="38"/>
      <c r="P285" s="38"/>
      <c r="Q285" s="34">
        <f>Z285*(1+IF($AK285+IF(입력란!$C$19=1,10,0)&gt;100,100,$AK285+IF(입력란!$C$19=1,10,0))/100*($AL285/100-1))</f>
        <v>0</v>
      </c>
      <c r="R285" s="23">
        <f>SUM(S285:Z285)</f>
        <v>329783.25793459173</v>
      </c>
      <c r="S285" s="29">
        <f>AN285*IF(MID(E285,3,1)="2",트라이포드!$L$18,트라이포드!$K$18)*IF(MID(E285,3,1)="3",트라이포드!$N$18,트라이포드!$M$18)*IF(MID(E285,5,1)="1",트라이포드!$P$18,트라이포드!$O$18)*IF(MID(E285,5,1)="2",트라이포드!$R$18,트라이포드!$Q$18)*(1+입력란!$C$33/100)*IF(입력란!$C$10=1,1.2,IF(입력란!$C$9=1,IF(입력란!$C$14=0,1.05,IF(입력란!$C$14=1,1.05*1.05,IF(입력란!$C$14=2,1.05*1.12,IF(입력란!$C$14=3,1.05*1.25)))),1))</f>
        <v>329783.25793459173</v>
      </c>
      <c r="T285" s="29">
        <f>AN285*IF(MID(E285,3,1)="1",트라이포드!$J$18,트라이포드!$I$18)*IF(MID(E285,5,1)="1",2,1)*(1+입력란!$C$33/100)</f>
        <v>0</v>
      </c>
      <c r="U285" s="29"/>
      <c r="V285" s="29"/>
      <c r="W285" s="29"/>
      <c r="X285" s="38"/>
      <c r="Y285" s="38"/>
      <c r="Z285" s="26">
        <f>AN285*IF(MID(E285,1,1)="2",트라이포드!$F$18,트라이포드!$E$18)*IF(MID(E285,5,1)="1",2,1)*(1+입력란!$C$33/100)</f>
        <v>0</v>
      </c>
      <c r="AA285" s="29">
        <f>SUM(AB285:AI285)</f>
        <v>659566.51586918347</v>
      </c>
      <c r="AB285" s="29">
        <f>S285*2</f>
        <v>659566.51586918347</v>
      </c>
      <c r="AC285" s="29">
        <f>T285*2</f>
        <v>0</v>
      </c>
      <c r="AD285" s="29"/>
      <c r="AE285" s="29"/>
      <c r="AF285" s="38"/>
      <c r="AG285" s="38"/>
      <c r="AH285" s="38"/>
      <c r="AI285" s="26">
        <f>Z285*2</f>
        <v>0</v>
      </c>
      <c r="AJ285" s="25">
        <f>(AR285-IF(MID(E285,1,1)="1",트라이포드!$D$18,트라이포드!$C$18))*(1-입력란!$C$29/100)</f>
        <v>27.773507851410002</v>
      </c>
      <c r="AK28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5" s="25">
        <f>입력란!$C$37+IF(입력란!$C$17=1,10,IF(입력란!$C$17=2,25,IF(입력란!$C$17=3,50,0)))</f>
        <v>200</v>
      </c>
      <c r="AM285" s="29">
        <f>SUM(AN285:AP285)</f>
        <v>128177.46860680309</v>
      </c>
      <c r="AN285" s="29">
        <f>(VLOOKUP(C285,$B$4:$AK$7,22,FALSE)+VLOOKUP(C285,$B$8:$AK$11,22,FALSE)*입력란!$C$23)*입력란!$C$38/100</f>
        <v>128177.46860680309</v>
      </c>
      <c r="AO285" s="29"/>
      <c r="AP285" s="29"/>
      <c r="AQ285" s="29"/>
      <c r="AR285" s="22">
        <v>36</v>
      </c>
    </row>
    <row r="286" spans="2:44" ht="13.5" customHeight="1" x14ac:dyDescent="0.3">
      <c r="B286" s="30">
        <v>271</v>
      </c>
      <c r="C286" s="35">
        <v>10</v>
      </c>
      <c r="D286" s="42" t="s">
        <v>183</v>
      </c>
      <c r="E286" s="37" t="s">
        <v>163</v>
      </c>
      <c r="F286" s="39" t="s">
        <v>192</v>
      </c>
      <c r="G286" s="39"/>
      <c r="H286" s="80">
        <f>I286/AJ286</f>
        <v>16143.470806956248</v>
      </c>
      <c r="I286" s="52">
        <f>SUM(J286:Q286)*IF(입력란!C$15=1,1.04,IF(입력란!C$15=2,1.1,IF(입력란!C$15=3,1.2,1)))*IF(입력란!$C$13&lt;&gt;0,0,1)*IF(입력란!$C$17&lt;&gt;0,0.98,1)</f>
        <v>448360.81320600753</v>
      </c>
      <c r="J286" s="29">
        <f>S286*(1+IF($AK286+IF(입력란!$C$10=1,0,IF(입력란!$C$9=1,10,0))+IF(입력란!$C$19=1,10,0)&gt;100,100,$AK286+IF(입력란!$C$10=1,0,IF(입력란!$C$9=1,10,0))+IF(입력란!$C$19=1,10,0))/100*($AL286/100-1))</f>
        <v>448360.81320600753</v>
      </c>
      <c r="K286" s="29">
        <f>T286*(1+IF($AK286+IF(입력란!$C$19=1,10,0)&gt;100,100,$AK286+IF(입력란!$C$19=1,10,0))/100*($AL286/100-1))</f>
        <v>0</v>
      </c>
      <c r="L286" s="29"/>
      <c r="M286" s="29"/>
      <c r="N286" s="38"/>
      <c r="O286" s="38"/>
      <c r="P286" s="38"/>
      <c r="Q286" s="34">
        <f>Z286*(1+IF($AK286+IF(입력란!$C$19=1,10,0)&gt;100,100,$AK286+IF(입력란!$C$19=1,10,0))/100*($AL286/100-1))</f>
        <v>0</v>
      </c>
      <c r="R286" s="23">
        <f>SUM(S286:Z286)</f>
        <v>366425.84214954631</v>
      </c>
      <c r="S286" s="29">
        <f>AN286*IF(MID(E286,3,1)="2",트라이포드!$L$18,트라이포드!$K$18)*IF(MID(E286,3,1)="3",트라이포드!$N$18,트라이포드!$M$18)*IF(MID(E286,5,1)="1",트라이포드!$P$18,트라이포드!$O$18)*IF(MID(E286,5,1)="2",트라이포드!$R$18,트라이포드!$Q$18)*(1+입력란!$C$33/100)*IF(입력란!$C$10=1,1.2,IF(입력란!$C$9=1,IF(입력란!$C$14=0,1.05,IF(입력란!$C$14=1,1.05*1.05,IF(입력란!$C$14=2,1.05*1.12,IF(입력란!$C$14=3,1.05*1.25)))),1))</f>
        <v>366425.84214954631</v>
      </c>
      <c r="T286" s="29">
        <f>AN286*IF(MID(E286,3,1)="1",트라이포드!$J$18,트라이포드!$I$18)*IF(MID(E286,5,1)="1",2,1)*(1+입력란!$C$33/100)</f>
        <v>0</v>
      </c>
      <c r="U286" s="29"/>
      <c r="V286" s="29"/>
      <c r="W286" s="29"/>
      <c r="X286" s="38"/>
      <c r="Y286" s="38"/>
      <c r="Z286" s="26">
        <f>AN286*IF(MID(E286,1,1)="2",트라이포드!$F$18,트라이포드!$E$18)*IF(MID(E286,5,1)="1",2,1)*(1+입력란!$C$33/100)</f>
        <v>0</v>
      </c>
      <c r="AA286" s="29">
        <f>SUM(AB286:AI286)</f>
        <v>732851.68429909262</v>
      </c>
      <c r="AB286" s="29">
        <f>S286*2</f>
        <v>732851.68429909262</v>
      </c>
      <c r="AC286" s="29">
        <f>T286*2</f>
        <v>0</v>
      </c>
      <c r="AD286" s="29"/>
      <c r="AE286" s="29"/>
      <c r="AF286" s="38"/>
      <c r="AG286" s="38"/>
      <c r="AH286" s="38"/>
      <c r="AI286" s="26">
        <f>Z286*2</f>
        <v>0</v>
      </c>
      <c r="AJ286" s="25">
        <f>(AR286-IF(MID(E286,1,1)="1",트라이포드!$D$18,트라이포드!$C$18))*(1-입력란!$C$29/100)</f>
        <v>27.773507851410002</v>
      </c>
      <c r="AK28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6" s="25">
        <f>입력란!$C$37+IF(입력란!$C$17=1,10,IF(입력란!$C$17=2,25,IF(입력란!$C$17=3,50,0)))</f>
        <v>200</v>
      </c>
      <c r="AM286" s="29">
        <f>SUM(AN286:AP286)</f>
        <v>128177.46860680309</v>
      </c>
      <c r="AN286" s="29">
        <f>(VLOOKUP(C286,$B$4:$AK$7,22,FALSE)+VLOOKUP(C286,$B$8:$AK$11,22,FALSE)*입력란!$C$23)*입력란!$C$38/100</f>
        <v>128177.46860680309</v>
      </c>
      <c r="AO286" s="29"/>
      <c r="AP286" s="29"/>
      <c r="AQ286" s="29"/>
      <c r="AR286" s="22">
        <v>36</v>
      </c>
    </row>
    <row r="287" spans="2:44" ht="13.5" customHeight="1" x14ac:dyDescent="0.3">
      <c r="B287" s="30">
        <v>272</v>
      </c>
      <c r="C287" s="35">
        <v>10</v>
      </c>
      <c r="D287" s="42" t="s">
        <v>183</v>
      </c>
      <c r="E287" s="37" t="s">
        <v>164</v>
      </c>
      <c r="F287" s="39" t="s">
        <v>192</v>
      </c>
      <c r="G287" s="39"/>
      <c r="H287" s="80">
        <f>I287/AJ287</f>
        <v>18161.40465782578</v>
      </c>
      <c r="I287" s="52">
        <f>SUM(J287:Q287)*IF(입력란!C$15=1,1.04,IF(입력란!C$15=2,1.1,IF(입력란!C$15=3,1.2,1)))*IF(입력란!$C$13&lt;&gt;0,0,1)*IF(입력란!$C$17&lt;&gt;0,0.98,1)</f>
        <v>504405.91485675849</v>
      </c>
      <c r="J287" s="29">
        <f>S287*(1+IF($AK287+IF(입력란!$C$10=1,0,IF(입력란!$C$9=1,10,0))+IF(입력란!$C$19=1,10,0)&gt;100,100,$AK287+IF(입력란!$C$10=1,0,IF(입력란!$C$9=1,10,0))+IF(입력란!$C$19=1,10,0))/100*($AL287/100-1))</f>
        <v>504405.91485675849</v>
      </c>
      <c r="K287" s="29">
        <f>T287*(1+IF($AK287+IF(입력란!$C$19=1,10,0)&gt;100,100,$AK287+IF(입력란!$C$19=1,10,0))/100*($AL287/100-1))</f>
        <v>0</v>
      </c>
      <c r="L287" s="29"/>
      <c r="M287" s="29"/>
      <c r="N287" s="38"/>
      <c r="O287" s="38"/>
      <c r="P287" s="38"/>
      <c r="Q287" s="34">
        <f>Z287*(1+IF($AK287+IF(입력란!$C$19=1,10,0)&gt;100,100,$AK287+IF(입력란!$C$19=1,10,0))/100*($AL287/100-1))</f>
        <v>0</v>
      </c>
      <c r="R287" s="23">
        <f>SUM(S287:Z287)</f>
        <v>412229.07241823961</v>
      </c>
      <c r="S287" s="29">
        <f>AN287*IF(MID(E287,3,1)="2",트라이포드!$L$18,트라이포드!$K$18)*IF(MID(E287,3,1)="3",트라이포드!$N$18,트라이포드!$M$18)*IF(MID(E287,5,1)="1",트라이포드!$P$18,트라이포드!$O$18)*IF(MID(E287,5,1)="2",트라이포드!$R$18,트라이포드!$Q$18)*(1+입력란!$C$33/100)*IF(입력란!$C$10=1,1.2,IF(입력란!$C$9=1,IF(입력란!$C$14=0,1.05,IF(입력란!$C$14=1,1.05*1.05,IF(입력란!$C$14=2,1.05*1.12,IF(입력란!$C$14=3,1.05*1.25)))),1))</f>
        <v>412229.07241823961</v>
      </c>
      <c r="T287" s="29">
        <f>AN287*IF(MID(E287,3,1)="1",트라이포드!$J$18,트라이포드!$I$18)*IF(MID(E287,5,1)="1",2,1)*(1+입력란!$C$33/100)</f>
        <v>0</v>
      </c>
      <c r="U287" s="29"/>
      <c r="V287" s="29"/>
      <c r="W287" s="29"/>
      <c r="X287" s="29"/>
      <c r="Y287" s="29"/>
      <c r="Z287" s="26">
        <f>AN287*IF(MID(E287,1,1)="2",트라이포드!$F$18,트라이포드!$E$18)*IF(MID(E287,5,1)="1",2,1)*(1+입력란!$C$33/100)</f>
        <v>0</v>
      </c>
      <c r="AA287" s="29">
        <f>SUM(AB287:AI287)</f>
        <v>824458.14483647922</v>
      </c>
      <c r="AB287" s="29">
        <f>S287*2</f>
        <v>824458.14483647922</v>
      </c>
      <c r="AC287" s="29">
        <f>T287*2</f>
        <v>0</v>
      </c>
      <c r="AD287" s="29"/>
      <c r="AE287" s="29"/>
      <c r="AF287" s="38"/>
      <c r="AG287" s="38"/>
      <c r="AH287" s="38"/>
      <c r="AI287" s="26">
        <f>Z287*2</f>
        <v>0</v>
      </c>
      <c r="AJ287" s="25">
        <f>(AR287-IF(MID(E287,1,1)="1",트라이포드!$D$18,트라이포드!$C$18))*(1-입력란!$C$29/100)</f>
        <v>27.773507851410002</v>
      </c>
      <c r="AK28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7" s="25">
        <f>입력란!$C$37+IF(입력란!$C$17=1,10,IF(입력란!$C$17=2,25,IF(입력란!$C$17=3,50,0)))</f>
        <v>200</v>
      </c>
      <c r="AM287" s="29">
        <f>SUM(AN287:AP287)</f>
        <v>128177.46860680309</v>
      </c>
      <c r="AN287" s="29">
        <f>(VLOOKUP(C287,$B$4:$AK$7,22,FALSE)+VLOOKUP(C287,$B$8:$AK$11,22,FALSE)*입력란!$C$23)*입력란!$C$38/100</f>
        <v>128177.46860680309</v>
      </c>
      <c r="AO287" s="29"/>
      <c r="AP287" s="38"/>
      <c r="AQ287" s="38"/>
      <c r="AR287" s="22">
        <v>36</v>
      </c>
    </row>
    <row r="288" spans="2:44" ht="13.5" customHeight="1" x14ac:dyDescent="0.3">
      <c r="B288" s="30">
        <v>273</v>
      </c>
      <c r="C288" s="35">
        <v>10</v>
      </c>
      <c r="D288" s="42" t="s">
        <v>183</v>
      </c>
      <c r="E288" s="37" t="s">
        <v>186</v>
      </c>
      <c r="F288" s="39" t="s">
        <v>180</v>
      </c>
      <c r="G288" s="39"/>
      <c r="H288" s="80">
        <f>I288/AJ288</f>
        <v>14088.167810700243</v>
      </c>
      <c r="I288" s="52">
        <f>SUM(J288:Q288)*IF(입력란!C$15=1,1.04,IF(입력란!C$15=2,1.1,IF(입력란!C$15=3,1.2,1)))*IF(입력란!$C$13&lt;&gt;0,0,1)*IF(입력란!$C$17&lt;&gt;0,0.98,1)</f>
        <v>485724.21430650813</v>
      </c>
      <c r="J288" s="29">
        <f>S288*(1+IF($AK288+IF(입력란!$C$10=1,0,IF(입력란!$C$9=1,10,0))+IF(입력란!$C$19=1,10,0)&gt;100,100,$AK288+IF(입력란!$C$10=1,0,IF(입력란!$C$9=1,10,0))+IF(입력란!$C$19=1,10,0))/100*($AL288/100-1))</f>
        <v>298907.208804005</v>
      </c>
      <c r="K288" s="29">
        <f>T288*(1+IF($AK288+IF(입력란!$C$19=1,10,0)&gt;100,100,$AK288+IF(입력란!$C$19=1,10,0))/100*($AL288/100-1))</f>
        <v>112090.20330150188</v>
      </c>
      <c r="L288" s="29"/>
      <c r="M288" s="29"/>
      <c r="N288" s="38"/>
      <c r="O288" s="38"/>
      <c r="P288" s="38"/>
      <c r="Q288" s="34">
        <f>Z288*(1+IF($AK288+IF(입력란!$C$19=1,10,0)&gt;100,100,$AK288+IF(입력란!$C$19=1,10,0))/100*($AL288/100-1))</f>
        <v>74726.80220100125</v>
      </c>
      <c r="R288" s="23">
        <f>SUM(S288:Z288)</f>
        <v>396961.32899534184</v>
      </c>
      <c r="S288" s="29">
        <f>AN288*IF(MID(E288,3,1)="2",트라이포드!$L$18,트라이포드!$K$18)*IF(MID(E288,3,1)="3",트라이포드!$N$18,트라이포드!$M$18)*IF(MID(E288,5,1)="1",트라이포드!$P$18,트라이포드!$O$18)*IF(MID(E288,5,1)="2",트라이포드!$R$18,트라이포드!$Q$18)*(1+입력란!$C$33/100)*IF(입력란!$C$10=1,1.2,IF(입력란!$C$9=1,IF(입력란!$C$14=0,1.05,IF(입력란!$C$14=1,1.05*1.05,IF(입력란!$C$14=2,1.05*1.12,IF(입력란!$C$14=3,1.05*1.25)))),1))</f>
        <v>244283.89476636422</v>
      </c>
      <c r="T288" s="29">
        <f>AN288*IF(MID(E288,3,1)="1",트라이포드!$J$18,트라이포드!$I$18)*IF(MID(E288,5,1)="1",2,1)*(1+입력란!$C$33/100)</f>
        <v>91606.460537386578</v>
      </c>
      <c r="U288" s="29"/>
      <c r="V288" s="29"/>
      <c r="W288" s="29"/>
      <c r="X288" s="29"/>
      <c r="Y288" s="29"/>
      <c r="Z288" s="26">
        <f>AN288*IF(MID(E288,1,1)="2",트라이포드!$F$18,트라이포드!$E$18)*IF(MID(E288,5,1)="1",2,1)*(1+입력란!$C$33/100)</f>
        <v>61070.973691591054</v>
      </c>
      <c r="AA288" s="29">
        <f>SUM(AB288:AI288)</f>
        <v>793922.65799068369</v>
      </c>
      <c r="AB288" s="29">
        <f>S288*2</f>
        <v>488567.78953272844</v>
      </c>
      <c r="AC288" s="29">
        <f>T288*2</f>
        <v>183212.92107477316</v>
      </c>
      <c r="AD288" s="29"/>
      <c r="AE288" s="29"/>
      <c r="AF288" s="38"/>
      <c r="AG288" s="38"/>
      <c r="AH288" s="38"/>
      <c r="AI288" s="26">
        <f>Z288*2</f>
        <v>122141.94738318211</v>
      </c>
      <c r="AJ288" s="25">
        <f>(AR288-IF(MID(E288,1,1)="1",트라이포드!$D$18,트라이포드!$C$18))*(1-입력란!$C$29/100)</f>
        <v>34.477458022440004</v>
      </c>
      <c r="AK28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8" s="25">
        <f>입력란!$C$37+IF(입력란!$C$17=1,10,IF(입력란!$C$17=2,25,IF(입력란!$C$17=3,50,0)))</f>
        <v>200</v>
      </c>
      <c r="AM288" s="29">
        <f>SUM(AN288:AP288)</f>
        <v>128177.46860680309</v>
      </c>
      <c r="AN288" s="29">
        <f>(VLOOKUP(C288,$B$4:$AK$7,22,FALSE)+VLOOKUP(C288,$B$8:$AK$11,22,FALSE)*입력란!$C$23)*입력란!$C$38/100</f>
        <v>128177.46860680309</v>
      </c>
      <c r="AO288" s="29"/>
      <c r="AP288" s="38"/>
      <c r="AQ288" s="38"/>
      <c r="AR288" s="22">
        <v>36</v>
      </c>
    </row>
    <row r="289" spans="2:44" ht="13.5" customHeight="1" x14ac:dyDescent="0.3">
      <c r="B289" s="30">
        <v>274</v>
      </c>
      <c r="C289" s="35">
        <v>10</v>
      </c>
      <c r="D289" s="42" t="s">
        <v>183</v>
      </c>
      <c r="E289" s="37" t="s">
        <v>187</v>
      </c>
      <c r="F289" s="39" t="s">
        <v>180</v>
      </c>
      <c r="G289" s="39"/>
      <c r="H289" s="80">
        <f>I289/AJ289</f>
        <v>12462.609986388679</v>
      </c>
      <c r="I289" s="52">
        <f>SUM(J289:Q289)*IF(입력란!C$15=1,1.04,IF(입력란!C$15=2,1.1,IF(입력란!C$15=3,1.2,1)))*IF(입력란!$C$13&lt;&gt;0,0,1)*IF(입력란!$C$17&lt;&gt;0,0.98,1)</f>
        <v>429679.11265575729</v>
      </c>
      <c r="J289" s="29">
        <f>S289*(1+IF($AK289+IF(입력란!$C$10=1,0,IF(입력란!$C$9=1,10,0))+IF(입력란!$C$19=1,10,0)&gt;100,100,$AK289+IF(입력란!$C$10=1,0,IF(입력란!$C$9=1,10,0))+IF(입력란!$C$19=1,10,0))/100*($AL289/100-1))</f>
        <v>336270.60990450572</v>
      </c>
      <c r="K289" s="29">
        <f>T289*(1+IF($AK289+IF(입력란!$C$19=1,10,0)&gt;100,100,$AK289+IF(입력란!$C$19=1,10,0))/100*($AL289/100-1))</f>
        <v>56045.101650750941</v>
      </c>
      <c r="L289" s="29"/>
      <c r="M289" s="29"/>
      <c r="N289" s="38"/>
      <c r="O289" s="38"/>
      <c r="P289" s="38"/>
      <c r="Q289" s="34">
        <f>Z289*(1+IF($AK289+IF(입력란!$C$19=1,10,0)&gt;100,100,$AK289+IF(입력란!$C$19=1,10,0))/100*($AL289/100-1))</f>
        <v>37363.401100500625</v>
      </c>
      <c r="R289" s="23">
        <f>SUM(S289:Z289)</f>
        <v>351158.0987266486</v>
      </c>
      <c r="S289" s="29">
        <f>AN289*IF(MID(E289,3,1)="2",트라이포드!$L$18,트라이포드!$K$18)*IF(MID(E289,3,1)="3",트라이포드!$N$18,트라이포드!$M$18)*IF(MID(E289,5,1)="1",트라이포드!$P$18,트라이포드!$O$18)*IF(MID(E289,5,1)="2",트라이포드!$R$18,트라이포드!$Q$18)*(1+입력란!$C$33/100)*IF(입력란!$C$10=1,1.2,IF(입력란!$C$9=1,IF(입력란!$C$14=0,1.05,IF(입력란!$C$14=1,1.05*1.05,IF(입력란!$C$14=2,1.05*1.12,IF(입력란!$C$14=3,1.05*1.25)))),1))</f>
        <v>274819.38161215978</v>
      </c>
      <c r="T289" s="29">
        <f>AN289*IF(MID(E289,3,1)="1",트라이포드!$J$18,트라이포드!$I$18)*IF(MID(E289,5,1)="1",2,1)*(1+입력란!$C$33/100)</f>
        <v>45803.230268693289</v>
      </c>
      <c r="U289" s="29"/>
      <c r="V289" s="29"/>
      <c r="W289" s="29"/>
      <c r="X289" s="29"/>
      <c r="Y289" s="29"/>
      <c r="Z289" s="26">
        <f>AN289*IF(MID(E289,1,1)="2",트라이포드!$F$18,트라이포드!$E$18)*IF(MID(E289,5,1)="1",2,1)*(1+입력란!$C$33/100)</f>
        <v>30535.486845795527</v>
      </c>
      <c r="AA289" s="29">
        <f>SUM(AB289:AI289)</f>
        <v>702316.19745329721</v>
      </c>
      <c r="AB289" s="29">
        <f>S289*2</f>
        <v>549638.76322431955</v>
      </c>
      <c r="AC289" s="29">
        <f>T289*2</f>
        <v>91606.460537386578</v>
      </c>
      <c r="AD289" s="29"/>
      <c r="AE289" s="29"/>
      <c r="AF289" s="38"/>
      <c r="AG289" s="38"/>
      <c r="AH289" s="38"/>
      <c r="AI289" s="26">
        <f>Z289*2</f>
        <v>61070.973691591054</v>
      </c>
      <c r="AJ289" s="25">
        <f>(AR289-IF(MID(E289,1,1)="1",트라이포드!$D$18,트라이포드!$C$18))*(1-입력란!$C$29/100)</f>
        <v>34.477458022440004</v>
      </c>
      <c r="AK28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89" s="25">
        <f>입력란!$C$37+IF(입력란!$C$17=1,10,IF(입력란!$C$17=2,25,IF(입력란!$C$17=3,50,0)))</f>
        <v>200</v>
      </c>
      <c r="AM289" s="29">
        <f>SUM(AN289:AP289)</f>
        <v>128177.46860680309</v>
      </c>
      <c r="AN289" s="29">
        <f>(VLOOKUP(C289,$B$4:$AK$7,22,FALSE)+VLOOKUP(C289,$B$8:$AK$11,22,FALSE)*입력란!$C$23)*입력란!$C$38/100</f>
        <v>128177.46860680309</v>
      </c>
      <c r="AO289" s="29"/>
      <c r="AP289" s="38"/>
      <c r="AQ289" s="38"/>
      <c r="AR289" s="22">
        <v>36</v>
      </c>
    </row>
    <row r="290" spans="2:44" ht="13.5" customHeight="1" x14ac:dyDescent="0.3">
      <c r="B290" s="30">
        <v>275</v>
      </c>
      <c r="C290" s="35">
        <v>10</v>
      </c>
      <c r="D290" s="42" t="s">
        <v>183</v>
      </c>
      <c r="E290" s="37" t="s">
        <v>188</v>
      </c>
      <c r="F290" s="39" t="s">
        <v>180</v>
      </c>
      <c r="G290" s="39"/>
      <c r="H290" s="80">
        <f>I290/AJ290</f>
        <v>12570.980508009448</v>
      </c>
      <c r="I290" s="52">
        <f>SUM(J290:Q290)*IF(입력란!C$15=1,1.04,IF(입력란!C$15=2,1.1,IF(입력란!C$15=3,1.2,1)))*IF(입력란!$C$13&lt;&gt;0,0,1)*IF(입력란!$C$17&lt;&gt;0,0.98,1)</f>
        <v>433415.45276580728</v>
      </c>
      <c r="J290" s="29">
        <f>S290*(1+IF($AK290+IF(입력란!$C$10=1,0,IF(입력란!$C$9=1,10,0))+IF(입력란!$C$19=1,10,0)&gt;100,100,$AK290+IF(입력란!$C$10=1,0,IF(입력란!$C$9=1,10,0))+IF(입력란!$C$19=1,10,0))/100*($AL290/100-1))</f>
        <v>358688.65056480601</v>
      </c>
      <c r="K290" s="29">
        <f>T290*(1+IF($AK290+IF(입력란!$C$19=1,10,0)&gt;100,100,$AK290+IF(입력란!$C$19=1,10,0))/100*($AL290/100-1))</f>
        <v>0</v>
      </c>
      <c r="L290" s="29"/>
      <c r="M290" s="29"/>
      <c r="N290" s="38"/>
      <c r="O290" s="38"/>
      <c r="P290" s="38"/>
      <c r="Q290" s="34">
        <f>Z290*(1+IF($AK290+IF(입력란!$C$19=1,10,0)&gt;100,100,$AK290+IF(입력란!$C$19=1,10,0))/100*($AL290/100-1))</f>
        <v>74726.80220100125</v>
      </c>
      <c r="R290" s="23">
        <f>SUM(S290:Z290)</f>
        <v>354211.6474112281</v>
      </c>
      <c r="S290" s="29">
        <f>AN290*IF(MID(E290,3,1)="2",트라이포드!$L$18,트라이포드!$K$18)*IF(MID(E290,3,1)="3",트라이포드!$N$18,트라이포드!$M$18)*IF(MID(E290,5,1)="1",트라이포드!$P$18,트라이포드!$O$18)*IF(MID(E290,5,1)="2",트라이포드!$R$18,트라이포드!$Q$18)*(1+입력란!$C$33/100)*IF(입력란!$C$10=1,1.2,IF(입력란!$C$9=1,IF(입력란!$C$14=0,1.05,IF(입력란!$C$14=1,1.05*1.05,IF(입력란!$C$14=2,1.05*1.12,IF(입력란!$C$14=3,1.05*1.25)))),1))</f>
        <v>293140.67371963704</v>
      </c>
      <c r="T290" s="29">
        <f>AN290*IF(MID(E290,3,1)="1",트라이포드!$J$18,트라이포드!$I$18)*IF(MID(E290,5,1)="1",2,1)*(1+입력란!$C$33/100)</f>
        <v>0</v>
      </c>
      <c r="U290" s="29"/>
      <c r="V290" s="29"/>
      <c r="W290" s="29"/>
      <c r="X290" s="29"/>
      <c r="Y290" s="29"/>
      <c r="Z290" s="26">
        <f>AN290*IF(MID(E290,1,1)="2",트라이포드!$F$18,트라이포드!$E$18)*IF(MID(E290,5,1)="1",2,1)*(1+입력란!$C$33/100)</f>
        <v>61070.973691591054</v>
      </c>
      <c r="AA290" s="29">
        <f>SUM(AB290:AI290)</f>
        <v>708423.2948224562</v>
      </c>
      <c r="AB290" s="29">
        <f>S290*2</f>
        <v>586281.34743927408</v>
      </c>
      <c r="AC290" s="29">
        <f>T290*2</f>
        <v>0</v>
      </c>
      <c r="AD290" s="29"/>
      <c r="AE290" s="29"/>
      <c r="AF290" s="38"/>
      <c r="AG290" s="38"/>
      <c r="AH290" s="38"/>
      <c r="AI290" s="26">
        <f>Z290*2</f>
        <v>122141.94738318211</v>
      </c>
      <c r="AJ290" s="25">
        <f>(AR290-IF(MID(E290,1,1)="1",트라이포드!$D$18,트라이포드!$C$18))*(1-입력란!$C$29/100)</f>
        <v>34.477458022440004</v>
      </c>
      <c r="AK29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0" s="25">
        <f>입력란!$C$37+IF(입력란!$C$17=1,10,IF(입력란!$C$17=2,25,IF(입력란!$C$17=3,50,0)))</f>
        <v>200</v>
      </c>
      <c r="AM290" s="29">
        <f>SUM(AN290:AP290)</f>
        <v>128177.46860680309</v>
      </c>
      <c r="AN290" s="29">
        <f>(VLOOKUP(C290,$B$4:$AK$7,22,FALSE)+VLOOKUP(C290,$B$8:$AK$11,22,FALSE)*입력란!$C$23)*입력란!$C$38/100</f>
        <v>128177.46860680309</v>
      </c>
      <c r="AO290" s="29"/>
      <c r="AP290" s="38"/>
      <c r="AQ290" s="38"/>
      <c r="AR290" s="22">
        <v>36</v>
      </c>
    </row>
    <row r="291" spans="2:44" ht="13.5" customHeight="1" x14ac:dyDescent="0.3">
      <c r="B291" s="30">
        <v>276</v>
      </c>
      <c r="C291" s="35">
        <v>10</v>
      </c>
      <c r="D291" s="42" t="s">
        <v>183</v>
      </c>
      <c r="E291" s="37" t="s">
        <v>172</v>
      </c>
      <c r="F291" s="39" t="s">
        <v>180</v>
      </c>
      <c r="G291" s="39"/>
      <c r="H291" s="80">
        <f>I291/AJ291</f>
        <v>12787.721551250992</v>
      </c>
      <c r="I291" s="52">
        <f>SUM(J291:Q291)*IF(입력란!C$15=1,1.04,IF(입력란!C$15=2,1.1,IF(입력란!C$15=3,1.2,1)))*IF(입력란!$C$13&lt;&gt;0,0,1)*IF(입력란!$C$17&lt;&gt;0,0.98,1)</f>
        <v>440888.13298590743</v>
      </c>
      <c r="J291" s="29">
        <f>S291*(1+IF($AK291+IF(입력란!$C$10=1,0,IF(입력란!$C$9=1,10,0))+IF(입력란!$C$19=1,10,0)&gt;100,100,$AK291+IF(입력란!$C$10=1,0,IF(입력란!$C$9=1,10,0))+IF(입력란!$C$19=1,10,0))/100*($AL291/100-1))</f>
        <v>403524.73188540683</v>
      </c>
      <c r="K291" s="29">
        <f>T291*(1+IF($AK291+IF(입력란!$C$19=1,10,0)&gt;100,100,$AK291+IF(입력란!$C$19=1,10,0))/100*($AL291/100-1))</f>
        <v>0</v>
      </c>
      <c r="L291" s="29"/>
      <c r="M291" s="29"/>
      <c r="N291" s="38"/>
      <c r="O291" s="38"/>
      <c r="P291" s="38"/>
      <c r="Q291" s="34">
        <f>Z291*(1+IF($AK291+IF(입력란!$C$19=1,10,0)&gt;100,100,$AK291+IF(입력란!$C$19=1,10,0))/100*($AL291/100-1))</f>
        <v>37363.401100500625</v>
      </c>
      <c r="R291" s="23">
        <f>SUM(S291:Z291)</f>
        <v>360318.74478038726</v>
      </c>
      <c r="S291" s="29">
        <f>AN291*IF(MID(E291,3,1)="2",트라이포드!$L$18,트라이포드!$K$18)*IF(MID(E291,3,1)="3",트라이포드!$N$18,트라이포드!$M$18)*IF(MID(E291,5,1)="1",트라이포드!$P$18,트라이포드!$O$18)*IF(MID(E291,5,1)="2",트라이포드!$R$18,트라이포드!$Q$18)*(1+입력란!$C$33/100)*IF(입력란!$C$10=1,1.2,IF(입력란!$C$9=1,IF(입력란!$C$14=0,1.05,IF(입력란!$C$14=1,1.05*1.05,IF(입력란!$C$14=2,1.05*1.12,IF(입력란!$C$14=3,1.05*1.25)))),1))</f>
        <v>329783.25793459173</v>
      </c>
      <c r="T291" s="29">
        <f>AN291*IF(MID(E291,3,1)="1",트라이포드!$J$18,트라이포드!$I$18)*IF(MID(E291,5,1)="1",2,1)*(1+입력란!$C$33/100)</f>
        <v>0</v>
      </c>
      <c r="U291" s="29"/>
      <c r="V291" s="29"/>
      <c r="W291" s="29"/>
      <c r="X291" s="29"/>
      <c r="Y291" s="29"/>
      <c r="Z291" s="26">
        <f>AN291*IF(MID(E291,1,1)="2",트라이포드!$F$18,트라이포드!$E$18)*IF(MID(E291,5,1)="1",2,1)*(1+입력란!$C$33/100)</f>
        <v>30535.486845795527</v>
      </c>
      <c r="AA291" s="29">
        <f>SUM(AB291:AI291)</f>
        <v>720637.48956077453</v>
      </c>
      <c r="AB291" s="29">
        <f>S291*2</f>
        <v>659566.51586918347</v>
      </c>
      <c r="AC291" s="29">
        <f>T291*2</f>
        <v>0</v>
      </c>
      <c r="AD291" s="29"/>
      <c r="AE291" s="29"/>
      <c r="AF291" s="38"/>
      <c r="AG291" s="38"/>
      <c r="AH291" s="38"/>
      <c r="AI291" s="26">
        <f>Z291*2</f>
        <v>61070.973691591054</v>
      </c>
      <c r="AJ291" s="25">
        <f>(AR291-IF(MID(E291,1,1)="1",트라이포드!$D$18,트라이포드!$C$18))*(1-입력란!$C$29/100)</f>
        <v>34.477458022440004</v>
      </c>
      <c r="AK29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1" s="25">
        <f>입력란!$C$37+IF(입력란!$C$17=1,10,IF(입력란!$C$17=2,25,IF(입력란!$C$17=3,50,0)))</f>
        <v>200</v>
      </c>
      <c r="AM291" s="29">
        <f>SUM(AN291:AP291)</f>
        <v>128177.46860680309</v>
      </c>
      <c r="AN291" s="29">
        <f>(VLOOKUP(C291,$B$4:$AK$7,22,FALSE)+VLOOKUP(C291,$B$8:$AK$11,22,FALSE)*입력란!$C$23)*입력란!$C$38/100</f>
        <v>128177.46860680309</v>
      </c>
      <c r="AO291" s="29"/>
      <c r="AP291" s="38"/>
      <c r="AQ291" s="38"/>
      <c r="AR291" s="22">
        <v>36</v>
      </c>
    </row>
    <row r="292" spans="2:44" ht="13.5" customHeight="1" x14ac:dyDescent="0.3">
      <c r="B292" s="30">
        <v>277</v>
      </c>
      <c r="C292" s="35">
        <v>10</v>
      </c>
      <c r="D292" s="42" t="s">
        <v>183</v>
      </c>
      <c r="E292" s="37" t="s">
        <v>189</v>
      </c>
      <c r="F292" s="39" t="s">
        <v>193</v>
      </c>
      <c r="G292" s="39"/>
      <c r="H292" s="80">
        <f>I292/AJ292</f>
        <v>15171.873026907955</v>
      </c>
      <c r="I292" s="52">
        <f>SUM(J292:Q292)*IF(입력란!C$15=1,1.04,IF(입력란!C$15=2,1.1,IF(입력란!C$15=3,1.2,1)))*IF(입력란!$C$13&lt;&gt;0,0,1)*IF(입력란!$C$17&lt;&gt;0,0.98,1)</f>
        <v>523087.61540700879</v>
      </c>
      <c r="J292" s="29">
        <f>S292*(1+IF($AK292+IF(입력란!$C$10=1,0,IF(입력란!$C$9=1,10,0))+IF(입력란!$C$19=1,10,0)&gt;100,100,$AK292+IF(입력란!$C$10=1,0,IF(입력란!$C$9=1,10,0))+IF(입력란!$C$19=1,10,0))/100*($AL292/100-1))</f>
        <v>448360.81320600753</v>
      </c>
      <c r="K292" s="29">
        <f>T292*(1+IF($AK292+IF(입력란!$C$19=1,10,0)&gt;100,100,$AK292+IF(입력란!$C$19=1,10,0))/100*($AL292/100-1))</f>
        <v>0</v>
      </c>
      <c r="L292" s="29"/>
      <c r="M292" s="29"/>
      <c r="N292" s="38"/>
      <c r="O292" s="38"/>
      <c r="P292" s="38"/>
      <c r="Q292" s="34">
        <f>Z292*(1+IF($AK292+IF(입력란!$C$19=1,10,0)&gt;100,100,$AK292+IF(입력란!$C$19=1,10,0))/100*($AL292/100-1))</f>
        <v>74726.80220100125</v>
      </c>
      <c r="R292" s="23">
        <f>SUM(S292:Z292)</f>
        <v>427496.81584113737</v>
      </c>
      <c r="S292" s="29">
        <f>AN292*IF(MID(E292,3,1)="2",트라이포드!$L$18,트라이포드!$K$18)*IF(MID(E292,3,1)="3",트라이포드!$N$18,트라이포드!$M$18)*IF(MID(E292,5,1)="1",트라이포드!$P$18,트라이포드!$O$18)*IF(MID(E292,5,1)="2",트라이포드!$R$18,트라이포드!$Q$18)*(1+입력란!$C$33/100)*IF(입력란!$C$10=1,1.2,IF(입력란!$C$9=1,IF(입력란!$C$14=0,1.05,IF(입력란!$C$14=1,1.05*1.05,IF(입력란!$C$14=2,1.05*1.12,IF(입력란!$C$14=3,1.05*1.25)))),1))</f>
        <v>366425.84214954631</v>
      </c>
      <c r="T292" s="29">
        <f>AN292*IF(MID(E292,3,1)="1",트라이포드!$J$18,트라이포드!$I$18)*IF(MID(E292,5,1)="1",2,1)*(1+입력란!$C$33/100)</f>
        <v>0</v>
      </c>
      <c r="U292" s="29"/>
      <c r="V292" s="29"/>
      <c r="W292" s="29"/>
      <c r="X292" s="29"/>
      <c r="Y292" s="29"/>
      <c r="Z292" s="26">
        <f>AN292*IF(MID(E292,1,1)="2",트라이포드!$F$18,트라이포드!$E$18)*IF(MID(E292,5,1)="1",2,1)*(1+입력란!$C$33/100)</f>
        <v>61070.973691591054</v>
      </c>
      <c r="AA292" s="29">
        <f>SUM(AB292:AI292)</f>
        <v>854993.63168227475</v>
      </c>
      <c r="AB292" s="29">
        <f>S292*2</f>
        <v>732851.68429909262</v>
      </c>
      <c r="AC292" s="29">
        <f>T292*2</f>
        <v>0</v>
      </c>
      <c r="AD292" s="29"/>
      <c r="AE292" s="29"/>
      <c r="AF292" s="38"/>
      <c r="AG292" s="38"/>
      <c r="AH292" s="38"/>
      <c r="AI292" s="26">
        <f>Z292*2</f>
        <v>122141.94738318211</v>
      </c>
      <c r="AJ292" s="25">
        <f>(AR292-IF(MID(E292,1,1)="1",트라이포드!$D$18,트라이포드!$C$18))*(1-입력란!$C$29/100)</f>
        <v>34.477458022440004</v>
      </c>
      <c r="AK29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2" s="25">
        <f>입력란!$C$37+IF(입력란!$C$17=1,10,IF(입력란!$C$17=2,25,IF(입력란!$C$17=3,50,0)))</f>
        <v>200</v>
      </c>
      <c r="AM292" s="29">
        <f>SUM(AN292:AP292)</f>
        <v>128177.46860680309</v>
      </c>
      <c r="AN292" s="29">
        <f>(VLOOKUP(C292,$B$4:$AK$7,22,FALSE)+VLOOKUP(C292,$B$8:$AK$11,22,FALSE)*입력란!$C$23)*입력란!$C$38/100</f>
        <v>128177.46860680309</v>
      </c>
      <c r="AO292" s="29"/>
      <c r="AP292" s="38"/>
      <c r="AQ292" s="38"/>
      <c r="AR292" s="22">
        <v>36</v>
      </c>
    </row>
    <row r="293" spans="2:44" ht="13.5" customHeight="1" x14ac:dyDescent="0.3">
      <c r="B293" s="30">
        <v>278</v>
      </c>
      <c r="C293" s="35">
        <v>10</v>
      </c>
      <c r="D293" s="42" t="s">
        <v>183</v>
      </c>
      <c r="E293" s="37" t="s">
        <v>190</v>
      </c>
      <c r="F293" s="39" t="s">
        <v>193</v>
      </c>
      <c r="G293" s="39"/>
      <c r="H293" s="80">
        <f>I293/AJ293</f>
        <v>15713.725635011811</v>
      </c>
      <c r="I293" s="52">
        <f>SUM(J293:Q293)*IF(입력란!C$15=1,1.04,IF(입력란!C$15=2,1.1,IF(입력란!C$15=3,1.2,1)))*IF(입력란!$C$13&lt;&gt;0,0,1)*IF(입력란!$C$17&lt;&gt;0,0.98,1)</f>
        <v>541769.31595725915</v>
      </c>
      <c r="J293" s="29">
        <f>S293*(1+IF($AK293+IF(입력란!$C$10=1,0,IF(입력란!$C$9=1,10,0))+IF(입력란!$C$19=1,10,0)&gt;100,100,$AK293+IF(입력란!$C$10=1,0,IF(입력란!$C$9=1,10,0))+IF(입력란!$C$19=1,10,0))/100*($AL293/100-1))</f>
        <v>504405.91485675849</v>
      </c>
      <c r="K293" s="29">
        <f>T293*(1+IF($AK293+IF(입력란!$C$19=1,10,0)&gt;100,100,$AK293+IF(입력란!$C$19=1,10,0))/100*($AL293/100-1))</f>
        <v>0</v>
      </c>
      <c r="L293" s="29"/>
      <c r="M293" s="29"/>
      <c r="N293" s="38"/>
      <c r="O293" s="38"/>
      <c r="P293" s="38"/>
      <c r="Q293" s="34">
        <f>Z293*(1+IF($AK293+IF(입력란!$C$19=1,10,0)&gt;100,100,$AK293+IF(입력란!$C$19=1,10,0))/100*($AL293/100-1))</f>
        <v>37363.401100500625</v>
      </c>
      <c r="R293" s="23">
        <f>SUM(S293:Z293)</f>
        <v>442764.55926403514</v>
      </c>
      <c r="S293" s="29">
        <f>AN293*IF(MID(E293,3,1)="2",트라이포드!$L$18,트라이포드!$K$18)*IF(MID(E293,3,1)="3",트라이포드!$N$18,트라이포드!$M$18)*IF(MID(E293,5,1)="1",트라이포드!$P$18,트라이포드!$O$18)*IF(MID(E293,5,1)="2",트라이포드!$R$18,트라이포드!$Q$18)*(1+입력란!$C$33/100)*IF(입력란!$C$10=1,1.2,IF(입력란!$C$9=1,IF(입력란!$C$14=0,1.05,IF(입력란!$C$14=1,1.05*1.05,IF(입력란!$C$14=2,1.05*1.12,IF(입력란!$C$14=3,1.05*1.25)))),1))</f>
        <v>412229.07241823961</v>
      </c>
      <c r="T293" s="29">
        <f>AN293*IF(MID(E293,3,1)="1",트라이포드!$J$18,트라이포드!$I$18)*IF(MID(E293,5,1)="1",2,1)*(1+입력란!$C$33/100)</f>
        <v>0</v>
      </c>
      <c r="U293" s="29"/>
      <c r="V293" s="29"/>
      <c r="W293" s="29"/>
      <c r="X293" s="29"/>
      <c r="Y293" s="29"/>
      <c r="Z293" s="26">
        <f>AN293*IF(MID(E293,1,1)="2",트라이포드!$F$18,트라이포드!$E$18)*IF(MID(E293,5,1)="1",2,1)*(1+입력란!$C$33/100)</f>
        <v>30535.486845795527</v>
      </c>
      <c r="AA293" s="29">
        <f>SUM(AB293:AI293)</f>
        <v>885529.11852807028</v>
      </c>
      <c r="AB293" s="29">
        <f>S293*2</f>
        <v>824458.14483647922</v>
      </c>
      <c r="AC293" s="29">
        <f>T293*2</f>
        <v>0</v>
      </c>
      <c r="AD293" s="29"/>
      <c r="AE293" s="29"/>
      <c r="AF293" s="38"/>
      <c r="AG293" s="38"/>
      <c r="AH293" s="38"/>
      <c r="AI293" s="26">
        <f>Z293*2</f>
        <v>61070.973691591054</v>
      </c>
      <c r="AJ293" s="25">
        <f>(AR293-IF(MID(E293,1,1)="1",트라이포드!$D$18,트라이포드!$C$18))*(1-입력란!$C$29/100)</f>
        <v>34.477458022440004</v>
      </c>
      <c r="AK29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3" s="25">
        <f>입력란!$C$37+IF(입력란!$C$17=1,10,IF(입력란!$C$17=2,25,IF(입력란!$C$17=3,50,0)))</f>
        <v>200</v>
      </c>
      <c r="AM293" s="29">
        <f>SUM(AN293:AP293)</f>
        <v>128177.46860680309</v>
      </c>
      <c r="AN293" s="29">
        <f>(VLOOKUP(C293,$B$4:$AK$7,22,FALSE)+VLOOKUP(C293,$B$8:$AK$11,22,FALSE)*입력란!$C$23)*입력란!$C$38/100</f>
        <v>128177.46860680309</v>
      </c>
      <c r="AO293" s="29"/>
      <c r="AP293" s="38"/>
      <c r="AQ293" s="38"/>
      <c r="AR293" s="22">
        <v>36</v>
      </c>
    </row>
    <row r="294" spans="2:44" ht="13.5" customHeight="1" x14ac:dyDescent="0.3">
      <c r="B294" s="30">
        <v>279</v>
      </c>
      <c r="C294" s="35">
        <v>1</v>
      </c>
      <c r="D294" s="42" t="s">
        <v>374</v>
      </c>
      <c r="E294" s="37" t="s">
        <v>152</v>
      </c>
      <c r="F294" s="39"/>
      <c r="G294" s="39"/>
      <c r="H294" s="51">
        <f>I294/AJ294</f>
        <v>8086.2092137043928</v>
      </c>
      <c r="I294" s="52">
        <f>SUM(J294:Q294)*IF(입력란!C$15=1,1.04,IF(입력란!C$15=2,1.1,IF(입력란!C$15=3,1.2,1)))*IF(입력란!$C$13&lt;&gt;0,0,1)*IF(입력란!$C$17&lt;&gt;0,0.98,1)</f>
        <v>232326.61560513399</v>
      </c>
      <c r="J294" s="29">
        <f>S294*(1+IF($AK294+IF(입력란!$C$9=1,IF(MID(E294,1,1)&lt;&gt;"1",10,0),0)+IF(MID(E294,1,1)="1",10,0)+IF(입력란!$C$19=1,10,0)&gt;100,100,$AK294+IF(입력란!$C$9=1,IF(MID(E294,1,1)&lt;&gt;"1",10,0),0)+IF(MID(E294,1,1)="1",10,0)+IF(입력란!$C$19=1,10,0))/100*($AL294/100-1))</f>
        <v>58085.394111354188</v>
      </c>
      <c r="K294" s="29">
        <f>T294*(1+IF($AK294+IF(입력란!$C$9=1,IF(MID(E294,1,1)&lt;&gt;"1",10,0),0)+IF(MID(E294,1,1)="1",10,0)+IF(입력란!$C$19=1,10,0)&gt;100,100,$AK294+IF(입력란!$C$9=1,IF(MID(E294,1,1)&lt;&gt;"1",10,0),0)+IF(MID(E294,1,1)="1",10,0)+IF(입력란!$C$19=1,10,0))/100*($AL294/100-1))</f>
        <v>58085.394111354188</v>
      </c>
      <c r="L294" s="29">
        <f>U294*(1+IF($AK294+IF(입력란!$C$9=1,IF(MID(E294,1,1)&lt;&gt;"1",10,0),0)+IF(MID(E294,1,1)="1",10,0)+IF(입력란!$C$19=1,10,0)&gt;100,100,$AK294+IF(입력란!$C$9=1,IF(MID(E294,1,1)&lt;&gt;"1",10,0),0)+IF(MID(E294,1,1)="1",10,0)+IF(입력란!$C$19=1,10,0))/100*($AL294/100-1))</f>
        <v>116155.82738242563</v>
      </c>
      <c r="M294" s="29"/>
      <c r="N294" s="38"/>
      <c r="O294" s="38"/>
      <c r="P294" s="38"/>
      <c r="Q294" s="34"/>
      <c r="R294" s="23">
        <f>SUM(S294:Z294)</f>
        <v>189870.46429891814</v>
      </c>
      <c r="S294" s="29">
        <f>AN294*IF(MID(E294,1,1)="1",트라이포드!$D$19,트라이포드!$C$19)*IF(MID(E294,3,1)="2",트라이포드!$L$19,트라이포드!$K$19)*(1+입력란!$C$33/100)*IF(입력란!$C$9=1,IF(MID(E294,1,1)&lt;&gt;"1",IF(입력란!$C$14=0,1.05,IF(입력란!$C$14=1,1.05*1.05,IF(입력란!$C$14=2,1.05*1.12,IF(입력란!$C$14=3,1.05*1.25)))),1),1)</f>
        <v>47470.672786165058</v>
      </c>
      <c r="T294" s="29">
        <f>AO294*IF(MID(E294,1,1)="1",트라이포드!$D$19,트라이포드!$C$19)*IF(MID(E294,3,1)="2",트라이포드!$L$19,트라이포드!$K$19)*(1+입력란!$C$33/100)*IF(입력란!$C$9=1,IF(MID(E294,1,1)&lt;&gt;"1",IF(입력란!$C$14=0,1.05,IF(입력란!$C$14=1,1.05*1.05,IF(입력란!$C$14=2,1.05*1.12,IF(입력란!$C$14=3,1.05*1.25)))),1),1)</f>
        <v>47470.672786165058</v>
      </c>
      <c r="U294" s="29">
        <f>AP294*IF(MID(E294,1,1)="1",트라이포드!$D$19,트라이포드!$C$19)*IF(MID(E294,3,1)="2",트라이포드!$L$19,트라이포드!$K$19)*IF(MID(E294,5,1)="1",트라이포드!$P$19,트라이포드!$O$19)*IF(MID(E294,5,1)="2",트라이포드!$R$19,트라이포드!$Q$19)*(1+입력란!$C$33/100)*IF(입력란!$C$9=1,IF(MID(E294,1,1)&lt;&gt;"1",IF(입력란!$C$14=0,1.05,IF(입력란!$C$14=1,1.05*1.05,IF(입력란!$C$14=2,1.05*1.12,IF(입력란!$C$14=3,1.05*1.25)))),1),1)</f>
        <v>94929.118726588029</v>
      </c>
      <c r="V294" s="29"/>
      <c r="W294" s="29"/>
      <c r="X294" s="38"/>
      <c r="Y294" s="38"/>
      <c r="Z294" s="26"/>
      <c r="AA294" s="29">
        <f>SUM(AB294:AI294)</f>
        <v>379740.92859783629</v>
      </c>
      <c r="AB294" s="29">
        <f>S294*2</f>
        <v>94941.345572330116</v>
      </c>
      <c r="AC294" s="29">
        <f>T294*2</f>
        <v>94941.345572330116</v>
      </c>
      <c r="AD294" s="29">
        <f>U294*2</f>
        <v>189858.23745317606</v>
      </c>
      <c r="AE294" s="29"/>
      <c r="AF294" s="38"/>
      <c r="AG294" s="38"/>
      <c r="AH294" s="38"/>
      <c r="AI294" s="26"/>
      <c r="AJ294" s="25">
        <f>AR294*(1-입력란!$C$29/100)</f>
        <v>28.731215018700002</v>
      </c>
      <c r="AK29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4" s="25">
        <f>입력란!$C$37+IF(입력란!$C$17=1,10,IF(입력란!$C$17=2,25,IF(입력란!$C$17=3,50,0)))</f>
        <v>200</v>
      </c>
      <c r="AM294" s="29">
        <f>SUM(AN294:AP294)</f>
        <v>159402.17753813032</v>
      </c>
      <c r="AN294" s="29">
        <f>(VLOOKUP(C294,$B$4:$AK$7,23,FALSE)+VLOOKUP(C294,$B$8:$AK$11,23,FALSE)*입력란!$C$23)*입력란!$C$38/100</f>
        <v>39853.11058913279</v>
      </c>
      <c r="AO294" s="29">
        <f>(VLOOKUP(C294,$B$4:$AK$7,24,FALSE)+VLOOKUP(C294,$B$8:$AK$11,24,FALSE)*입력란!$C$23)*입력란!$C$38/100</f>
        <v>39853.11058913279</v>
      </c>
      <c r="AP294" s="29">
        <f>(VLOOKUP(C294,$B$4:$AK$7,25,FALSE)+VLOOKUP(C294,$B$8:$AK$11,25,FALSE)*입력란!$C$23)*입력란!$C$38/100</f>
        <v>79695.956359864736</v>
      </c>
      <c r="AQ294" s="29"/>
      <c r="AR294" s="28">
        <v>30</v>
      </c>
    </row>
    <row r="295" spans="2:44" ht="13.5" customHeight="1" x14ac:dyDescent="0.3">
      <c r="B295" s="30">
        <v>280</v>
      </c>
      <c r="C295" s="35">
        <v>4</v>
      </c>
      <c r="D295" s="42" t="s">
        <v>374</v>
      </c>
      <c r="E295" s="37" t="s">
        <v>152</v>
      </c>
      <c r="F295" s="39"/>
      <c r="G295" s="39"/>
      <c r="H295" s="51">
        <f>I295/AJ295</f>
        <v>8119.5884670169453</v>
      </c>
      <c r="I295" s="52">
        <f>SUM(J295:Q295)*IF(입력란!C$15=1,1.04,IF(입력란!C$15=2,1.1,IF(입력란!C$15=3,1.2,1)))*IF(입력란!$C$13&lt;&gt;0,0,1)*IF(입력란!$C$17&lt;&gt;0,0.98,1)</f>
        <v>233285.64210922059</v>
      </c>
      <c r="J295" s="29">
        <f>S295*(1+IF($AK295+IF(입력란!$C$9=1,IF(MID(E295,1,1)&lt;&gt;"1",10,0),0)+IF(MID(E295,1,1)="1",10,0)+IF(입력란!$C$19=1,10,0)&gt;100,100,$AK295+IF(입력란!$C$9=1,IF(MID(E295,1,1)&lt;&gt;"1",10,0),0)+IF(MID(E295,1,1)="1",10,0)+IF(입력란!$C$19=1,10,0))/100*($AL295/100-1))</f>
        <v>58325.004988667009</v>
      </c>
      <c r="K295" s="29">
        <f>T295*(1+IF($AK295+IF(입력란!$C$9=1,IF(MID(E295,1,1)&lt;&gt;"1",10,0),0)+IF(MID(E295,1,1)="1",10,0)+IF(입력란!$C$19=1,10,0)&gt;100,100,$AK295+IF(입력란!$C$9=1,IF(MID(E295,1,1)&lt;&gt;"1",10,0),0)+IF(MID(E295,1,1)="1",10,0)+IF(입력란!$C$19=1,10,0))/100*($AL295/100-1))</f>
        <v>58325.004988667009</v>
      </c>
      <c r="L295" s="29">
        <f>U295*(1+IF($AK295+IF(입력란!$C$9=1,IF(MID(E295,1,1)&lt;&gt;"1",10,0),0)+IF(MID(E295,1,1)="1",10,0)+IF(입력란!$C$19=1,10,0)&gt;100,100,$AK295+IF(입력란!$C$9=1,IF(MID(E295,1,1)&lt;&gt;"1",10,0),0)+IF(MID(E295,1,1)="1",10,0)+IF(입력란!$C$19=1,10,0))/100*($AL295/100-1))</f>
        <v>116635.63213188657</v>
      </c>
      <c r="M295" s="29"/>
      <c r="N295" s="38"/>
      <c r="O295" s="38"/>
      <c r="P295" s="38"/>
      <c r="Q295" s="34"/>
      <c r="R295" s="23">
        <f>SUM(S295:Z295)</f>
        <v>190654.23505687283</v>
      </c>
      <c r="S295" s="29">
        <f>AN295*IF(MID(E295,1,1)="1",트라이포드!$D$19,트라이포드!$C$19)*IF(MID(E295,3,1)="2",트라이포드!$L$19,트라이포드!$K$19)*(1+입력란!$C$33/100)*IF(입력란!$C$9=1,IF(MID(E295,1,1)&lt;&gt;"1",IF(입력란!$C$14=0,1.05,IF(입력란!$C$14=1,1.05*1.05,IF(입력란!$C$14=2,1.05*1.12,IF(입력란!$C$14=3,1.05*1.25)))),1),1)</f>
        <v>47666.496361556783</v>
      </c>
      <c r="T295" s="29">
        <f>AO295*IF(MID(E295,1,1)="1",트라이포드!$D$19,트라이포드!$C$19)*IF(MID(E295,3,1)="2",트라이포드!$L$19,트라이포드!$K$19)*(1+입력란!$C$33/100)*IF(입력란!$C$9=1,IF(MID(E295,1,1)&lt;&gt;"1",IF(입력란!$C$14=0,1.05,IF(입력란!$C$14=1,1.05*1.05,IF(입력란!$C$14=2,1.05*1.12,IF(입력란!$C$14=3,1.05*1.25)))),1),1)</f>
        <v>47666.496361556783</v>
      </c>
      <c r="U295" s="29">
        <f>AP295*IF(MID(E295,1,1)="1",트라이포드!$D$19,트라이포드!$C$19)*IF(MID(E295,3,1)="2",트라이포드!$L$19,트라이포드!$K$19)*IF(MID(E295,5,1)="1",트라이포드!$P$19,트라이포드!$O$19)*IF(MID(E295,5,1)="2",트라이포드!$R$19,트라이포드!$Q$19)*(1+입력란!$C$33/100)*IF(입력란!$C$9=1,IF(MID(E295,1,1)&lt;&gt;"1",IF(입력란!$C$14=0,1.05,IF(입력란!$C$14=1,1.05*1.05,IF(입력란!$C$14=2,1.05*1.12,IF(입력란!$C$14=3,1.05*1.25)))),1),1)</f>
        <v>95321.242333759277</v>
      </c>
      <c r="V295" s="29"/>
      <c r="W295" s="29"/>
      <c r="X295" s="38"/>
      <c r="Y295" s="38"/>
      <c r="Z295" s="26"/>
      <c r="AA295" s="29">
        <f>SUM(AB295:AI295)</f>
        <v>381308.47011374566</v>
      </c>
      <c r="AB295" s="29">
        <f>S295*2</f>
        <v>95332.992723113566</v>
      </c>
      <c r="AC295" s="29">
        <f>T295*2</f>
        <v>95332.992723113566</v>
      </c>
      <c r="AD295" s="29">
        <f>U295*2</f>
        <v>190642.48466751855</v>
      </c>
      <c r="AE295" s="29"/>
      <c r="AF295" s="38"/>
      <c r="AG295" s="38"/>
      <c r="AH295" s="38"/>
      <c r="AI295" s="26"/>
      <c r="AJ295" s="25">
        <f>AR295*(1-입력란!$C$29/100)</f>
        <v>28.731215018700002</v>
      </c>
      <c r="AK29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5" s="25">
        <f>입력란!$C$37+IF(입력란!$C$17=1,10,IF(입력란!$C$17=2,25,IF(입력란!$C$17=3,50,0)))</f>
        <v>200</v>
      </c>
      <c r="AM295" s="29">
        <f>SUM(AN295:AP295)</f>
        <v>160060.17753813032</v>
      </c>
      <c r="AN295" s="29">
        <f>(VLOOKUP(C295,$B$4:$AK$7,23,FALSE)+VLOOKUP(C295,$B$8:$AK$11,23,FALSE)*입력란!$C$23)*입력란!$C$38/100</f>
        <v>40017.510589132791</v>
      </c>
      <c r="AO295" s="29">
        <f>(VLOOKUP(C295,$B$4:$AK$7,24,FALSE)+VLOOKUP(C295,$B$8:$AK$11,24,FALSE)*입력란!$C$23)*입력란!$C$38/100</f>
        <v>40017.510589132791</v>
      </c>
      <c r="AP295" s="29">
        <f>(VLOOKUP(C295,$B$4:$AK$7,25,FALSE)+VLOOKUP(C295,$B$8:$AK$11,25,FALSE)*입력란!$C$23)*입력란!$C$38/100</f>
        <v>80025.156359864734</v>
      </c>
      <c r="AQ295" s="29"/>
      <c r="AR295" s="28">
        <v>30</v>
      </c>
    </row>
    <row r="296" spans="2:44" ht="13.5" customHeight="1" x14ac:dyDescent="0.3">
      <c r="B296" s="30">
        <v>281</v>
      </c>
      <c r="C296" s="35">
        <v>4</v>
      </c>
      <c r="D296" s="42" t="s">
        <v>374</v>
      </c>
      <c r="E296" s="37" t="s">
        <v>153</v>
      </c>
      <c r="F296" s="39"/>
      <c r="G296" s="39"/>
      <c r="H296" s="51">
        <f>I296/AJ296</f>
        <v>9222.3255690090282</v>
      </c>
      <c r="I296" s="52">
        <f>SUM(J296:Q296)*IF(입력란!C$15=1,1.04,IF(입력란!C$15=2,1.1,IF(입력란!C$15=3,1.2,1)))*IF(입력란!$C$13&lt;&gt;0,0,1)*IF(입력란!$C$17&lt;&gt;0,0.98,1)</f>
        <v>264968.61889565323</v>
      </c>
      <c r="J296" s="29">
        <f>S296*(1+IF($AK296+IF(입력란!$C$9=1,IF(MID(E296,1,1)&lt;&gt;"1",10,0),0)+IF(MID(E296,1,1)="1",10,0)+IF(입력란!$C$19=1,10,0)&gt;100,100,$AK296+IF(입력란!$C$9=1,IF(MID(E296,1,1)&lt;&gt;"1",10,0),0)+IF(MID(E296,1,1)="1",10,0)+IF(입력란!$C$19=1,10,0))/100*($AL296/100-1))</f>
        <v>66246.237356063808</v>
      </c>
      <c r="K296" s="29">
        <f>T296*(1+IF($AK296+IF(입력란!$C$9=1,IF(MID(E296,1,1)&lt;&gt;"1",10,0),0)+IF(MID(E296,1,1)="1",10,0)+IF(입력란!$C$19=1,10,0)&gt;100,100,$AK296+IF(입력란!$C$9=1,IF(MID(E296,1,1)&lt;&gt;"1",10,0),0)+IF(MID(E296,1,1)="1",10,0)+IF(입력란!$C$19=1,10,0))/100*($AL296/100-1))</f>
        <v>66246.237356063808</v>
      </c>
      <c r="L296" s="29">
        <f>U296*(1+IF($AK296+IF(입력란!$C$9=1,IF(MID(E296,1,1)&lt;&gt;"1",10,0),0)+IF(MID(E296,1,1)="1",10,0)+IF(입력란!$C$19=1,10,0)&gt;100,100,$AK296+IF(입력란!$C$9=1,IF(MID(E296,1,1)&lt;&gt;"1",10,0),0)+IF(MID(E296,1,1)="1",10,0)+IF(입력란!$C$19=1,10,0))/100*($AL296/100-1))</f>
        <v>132476.14418352561</v>
      </c>
      <c r="M296" s="29"/>
      <c r="N296" s="38"/>
      <c r="O296" s="38"/>
      <c r="P296" s="38"/>
      <c r="Q296" s="34"/>
      <c r="R296" s="23">
        <f>SUM(S296:Z296)</f>
        <v>200186.94680971649</v>
      </c>
      <c r="S296" s="29">
        <f>AN296*IF(MID(E296,1,1)="1",트라이포드!$D$19,트라이포드!$C$19)*IF(MID(E296,3,1)="2",트라이포드!$L$19,트라이포드!$K$19)*(1+입력란!$C$33/100)*IF(입력란!$C$9=1,IF(MID(E296,1,1)&lt;&gt;"1",IF(입력란!$C$14=0,1.05,IF(입력란!$C$14=1,1.05*1.05,IF(입력란!$C$14=2,1.05*1.12,IF(입력란!$C$14=3,1.05*1.25)))),1),1)</f>
        <v>50049.821179634622</v>
      </c>
      <c r="T296" s="29">
        <f>AO296*IF(MID(E296,1,1)="1",트라이포드!$D$19,트라이포드!$C$19)*IF(MID(E296,3,1)="2",트라이포드!$L$19,트라이포드!$K$19)*(1+입력란!$C$33/100)*IF(입력란!$C$9=1,IF(MID(E296,1,1)&lt;&gt;"1",IF(입력란!$C$14=0,1.05,IF(입력란!$C$14=1,1.05*1.05,IF(입력란!$C$14=2,1.05*1.12,IF(입력란!$C$14=3,1.05*1.25)))),1),1)</f>
        <v>50049.821179634622</v>
      </c>
      <c r="U296" s="29">
        <f>AP296*IF(MID(E296,1,1)="1",트라이포드!$D$19,트라이포드!$C$19)*IF(MID(E296,3,1)="2",트라이포드!$L$19,트라이포드!$K$19)*IF(MID(E296,5,1)="1",트라이포드!$P$19,트라이포드!$O$19)*IF(MID(E296,5,1)="2",트라이포드!$R$19,트라이포드!$Q$19)*(1+입력란!$C$33/100)*IF(입력란!$C$9=1,IF(MID(E296,1,1)&lt;&gt;"1",IF(입력란!$C$14=0,1.05,IF(입력란!$C$14=1,1.05*1.05,IF(입력란!$C$14=2,1.05*1.12,IF(입력란!$C$14=3,1.05*1.25)))),1),1)</f>
        <v>100087.30445044725</v>
      </c>
      <c r="V296" s="29"/>
      <c r="W296" s="29"/>
      <c r="X296" s="38"/>
      <c r="Y296" s="38"/>
      <c r="Z296" s="26"/>
      <c r="AA296" s="29">
        <f>SUM(AB296:AI296)</f>
        <v>400373.89361943299</v>
      </c>
      <c r="AB296" s="29">
        <f>S296*2</f>
        <v>100099.64235926924</v>
      </c>
      <c r="AC296" s="29">
        <f>T296*2</f>
        <v>100099.64235926924</v>
      </c>
      <c r="AD296" s="29">
        <f>U296*2</f>
        <v>200174.6089008945</v>
      </c>
      <c r="AE296" s="29"/>
      <c r="AF296" s="38"/>
      <c r="AG296" s="38"/>
      <c r="AH296" s="38"/>
      <c r="AI296" s="26"/>
      <c r="AJ296" s="25">
        <f>AR296*(1-입력란!$C$29/100)</f>
        <v>28.731215018700002</v>
      </c>
      <c r="AK29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6" s="25">
        <f>입력란!$C$37+IF(입력란!$C$17=1,10,IF(입력란!$C$17=2,25,IF(입력란!$C$17=3,50,0)))</f>
        <v>200</v>
      </c>
      <c r="AM296" s="29">
        <f>SUM(AN296:AP296)</f>
        <v>160060.17753813032</v>
      </c>
      <c r="AN296" s="29">
        <f>(VLOOKUP(C296,$B$4:$AK$7,23,FALSE)+VLOOKUP(C296,$B$8:$AK$11,23,FALSE)*입력란!$C$23)*입력란!$C$38/100</f>
        <v>40017.510589132791</v>
      </c>
      <c r="AO296" s="29">
        <f>(VLOOKUP(C296,$B$4:$AK$7,24,FALSE)+VLOOKUP(C296,$B$8:$AK$11,24,FALSE)*입력란!$C$23)*입력란!$C$38/100</f>
        <v>40017.510589132791</v>
      </c>
      <c r="AP296" s="29">
        <f>(VLOOKUP(C296,$B$4:$AK$7,25,FALSE)+VLOOKUP(C296,$B$8:$AK$11,25,FALSE)*입력란!$C$23)*입력란!$C$38/100</f>
        <v>80025.156359864734</v>
      </c>
      <c r="AQ296" s="29"/>
      <c r="AR296" s="28">
        <v>30</v>
      </c>
    </row>
    <row r="297" spans="2:44" ht="13.5" customHeight="1" x14ac:dyDescent="0.3">
      <c r="B297" s="30">
        <v>282</v>
      </c>
      <c r="C297" s="35">
        <v>7</v>
      </c>
      <c r="D297" s="42" t="s">
        <v>374</v>
      </c>
      <c r="E297" s="37" t="s">
        <v>152</v>
      </c>
      <c r="F297" s="39"/>
      <c r="G297" s="39"/>
      <c r="H297" s="51">
        <f>I297/AJ297</f>
        <v>8135.1722156759342</v>
      </c>
      <c r="I297" s="52">
        <f>SUM(J297:Q297)*IF(입력란!C$15=1,1.04,IF(입력란!C$15=2,1.1,IF(입력란!C$15=3,1.2,1)))*IF(입력란!$C$13&lt;&gt;0,0,1)*IF(입력란!$C$17&lt;&gt;0,0.98,1)</f>
        <v>233733.38214273937</v>
      </c>
      <c r="J297" s="29">
        <f>S297*(1+IF($AK297+IF(입력란!$C$9=1,IF(MID(E297,1,1)&lt;&gt;"1",10,0),0)+IF(MID(E297,1,1)="1",10,0)+IF(입력란!$C$19=1,10,0)&gt;100,100,$AK297+IF(입력란!$C$9=1,IF(MID(E297,1,1)&lt;&gt;"1",10,0),0)+IF(MID(E297,1,1)="1",10,0)+IF(입력란!$C$19=1,10,0))/100*($AL297/100-1))</f>
        <v>58437.522991882011</v>
      </c>
      <c r="K297" s="29">
        <f>T297*(1+IF($AK297+IF(입력란!$C$9=1,IF(MID(E297,1,1)&lt;&gt;"1",10,0),0)+IF(MID(E297,1,1)="1",10,0)+IF(입력란!$C$19=1,10,0)&gt;100,100,$AK297+IF(입력란!$C$9=1,IF(MID(E297,1,1)&lt;&gt;"1",10,0),0)+IF(MID(E297,1,1)="1",10,0)+IF(입력란!$C$19=1,10,0))/100*($AL297/100-1))</f>
        <v>58437.522991882011</v>
      </c>
      <c r="L297" s="29">
        <f>U297*(1+IF($AK297+IF(입력란!$C$9=1,IF(MID(E297,1,1)&lt;&gt;"1",10,0),0)+IF(MID(E297,1,1)="1",10,0)+IF(입력란!$C$19=1,10,0)&gt;100,100,$AK297+IF(입력란!$C$9=1,IF(MID(E297,1,1)&lt;&gt;"1",10,0),0)+IF(MID(E297,1,1)="1",10,0)+IF(입력란!$C$19=1,10,0))/100*($AL297/100-1))</f>
        <v>116858.33615897536</v>
      </c>
      <c r="M297" s="29"/>
      <c r="N297" s="38"/>
      <c r="O297" s="38"/>
      <c r="P297" s="38"/>
      <c r="Q297" s="34"/>
      <c r="R297" s="23">
        <f>SUM(S297:Z297)</f>
        <v>191020.15356271429</v>
      </c>
      <c r="S297" s="29">
        <f>AN297*IF(MID(E297,1,1)="1",트라이포드!$D$19,트라이포드!$C$19)*IF(MID(E297,3,1)="2",트라이포드!$L$19,트라이포드!$K$19)*(1+입력란!$C$33/100)*IF(입력란!$C$9=1,IF(MID(E297,1,1)&lt;&gt;"1",IF(입력란!$C$14=0,1.05,IF(입력란!$C$14=1,1.05*1.05,IF(입력란!$C$14=2,1.05*1.12,IF(입력란!$C$14=3,1.05*1.25)))),1),1)</f>
        <v>47758.452444404953</v>
      </c>
      <c r="T297" s="29">
        <f>AO297*IF(MID(E297,1,1)="1",트라이포드!$D$19,트라이포드!$C$19)*IF(MID(E297,3,1)="2",트라이포드!$L$19,트라이포드!$K$19)*(1+입력란!$C$33/100)*IF(입력란!$C$9=1,IF(MID(E297,1,1)&lt;&gt;"1",IF(입력란!$C$14=0,1.05,IF(입력란!$C$14=1,1.05*1.05,IF(입력란!$C$14=2,1.05*1.12,IF(입력란!$C$14=3,1.05*1.25)))),1),1)</f>
        <v>47758.452444404953</v>
      </c>
      <c r="U297" s="29">
        <f>AP297*IF(MID(E297,1,1)="1",트라이포드!$D$19,트라이포드!$C$19)*IF(MID(E297,3,1)="2",트라이포드!$L$19,트라이포드!$K$19)*IF(MID(E297,5,1)="1",트라이포드!$P$19,트라이포드!$O$19)*IF(MID(E297,5,1)="2",트라이포드!$R$19,트라이포드!$Q$19)*(1+입력란!$C$33/100)*IF(입력란!$C$9=1,IF(MID(E297,1,1)&lt;&gt;"1",IF(입력란!$C$14=0,1.05,IF(입력란!$C$14=1,1.05*1.05,IF(입력란!$C$14=2,1.05*1.12,IF(입력란!$C$14=3,1.05*1.25)))),1),1)</f>
        <v>95503.248673904382</v>
      </c>
      <c r="V297" s="29"/>
      <c r="W297" s="29"/>
      <c r="X297" s="38"/>
      <c r="Y297" s="38"/>
      <c r="Z297" s="26"/>
      <c r="AA297" s="29">
        <f>SUM(AB297:AI297)</f>
        <v>382040.30712542858</v>
      </c>
      <c r="AB297" s="29">
        <f>S297*2</f>
        <v>95516.904888809906</v>
      </c>
      <c r="AC297" s="29">
        <f>T297*2</f>
        <v>95516.904888809906</v>
      </c>
      <c r="AD297" s="29">
        <f>U297*2</f>
        <v>191006.49734780876</v>
      </c>
      <c r="AE297" s="29"/>
      <c r="AF297" s="38"/>
      <c r="AG297" s="38"/>
      <c r="AH297" s="38"/>
      <c r="AI297" s="26"/>
      <c r="AJ297" s="25">
        <f>AR297*(1-입력란!$C$29/100)</f>
        <v>28.731215018700002</v>
      </c>
      <c r="AK29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7" s="25">
        <f>입력란!$C$37+IF(입력란!$C$17=1,10,IF(입력란!$C$17=2,25,IF(입력란!$C$17=3,50,0)))</f>
        <v>200</v>
      </c>
      <c r="AM297" s="29">
        <f>SUM(AN297:AP297)</f>
        <v>160367.37753813033</v>
      </c>
      <c r="AN297" s="29">
        <f>(VLOOKUP(C297,$B$4:$AK$7,23,FALSE)+VLOOKUP(C297,$B$8:$AK$11,23,FALSE)*입력란!$C$23)*입력란!$C$38/100</f>
        <v>40094.710589132788</v>
      </c>
      <c r="AO297" s="29">
        <f>(VLOOKUP(C297,$B$4:$AK$7,24,FALSE)+VLOOKUP(C297,$B$8:$AK$11,24,FALSE)*입력란!$C$23)*입력란!$C$38/100</f>
        <v>40094.710589132788</v>
      </c>
      <c r="AP297" s="29">
        <f>(VLOOKUP(C297,$B$4:$AK$7,25,FALSE)+VLOOKUP(C297,$B$8:$AK$11,25,FALSE)*입력란!$C$23)*입력란!$C$38/100</f>
        <v>80177.956359864736</v>
      </c>
      <c r="AQ297" s="29"/>
      <c r="AR297" s="28">
        <v>30</v>
      </c>
    </row>
    <row r="298" spans="2:44" ht="13.5" customHeight="1" x14ac:dyDescent="0.3">
      <c r="B298" s="30">
        <v>283</v>
      </c>
      <c r="C298" s="35">
        <v>7</v>
      </c>
      <c r="D298" s="42" t="s">
        <v>374</v>
      </c>
      <c r="E298" s="37" t="s">
        <v>338</v>
      </c>
      <c r="F298" s="39"/>
      <c r="G298" s="39"/>
      <c r="H298" s="51">
        <f>I298/AJ298</f>
        <v>10575.723880378717</v>
      </c>
      <c r="I298" s="52">
        <f>SUM(J298:Q298)*IF(입력란!C$15=1,1.04,IF(입력란!C$15=2,1.1,IF(입력란!C$15=3,1.2,1)))*IF(입력란!$C$13&lt;&gt;0,0,1)*IF(입력란!$C$17&lt;&gt;0,0.98,1)</f>
        <v>303853.39678556123</v>
      </c>
      <c r="J298" s="29">
        <f>S298*(1+IF($AK298+IF(입력란!$C$9=1,IF(MID(E298,1,1)&lt;&gt;"1",10,0),0)+IF(MID(E298,1,1)="1",10,0)+IF(입력란!$C$19=1,10,0)&gt;100,100,$AK298+IF(입력란!$C$9=1,IF(MID(E298,1,1)&lt;&gt;"1",10,0),0)+IF(MID(E298,1,1)="1",10,0)+IF(입력란!$C$19=1,10,0))/100*($AL298/100-1))</f>
        <v>75968.779889446625</v>
      </c>
      <c r="K298" s="29">
        <f>T298*(1+IF($AK298+IF(입력란!$C$9=1,IF(MID(E298,1,1)&lt;&gt;"1",10,0),0)+IF(MID(E298,1,1)="1",10,0)+IF(입력란!$C$19=1,10,0)&gt;100,100,$AK298+IF(입력란!$C$9=1,IF(MID(E298,1,1)&lt;&gt;"1",10,0),0)+IF(MID(E298,1,1)="1",10,0)+IF(입력란!$C$19=1,10,0))/100*($AL298/100-1))</f>
        <v>75968.779889446625</v>
      </c>
      <c r="L298" s="29">
        <f>U298*(1+IF($AK298+IF(입력란!$C$9=1,IF(MID(E298,1,1)&lt;&gt;"1",10,0),0)+IF(MID(E298,1,1)="1",10,0)+IF(입력란!$C$19=1,10,0)&gt;100,100,$AK298+IF(입력란!$C$9=1,IF(MID(E298,1,1)&lt;&gt;"1",10,0),0)+IF(MID(E298,1,1)="1",10,0)+IF(입력란!$C$19=1,10,0))/100*($AL298/100-1))</f>
        <v>151915.83700666798</v>
      </c>
      <c r="M298" s="29"/>
      <c r="N298" s="38"/>
      <c r="O298" s="38"/>
      <c r="P298" s="38"/>
      <c r="Q298" s="34"/>
      <c r="R298" s="23">
        <f>SUM(S298:Z298)</f>
        <v>248326.19963152858</v>
      </c>
      <c r="S298" s="29">
        <f>AN298*IF(MID(E298,1,1)="1",트라이포드!$D$19,트라이포드!$C$19)*IF(MID(E298,3,1)="2",트라이포드!$L$19,트라이포드!$K$19)*(1+입력란!$C$33/100)*IF(입력란!$C$9=1,IF(MID(E298,1,1)&lt;&gt;"1",IF(입력란!$C$14=0,1.05,IF(입력란!$C$14=1,1.05*1.05,IF(입력란!$C$14=2,1.05*1.12,IF(입력란!$C$14=3,1.05*1.25)))),1),1)</f>
        <v>62085.988177726438</v>
      </c>
      <c r="T298" s="29">
        <f>AO298*IF(MID(E298,1,1)="1",트라이포드!$D$19,트라이포드!$C$19)*IF(MID(E298,3,1)="2",트라이포드!$L$19,트라이포드!$K$19)*(1+입력란!$C$33/100)*IF(입력란!$C$9=1,IF(MID(E298,1,1)&lt;&gt;"1",IF(입력란!$C$14=0,1.05,IF(입력란!$C$14=1,1.05*1.05,IF(입력란!$C$14=2,1.05*1.12,IF(입력란!$C$14=3,1.05*1.25)))),1),1)</f>
        <v>62085.988177726438</v>
      </c>
      <c r="U298" s="29">
        <f>AP298*IF(MID(E298,1,1)="1",트라이포드!$D$19,트라이포드!$C$19)*IF(MID(E298,3,1)="2",트라이포드!$L$19,트라이포드!$K$19)*IF(MID(E298,5,1)="1",트라이포드!$P$19,트라이포드!$O$19)*IF(MID(E298,5,1)="2",트라이포드!$R$19,트라이포드!$Q$19)*(1+입력란!$C$33/100)*IF(입력란!$C$9=1,IF(MID(E298,1,1)&lt;&gt;"1",IF(입력란!$C$14=0,1.05,IF(입력란!$C$14=1,1.05*1.05,IF(입력란!$C$14=2,1.05*1.12,IF(입력란!$C$14=3,1.05*1.25)))),1),1)</f>
        <v>124154.2232760757</v>
      </c>
      <c r="V298" s="29"/>
      <c r="W298" s="29"/>
      <c r="X298" s="38"/>
      <c r="Y298" s="38"/>
      <c r="Z298" s="26"/>
      <c r="AA298" s="29">
        <f>SUM(AB298:AI298)</f>
        <v>496652.39926305716</v>
      </c>
      <c r="AB298" s="29">
        <f>S298*2</f>
        <v>124171.97635545288</v>
      </c>
      <c r="AC298" s="29">
        <f>T298*2</f>
        <v>124171.97635545288</v>
      </c>
      <c r="AD298" s="29">
        <f>U298*2</f>
        <v>248308.44655215141</v>
      </c>
      <c r="AE298" s="29"/>
      <c r="AF298" s="38"/>
      <c r="AG298" s="38"/>
      <c r="AH298" s="38"/>
      <c r="AI298" s="26"/>
      <c r="AJ298" s="25">
        <f>AR298*(1-입력란!$C$29/100)</f>
        <v>28.731215018700002</v>
      </c>
      <c r="AK29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8" s="25">
        <f>입력란!$C$37+IF(입력란!$C$17=1,10,IF(입력란!$C$17=2,25,IF(입력란!$C$17=3,50,0)))</f>
        <v>200</v>
      </c>
      <c r="AM298" s="29">
        <f>SUM(AN298:AP298)</f>
        <v>160367.37753813033</v>
      </c>
      <c r="AN298" s="29">
        <f>(VLOOKUP(C298,$B$4:$AK$7,23,FALSE)+VLOOKUP(C298,$B$8:$AK$11,23,FALSE)*입력란!$C$23)*입력란!$C$38/100</f>
        <v>40094.710589132788</v>
      </c>
      <c r="AO298" s="29">
        <f>(VLOOKUP(C298,$B$4:$AK$7,24,FALSE)+VLOOKUP(C298,$B$8:$AK$11,24,FALSE)*입력란!$C$23)*입력란!$C$38/100</f>
        <v>40094.710589132788</v>
      </c>
      <c r="AP298" s="29">
        <f>(VLOOKUP(C298,$B$4:$AK$7,25,FALSE)+VLOOKUP(C298,$B$8:$AK$11,25,FALSE)*입력란!$C$23)*입력란!$C$38/100</f>
        <v>80177.956359864736</v>
      </c>
      <c r="AQ298" s="29"/>
      <c r="AR298" s="28">
        <v>30</v>
      </c>
    </row>
    <row r="299" spans="2:44" ht="13.5" customHeight="1" x14ac:dyDescent="0.3">
      <c r="B299" s="30">
        <v>284</v>
      </c>
      <c r="C299" s="35">
        <v>7</v>
      </c>
      <c r="D299" s="42" t="s">
        <v>374</v>
      </c>
      <c r="E299" s="37" t="s">
        <v>367</v>
      </c>
      <c r="F299" s="39"/>
      <c r="G299" s="39"/>
      <c r="H299" s="51">
        <f>I299/AJ299</f>
        <v>9240.0257768831871</v>
      </c>
      <c r="I299" s="52">
        <f>SUM(J299:Q299)*IF(입력란!C$15=1,1.04,IF(입력란!C$15=2,1.1,IF(입력란!C$15=3,1.2,1)))*IF(입력란!$C$13&lt;&gt;0,0,1)*IF(입력란!$C$17&lt;&gt;0,0.98,1)</f>
        <v>265477.16737396136</v>
      </c>
      <c r="J299" s="29">
        <f>S299*(1+IF($AK299+IF(입력란!$C$9=1,IF(MID(E299,1,1)&lt;&gt;"1",10,0),0)+IF(MID(E299,1,1)="1",10,0)+IF(입력란!$C$19=1,10,0)&gt;100,100,$AK299+IF(입력란!$C$9=1,IF(MID(E299,1,1)&lt;&gt;"1",10,0),0)+IF(MID(E299,1,1)="1",10,0)+IF(입력란!$C$19=1,10,0))/100*($AL299/100-1))</f>
        <v>66374.036648138645</v>
      </c>
      <c r="K299" s="29">
        <f>T299*(1+IF($AK299+IF(입력란!$C$9=1,IF(MID(E299,1,1)&lt;&gt;"1",10,0),0)+IF(MID(E299,1,1)="1",10,0)+IF(입력란!$C$19=1,10,0)&gt;100,100,$AK299+IF(입력란!$C$9=1,IF(MID(E299,1,1)&lt;&gt;"1",10,0),0)+IF(MID(E299,1,1)="1",10,0)+IF(입력란!$C$19=1,10,0))/100*($AL299/100-1))</f>
        <v>66374.036648138645</v>
      </c>
      <c r="L299" s="29">
        <f>U299*(1+IF($AK299+IF(입력란!$C$9=1,IF(MID(E299,1,1)&lt;&gt;"1",10,0),0)+IF(MID(E299,1,1)="1",10,0)+IF(입력란!$C$19=1,10,0)&gt;100,100,$AK299+IF(입력란!$C$9=1,IF(MID(E299,1,1)&lt;&gt;"1",10,0),0)+IF(MID(E299,1,1)="1",10,0)+IF(입력란!$C$19=1,10,0))/100*($AL299/100-1))</f>
        <v>132729.09407768407</v>
      </c>
      <c r="M299" s="29"/>
      <c r="N299" s="38"/>
      <c r="O299" s="38"/>
      <c r="P299" s="38"/>
      <c r="Q299" s="34"/>
      <c r="R299" s="23">
        <f>SUM(S299:Z299)</f>
        <v>200571.16124085002</v>
      </c>
      <c r="S299" s="29">
        <f>AN299*IF(MID(E299,1,1)="1",트라이포드!$D$19,트라이포드!$C$19)*IF(MID(E299,3,1)="2",트라이포드!$L$19,트라이포드!$K$19)*(1+입력란!$C$33/100)*IF(입력란!$C$9=1,IF(MID(E299,1,1)&lt;&gt;"1",IF(입력란!$C$14=0,1.05,IF(입력란!$C$14=1,1.05*1.05,IF(입력란!$C$14=2,1.05*1.12,IF(입력란!$C$14=3,1.05*1.25)))),1),1)</f>
        <v>50146.375066625209</v>
      </c>
      <c r="T299" s="29">
        <f>AO299*IF(MID(E299,1,1)="1",트라이포드!$D$19,트라이포드!$C$19)*IF(MID(E299,3,1)="2",트라이포드!$L$19,트라이포드!$K$19)*(1+입력란!$C$33/100)*IF(입력란!$C$9=1,IF(MID(E299,1,1)&lt;&gt;"1",IF(입력란!$C$14=0,1.05,IF(입력란!$C$14=1,1.05*1.05,IF(입력란!$C$14=2,1.05*1.12,IF(입력란!$C$14=3,1.05*1.25)))),1),1)</f>
        <v>50146.375066625209</v>
      </c>
      <c r="U299" s="29">
        <f>AP299*IF(MID(E299,1,1)="1",트라이포드!$D$19,트라이포드!$C$19)*IF(MID(E299,3,1)="2",트라이포드!$L$19,트라이포드!$K$19)*IF(MID(E299,5,1)="1",트라이포드!$P$19,트라이포드!$O$19)*IF(MID(E299,5,1)="2",트라이포드!$R$19,트라이포드!$Q$19)*(1+입력란!$C$33/100)*IF(입력란!$C$9=1,IF(MID(E299,1,1)&lt;&gt;"1",IF(입력란!$C$14=0,1.05,IF(입력란!$C$14=1,1.05*1.05,IF(입력란!$C$14=2,1.05*1.12,IF(입력란!$C$14=3,1.05*1.25)))),1),1)</f>
        <v>100278.4111075996</v>
      </c>
      <c r="V299" s="29"/>
      <c r="W299" s="29"/>
      <c r="X299" s="38"/>
      <c r="Y299" s="38"/>
      <c r="Z299" s="26"/>
      <c r="AA299" s="29">
        <f>SUM(AB299:AI299)</f>
        <v>401142.32248170004</v>
      </c>
      <c r="AB299" s="29">
        <f>S299*2</f>
        <v>100292.75013325042</v>
      </c>
      <c r="AC299" s="29">
        <f>T299*2</f>
        <v>100292.75013325042</v>
      </c>
      <c r="AD299" s="29">
        <f>U299*2</f>
        <v>200556.82221519921</v>
      </c>
      <c r="AE299" s="29"/>
      <c r="AF299" s="38"/>
      <c r="AG299" s="38"/>
      <c r="AH299" s="38"/>
      <c r="AI299" s="26"/>
      <c r="AJ299" s="25">
        <f>AR299*(1-입력란!$C$29/100)</f>
        <v>28.731215018700002</v>
      </c>
      <c r="AK29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299" s="25">
        <f>입력란!$C$37+IF(입력란!$C$17=1,10,IF(입력란!$C$17=2,25,IF(입력란!$C$17=3,50,0)))</f>
        <v>200</v>
      </c>
      <c r="AM299" s="29">
        <f>SUM(AN299:AP299)</f>
        <v>160367.37753813033</v>
      </c>
      <c r="AN299" s="29">
        <f>(VLOOKUP(C299,$B$4:$AK$7,23,FALSE)+VLOOKUP(C299,$B$8:$AK$11,23,FALSE)*입력란!$C$23)*입력란!$C$38/100</f>
        <v>40094.710589132788</v>
      </c>
      <c r="AO299" s="29">
        <f>(VLOOKUP(C299,$B$4:$AK$7,24,FALSE)+VLOOKUP(C299,$B$8:$AK$11,24,FALSE)*입력란!$C$23)*입력란!$C$38/100</f>
        <v>40094.710589132788</v>
      </c>
      <c r="AP299" s="29">
        <f>(VLOOKUP(C299,$B$4:$AK$7,25,FALSE)+VLOOKUP(C299,$B$8:$AK$11,25,FALSE)*입력란!$C$23)*입력란!$C$38/100</f>
        <v>80177.956359864736</v>
      </c>
      <c r="AQ299" s="29"/>
      <c r="AR299" s="28">
        <v>30</v>
      </c>
    </row>
    <row r="300" spans="2:44" ht="13.5" customHeight="1" x14ac:dyDescent="0.3">
      <c r="B300" s="30">
        <v>285</v>
      </c>
      <c r="C300" s="35">
        <v>7</v>
      </c>
      <c r="D300" s="42" t="s">
        <v>374</v>
      </c>
      <c r="E300" s="37" t="s">
        <v>382</v>
      </c>
      <c r="F300" s="39"/>
      <c r="G300" s="39"/>
      <c r="H300" s="51">
        <f>I300/AJ300</f>
        <v>12012.033509948144</v>
      </c>
      <c r="I300" s="52">
        <f>SUM(J300:Q300)*IF(입력란!C$15=1,1.04,IF(입력란!C$15=2,1.1,IF(입력란!C$15=3,1.2,1)))*IF(입력란!$C$13&lt;&gt;0,0,1)*IF(입력란!$C$17&lt;&gt;0,0.98,1)</f>
        <v>345120.31758614979</v>
      </c>
      <c r="J300" s="29">
        <f>S300*(1+IF($AK300+IF(입력란!$C$9=1,IF(MID(E300,1,1)&lt;&gt;"1",10,0),0)+IF(MID(E300,1,1)="1",10,0)+IF(입력란!$C$19=1,10,0)&gt;100,100,$AK300+IF(입력란!$C$9=1,IF(MID(E300,1,1)&lt;&gt;"1",10,0),0)+IF(MID(E300,1,1)="1",10,0)+IF(입력란!$C$19=1,10,0))/100*($AL300/100-1))</f>
        <v>86286.247642580231</v>
      </c>
      <c r="K300" s="29">
        <f>T300*(1+IF($AK300+IF(입력란!$C$9=1,IF(MID(E300,1,1)&lt;&gt;"1",10,0),0)+IF(MID(E300,1,1)="1",10,0)+IF(입력란!$C$19=1,10,0)&gt;100,100,$AK300+IF(입력란!$C$9=1,IF(MID(E300,1,1)&lt;&gt;"1",10,0),0)+IF(MID(E300,1,1)="1",10,0)+IF(입력란!$C$19=1,10,0))/100*($AL300/100-1))</f>
        <v>86286.247642580231</v>
      </c>
      <c r="L300" s="29">
        <f>U300*(1+IF($AK300+IF(입력란!$C$9=1,IF(MID(E300,1,1)&lt;&gt;"1",10,0),0)+IF(MID(E300,1,1)="1",10,0)+IF(입력란!$C$19=1,10,0)&gt;100,100,$AK300+IF(입력란!$C$9=1,IF(MID(E300,1,1)&lt;&gt;"1",10,0),0)+IF(MID(E300,1,1)="1",10,0)+IF(입력란!$C$19=1,10,0))/100*($AL300/100-1))</f>
        <v>172547.82230098933</v>
      </c>
      <c r="M300" s="29"/>
      <c r="N300" s="38"/>
      <c r="O300" s="38"/>
      <c r="P300" s="38"/>
      <c r="Q300" s="34"/>
      <c r="R300" s="23">
        <f>SUM(S300:Z300)</f>
        <v>260742.50961310504</v>
      </c>
      <c r="S300" s="29">
        <f>AN300*IF(MID(E300,1,1)="1",트라이포드!$D$19,트라이포드!$C$19)*IF(MID(E300,3,1)="2",트라이포드!$L$19,트라이포드!$K$19)*(1+입력란!$C$33/100)*IF(입력란!$C$9=1,IF(MID(E300,1,1)&lt;&gt;"1",IF(입력란!$C$14=0,1.05,IF(입력란!$C$14=1,1.05*1.05,IF(입력란!$C$14=2,1.05*1.12,IF(입력란!$C$14=3,1.05*1.25)))),1),1)</f>
        <v>65190.287586612772</v>
      </c>
      <c r="T300" s="29">
        <f>AO300*IF(MID(E300,1,1)="1",트라이포드!$D$19,트라이포드!$C$19)*IF(MID(E300,3,1)="2",트라이포드!$L$19,트라이포드!$K$19)*(1+입력란!$C$33/100)*IF(입력란!$C$9=1,IF(MID(E300,1,1)&lt;&gt;"1",IF(입력란!$C$14=0,1.05,IF(입력란!$C$14=1,1.05*1.05,IF(입력란!$C$14=2,1.05*1.12,IF(입력란!$C$14=3,1.05*1.25)))),1),1)</f>
        <v>65190.287586612772</v>
      </c>
      <c r="U300" s="29">
        <f>AP300*IF(MID(E300,1,1)="1",트라이포드!$D$19,트라이포드!$C$19)*IF(MID(E300,3,1)="2",트라이포드!$L$19,트라이포드!$K$19)*IF(MID(E300,5,1)="1",트라이포드!$P$19,트라이포드!$O$19)*IF(MID(E300,5,1)="2",트라이포드!$R$19,트라이포드!$Q$19)*(1+입력란!$C$33/100)*IF(입력란!$C$9=1,IF(MID(E300,1,1)&lt;&gt;"1",IF(입력란!$C$14=0,1.05,IF(입력란!$C$14=1,1.05*1.05,IF(입력란!$C$14=2,1.05*1.12,IF(입력란!$C$14=3,1.05*1.25)))),1),1)</f>
        <v>130361.93443987949</v>
      </c>
      <c r="V300" s="29"/>
      <c r="W300" s="29"/>
      <c r="X300" s="38"/>
      <c r="Y300" s="38"/>
      <c r="Z300" s="26"/>
      <c r="AA300" s="29">
        <f>SUM(AB300:AI300)</f>
        <v>521485.01922621008</v>
      </c>
      <c r="AB300" s="29">
        <f>S300*2</f>
        <v>130380.57517322554</v>
      </c>
      <c r="AC300" s="29">
        <f>T300*2</f>
        <v>130380.57517322554</v>
      </c>
      <c r="AD300" s="29">
        <f>U300*2</f>
        <v>260723.86887975899</v>
      </c>
      <c r="AE300" s="29"/>
      <c r="AF300" s="38"/>
      <c r="AG300" s="38"/>
      <c r="AH300" s="38"/>
      <c r="AI300" s="26"/>
      <c r="AJ300" s="25">
        <f>AR300*(1-입력란!$C$29/100)</f>
        <v>28.731215018700002</v>
      </c>
      <c r="AK30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0" s="25">
        <f>입력란!$C$37+IF(입력란!$C$17=1,10,IF(입력란!$C$17=2,25,IF(입력란!$C$17=3,50,0)))</f>
        <v>200</v>
      </c>
      <c r="AM300" s="29">
        <f>SUM(AN300:AP300)</f>
        <v>160367.37753813033</v>
      </c>
      <c r="AN300" s="29">
        <f>(VLOOKUP(C300,$B$4:$AK$7,23,FALSE)+VLOOKUP(C300,$B$8:$AK$11,23,FALSE)*입력란!$C$23)*입력란!$C$38/100</f>
        <v>40094.710589132788</v>
      </c>
      <c r="AO300" s="29">
        <f>(VLOOKUP(C300,$B$4:$AK$7,24,FALSE)+VLOOKUP(C300,$B$8:$AK$11,24,FALSE)*입력란!$C$23)*입력란!$C$38/100</f>
        <v>40094.710589132788</v>
      </c>
      <c r="AP300" s="29">
        <f>(VLOOKUP(C300,$B$4:$AK$7,25,FALSE)+VLOOKUP(C300,$B$8:$AK$11,25,FALSE)*입력란!$C$23)*입력란!$C$38/100</f>
        <v>80177.956359864736</v>
      </c>
      <c r="AQ300" s="29"/>
      <c r="AR300" s="28">
        <v>30</v>
      </c>
    </row>
    <row r="301" spans="2:44" ht="13.5" customHeight="1" x14ac:dyDescent="0.3">
      <c r="B301" s="30">
        <v>286</v>
      </c>
      <c r="C301" s="35">
        <v>10</v>
      </c>
      <c r="D301" s="42" t="s">
        <v>374</v>
      </c>
      <c r="E301" s="37" t="s">
        <v>152</v>
      </c>
      <c r="F301" s="39"/>
      <c r="G301" s="39"/>
      <c r="H301" s="51">
        <f>I301/AJ301</f>
        <v>8145.0946806424026</v>
      </c>
      <c r="I301" s="52">
        <f>SUM(J301:Q301)*IF(입력란!C$15=1,1.04,IF(입력란!C$15=2,1.1,IF(입력란!C$15=3,1.2,1)))*IF(입력란!$C$13&lt;&gt;0,0,1)*IF(입력란!$C$17&lt;&gt;0,0.98,1)</f>
        <v>234018.46661720649</v>
      </c>
      <c r="J301" s="29">
        <f>S301*(1+IF($AK301+IF(입력란!$C$9=1,IF(MID(E301,1,1)&lt;&gt;"1",10,0),0)+IF(MID(E301,1,1)="1",10,0)+IF(입력란!$C$19=1,10,0)&gt;100,100,$AK301+IF(입력란!$C$9=1,IF(MID(E301,1,1)&lt;&gt;"1",10,0),0)+IF(MID(E301,1,1)="1",10,0)+IF(입력란!$C$19=1,10,0))/100*($AL301/100-1))</f>
        <v>58508.648361789965</v>
      </c>
      <c r="K301" s="29">
        <f>T301*(1+IF($AK301+IF(입력란!$C$9=1,IF(MID(E301,1,1)&lt;&gt;"1",10,0),0)+IF(MID(E301,1,1)="1",10,0)+IF(입력란!$C$19=1,10,0)&gt;100,100,$AK301+IF(입력란!$C$9=1,IF(MID(E301,1,1)&lt;&gt;"1",10,0),0)+IF(MID(E301,1,1)="1",10,0)+IF(입력란!$C$19=1,10,0))/100*($AL301/100-1))</f>
        <v>58508.648361789965</v>
      </c>
      <c r="L301" s="29">
        <f>U301*(1+IF($AK301+IF(입력란!$C$9=1,IF(MID(E301,1,1)&lt;&gt;"1",10,0),0)+IF(MID(E301,1,1)="1",10,0)+IF(입력란!$C$19=1,10,0)&gt;100,100,$AK301+IF(입력란!$C$9=1,IF(MID(E301,1,1)&lt;&gt;"1",10,0),0)+IF(MID(E301,1,1)="1",10,0)+IF(입력란!$C$19=1,10,0))/100*($AL301/100-1))</f>
        <v>117001.16989362656</v>
      </c>
      <c r="M301" s="29"/>
      <c r="N301" s="38"/>
      <c r="O301" s="38"/>
      <c r="P301" s="38"/>
      <c r="Q301" s="34"/>
      <c r="R301" s="23">
        <f>SUM(S301:Z301)</f>
        <v>191253.14073635556</v>
      </c>
      <c r="S301" s="29">
        <f>AN301*IF(MID(E301,1,1)="1",트라이포드!$D$19,트라이포드!$C$19)*IF(MID(E301,3,1)="2",트라이포드!$L$19,트라이포드!$K$19)*(1+입력란!$C$33/100)*IF(입력란!$C$9=1,IF(MID(E301,1,1)&lt;&gt;"1",IF(입력란!$C$14=0,1.05,IF(입력란!$C$14=1,1.05*1.05,IF(입력란!$C$14=2,1.05*1.12,IF(입력란!$C$14=3,1.05*1.25)))),1),1)</f>
        <v>47816.580123718319</v>
      </c>
      <c r="T301" s="29">
        <f>AO301*IF(MID(E301,1,1)="1",트라이포드!$D$19,트라이포드!$C$19)*IF(MID(E301,3,1)="2",트라이포드!$L$19,트라이포드!$K$19)*(1+입력란!$C$33/100)*IF(입력란!$C$9=1,IF(MID(E301,1,1)&lt;&gt;"1",IF(입력란!$C$14=0,1.05,IF(입력란!$C$14=1,1.05*1.05,IF(입력란!$C$14=2,1.05*1.12,IF(입력란!$C$14=3,1.05*1.25)))),1),1)</f>
        <v>47816.580123718319</v>
      </c>
      <c r="U301" s="29">
        <f>AP301*IF(MID(E301,1,1)="1",트라이포드!$D$19,트라이포드!$C$19)*IF(MID(E301,3,1)="2",트라이포드!$L$19,트라이포드!$K$19)*IF(MID(E301,5,1)="1",트라이포드!$P$19,트라이포드!$O$19)*IF(MID(E301,5,1)="2",트라이포드!$R$19,트라이포드!$Q$19)*(1+입력란!$C$33/100)*IF(입력란!$C$9=1,IF(MID(E301,1,1)&lt;&gt;"1",IF(입력란!$C$14=0,1.05,IF(입력란!$C$14=1,1.05*1.05,IF(입력란!$C$14=2,1.05*1.12,IF(입력란!$C$14=3,1.05*1.25)))),1),1)</f>
        <v>95619.980488918911</v>
      </c>
      <c r="V301" s="29"/>
      <c r="W301" s="29"/>
      <c r="X301" s="38"/>
      <c r="Y301" s="38"/>
      <c r="Z301" s="26"/>
      <c r="AA301" s="29">
        <f>SUM(AB301:AI301)</f>
        <v>382506.28147271113</v>
      </c>
      <c r="AB301" s="29">
        <f>S301*2</f>
        <v>95633.160247436637</v>
      </c>
      <c r="AC301" s="29">
        <f>T301*2</f>
        <v>95633.160247436637</v>
      </c>
      <c r="AD301" s="29">
        <f>U301*2</f>
        <v>191239.96097783782</v>
      </c>
      <c r="AE301" s="29"/>
      <c r="AF301" s="38"/>
      <c r="AG301" s="38"/>
      <c r="AH301" s="38"/>
      <c r="AI301" s="26"/>
      <c r="AJ301" s="25">
        <f>AR301*(1-입력란!$C$29/100)</f>
        <v>28.731215018700002</v>
      </c>
      <c r="AK30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1" s="25">
        <f>입력란!$C$37+IF(입력란!$C$17=1,10,IF(입력란!$C$17=2,25,IF(입력란!$C$17=3,50,0)))</f>
        <v>200</v>
      </c>
      <c r="AM301" s="29">
        <f>SUM(AN301:AP301)</f>
        <v>160562.9775381303</v>
      </c>
      <c r="AN301" s="29">
        <f>(VLOOKUP(C301,$B$4:$AK$7,23,FALSE)+VLOOKUP(C301,$B$8:$AK$11,23,FALSE)*입력란!$C$23)*입력란!$C$38/100</f>
        <v>40143.510589132791</v>
      </c>
      <c r="AO301" s="29">
        <f>(VLOOKUP(C301,$B$4:$AK$7,24,FALSE)+VLOOKUP(C301,$B$8:$AK$11,24,FALSE)*입력란!$C$23)*입력란!$C$38/100</f>
        <v>40143.510589132791</v>
      </c>
      <c r="AP301" s="29">
        <f>(VLOOKUP(C301,$B$4:$AK$7,25,FALSE)+VLOOKUP(C301,$B$8:$AK$11,25,FALSE)*입력란!$C$23)*입력란!$C$38/100</f>
        <v>80275.956359864736</v>
      </c>
      <c r="AQ301" s="29"/>
      <c r="AR301" s="28">
        <v>30</v>
      </c>
    </row>
    <row r="302" spans="2:44" ht="13.5" customHeight="1" x14ac:dyDescent="0.3">
      <c r="B302" s="30">
        <v>287</v>
      </c>
      <c r="C302" s="35">
        <v>10</v>
      </c>
      <c r="D302" s="42" t="s">
        <v>374</v>
      </c>
      <c r="E302" s="37" t="s">
        <v>157</v>
      </c>
      <c r="F302" s="39"/>
      <c r="G302" s="39"/>
      <c r="H302" s="51">
        <f>I302/AJ302</f>
        <v>16289.628061320886</v>
      </c>
      <c r="I302" s="52">
        <f>SUM(J302:Q302)*IF(입력란!C$15=1,1.04,IF(입력란!C$15=2,1.1,IF(입력란!C$15=3,1.2,1)))*IF(입력란!$C$13&lt;&gt;0,0,1)*IF(입력란!$C$17&lt;&gt;0,0.98,1)</f>
        <v>468020.80640445964</v>
      </c>
      <c r="J302" s="29">
        <f>S302*(1+IF($AK302+IF(입력란!$C$9=1,IF(MID(E302,1,1)&lt;&gt;"1",10,0),0)+IF(MID(E302,1,1)="1",10,0)+IF(입력란!$C$19=1,10,0)&gt;100,100,$AK302+IF(입력란!$C$9=1,IF(MID(E302,1,1)&lt;&gt;"1",10,0),0)+IF(MID(E302,1,1)="1",10,0)+IF(입력란!$C$19=1,10,0))/100*($AL302/100-1))</f>
        <v>58508.648361789965</v>
      </c>
      <c r="K302" s="29">
        <f>T302*(1+IF($AK302+IF(입력란!$C$9=1,IF(MID(E302,1,1)&lt;&gt;"1",10,0),0)+IF(MID(E302,1,1)="1",10,0)+IF(입력란!$C$19=1,10,0)&gt;100,100,$AK302+IF(입력란!$C$9=1,IF(MID(E302,1,1)&lt;&gt;"1",10,0),0)+IF(MID(E302,1,1)="1",10,0)+IF(입력란!$C$19=1,10,0))/100*($AL302/100-1))</f>
        <v>58508.648361789965</v>
      </c>
      <c r="L302" s="29">
        <f>U302*(1+IF($AK302+IF(입력란!$C$9=1,IF(MID(E302,1,1)&lt;&gt;"1",10,0),0)+IF(MID(E302,1,1)="1",10,0)+IF(입력란!$C$19=1,10,0)&gt;100,100,$AK302+IF(입력란!$C$9=1,IF(MID(E302,1,1)&lt;&gt;"1",10,0),0)+IF(MID(E302,1,1)="1",10,0)+IF(입력란!$C$19=1,10,0))/100*($AL302/100-1))</f>
        <v>351003.50968087971</v>
      </c>
      <c r="M302" s="29"/>
      <c r="N302" s="38"/>
      <c r="O302" s="38"/>
      <c r="P302" s="38"/>
      <c r="Q302" s="34"/>
      <c r="R302" s="23">
        <f>SUM(S302:Z302)</f>
        <v>382493.10171419336</v>
      </c>
      <c r="S302" s="29">
        <f>AN302*IF(MID(E302,1,1)="1",트라이포드!$D$19,트라이포드!$C$19)*IF(MID(E302,3,1)="2",트라이포드!$L$19,트라이포드!$K$19)*(1+입력란!$C$33/100)*IF(입력란!$C$9=1,IF(MID(E302,1,1)&lt;&gt;"1",IF(입력란!$C$14=0,1.05,IF(입력란!$C$14=1,1.05*1.05,IF(입력란!$C$14=2,1.05*1.12,IF(입력란!$C$14=3,1.05*1.25)))),1),1)</f>
        <v>47816.580123718319</v>
      </c>
      <c r="T302" s="29">
        <f>AO302*IF(MID(E302,1,1)="1",트라이포드!$D$19,트라이포드!$C$19)*IF(MID(E302,3,1)="2",트라이포드!$L$19,트라이포드!$K$19)*(1+입력란!$C$33/100)*IF(입력란!$C$9=1,IF(MID(E302,1,1)&lt;&gt;"1",IF(입력란!$C$14=0,1.05,IF(입력란!$C$14=1,1.05*1.05,IF(입력란!$C$14=2,1.05*1.12,IF(입력란!$C$14=3,1.05*1.25)))),1),1)</f>
        <v>47816.580123718319</v>
      </c>
      <c r="U302" s="29">
        <f>AP302*IF(MID(E302,1,1)="1",트라이포드!$D$19,트라이포드!$C$19)*IF(MID(E302,3,1)="2",트라이포드!$L$19,트라이포드!$K$19)*IF(MID(E302,5,1)="1",트라이포드!$P$19,트라이포드!$O$19)*IF(MID(E302,5,1)="2",트라이포드!$R$19,트라이포드!$Q$19)*(1+입력란!$C$33/100)*IF(입력란!$C$9=1,IF(MID(E302,1,1)&lt;&gt;"1",IF(입력란!$C$14=0,1.05,IF(입력란!$C$14=1,1.05*1.05,IF(입력란!$C$14=2,1.05*1.12,IF(입력란!$C$14=3,1.05*1.25)))),1),1)</f>
        <v>286859.94146675675</v>
      </c>
      <c r="V302" s="29"/>
      <c r="W302" s="29"/>
      <c r="X302" s="38"/>
      <c r="Y302" s="38"/>
      <c r="Z302" s="26"/>
      <c r="AA302" s="29">
        <f>SUM(AB302:AI302)</f>
        <v>764986.20342838671</v>
      </c>
      <c r="AB302" s="29">
        <f>S302*2</f>
        <v>95633.160247436637</v>
      </c>
      <c r="AC302" s="29">
        <f>T302*2</f>
        <v>95633.160247436637</v>
      </c>
      <c r="AD302" s="29">
        <f>U302*2</f>
        <v>573719.88293351349</v>
      </c>
      <c r="AE302" s="29"/>
      <c r="AF302" s="38"/>
      <c r="AG302" s="38"/>
      <c r="AH302" s="38"/>
      <c r="AI302" s="26"/>
      <c r="AJ302" s="25">
        <f>AR302*(1-입력란!$C$29/100)</f>
        <v>28.731215018700002</v>
      </c>
      <c r="AK30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2" s="25">
        <f>입력란!$C$37+IF(입력란!$C$17=1,10,IF(입력란!$C$17=2,25,IF(입력란!$C$17=3,50,0)))</f>
        <v>200</v>
      </c>
      <c r="AM302" s="29">
        <f>SUM(AN302:AP302)</f>
        <v>160562.9775381303</v>
      </c>
      <c r="AN302" s="29">
        <f>(VLOOKUP(C302,$B$4:$AK$7,23,FALSE)+VLOOKUP(C302,$B$8:$AK$11,23,FALSE)*입력란!$C$23)*입력란!$C$38/100</f>
        <v>40143.510589132791</v>
      </c>
      <c r="AO302" s="29">
        <f>(VLOOKUP(C302,$B$4:$AK$7,24,FALSE)+VLOOKUP(C302,$B$8:$AK$11,24,FALSE)*입력란!$C$23)*입력란!$C$38/100</f>
        <v>40143.510589132791</v>
      </c>
      <c r="AP302" s="29">
        <f>(VLOOKUP(C302,$B$4:$AK$7,25,FALSE)+VLOOKUP(C302,$B$8:$AK$11,25,FALSE)*입력란!$C$23)*입력란!$C$38/100</f>
        <v>80275.956359864736</v>
      </c>
      <c r="AQ302" s="29"/>
      <c r="AR302" s="28">
        <v>30</v>
      </c>
    </row>
    <row r="303" spans="2:44" ht="13.5" customHeight="1" x14ac:dyDescent="0.3">
      <c r="B303" s="30">
        <v>288</v>
      </c>
      <c r="C303" s="35">
        <v>10</v>
      </c>
      <c r="D303" s="42" t="s">
        <v>374</v>
      </c>
      <c r="E303" s="37" t="s">
        <v>169</v>
      </c>
      <c r="F303" s="39"/>
      <c r="G303" s="39"/>
      <c r="H303" s="51">
        <f>I303/AJ303</f>
        <v>13031.814709049493</v>
      </c>
      <c r="I303" s="52">
        <f>SUM(J303:Q303)*IF(입력란!C$15=1,1.04,IF(입력란!C$15=2,1.1,IF(입력란!C$15=3,1.2,1)))*IF(입력란!$C$13&lt;&gt;0,0,1)*IF(입력란!$C$17&lt;&gt;0,0.98,1)</f>
        <v>374419.87048955838</v>
      </c>
      <c r="J303" s="29">
        <f>S303*(1+IF($AK303+IF(입력란!$C$9=1,IF(MID(E303,1,1)&lt;&gt;"1",10,0),0)+IF(MID(E303,1,1)="1",10,0)+IF(입력란!$C$19=1,10,0)&gt;100,100,$AK303+IF(입력란!$C$9=1,IF(MID(E303,1,1)&lt;&gt;"1",10,0),0)+IF(MID(E303,1,1)="1",10,0)+IF(입력란!$C$19=1,10,0))/100*($AL303/100-1))</f>
        <v>58508.648361789965</v>
      </c>
      <c r="K303" s="29">
        <f>T303*(1+IF($AK303+IF(입력란!$C$9=1,IF(MID(E303,1,1)&lt;&gt;"1",10,0),0)+IF(MID(E303,1,1)="1",10,0)+IF(입력란!$C$19=1,10,0)&gt;100,100,$AK303+IF(입력란!$C$9=1,IF(MID(E303,1,1)&lt;&gt;"1",10,0),0)+IF(MID(E303,1,1)="1",10,0)+IF(입력란!$C$19=1,10,0))/100*($AL303/100-1))</f>
        <v>58508.648361789965</v>
      </c>
      <c r="L303" s="29">
        <f>U303*(1+IF($AK303+IF(입력란!$C$9=1,IF(MID(E303,1,1)&lt;&gt;"1",10,0),0)+IF(MID(E303,1,1)="1",10,0)+IF(입력란!$C$19=1,10,0)&gt;100,100,$AK303+IF(입력란!$C$9=1,IF(MID(E303,1,1)&lt;&gt;"1",10,0),0)+IF(MID(E303,1,1)="1",10,0)+IF(입력란!$C$19=1,10,0))/100*($AL303/100-1))</f>
        <v>257402.57376597845</v>
      </c>
      <c r="M303" s="29"/>
      <c r="N303" s="38"/>
      <c r="O303" s="38"/>
      <c r="P303" s="38"/>
      <c r="Q303" s="34"/>
      <c r="R303" s="23">
        <f>SUM(S303:Z303)</f>
        <v>305997.11732305825</v>
      </c>
      <c r="S303" s="29">
        <f>AN303*IF(MID(E303,1,1)="1",트라이포드!$D$19,트라이포드!$C$19)*IF(MID(E303,3,1)="2",트라이포드!$L$19,트라이포드!$K$19)*(1+입력란!$C$33/100)*IF(입력란!$C$9=1,IF(MID(E303,1,1)&lt;&gt;"1",IF(입력란!$C$14=0,1.05,IF(입력란!$C$14=1,1.05*1.05,IF(입력란!$C$14=2,1.05*1.12,IF(입력란!$C$14=3,1.05*1.25)))),1),1)</f>
        <v>47816.580123718319</v>
      </c>
      <c r="T303" s="29">
        <f>AO303*IF(MID(E303,1,1)="1",트라이포드!$D$19,트라이포드!$C$19)*IF(MID(E303,3,1)="2",트라이포드!$L$19,트라이포드!$K$19)*(1+입력란!$C$33/100)*IF(입력란!$C$9=1,IF(MID(E303,1,1)&lt;&gt;"1",IF(입력란!$C$14=0,1.05,IF(입력란!$C$14=1,1.05*1.05,IF(입력란!$C$14=2,1.05*1.12,IF(입력란!$C$14=3,1.05*1.25)))),1),1)</f>
        <v>47816.580123718319</v>
      </c>
      <c r="U303" s="29">
        <f>AP303*IF(MID(E303,1,1)="1",트라이포드!$D$19,트라이포드!$C$19)*IF(MID(E303,3,1)="2",트라이포드!$L$19,트라이포드!$K$19)*IF(MID(E303,5,1)="1",트라이포드!$P$19,트라이포드!$O$19)*IF(MID(E303,5,1)="2",트라이포드!$R$19,트라이포드!$Q$19)*(1+입력란!$C$33/100)*IF(입력란!$C$9=1,IF(MID(E303,1,1)&lt;&gt;"1",IF(입력란!$C$14=0,1.05,IF(입력란!$C$14=1,1.05*1.05,IF(입력란!$C$14=2,1.05*1.12,IF(입력란!$C$14=3,1.05*1.25)))),1),1)</f>
        <v>210363.95707562161</v>
      </c>
      <c r="V303" s="29"/>
      <c r="W303" s="29"/>
      <c r="X303" s="38"/>
      <c r="Y303" s="38"/>
      <c r="Z303" s="26"/>
      <c r="AA303" s="29">
        <f>SUM(AB303:AI303)</f>
        <v>611994.2346461165</v>
      </c>
      <c r="AB303" s="29">
        <f>S303*2</f>
        <v>95633.160247436637</v>
      </c>
      <c r="AC303" s="29">
        <f>T303*2</f>
        <v>95633.160247436637</v>
      </c>
      <c r="AD303" s="29">
        <f>U303*2</f>
        <v>420727.91415124323</v>
      </c>
      <c r="AE303" s="29"/>
      <c r="AF303" s="38"/>
      <c r="AG303" s="38"/>
      <c r="AH303" s="38"/>
      <c r="AI303" s="26"/>
      <c r="AJ303" s="25">
        <f>AR303*(1-입력란!$C$29/100)</f>
        <v>28.731215018700002</v>
      </c>
      <c r="AK30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3" s="25">
        <f>입력란!$C$37+IF(입력란!$C$17=1,10,IF(입력란!$C$17=2,25,IF(입력란!$C$17=3,50,0)))</f>
        <v>200</v>
      </c>
      <c r="AM303" s="29">
        <f>SUM(AN303:AP303)</f>
        <v>160562.9775381303</v>
      </c>
      <c r="AN303" s="29">
        <f>(VLOOKUP(C303,$B$4:$AK$7,23,FALSE)+VLOOKUP(C303,$B$8:$AK$11,23,FALSE)*입력란!$C$23)*입력란!$C$38/100</f>
        <v>40143.510589132791</v>
      </c>
      <c r="AO303" s="29">
        <f>(VLOOKUP(C303,$B$4:$AK$7,24,FALSE)+VLOOKUP(C303,$B$8:$AK$11,24,FALSE)*입력란!$C$23)*입력란!$C$38/100</f>
        <v>40143.510589132791</v>
      </c>
      <c r="AP303" s="29">
        <f>(VLOOKUP(C303,$B$4:$AK$7,25,FALSE)+VLOOKUP(C303,$B$8:$AK$11,25,FALSE)*입력란!$C$23)*입력란!$C$38/100</f>
        <v>80275.956359864736</v>
      </c>
      <c r="AQ303" s="29"/>
      <c r="AR303" s="28">
        <v>30</v>
      </c>
    </row>
    <row r="304" spans="2:44" ht="13.5" customHeight="1" x14ac:dyDescent="0.3">
      <c r="B304" s="30">
        <v>289</v>
      </c>
      <c r="C304" s="35">
        <v>10</v>
      </c>
      <c r="D304" s="42" t="s">
        <v>374</v>
      </c>
      <c r="E304" s="37" t="s">
        <v>367</v>
      </c>
      <c r="F304" s="39"/>
      <c r="G304" s="39"/>
      <c r="H304" s="51">
        <f>I304/AJ304</f>
        <v>9251.2958311155617</v>
      </c>
      <c r="I304" s="52">
        <f>SUM(J304:Q304)*IF(입력란!C$15=1,1.04,IF(입력란!C$15=2,1.1,IF(입력란!C$15=3,1.2,1)))*IF(입력란!$C$13&lt;&gt;0,0,1)*IF(입력란!$C$17&lt;&gt;0,0.98,1)</f>
        <v>265800.96972538414</v>
      </c>
      <c r="J304" s="29">
        <f>S304*(1+IF($AK304+IF(입력란!$C$9=1,IF(MID(E304,1,1)&lt;&gt;"1",10,0),0)+IF(MID(E304,1,1)="1",10,0)+IF(입력란!$C$19=1,10,0)&gt;100,100,$AK304+IF(입력란!$C$9=1,IF(MID(E304,1,1)&lt;&gt;"1",10,0),0)+IF(MID(E304,1,1)="1",10,0)+IF(입력란!$C$19=1,10,0))/100*($AL304/100-1))</f>
        <v>66454.821692869882</v>
      </c>
      <c r="K304" s="29">
        <f>T304*(1+IF($AK304+IF(입력란!$C$9=1,IF(MID(E304,1,1)&lt;&gt;"1",10,0),0)+IF(MID(E304,1,1)="1",10,0)+IF(입력란!$C$19=1,10,0)&gt;100,100,$AK304+IF(입력란!$C$9=1,IF(MID(E304,1,1)&lt;&gt;"1",10,0),0)+IF(MID(E304,1,1)="1",10,0)+IF(입력란!$C$19=1,10,0))/100*($AL304/100-1))</f>
        <v>66454.821692869882</v>
      </c>
      <c r="L304" s="29">
        <f>U304*(1+IF($AK304+IF(입력란!$C$9=1,IF(MID(E304,1,1)&lt;&gt;"1",10,0),0)+IF(MID(E304,1,1)="1",10,0)+IF(입력란!$C$19=1,10,0)&gt;100,100,$AK304+IF(입력란!$C$9=1,IF(MID(E304,1,1)&lt;&gt;"1",10,0),0)+IF(MID(E304,1,1)="1",10,0)+IF(입력란!$C$19=1,10,0))/100*($AL304/100-1))</f>
        <v>132891.32633964435</v>
      </c>
      <c r="M304" s="29"/>
      <c r="N304" s="38"/>
      <c r="O304" s="38"/>
      <c r="P304" s="38"/>
      <c r="Q304" s="34"/>
      <c r="R304" s="23">
        <f>SUM(S304:Z304)</f>
        <v>200815.79777317331</v>
      </c>
      <c r="S304" s="29">
        <f>AN304*IF(MID(E304,1,1)="1",트라이포드!$D$19,트라이포드!$C$19)*IF(MID(E304,3,1)="2",트라이포드!$L$19,트라이포드!$K$19)*(1+입력란!$C$33/100)*IF(입력란!$C$9=1,IF(MID(E304,1,1)&lt;&gt;"1",IF(입력란!$C$14=0,1.05,IF(입력란!$C$14=1,1.05*1.05,IF(입력란!$C$14=2,1.05*1.12,IF(입력란!$C$14=3,1.05*1.25)))),1),1)</f>
        <v>50207.409129904234</v>
      </c>
      <c r="T304" s="29">
        <f>AO304*IF(MID(E304,1,1)="1",트라이포드!$D$19,트라이포드!$C$19)*IF(MID(E304,3,1)="2",트라이포드!$L$19,트라이포드!$K$19)*(1+입력란!$C$33/100)*IF(입력란!$C$9=1,IF(MID(E304,1,1)&lt;&gt;"1",IF(입력란!$C$14=0,1.05,IF(입력란!$C$14=1,1.05*1.05,IF(입력란!$C$14=2,1.05*1.12,IF(입력란!$C$14=3,1.05*1.25)))),1),1)</f>
        <v>50207.409129904234</v>
      </c>
      <c r="U304" s="29">
        <f>AP304*IF(MID(E304,1,1)="1",트라이포드!$D$19,트라이포드!$C$19)*IF(MID(E304,3,1)="2",트라이포드!$L$19,트라이포드!$K$19)*IF(MID(E304,5,1)="1",트라이포드!$P$19,트라이포드!$O$19)*IF(MID(E304,5,1)="2",트라이포드!$R$19,트라이포드!$Q$19)*(1+입력란!$C$33/100)*IF(입력란!$C$9=1,IF(MID(E304,1,1)&lt;&gt;"1",IF(입력란!$C$14=0,1.05,IF(입력란!$C$14=1,1.05*1.05,IF(입력란!$C$14=2,1.05*1.12,IF(입력란!$C$14=3,1.05*1.25)))),1),1)</f>
        <v>100400.97951336486</v>
      </c>
      <c r="V304" s="29"/>
      <c r="W304" s="29"/>
      <c r="X304" s="38"/>
      <c r="Y304" s="38"/>
      <c r="Z304" s="26"/>
      <c r="AA304" s="29">
        <f>SUM(AB304:AI304)</f>
        <v>401631.59554634662</v>
      </c>
      <c r="AB304" s="29">
        <f>S304*2</f>
        <v>100414.81825980847</v>
      </c>
      <c r="AC304" s="29">
        <f>T304*2</f>
        <v>100414.81825980847</v>
      </c>
      <c r="AD304" s="29">
        <f>U304*2</f>
        <v>200801.95902672972</v>
      </c>
      <c r="AE304" s="29"/>
      <c r="AF304" s="38"/>
      <c r="AG304" s="38"/>
      <c r="AH304" s="38"/>
      <c r="AI304" s="26"/>
      <c r="AJ304" s="25">
        <f>AR304*(1-입력란!$C$29/100)</f>
        <v>28.731215018700002</v>
      </c>
      <c r="AK30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4" s="25">
        <f>입력란!$C$37+IF(입력란!$C$17=1,10,IF(입력란!$C$17=2,25,IF(입력란!$C$17=3,50,0)))</f>
        <v>200</v>
      </c>
      <c r="AM304" s="29">
        <f>SUM(AN304:AP304)</f>
        <v>160562.9775381303</v>
      </c>
      <c r="AN304" s="29">
        <f>(VLOOKUP(C304,$B$4:$AK$7,23,FALSE)+VLOOKUP(C304,$B$8:$AK$11,23,FALSE)*입력란!$C$23)*입력란!$C$38/100</f>
        <v>40143.510589132791</v>
      </c>
      <c r="AO304" s="29">
        <f>(VLOOKUP(C304,$B$4:$AK$7,24,FALSE)+VLOOKUP(C304,$B$8:$AK$11,24,FALSE)*입력란!$C$23)*입력란!$C$38/100</f>
        <v>40143.510589132791</v>
      </c>
      <c r="AP304" s="29">
        <f>(VLOOKUP(C304,$B$4:$AK$7,25,FALSE)+VLOOKUP(C304,$B$8:$AK$11,25,FALSE)*입력란!$C$23)*입력란!$C$38/100</f>
        <v>80275.956359864736</v>
      </c>
      <c r="AQ304" s="29"/>
      <c r="AR304" s="28">
        <v>30</v>
      </c>
    </row>
    <row r="305" spans="2:44" ht="13.5" customHeight="1" x14ac:dyDescent="0.3">
      <c r="B305" s="30">
        <v>290</v>
      </c>
      <c r="C305" s="35">
        <v>10</v>
      </c>
      <c r="D305" s="42" t="s">
        <v>374</v>
      </c>
      <c r="E305" s="37" t="s">
        <v>383</v>
      </c>
      <c r="F305" s="39"/>
      <c r="G305" s="39"/>
      <c r="H305" s="51">
        <f>I305/AJ305</f>
        <v>18501.954131027396</v>
      </c>
      <c r="I305" s="52">
        <f>SUM(J305:Q305)*IF(입력란!C$15=1,1.04,IF(입력란!C$15=2,1.1,IF(입력란!C$15=3,1.2,1)))*IF(입력란!$C$13&lt;&gt;0,0,1)*IF(입력란!$C$17&lt;&gt;0,0.98,1)</f>
        <v>531583.6224046729</v>
      </c>
      <c r="J305" s="29">
        <f>S305*(1+IF($AK305+IF(입력란!$C$9=1,IF(MID(E305,1,1)&lt;&gt;"1",10,0),0)+IF(MID(E305,1,1)="1",10,0)+IF(입력란!$C$19=1,10,0)&gt;100,100,$AK305+IF(입력란!$C$9=1,IF(MID(E305,1,1)&lt;&gt;"1",10,0),0)+IF(MID(E305,1,1)="1",10,0)+IF(입력란!$C$19=1,10,0))/100*($AL305/100-1))</f>
        <v>66454.821692869882</v>
      </c>
      <c r="K305" s="29">
        <f>T305*(1+IF($AK305+IF(입력란!$C$9=1,IF(MID(E305,1,1)&lt;&gt;"1",10,0),0)+IF(MID(E305,1,1)="1",10,0)+IF(입력란!$C$19=1,10,0)&gt;100,100,$AK305+IF(입력란!$C$9=1,IF(MID(E305,1,1)&lt;&gt;"1",10,0),0)+IF(MID(E305,1,1)="1",10,0)+IF(입력란!$C$19=1,10,0))/100*($AL305/100-1))</f>
        <v>66454.821692869882</v>
      </c>
      <c r="L305" s="29">
        <f>U305*(1+IF($AK305+IF(입력란!$C$9=1,IF(MID(E305,1,1)&lt;&gt;"1",10,0),0)+IF(MID(E305,1,1)="1",10,0)+IF(입력란!$C$19=1,10,0)&gt;100,100,$AK305+IF(입력란!$C$9=1,IF(MID(E305,1,1)&lt;&gt;"1",10,0),0)+IF(MID(E305,1,1)="1",10,0)+IF(입력란!$C$19=1,10,0))/100*($AL305/100-1))</f>
        <v>398673.97901893308</v>
      </c>
      <c r="M305" s="29"/>
      <c r="N305" s="38"/>
      <c r="O305" s="38"/>
      <c r="P305" s="38"/>
      <c r="Q305" s="34"/>
      <c r="R305" s="23">
        <f>SUM(S305:Z305)</f>
        <v>401617.75679990306</v>
      </c>
      <c r="S305" s="29">
        <f>AN305*IF(MID(E305,1,1)="1",트라이포드!$D$19,트라이포드!$C$19)*IF(MID(E305,3,1)="2",트라이포드!$L$19,트라이포드!$K$19)*(1+입력란!$C$33/100)*IF(입력란!$C$9=1,IF(MID(E305,1,1)&lt;&gt;"1",IF(입력란!$C$14=0,1.05,IF(입력란!$C$14=1,1.05*1.05,IF(입력란!$C$14=2,1.05*1.12,IF(입력란!$C$14=3,1.05*1.25)))),1),1)</f>
        <v>50207.409129904234</v>
      </c>
      <c r="T305" s="29">
        <f>AO305*IF(MID(E305,1,1)="1",트라이포드!$D$19,트라이포드!$C$19)*IF(MID(E305,3,1)="2",트라이포드!$L$19,트라이포드!$K$19)*(1+입력란!$C$33/100)*IF(입력란!$C$9=1,IF(MID(E305,1,1)&lt;&gt;"1",IF(입력란!$C$14=0,1.05,IF(입력란!$C$14=1,1.05*1.05,IF(입력란!$C$14=2,1.05*1.12,IF(입력란!$C$14=3,1.05*1.25)))),1),1)</f>
        <v>50207.409129904234</v>
      </c>
      <c r="U305" s="29">
        <f>AP305*IF(MID(E305,1,1)="1",트라이포드!$D$19,트라이포드!$C$19)*IF(MID(E305,3,1)="2",트라이포드!$L$19,트라이포드!$K$19)*IF(MID(E305,5,1)="1",트라이포드!$P$19,트라이포드!$O$19)*IF(MID(E305,5,1)="2",트라이포드!$R$19,트라이포드!$Q$19)*(1+입력란!$C$33/100)*IF(입력란!$C$9=1,IF(MID(E305,1,1)&lt;&gt;"1",IF(입력란!$C$14=0,1.05,IF(입력란!$C$14=1,1.05*1.05,IF(입력란!$C$14=2,1.05*1.12,IF(입력란!$C$14=3,1.05*1.25)))),1),1)</f>
        <v>301202.93854009459</v>
      </c>
      <c r="V305" s="29"/>
      <c r="W305" s="29"/>
      <c r="X305" s="38"/>
      <c r="Y305" s="38"/>
      <c r="Z305" s="26"/>
      <c r="AA305" s="29">
        <f>SUM(AB305:AI305)</f>
        <v>803235.51359980612</v>
      </c>
      <c r="AB305" s="29">
        <f>S305*2</f>
        <v>100414.81825980847</v>
      </c>
      <c r="AC305" s="29">
        <f>T305*2</f>
        <v>100414.81825980847</v>
      </c>
      <c r="AD305" s="29">
        <f>U305*2</f>
        <v>602405.87708018918</v>
      </c>
      <c r="AE305" s="29"/>
      <c r="AF305" s="38"/>
      <c r="AG305" s="38"/>
      <c r="AH305" s="38"/>
      <c r="AI305" s="26"/>
      <c r="AJ305" s="25">
        <f>AR305*(1-입력란!$C$29/100)</f>
        <v>28.731215018700002</v>
      </c>
      <c r="AK30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5" s="25">
        <f>입력란!$C$37+IF(입력란!$C$17=1,10,IF(입력란!$C$17=2,25,IF(입력란!$C$17=3,50,0)))</f>
        <v>200</v>
      </c>
      <c r="AM305" s="29">
        <f>SUM(AN305:AP305)</f>
        <v>160562.9775381303</v>
      </c>
      <c r="AN305" s="29">
        <f>(VLOOKUP(C305,$B$4:$AK$7,23,FALSE)+VLOOKUP(C305,$B$8:$AK$11,23,FALSE)*입력란!$C$23)*입력란!$C$38/100</f>
        <v>40143.510589132791</v>
      </c>
      <c r="AO305" s="29">
        <f>(VLOOKUP(C305,$B$4:$AK$7,24,FALSE)+VLOOKUP(C305,$B$8:$AK$11,24,FALSE)*입력란!$C$23)*입력란!$C$38/100</f>
        <v>40143.510589132791</v>
      </c>
      <c r="AP305" s="29">
        <f>(VLOOKUP(C305,$B$4:$AK$7,25,FALSE)+VLOOKUP(C305,$B$8:$AK$11,25,FALSE)*입력란!$C$23)*입력란!$C$38/100</f>
        <v>80275.956359864736</v>
      </c>
      <c r="AQ305" s="29"/>
      <c r="AR305" s="28">
        <v>30</v>
      </c>
    </row>
    <row r="306" spans="2:44" ht="13.5" customHeight="1" x14ac:dyDescent="0.3">
      <c r="B306" s="30">
        <v>291</v>
      </c>
      <c r="C306" s="35">
        <v>10</v>
      </c>
      <c r="D306" s="42" t="s">
        <v>374</v>
      </c>
      <c r="E306" s="37" t="s">
        <v>170</v>
      </c>
      <c r="F306" s="39"/>
      <c r="G306" s="39"/>
      <c r="H306" s="51">
        <f>I306/AJ306</f>
        <v>14801.690811062663</v>
      </c>
      <c r="I306" s="52">
        <f>SUM(J306:Q306)*IF(입력란!C$15=1,1.04,IF(입력란!C$15=2,1.1,IF(입력란!C$15=3,1.2,1)))*IF(입력란!$C$13&lt;&gt;0,0,1)*IF(입력란!$C$17&lt;&gt;0,0.98,1)</f>
        <v>425270.56133295741</v>
      </c>
      <c r="J306" s="29">
        <f>S306*(1+IF($AK306+IF(입력란!$C$9=1,IF(MID(E306,1,1)&lt;&gt;"1",10,0),0)+IF(MID(E306,1,1)="1",10,0)+IF(입력란!$C$19=1,10,0)&gt;100,100,$AK306+IF(입력란!$C$9=1,IF(MID(E306,1,1)&lt;&gt;"1",10,0),0)+IF(MID(E306,1,1)="1",10,0)+IF(입력란!$C$19=1,10,0))/100*($AL306/100-1))</f>
        <v>66454.821692869882</v>
      </c>
      <c r="K306" s="29">
        <f>T306*(1+IF($AK306+IF(입력란!$C$9=1,IF(MID(E306,1,1)&lt;&gt;"1",10,0),0)+IF(MID(E306,1,1)="1",10,0)+IF(입력란!$C$19=1,10,0)&gt;100,100,$AK306+IF(입력란!$C$9=1,IF(MID(E306,1,1)&lt;&gt;"1",10,0),0)+IF(MID(E306,1,1)="1",10,0)+IF(입력란!$C$19=1,10,0))/100*($AL306/100-1))</f>
        <v>66454.821692869882</v>
      </c>
      <c r="L306" s="29">
        <f>U306*(1+IF($AK306+IF(입력란!$C$9=1,IF(MID(E306,1,1)&lt;&gt;"1",10,0),0)+IF(MID(E306,1,1)="1",10,0)+IF(입력란!$C$19=1,10,0)&gt;100,100,$AK306+IF(입력란!$C$9=1,IF(MID(E306,1,1)&lt;&gt;"1",10,0),0)+IF(MID(E306,1,1)="1",10,0)+IF(입력란!$C$19=1,10,0))/100*($AL306/100-1))</f>
        <v>292360.91794721765</v>
      </c>
      <c r="M306" s="29"/>
      <c r="N306" s="38"/>
      <c r="O306" s="38"/>
      <c r="P306" s="38"/>
      <c r="Q306" s="34"/>
      <c r="R306" s="23">
        <f>SUM(S306:Z306)</f>
        <v>321296.97318921122</v>
      </c>
      <c r="S306" s="29">
        <f>AN306*IF(MID(E306,1,1)="1",트라이포드!$D$19,트라이포드!$C$19)*IF(MID(E306,3,1)="2",트라이포드!$L$19,트라이포드!$K$19)*(1+입력란!$C$33/100)*IF(입력란!$C$9=1,IF(MID(E306,1,1)&lt;&gt;"1",IF(입력란!$C$14=0,1.05,IF(입력란!$C$14=1,1.05*1.05,IF(입력란!$C$14=2,1.05*1.12,IF(입력란!$C$14=3,1.05*1.25)))),1),1)</f>
        <v>50207.409129904234</v>
      </c>
      <c r="T306" s="29">
        <f>AO306*IF(MID(E306,1,1)="1",트라이포드!$D$19,트라이포드!$C$19)*IF(MID(E306,3,1)="2",트라이포드!$L$19,트라이포드!$K$19)*(1+입력란!$C$33/100)*IF(입력란!$C$9=1,IF(MID(E306,1,1)&lt;&gt;"1",IF(입력란!$C$14=0,1.05,IF(입력란!$C$14=1,1.05*1.05,IF(입력란!$C$14=2,1.05*1.12,IF(입력란!$C$14=3,1.05*1.25)))),1),1)</f>
        <v>50207.409129904234</v>
      </c>
      <c r="U306" s="29">
        <f>AP306*IF(MID(E306,1,1)="1",트라이포드!$D$19,트라이포드!$C$19)*IF(MID(E306,3,1)="2",트라이포드!$L$19,트라이포드!$K$19)*IF(MID(E306,5,1)="1",트라이포드!$P$19,트라이포드!$O$19)*IF(MID(E306,5,1)="2",트라이포드!$R$19,트라이포드!$Q$19)*(1+입력란!$C$33/100)*IF(입력란!$C$9=1,IF(MID(E306,1,1)&lt;&gt;"1",IF(입력란!$C$14=0,1.05,IF(입력란!$C$14=1,1.05*1.05,IF(입력란!$C$14=2,1.05*1.12,IF(입력란!$C$14=3,1.05*1.25)))),1),1)</f>
        <v>220882.15492940272</v>
      </c>
      <c r="V306" s="29"/>
      <c r="W306" s="29"/>
      <c r="X306" s="38"/>
      <c r="Y306" s="38"/>
      <c r="Z306" s="26"/>
      <c r="AA306" s="29">
        <f>SUM(AB306:AI306)</f>
        <v>642593.94637842244</v>
      </c>
      <c r="AB306" s="29">
        <f>S306*2</f>
        <v>100414.81825980847</v>
      </c>
      <c r="AC306" s="29">
        <f>T306*2</f>
        <v>100414.81825980847</v>
      </c>
      <c r="AD306" s="29">
        <f>U306*2</f>
        <v>441764.30985880544</v>
      </c>
      <c r="AE306" s="29"/>
      <c r="AF306" s="38"/>
      <c r="AG306" s="38"/>
      <c r="AH306" s="38"/>
      <c r="AI306" s="26"/>
      <c r="AJ306" s="25">
        <f>AR306*(1-입력란!$C$29/100)</f>
        <v>28.731215018700002</v>
      </c>
      <c r="AK30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6" s="25">
        <f>입력란!$C$37+IF(입력란!$C$17=1,10,IF(입력란!$C$17=2,25,IF(입력란!$C$17=3,50,0)))</f>
        <v>200</v>
      </c>
      <c r="AM306" s="29">
        <f>SUM(AN306:AP306)</f>
        <v>160562.9775381303</v>
      </c>
      <c r="AN306" s="29">
        <f>(VLOOKUP(C306,$B$4:$AK$7,23,FALSE)+VLOOKUP(C306,$B$8:$AK$11,23,FALSE)*입력란!$C$23)*입력란!$C$38/100</f>
        <v>40143.510589132791</v>
      </c>
      <c r="AO306" s="29">
        <f>(VLOOKUP(C306,$B$4:$AK$7,24,FALSE)+VLOOKUP(C306,$B$8:$AK$11,24,FALSE)*입력란!$C$23)*입력란!$C$38/100</f>
        <v>40143.510589132791</v>
      </c>
      <c r="AP306" s="29">
        <f>(VLOOKUP(C306,$B$4:$AK$7,25,FALSE)+VLOOKUP(C306,$B$8:$AK$11,25,FALSE)*입력란!$C$23)*입력란!$C$38/100</f>
        <v>80275.956359864736</v>
      </c>
      <c r="AQ306" s="29"/>
      <c r="AR306" s="28">
        <v>30</v>
      </c>
    </row>
    <row r="307" spans="2:44" ht="13.5" customHeight="1" x14ac:dyDescent="0.3">
      <c r="B307" s="30">
        <v>292</v>
      </c>
      <c r="C307" s="35">
        <v>10</v>
      </c>
      <c r="D307" s="42" t="s">
        <v>374</v>
      </c>
      <c r="E307" s="37" t="s">
        <v>338</v>
      </c>
      <c r="F307" s="39"/>
      <c r="G307" s="39"/>
      <c r="H307" s="51">
        <f>I307/AJ307</f>
        <v>10588.623084835122</v>
      </c>
      <c r="I307" s="52">
        <f>SUM(J307:Q307)*IF(입력란!C$15=1,1.04,IF(입력란!C$15=2,1.1,IF(입력란!C$15=3,1.2,1)))*IF(입력란!$C$13&lt;&gt;0,0,1)*IF(입력란!$C$17&lt;&gt;0,0.98,1)</f>
        <v>304224.00660236843</v>
      </c>
      <c r="J307" s="29">
        <f>S307*(1+IF($AK307+IF(입력란!$C$9=1,IF(MID(E307,1,1)&lt;&gt;"1",10,0),0)+IF(MID(E307,1,1)="1",10,0)+IF(입력란!$C$19=1,10,0)&gt;100,100,$AK307+IF(입력란!$C$9=1,IF(MID(E307,1,1)&lt;&gt;"1",10,0),0)+IF(MID(E307,1,1)="1",10,0)+IF(입력란!$C$19=1,10,0))/100*($AL307/100-1))</f>
        <v>76061.242870326954</v>
      </c>
      <c r="K307" s="29">
        <f>T307*(1+IF($AK307+IF(입력란!$C$9=1,IF(MID(E307,1,1)&lt;&gt;"1",10,0),0)+IF(MID(E307,1,1)="1",10,0)+IF(입력란!$C$19=1,10,0)&gt;100,100,$AK307+IF(입력란!$C$9=1,IF(MID(E307,1,1)&lt;&gt;"1",10,0),0)+IF(MID(E307,1,1)="1",10,0)+IF(입력란!$C$19=1,10,0))/100*($AL307/100-1))</f>
        <v>76061.242870326954</v>
      </c>
      <c r="L307" s="29">
        <f>U307*(1+IF($AK307+IF(입력란!$C$9=1,IF(MID(E307,1,1)&lt;&gt;"1",10,0),0)+IF(MID(E307,1,1)="1",10,0)+IF(입력란!$C$19=1,10,0)&gt;100,100,$AK307+IF(입력란!$C$9=1,IF(MID(E307,1,1)&lt;&gt;"1",10,0),0)+IF(MID(E307,1,1)="1",10,0)+IF(입력란!$C$19=1,10,0))/100*($AL307/100-1))</f>
        <v>152101.52086171453</v>
      </c>
      <c r="M307" s="29"/>
      <c r="N307" s="38"/>
      <c r="O307" s="38"/>
      <c r="P307" s="38"/>
      <c r="Q307" s="34"/>
      <c r="R307" s="23">
        <f>SUM(S307:Z307)</f>
        <v>248629.08295726223</v>
      </c>
      <c r="S307" s="29">
        <f>AN307*IF(MID(E307,1,1)="1",트라이포드!$D$19,트라이포드!$C$19)*IF(MID(E307,3,1)="2",트라이포드!$L$19,트라이포드!$K$19)*(1+입력란!$C$33/100)*IF(입력란!$C$9=1,IF(MID(E307,1,1)&lt;&gt;"1",IF(입력란!$C$14=0,1.05,IF(입력란!$C$14=1,1.05*1.05,IF(입력란!$C$14=2,1.05*1.12,IF(입력란!$C$14=3,1.05*1.25)))),1),1)</f>
        <v>62161.554160833817</v>
      </c>
      <c r="T307" s="29">
        <f>AO307*IF(MID(E307,1,1)="1",트라이포드!$D$19,트라이포드!$C$19)*IF(MID(E307,3,1)="2",트라이포드!$L$19,트라이포드!$K$19)*(1+입력란!$C$33/100)*IF(입력란!$C$9=1,IF(MID(E307,1,1)&lt;&gt;"1",IF(입력란!$C$14=0,1.05,IF(입력란!$C$14=1,1.05*1.05,IF(입력란!$C$14=2,1.05*1.12,IF(입력란!$C$14=3,1.05*1.25)))),1),1)</f>
        <v>62161.554160833817</v>
      </c>
      <c r="U307" s="29">
        <f>AP307*IF(MID(E307,1,1)="1",트라이포드!$D$19,트라이포드!$C$19)*IF(MID(E307,3,1)="2",트라이포드!$L$19,트라이포드!$K$19)*IF(MID(E307,5,1)="1",트라이포드!$P$19,트라이포드!$O$19)*IF(MID(E307,5,1)="2",트라이포드!$R$19,트라이포드!$Q$19)*(1+입력란!$C$33/100)*IF(입력란!$C$9=1,IF(MID(E307,1,1)&lt;&gt;"1",IF(입력란!$C$14=0,1.05,IF(입력란!$C$14=1,1.05*1.05,IF(입력란!$C$14=2,1.05*1.12,IF(입력란!$C$14=3,1.05*1.25)))),1),1)</f>
        <v>124305.97463559458</v>
      </c>
      <c r="V307" s="29"/>
      <c r="W307" s="29"/>
      <c r="X307" s="38"/>
      <c r="Y307" s="38"/>
      <c r="Z307" s="26"/>
      <c r="AA307" s="29">
        <f>SUM(AB307:AI307)</f>
        <v>497258.16591452446</v>
      </c>
      <c r="AB307" s="29">
        <f>S307*2</f>
        <v>124323.10832166763</v>
      </c>
      <c r="AC307" s="29">
        <f>T307*2</f>
        <v>124323.10832166763</v>
      </c>
      <c r="AD307" s="29">
        <f>U307*2</f>
        <v>248611.94927118917</v>
      </c>
      <c r="AE307" s="29"/>
      <c r="AF307" s="38"/>
      <c r="AG307" s="38"/>
      <c r="AH307" s="38"/>
      <c r="AI307" s="26"/>
      <c r="AJ307" s="25">
        <f>AR307*(1-입력란!$C$29/100)</f>
        <v>28.731215018700002</v>
      </c>
      <c r="AK30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7" s="25">
        <f>입력란!$C$37+IF(입력란!$C$17=1,10,IF(입력란!$C$17=2,25,IF(입력란!$C$17=3,50,0)))</f>
        <v>200</v>
      </c>
      <c r="AM307" s="29">
        <f>SUM(AN307:AP307)</f>
        <v>160562.9775381303</v>
      </c>
      <c r="AN307" s="29">
        <f>(VLOOKUP(C307,$B$4:$AK$7,23,FALSE)+VLOOKUP(C307,$B$8:$AK$11,23,FALSE)*입력란!$C$23)*입력란!$C$38/100</f>
        <v>40143.510589132791</v>
      </c>
      <c r="AO307" s="29">
        <f>(VLOOKUP(C307,$B$4:$AK$7,24,FALSE)+VLOOKUP(C307,$B$8:$AK$11,24,FALSE)*입력란!$C$23)*입력란!$C$38/100</f>
        <v>40143.510589132791</v>
      </c>
      <c r="AP307" s="29">
        <f>(VLOOKUP(C307,$B$4:$AK$7,25,FALSE)+VLOOKUP(C307,$B$8:$AK$11,25,FALSE)*입력란!$C$23)*입력란!$C$38/100</f>
        <v>80275.956359864736</v>
      </c>
      <c r="AQ307" s="29"/>
      <c r="AR307" s="28">
        <v>30</v>
      </c>
    </row>
    <row r="308" spans="2:44" ht="13.5" customHeight="1" x14ac:dyDescent="0.3">
      <c r="B308" s="30">
        <v>293</v>
      </c>
      <c r="C308" s="35">
        <v>10</v>
      </c>
      <c r="D308" s="42" t="s">
        <v>374</v>
      </c>
      <c r="E308" s="37" t="s">
        <v>214</v>
      </c>
      <c r="F308" s="39"/>
      <c r="G308" s="39"/>
      <c r="H308" s="51">
        <f>I308/AJ308</f>
        <v>21176.516479717149</v>
      </c>
      <c r="I308" s="52">
        <f>SUM(J308:Q308)*IF(입력란!C$15=1,1.04,IF(입력란!C$15=2,1.1,IF(입력란!C$15=3,1.2,1)))*IF(입력란!$C$13&lt;&gt;0,0,1)*IF(입력란!$C$17&lt;&gt;0,0.98,1)</f>
        <v>608427.04832579743</v>
      </c>
      <c r="J308" s="29">
        <f>S308*(1+IF($AK308+IF(입력란!$C$9=1,IF(MID(E308,1,1)&lt;&gt;"1",10,0),0)+IF(MID(E308,1,1)="1",10,0)+IF(입력란!$C$19=1,10,0)&gt;100,100,$AK308+IF(입력란!$C$9=1,IF(MID(E308,1,1)&lt;&gt;"1",10,0),0)+IF(MID(E308,1,1)="1",10,0)+IF(입력란!$C$19=1,10,0))/100*($AL308/100-1))</f>
        <v>76061.242870326954</v>
      </c>
      <c r="K308" s="29">
        <f>T308*(1+IF($AK308+IF(입력란!$C$9=1,IF(MID(E308,1,1)&lt;&gt;"1",10,0),0)+IF(MID(E308,1,1)="1",10,0)+IF(입력란!$C$19=1,10,0)&gt;100,100,$AK308+IF(입력란!$C$9=1,IF(MID(E308,1,1)&lt;&gt;"1",10,0),0)+IF(MID(E308,1,1)="1",10,0)+IF(입력란!$C$19=1,10,0))/100*($AL308/100-1))</f>
        <v>76061.242870326954</v>
      </c>
      <c r="L308" s="29">
        <f>U308*(1+IF($AK308+IF(입력란!$C$9=1,IF(MID(E308,1,1)&lt;&gt;"1",10,0),0)+IF(MID(E308,1,1)="1",10,0)+IF(입력란!$C$19=1,10,0)&gt;100,100,$AK308+IF(입력란!$C$9=1,IF(MID(E308,1,1)&lt;&gt;"1",10,0),0)+IF(MID(E308,1,1)="1",10,0)+IF(입력란!$C$19=1,10,0))/100*($AL308/100-1))</f>
        <v>456304.56258514355</v>
      </c>
      <c r="M308" s="29"/>
      <c r="N308" s="38"/>
      <c r="O308" s="38"/>
      <c r="P308" s="38"/>
      <c r="Q308" s="34"/>
      <c r="R308" s="23">
        <f>SUM(S308:Z308)</f>
        <v>497241.0322284514</v>
      </c>
      <c r="S308" s="29">
        <f>AN308*IF(MID(E308,1,1)="1",트라이포드!$D$19,트라이포드!$C$19)*IF(MID(E308,3,1)="2",트라이포드!$L$19,트라이포드!$K$19)*(1+입력란!$C$33/100)*IF(입력란!$C$9=1,IF(MID(E308,1,1)&lt;&gt;"1",IF(입력란!$C$14=0,1.05,IF(입력란!$C$14=1,1.05*1.05,IF(입력란!$C$14=2,1.05*1.12,IF(입력란!$C$14=3,1.05*1.25)))),1),1)</f>
        <v>62161.554160833817</v>
      </c>
      <c r="T308" s="29">
        <f>AO308*IF(MID(E308,1,1)="1",트라이포드!$D$19,트라이포드!$C$19)*IF(MID(E308,3,1)="2",트라이포드!$L$19,트라이포드!$K$19)*(1+입력란!$C$33/100)*IF(입력란!$C$9=1,IF(MID(E308,1,1)&lt;&gt;"1",IF(입력란!$C$14=0,1.05,IF(입력란!$C$14=1,1.05*1.05,IF(입력란!$C$14=2,1.05*1.12,IF(입력란!$C$14=3,1.05*1.25)))),1),1)</f>
        <v>62161.554160833817</v>
      </c>
      <c r="U308" s="29">
        <f>AP308*IF(MID(E308,1,1)="1",트라이포드!$D$19,트라이포드!$C$19)*IF(MID(E308,3,1)="2",트라이포드!$L$19,트라이포드!$K$19)*IF(MID(E308,5,1)="1",트라이포드!$P$19,트라이포드!$O$19)*IF(MID(E308,5,1)="2",트라이포드!$R$19,트라이포드!$Q$19)*(1+입력란!$C$33/100)*IF(입력란!$C$9=1,IF(MID(E308,1,1)&lt;&gt;"1",IF(입력란!$C$14=0,1.05,IF(입력란!$C$14=1,1.05*1.05,IF(입력란!$C$14=2,1.05*1.12,IF(입력란!$C$14=3,1.05*1.25)))),1),1)</f>
        <v>372917.92390678375</v>
      </c>
      <c r="V308" s="29"/>
      <c r="W308" s="29"/>
      <c r="X308" s="38"/>
      <c r="Y308" s="38"/>
      <c r="Z308" s="26"/>
      <c r="AA308" s="29">
        <f>SUM(AB308:AI308)</f>
        <v>994482.06445690279</v>
      </c>
      <c r="AB308" s="29">
        <f>S308*2</f>
        <v>124323.10832166763</v>
      </c>
      <c r="AC308" s="29">
        <f>T308*2</f>
        <v>124323.10832166763</v>
      </c>
      <c r="AD308" s="29">
        <f>U308*2</f>
        <v>745835.8478135675</v>
      </c>
      <c r="AE308" s="29"/>
      <c r="AF308" s="38"/>
      <c r="AG308" s="38"/>
      <c r="AH308" s="38"/>
      <c r="AI308" s="26"/>
      <c r="AJ308" s="25">
        <f>AR308*(1-입력란!$C$29/100)</f>
        <v>28.731215018700002</v>
      </c>
      <c r="AK30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8" s="25">
        <f>입력란!$C$37+IF(입력란!$C$17=1,10,IF(입력란!$C$17=2,25,IF(입력란!$C$17=3,50,0)))</f>
        <v>200</v>
      </c>
      <c r="AM308" s="29">
        <f>SUM(AN308:AP308)</f>
        <v>160562.9775381303</v>
      </c>
      <c r="AN308" s="29">
        <f>(VLOOKUP(C308,$B$4:$AK$7,23,FALSE)+VLOOKUP(C308,$B$8:$AK$11,23,FALSE)*입력란!$C$23)*입력란!$C$38/100</f>
        <v>40143.510589132791</v>
      </c>
      <c r="AO308" s="29">
        <f>(VLOOKUP(C308,$B$4:$AK$7,24,FALSE)+VLOOKUP(C308,$B$8:$AK$11,24,FALSE)*입력란!$C$23)*입력란!$C$38/100</f>
        <v>40143.510589132791</v>
      </c>
      <c r="AP308" s="29">
        <f>(VLOOKUP(C308,$B$4:$AK$7,25,FALSE)+VLOOKUP(C308,$B$8:$AK$11,25,FALSE)*입력란!$C$23)*입력란!$C$38/100</f>
        <v>80275.956359864736</v>
      </c>
      <c r="AQ308" s="29"/>
      <c r="AR308" s="28">
        <v>30</v>
      </c>
    </row>
    <row r="309" spans="2:44" ht="13.5" customHeight="1" x14ac:dyDescent="0.3">
      <c r="B309" s="30">
        <v>294</v>
      </c>
      <c r="C309" s="35">
        <v>10</v>
      </c>
      <c r="D309" s="42" t="s">
        <v>374</v>
      </c>
      <c r="E309" s="37" t="s">
        <v>215</v>
      </c>
      <c r="F309" s="39"/>
      <c r="G309" s="39"/>
      <c r="H309" s="51">
        <f>I309/AJ309</f>
        <v>16941.359121764341</v>
      </c>
      <c r="I309" s="52">
        <f>SUM(J309:Q309)*IF(입력란!C$15=1,1.04,IF(입력란!C$15=2,1.1,IF(입력란!C$15=3,1.2,1)))*IF(입력란!$C$13&lt;&gt;0,0,1)*IF(입력란!$C$17&lt;&gt;0,0.98,1)</f>
        <v>486745.83163642592</v>
      </c>
      <c r="J309" s="29">
        <f>S309*(1+IF($AK309+IF(입력란!$C$9=1,IF(MID(E309,1,1)&lt;&gt;"1",10,0),0)+IF(MID(E309,1,1)="1",10,0)+IF(입력란!$C$19=1,10,0)&gt;100,100,$AK309+IF(입력란!$C$9=1,IF(MID(E309,1,1)&lt;&gt;"1",10,0),0)+IF(MID(E309,1,1)="1",10,0)+IF(입력란!$C$19=1,10,0))/100*($AL309/100-1))</f>
        <v>76061.242870326954</v>
      </c>
      <c r="K309" s="29">
        <f>T309*(1+IF($AK309+IF(입력란!$C$9=1,IF(MID(E309,1,1)&lt;&gt;"1",10,0),0)+IF(MID(E309,1,1)="1",10,0)+IF(입력란!$C$19=1,10,0)&gt;100,100,$AK309+IF(입력란!$C$9=1,IF(MID(E309,1,1)&lt;&gt;"1",10,0),0)+IF(MID(E309,1,1)="1",10,0)+IF(입력란!$C$19=1,10,0))/100*($AL309/100-1))</f>
        <v>76061.242870326954</v>
      </c>
      <c r="L309" s="29">
        <f>U309*(1+IF($AK309+IF(입력란!$C$9=1,IF(MID(E309,1,1)&lt;&gt;"1",10,0),0)+IF(MID(E309,1,1)="1",10,0)+IF(입력란!$C$19=1,10,0)&gt;100,100,$AK309+IF(입력란!$C$9=1,IF(MID(E309,1,1)&lt;&gt;"1",10,0),0)+IF(MID(E309,1,1)="1",10,0)+IF(입력란!$C$19=1,10,0))/100*($AL309/100-1))</f>
        <v>334623.34589577198</v>
      </c>
      <c r="M309" s="29"/>
      <c r="N309" s="38"/>
      <c r="O309" s="38"/>
      <c r="P309" s="38"/>
      <c r="Q309" s="34"/>
      <c r="R309" s="23">
        <f>SUM(S309:Z309)</f>
        <v>397796.25251997577</v>
      </c>
      <c r="S309" s="29">
        <f>AN309*IF(MID(E309,1,1)="1",트라이포드!$D$19,트라이포드!$C$19)*IF(MID(E309,3,1)="2",트라이포드!$L$19,트라이포드!$K$19)*(1+입력란!$C$33/100)*IF(입력란!$C$9=1,IF(MID(E309,1,1)&lt;&gt;"1",IF(입력란!$C$14=0,1.05,IF(입력란!$C$14=1,1.05*1.05,IF(입력란!$C$14=2,1.05*1.12,IF(입력란!$C$14=3,1.05*1.25)))),1),1)</f>
        <v>62161.554160833817</v>
      </c>
      <c r="T309" s="29">
        <f>AO309*IF(MID(E309,1,1)="1",트라이포드!$D$19,트라이포드!$C$19)*IF(MID(E309,3,1)="2",트라이포드!$L$19,트라이포드!$K$19)*(1+입력란!$C$33/100)*IF(입력란!$C$9=1,IF(MID(E309,1,1)&lt;&gt;"1",IF(입력란!$C$14=0,1.05,IF(입력란!$C$14=1,1.05*1.05,IF(입력란!$C$14=2,1.05*1.12,IF(입력란!$C$14=3,1.05*1.25)))),1),1)</f>
        <v>62161.554160833817</v>
      </c>
      <c r="U309" s="29">
        <f>AP309*IF(MID(E309,1,1)="1",트라이포드!$D$19,트라이포드!$C$19)*IF(MID(E309,3,1)="2",트라이포드!$L$19,트라이포드!$K$19)*IF(MID(E309,5,1)="1",트라이포드!$P$19,트라이포드!$O$19)*IF(MID(E309,5,1)="2",트라이포드!$R$19,트라이포드!$Q$19)*(1+입력란!$C$33/100)*IF(입력란!$C$9=1,IF(MID(E309,1,1)&lt;&gt;"1",IF(입력란!$C$14=0,1.05,IF(입력란!$C$14=1,1.05*1.05,IF(입력란!$C$14=2,1.05*1.12,IF(입력란!$C$14=3,1.05*1.25)))),1),1)</f>
        <v>273473.14419830812</v>
      </c>
      <c r="V309" s="29"/>
      <c r="W309" s="29"/>
      <c r="X309" s="38"/>
      <c r="Y309" s="38"/>
      <c r="Z309" s="26"/>
      <c r="AA309" s="29">
        <f>SUM(AB309:AI309)</f>
        <v>795592.50503995153</v>
      </c>
      <c r="AB309" s="29">
        <f>S309*2</f>
        <v>124323.10832166763</v>
      </c>
      <c r="AC309" s="29">
        <f>T309*2</f>
        <v>124323.10832166763</v>
      </c>
      <c r="AD309" s="29">
        <f>U309*2</f>
        <v>546946.28839661623</v>
      </c>
      <c r="AE309" s="29"/>
      <c r="AF309" s="38"/>
      <c r="AG309" s="38"/>
      <c r="AH309" s="38"/>
      <c r="AI309" s="26"/>
      <c r="AJ309" s="25">
        <f>AR309*(1-입력란!$C$29/100)</f>
        <v>28.731215018700002</v>
      </c>
      <c r="AK30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09" s="25">
        <f>입력란!$C$37+IF(입력란!$C$17=1,10,IF(입력란!$C$17=2,25,IF(입력란!$C$17=3,50,0)))</f>
        <v>200</v>
      </c>
      <c r="AM309" s="29">
        <f>SUM(AN309:AP309)</f>
        <v>160562.9775381303</v>
      </c>
      <c r="AN309" s="29">
        <f>(VLOOKUP(C309,$B$4:$AK$7,23,FALSE)+VLOOKUP(C309,$B$8:$AK$11,23,FALSE)*입력란!$C$23)*입력란!$C$38/100</f>
        <v>40143.510589132791</v>
      </c>
      <c r="AO309" s="29">
        <f>(VLOOKUP(C309,$B$4:$AK$7,24,FALSE)+VLOOKUP(C309,$B$8:$AK$11,24,FALSE)*입력란!$C$23)*입력란!$C$38/100</f>
        <v>40143.510589132791</v>
      </c>
      <c r="AP309" s="29">
        <f>(VLOOKUP(C309,$B$4:$AK$7,25,FALSE)+VLOOKUP(C309,$B$8:$AK$11,25,FALSE)*입력란!$C$23)*입력란!$C$38/100</f>
        <v>80275.956359864736</v>
      </c>
      <c r="AQ309" s="29"/>
      <c r="AR309" s="28">
        <v>30</v>
      </c>
    </row>
    <row r="310" spans="2:44" ht="13.5" customHeight="1" x14ac:dyDescent="0.3">
      <c r="B310" s="30">
        <v>295</v>
      </c>
      <c r="C310" s="35">
        <v>10</v>
      </c>
      <c r="D310" s="42" t="s">
        <v>374</v>
      </c>
      <c r="E310" s="37" t="s">
        <v>167</v>
      </c>
      <c r="F310" s="39"/>
      <c r="G310" s="39"/>
      <c r="H310" s="51">
        <f>I310/AJ310</f>
        <v>12026.68458045023</v>
      </c>
      <c r="I310" s="52">
        <f>SUM(J310:Q310)*IF(입력란!C$15=1,1.04,IF(입력란!C$15=2,1.1,IF(입력란!C$15=3,1.2,1)))*IF(입력란!$C$13&lt;&gt;0,0,1)*IF(입력란!$C$17&lt;&gt;0,0.98,1)</f>
        <v>345541.26064299938</v>
      </c>
      <c r="J310" s="29">
        <f>S310*(1+IF($AK310+IF(입력란!$C$9=1,IF(MID(E310,1,1)&lt;&gt;"1",10,0),0)+IF(MID(E310,1,1)="1",10,0)+IF(입력란!$C$19=1,10,0)&gt;100,100,$AK310+IF(입력란!$C$9=1,IF(MID(E310,1,1)&lt;&gt;"1",10,0),0)+IF(MID(E310,1,1)="1",10,0)+IF(입력란!$C$19=1,10,0))/100*($AL310/100-1))</f>
        <v>86391.268200730847</v>
      </c>
      <c r="K310" s="29">
        <f>T310*(1+IF($AK310+IF(입력란!$C$9=1,IF(MID(E310,1,1)&lt;&gt;"1",10,0),0)+IF(MID(E310,1,1)="1",10,0)+IF(입력란!$C$19=1,10,0)&gt;100,100,$AK310+IF(입력란!$C$9=1,IF(MID(E310,1,1)&lt;&gt;"1",10,0),0)+IF(MID(E310,1,1)="1",10,0)+IF(입력란!$C$19=1,10,0))/100*($AL310/100-1))</f>
        <v>86391.268200730847</v>
      </c>
      <c r="L310" s="29">
        <f>U310*(1+IF($AK310+IF(입력란!$C$9=1,IF(MID(E310,1,1)&lt;&gt;"1",10,0),0)+IF(MID(E310,1,1)="1",10,0)+IF(입력란!$C$19=1,10,0)&gt;100,100,$AK310+IF(입력란!$C$9=1,IF(MID(E310,1,1)&lt;&gt;"1",10,0),0)+IF(MID(E310,1,1)="1",10,0)+IF(입력란!$C$19=1,10,0))/100*($AL310/100-1))</f>
        <v>172758.72424153768</v>
      </c>
      <c r="M310" s="29"/>
      <c r="N310" s="38"/>
      <c r="O310" s="38"/>
      <c r="P310" s="38"/>
      <c r="Q310" s="34"/>
      <c r="R310" s="23">
        <f>SUM(S310:Z310)</f>
        <v>261060.53710512532</v>
      </c>
      <c r="S310" s="29">
        <f>AN310*IF(MID(E310,1,1)="1",트라이포드!$D$19,트라이포드!$C$19)*IF(MID(E310,3,1)="2",트라이포드!$L$19,트라이포드!$K$19)*(1+입력란!$C$33/100)*IF(입력란!$C$9=1,IF(MID(E310,1,1)&lt;&gt;"1",IF(입력란!$C$14=0,1.05,IF(입력란!$C$14=1,1.05*1.05,IF(입력란!$C$14=2,1.05*1.12,IF(입력란!$C$14=3,1.05*1.25)))),1),1)</f>
        <v>65269.631868875505</v>
      </c>
      <c r="T310" s="29">
        <f>AO310*IF(MID(E310,1,1)="1",트라이포드!$D$19,트라이포드!$C$19)*IF(MID(E310,3,1)="2",트라이포드!$L$19,트라이포드!$K$19)*(1+입력란!$C$33/100)*IF(입력란!$C$9=1,IF(MID(E310,1,1)&lt;&gt;"1",IF(입력란!$C$14=0,1.05,IF(입력란!$C$14=1,1.05*1.05,IF(입력란!$C$14=2,1.05*1.12,IF(입력란!$C$14=3,1.05*1.25)))),1),1)</f>
        <v>65269.631868875505</v>
      </c>
      <c r="U310" s="29">
        <f>AP310*IF(MID(E310,1,1)="1",트라이포드!$D$19,트라이포드!$C$19)*IF(MID(E310,3,1)="2",트라이포드!$L$19,트라이포드!$K$19)*IF(MID(E310,5,1)="1",트라이포드!$P$19,트라이포드!$O$19)*IF(MID(E310,5,1)="2",트라이포드!$R$19,트라이포드!$Q$19)*(1+입력란!$C$33/100)*IF(입력란!$C$9=1,IF(MID(E310,1,1)&lt;&gt;"1",IF(입력란!$C$14=0,1.05,IF(입력란!$C$14=1,1.05*1.05,IF(입력란!$C$14=2,1.05*1.12,IF(입력란!$C$14=3,1.05*1.25)))),1),1)</f>
        <v>130521.27336737432</v>
      </c>
      <c r="V310" s="29"/>
      <c r="W310" s="29"/>
      <c r="X310" s="38"/>
      <c r="Y310" s="38"/>
      <c r="Z310" s="26"/>
      <c r="AA310" s="29">
        <f>SUM(AB310:AI310)</f>
        <v>522121.07421025063</v>
      </c>
      <c r="AB310" s="29">
        <f>S310*2</f>
        <v>130539.26373775101</v>
      </c>
      <c r="AC310" s="29">
        <f>T310*2</f>
        <v>130539.26373775101</v>
      </c>
      <c r="AD310" s="29">
        <f>U310*2</f>
        <v>261042.54673474864</v>
      </c>
      <c r="AE310" s="29"/>
      <c r="AF310" s="38"/>
      <c r="AG310" s="38"/>
      <c r="AH310" s="38"/>
      <c r="AI310" s="26"/>
      <c r="AJ310" s="25">
        <f>AR310*(1-입력란!$C$29/100)</f>
        <v>28.731215018700002</v>
      </c>
      <c r="AK31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0" s="25">
        <f>입력란!$C$37+IF(입력란!$C$17=1,10,IF(입력란!$C$17=2,25,IF(입력란!$C$17=3,50,0)))</f>
        <v>200</v>
      </c>
      <c r="AM310" s="29">
        <f>SUM(AN310:AP310)</f>
        <v>160562.9775381303</v>
      </c>
      <c r="AN310" s="29">
        <f>(VLOOKUP(C310,$B$4:$AK$7,23,FALSE)+VLOOKUP(C310,$B$8:$AK$11,23,FALSE)*입력란!$C$23)*입력란!$C$38/100</f>
        <v>40143.510589132791</v>
      </c>
      <c r="AO310" s="29">
        <f>(VLOOKUP(C310,$B$4:$AK$7,24,FALSE)+VLOOKUP(C310,$B$8:$AK$11,24,FALSE)*입력란!$C$23)*입력란!$C$38/100</f>
        <v>40143.510589132791</v>
      </c>
      <c r="AP310" s="29">
        <f>(VLOOKUP(C310,$B$4:$AK$7,25,FALSE)+VLOOKUP(C310,$B$8:$AK$11,25,FALSE)*입력란!$C$23)*입력란!$C$38/100</f>
        <v>80275.956359864736</v>
      </c>
      <c r="AQ310" s="29"/>
      <c r="AR310" s="28">
        <v>30</v>
      </c>
    </row>
    <row r="311" spans="2:44" ht="13.5" customHeight="1" x14ac:dyDescent="0.3">
      <c r="B311" s="30">
        <v>296</v>
      </c>
      <c r="C311" s="35">
        <v>10</v>
      </c>
      <c r="D311" s="42" t="s">
        <v>374</v>
      </c>
      <c r="E311" s="37" t="s">
        <v>384</v>
      </c>
      <c r="F311" s="39"/>
      <c r="G311" s="39"/>
      <c r="H311" s="51">
        <f>I311/AJ311</f>
        <v>24052.54037033561</v>
      </c>
      <c r="I311" s="52">
        <f>SUM(J311:Q311)*IF(입력란!C$15=1,1.04,IF(입력란!C$15=2,1.1,IF(입력란!C$15=3,1.2,1)))*IF(입력란!$C$13&lt;&gt;0,0,1)*IF(입력란!$C$17&lt;&gt;0,0.98,1)</f>
        <v>691058.70912607457</v>
      </c>
      <c r="J311" s="29">
        <f>S311*(1+IF($AK311+IF(입력란!$C$9=1,IF(MID(E311,1,1)&lt;&gt;"1",10,0),0)+IF(MID(E311,1,1)="1",10,0)+IF(입력란!$C$19=1,10,0)&gt;100,100,$AK311+IF(입력란!$C$9=1,IF(MID(E311,1,1)&lt;&gt;"1",10,0),0)+IF(MID(E311,1,1)="1",10,0)+IF(입력란!$C$19=1,10,0))/100*($AL311/100-1))</f>
        <v>86391.268200730847</v>
      </c>
      <c r="K311" s="29">
        <f>T311*(1+IF($AK311+IF(입력란!$C$9=1,IF(MID(E311,1,1)&lt;&gt;"1",10,0),0)+IF(MID(E311,1,1)="1",10,0)+IF(입력란!$C$19=1,10,0)&gt;100,100,$AK311+IF(입력란!$C$9=1,IF(MID(E311,1,1)&lt;&gt;"1",10,0),0)+IF(MID(E311,1,1)="1",10,0)+IF(입력란!$C$19=1,10,0))/100*($AL311/100-1))</f>
        <v>86391.268200730847</v>
      </c>
      <c r="L311" s="29">
        <f>U311*(1+IF($AK311+IF(입력란!$C$9=1,IF(MID(E311,1,1)&lt;&gt;"1",10,0),0)+IF(MID(E311,1,1)="1",10,0)+IF(입력란!$C$19=1,10,0)&gt;100,100,$AK311+IF(입력란!$C$9=1,IF(MID(E311,1,1)&lt;&gt;"1",10,0),0)+IF(MID(E311,1,1)="1",10,0)+IF(입력란!$C$19=1,10,0))/100*($AL311/100-1))</f>
        <v>518276.17272461293</v>
      </c>
      <c r="M311" s="29"/>
      <c r="N311" s="38"/>
      <c r="O311" s="38"/>
      <c r="P311" s="38"/>
      <c r="Q311" s="34"/>
      <c r="R311" s="23">
        <f>SUM(S311:Z311)</f>
        <v>522103.0838398739</v>
      </c>
      <c r="S311" s="29">
        <f>AN311*IF(MID(E311,1,1)="1",트라이포드!$D$19,트라이포드!$C$19)*IF(MID(E311,3,1)="2",트라이포드!$L$19,트라이포드!$K$19)*(1+입력란!$C$33/100)*IF(입력란!$C$9=1,IF(MID(E311,1,1)&lt;&gt;"1",IF(입력란!$C$14=0,1.05,IF(입력란!$C$14=1,1.05*1.05,IF(입력란!$C$14=2,1.05*1.12,IF(입력란!$C$14=3,1.05*1.25)))),1),1)</f>
        <v>65269.631868875505</v>
      </c>
      <c r="T311" s="29">
        <f>AO311*IF(MID(E311,1,1)="1",트라이포드!$D$19,트라이포드!$C$19)*IF(MID(E311,3,1)="2",트라이포드!$L$19,트라이포드!$K$19)*(1+입력란!$C$33/100)*IF(입력란!$C$9=1,IF(MID(E311,1,1)&lt;&gt;"1",IF(입력란!$C$14=0,1.05,IF(입력란!$C$14=1,1.05*1.05,IF(입력란!$C$14=2,1.05*1.12,IF(입력란!$C$14=3,1.05*1.25)))),1),1)</f>
        <v>65269.631868875505</v>
      </c>
      <c r="U311" s="29">
        <f>AP311*IF(MID(E311,1,1)="1",트라이포드!$D$19,트라이포드!$C$19)*IF(MID(E311,3,1)="2",트라이포드!$L$19,트라이포드!$K$19)*IF(MID(E311,5,1)="1",트라이포드!$P$19,트라이포드!$O$19)*IF(MID(E311,5,1)="2",트라이포드!$R$19,트라이포드!$Q$19)*(1+입력란!$C$33/100)*IF(입력란!$C$9=1,IF(MID(E311,1,1)&lt;&gt;"1",IF(입력란!$C$14=0,1.05,IF(입력란!$C$14=1,1.05*1.05,IF(입력란!$C$14=2,1.05*1.12,IF(입력란!$C$14=3,1.05*1.25)))),1),1)</f>
        <v>391563.8201021229</v>
      </c>
      <c r="V311" s="29"/>
      <c r="W311" s="29"/>
      <c r="X311" s="38"/>
      <c r="Y311" s="38"/>
      <c r="Z311" s="26"/>
      <c r="AA311" s="29">
        <f>SUM(AB311:AI311)</f>
        <v>1044206.1676797478</v>
      </c>
      <c r="AB311" s="29">
        <f>S311*2</f>
        <v>130539.26373775101</v>
      </c>
      <c r="AC311" s="29">
        <f>T311*2</f>
        <v>130539.26373775101</v>
      </c>
      <c r="AD311" s="29">
        <f>U311*2</f>
        <v>783127.64020424581</v>
      </c>
      <c r="AE311" s="29"/>
      <c r="AF311" s="38"/>
      <c r="AG311" s="38"/>
      <c r="AH311" s="38"/>
      <c r="AI311" s="26"/>
      <c r="AJ311" s="25">
        <f>AR311*(1-입력란!$C$29/100)</f>
        <v>28.731215018700002</v>
      </c>
      <c r="AK31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1" s="25">
        <f>입력란!$C$37+IF(입력란!$C$17=1,10,IF(입력란!$C$17=2,25,IF(입력란!$C$17=3,50,0)))</f>
        <v>200</v>
      </c>
      <c r="AM311" s="29">
        <f>SUM(AN311:AP311)</f>
        <v>160562.9775381303</v>
      </c>
      <c r="AN311" s="29">
        <f>(VLOOKUP(C311,$B$4:$AK$7,23,FALSE)+VLOOKUP(C311,$B$8:$AK$11,23,FALSE)*입력란!$C$23)*입력란!$C$38/100</f>
        <v>40143.510589132791</v>
      </c>
      <c r="AO311" s="29">
        <f>(VLOOKUP(C311,$B$4:$AK$7,24,FALSE)+VLOOKUP(C311,$B$8:$AK$11,24,FALSE)*입력란!$C$23)*입력란!$C$38/100</f>
        <v>40143.510589132791</v>
      </c>
      <c r="AP311" s="29">
        <f>(VLOOKUP(C311,$B$4:$AK$7,25,FALSE)+VLOOKUP(C311,$B$8:$AK$11,25,FALSE)*입력란!$C$23)*입력란!$C$38/100</f>
        <v>80275.956359864736</v>
      </c>
      <c r="AQ311" s="29"/>
      <c r="AR311" s="28">
        <v>30</v>
      </c>
    </row>
    <row r="312" spans="2:44" ht="13.5" customHeight="1" x14ac:dyDescent="0.3">
      <c r="B312" s="30">
        <v>297</v>
      </c>
      <c r="C312" s="35">
        <v>10</v>
      </c>
      <c r="D312" s="42" t="s">
        <v>374</v>
      </c>
      <c r="E312" s="37" t="s">
        <v>182</v>
      </c>
      <c r="F312" s="39"/>
      <c r="G312" s="39"/>
      <c r="H312" s="51">
        <f>I312/AJ312</f>
        <v>19242.198054381457</v>
      </c>
      <c r="I312" s="52">
        <f>SUM(J312:Q312)*IF(입력란!C$15=1,1.04,IF(입력란!C$15=2,1.1,IF(입력란!C$15=3,1.2,1)))*IF(입력란!$C$13&lt;&gt;0,0,1)*IF(입력란!$C$17&lt;&gt;0,0.98,1)</f>
        <v>552851.72973284451</v>
      </c>
      <c r="J312" s="29">
        <f>S312*(1+IF($AK312+IF(입력란!$C$9=1,IF(MID(E312,1,1)&lt;&gt;"1",10,0),0)+IF(MID(E312,1,1)="1",10,0)+IF(입력란!$C$19=1,10,0)&gt;100,100,$AK312+IF(입력란!$C$9=1,IF(MID(E312,1,1)&lt;&gt;"1",10,0),0)+IF(MID(E312,1,1)="1",10,0)+IF(입력란!$C$19=1,10,0))/100*($AL312/100-1))</f>
        <v>86391.268200730847</v>
      </c>
      <c r="K312" s="29">
        <f>T312*(1+IF($AK312+IF(입력란!$C$9=1,IF(MID(E312,1,1)&lt;&gt;"1",10,0),0)+IF(MID(E312,1,1)="1",10,0)+IF(입력란!$C$19=1,10,0)&gt;100,100,$AK312+IF(입력란!$C$9=1,IF(MID(E312,1,1)&lt;&gt;"1",10,0),0)+IF(MID(E312,1,1)="1",10,0)+IF(입력란!$C$19=1,10,0))/100*($AL312/100-1))</f>
        <v>86391.268200730847</v>
      </c>
      <c r="L312" s="29">
        <f>U312*(1+IF($AK312+IF(입력란!$C$9=1,IF(MID(E312,1,1)&lt;&gt;"1",10,0),0)+IF(MID(E312,1,1)="1",10,0)+IF(입력란!$C$19=1,10,0)&gt;100,100,$AK312+IF(입력란!$C$9=1,IF(MID(E312,1,1)&lt;&gt;"1",10,0),0)+IF(MID(E312,1,1)="1",10,0)+IF(입력란!$C$19=1,10,0))/100*($AL312/100-1))</f>
        <v>380069.19333138288</v>
      </c>
      <c r="M312" s="29"/>
      <c r="N312" s="38"/>
      <c r="O312" s="38"/>
      <c r="P312" s="38"/>
      <c r="Q312" s="34"/>
      <c r="R312" s="23">
        <f>SUM(S312:Z312)</f>
        <v>417686.06514597451</v>
      </c>
      <c r="S312" s="29">
        <f>AN312*IF(MID(E312,1,1)="1",트라이포드!$D$19,트라이포드!$C$19)*IF(MID(E312,3,1)="2",트라이포드!$L$19,트라이포드!$K$19)*(1+입력란!$C$33/100)*IF(입력란!$C$9=1,IF(MID(E312,1,1)&lt;&gt;"1",IF(입력란!$C$14=0,1.05,IF(입력란!$C$14=1,1.05*1.05,IF(입력란!$C$14=2,1.05*1.12,IF(입력란!$C$14=3,1.05*1.25)))),1),1)</f>
        <v>65269.631868875505</v>
      </c>
      <c r="T312" s="29">
        <f>AO312*IF(MID(E312,1,1)="1",트라이포드!$D$19,트라이포드!$C$19)*IF(MID(E312,3,1)="2",트라이포드!$L$19,트라이포드!$K$19)*(1+입력란!$C$33/100)*IF(입력란!$C$9=1,IF(MID(E312,1,1)&lt;&gt;"1",IF(입력란!$C$14=0,1.05,IF(입력란!$C$14=1,1.05*1.05,IF(입력란!$C$14=2,1.05*1.12,IF(입력란!$C$14=3,1.05*1.25)))),1),1)</f>
        <v>65269.631868875505</v>
      </c>
      <c r="U312" s="29">
        <f>AP312*IF(MID(E312,1,1)="1",트라이포드!$D$19,트라이포드!$C$19)*IF(MID(E312,3,1)="2",트라이포드!$L$19,트라이포드!$K$19)*IF(MID(E312,5,1)="1",트라이포드!$P$19,트라이포드!$O$19)*IF(MID(E312,5,1)="2",트라이포드!$R$19,트라이포드!$Q$19)*(1+입력란!$C$33/100)*IF(입력란!$C$9=1,IF(MID(E312,1,1)&lt;&gt;"1",IF(입력란!$C$14=0,1.05,IF(입력란!$C$14=1,1.05*1.05,IF(입력란!$C$14=2,1.05*1.12,IF(입력란!$C$14=3,1.05*1.25)))),1),1)</f>
        <v>287146.80140822352</v>
      </c>
      <c r="V312" s="29"/>
      <c r="W312" s="29"/>
      <c r="X312" s="38"/>
      <c r="Y312" s="38"/>
      <c r="Z312" s="26"/>
      <c r="AA312" s="29">
        <f>SUM(AB312:AI312)</f>
        <v>835372.13029194903</v>
      </c>
      <c r="AB312" s="29">
        <f>S312*2</f>
        <v>130539.26373775101</v>
      </c>
      <c r="AC312" s="29">
        <f>T312*2</f>
        <v>130539.26373775101</v>
      </c>
      <c r="AD312" s="29">
        <f>U312*2</f>
        <v>574293.60281644703</v>
      </c>
      <c r="AE312" s="29"/>
      <c r="AF312" s="38"/>
      <c r="AG312" s="38"/>
      <c r="AH312" s="38"/>
      <c r="AI312" s="26"/>
      <c r="AJ312" s="25">
        <f>AR312*(1-입력란!$C$29/100)</f>
        <v>28.731215018700002</v>
      </c>
      <c r="AK31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2" s="25">
        <f>입력란!$C$37+IF(입력란!$C$17=1,10,IF(입력란!$C$17=2,25,IF(입력란!$C$17=3,50,0)))</f>
        <v>200</v>
      </c>
      <c r="AM312" s="29">
        <f>SUM(AN312:AP312)</f>
        <v>160562.9775381303</v>
      </c>
      <c r="AN312" s="29">
        <f>(VLOOKUP(C312,$B$4:$AK$7,23,FALSE)+VLOOKUP(C312,$B$8:$AK$11,23,FALSE)*입력란!$C$23)*입력란!$C$38/100</f>
        <v>40143.510589132791</v>
      </c>
      <c r="AO312" s="29">
        <f>(VLOOKUP(C312,$B$4:$AK$7,24,FALSE)+VLOOKUP(C312,$B$8:$AK$11,24,FALSE)*입력란!$C$23)*입력란!$C$38/100</f>
        <v>40143.510589132791</v>
      </c>
      <c r="AP312" s="29">
        <f>(VLOOKUP(C312,$B$4:$AK$7,25,FALSE)+VLOOKUP(C312,$B$8:$AK$11,25,FALSE)*입력란!$C$23)*입력란!$C$38/100</f>
        <v>80275.956359864736</v>
      </c>
      <c r="AQ312" s="29"/>
      <c r="AR312" s="28">
        <v>30</v>
      </c>
    </row>
    <row r="313" spans="2:44" ht="13.5" customHeight="1" x14ac:dyDescent="0.3">
      <c r="B313" s="30">
        <v>298</v>
      </c>
      <c r="C313" s="35">
        <v>1</v>
      </c>
      <c r="D313" s="42" t="s">
        <v>385</v>
      </c>
      <c r="E313" s="37" t="s">
        <v>152</v>
      </c>
      <c r="F313" s="39"/>
      <c r="G313" s="39"/>
      <c r="H313" s="51">
        <f>I313/AJ313</f>
        <v>10566.761890480684</v>
      </c>
      <c r="I313" s="52">
        <f>SUM(J313:Q313)*IF(입력란!C$15=1,1.04,IF(입력란!C$15=2,1.1,IF(입력란!C$15=3,1.2,1)))*IF(입력란!$C$13&lt;&gt;0,0,1)*IF(입력란!$C$17&lt;&gt;0,0.98,1)</f>
        <v>303595.90792680543</v>
      </c>
      <c r="J313" s="29">
        <f>S313*(1+IF($AK313+IF(입력란!$C$9=1,IF(MID(E313,3,1)&lt;&gt;"1",10,0),0)+IF(MID(E313,3,1)="1",20,0)+IF(입력란!$C$19=1,10,0)&gt;100,100,$AK313+IF(입력란!$C$9=1,IF(MID(E313,3,1)&lt;&gt;"1",10,0),0)+IF(MID(E313,3,1)="1",20,0)+IF(입력란!$C$19=1,10,0))/100*($AL313/100-1))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K313" s="29">
        <f>T313*(1+IF($AK313+IF(입력란!$C$9=1,IF(MID(E313,3,1)&lt;&gt;"1",10,0),0)+IF(MID(E313,3,1)="1",20,0)+IF(입력란!$C$19=1,10,0)&gt;100,100,$AK313+IF(입력란!$C$9=1,IF(MID(E313,3,1)&lt;&gt;"1",10,0),0)+IF(MID(E313,3,1)="1",20,0)+IF(입력란!$C$19=1,10,0))/100*($AL313/100-1))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L313" s="29">
        <f>U313*(1+IF($AK313+IF(입력란!$C$9=1,IF(MID(E313,3,1)&lt;&gt;"1",10,0),0)+IF(MID(E313,3,1)="1",20,0)+IF(입력란!$C$19=1,10,0)&gt;100,100,$AK313+IF(입력란!$C$9=1,IF(MID(E313,3,1)&lt;&gt;"1",10,0),0)+IF(MID(E313,3,1)="1",20,0)+IF(입력란!$C$19=1,10,0))/100*($AL313/100-1))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M313" s="29">
        <f>V313*(1+IF($AK313+IF(입력란!$C$9=1,IF(MID(E313,3,1)&lt;&gt;"1",10,0),0)+IF(MID(E313,3,1)="1",20,0)+IF(입력란!$C$19=1,10,0)&gt;100,100,$AK313+IF(입력란!$C$9=1,IF(MID(E313,3,1)&lt;&gt;"1",10,0),0)+IF(MID(E313,3,1)="1",20,0)+IF(입력란!$C$19=1,10,0))/100*($AL313/100-1))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N313" s="38">
        <f>W313*(1+IF($AK313+IF(입력란!$C$9=1,IF(MID(E313,3,1)&lt;&gt;"1",10,0),0)+IF(MID(E313,3,1)="1",20,0)+IF(입력란!$C$19=1,10,0)&gt;100,100,$AK313+IF(입력란!$C$9=1,IF(MID(E313,3,1)&lt;&gt;"1",10,0),0)+IF(MID(E313,3,1)="1",20,0)+IF(입력란!$C$19=1,10,0))/100*($AL313/100-1))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O313" s="38">
        <f>X313*(1+IF($AK313+IF(입력란!$C$9=1,IF(MID(E313,3,1)&lt;&gt;"1",10,0),0)+IF(MID(E313,3,1)="1",20,0)+IF(입력란!$C$19=1,10,0)&gt;100,100,$AK313+IF(입력란!$C$9=1,IF(MID(E313,3,1)&lt;&gt;"1",10,0),0)+IF(MID(E313,3,1)="1",20,0)+IF(입력란!$C$19=1,10,0))/100*($AL313/100-1))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36431.508951216652</v>
      </c>
      <c r="P313" s="38">
        <f>Y313*(1+IF($AK313+IF(입력란!$C$9=1,IF(MID(E313,3,1)&lt;&gt;"1",10,0),0)+IF(MID(E313,3,1)="1",20,0)+IF(입력란!$C$19=1,10,0)&gt;100,100,$AK313+IF(입력란!$C$9=1,IF(MID(E313,3,1)&lt;&gt;"1",10,0),0)+IF(MID(E313,3,1)="1",20,0)+IF(입력란!$C$19=1,10,0))/100*($AL313/100-1))</f>
        <v>85006.854219505534</v>
      </c>
      <c r="Q313" s="34">
        <f>Z313*(1+IF($AK313+IF(입력란!$C$19=1,10,0)&gt;100,100,$AK313+IF(입력란!$C$19=1,10,0))/100*($AL313/100-1))</f>
        <v>0</v>
      </c>
      <c r="R313" s="23">
        <f>SUM(S313:Z313)</f>
        <v>248115.76515747394</v>
      </c>
      <c r="S313" s="29">
        <f>AN313*0.12*IF(MID(E313,3,1)="1",트라이포드!$J$20,트라이포드!$I$20)*(1+입력란!$C$33/100)*IF(입력란!$C$9=1,IF(MID(E313,3,1)&lt;&gt;"1",IF(입력란!$C$14=0,1.05,IF(입력란!$C$14=1,1.05*1.05,IF(입력란!$C$14=2,1.05*1.12,IF(입력란!$C$14=3,1.05*1.25)))),1),1)</f>
        <v>29773.891818896871</v>
      </c>
      <c r="T313" s="29">
        <f>AN313*0.12*IF(MID(E313,3,1)="1",트라이포드!$J$20,트라이포드!$I$20)*(1+입력란!$C$33/100)*IF(입력란!$C$9=1,IF(MID(E313,3,1)&lt;&gt;"1",IF(입력란!$C$14=0,1.05,IF(입력란!$C$14=1,1.05*1.05,IF(입력란!$C$14=2,1.05*1.12,IF(입력란!$C$14=3,1.05*1.25)))),1),1)</f>
        <v>29773.891818896871</v>
      </c>
      <c r="U313" s="29">
        <f>AN313*0.12*IF(MID(E313,3,1)="1",트라이포드!$J$20,트라이포드!$I$20)*(1+입력란!$C$33/100)*IF(입력란!$C$9=1,IF(MID(E313,3,1)&lt;&gt;"1",IF(입력란!$C$14=0,1.05,IF(입력란!$C$14=1,1.05*1.05,IF(입력란!$C$14=2,1.05*1.12,IF(입력란!$C$14=3,1.05*1.25)))),1),1)</f>
        <v>29773.891818896871</v>
      </c>
      <c r="V313" s="29">
        <f>AN313*0.12*IF(MID(E313,1,1)="1",IF(G313="3히트",0,1),1)*IF(MID(E313,3,1)="1",트라이포드!$J$20,트라이포드!$I$20)*(1+입력란!$C$33/100)*IF(입력란!$C$9=1,IF(MID(E313,3,1)&lt;&gt;"1",IF(입력란!$C$14=0,1.05,IF(입력란!$C$14=1,1.05*1.05,IF(입력란!$C$14=2,1.05*1.12,IF(입력란!$C$14=3,1.05*1.25)))),1),1)</f>
        <v>29773.891818896871</v>
      </c>
      <c r="W313" s="29">
        <f>AN313*0.12*IF(MID(E313,1,1)="1",IF(G313="3히트",0,1),1)*IF(MID(E313,3,1)="1",트라이포드!$J$20,트라이포드!$I$20)*IF(MID(E313,5,1)="2",트라이포드!$R$20,트라이포드!$Q$20)*(1+입력란!$C$33/100)*IF(입력란!$C$9=1,IF(MID(E313,3,1)&lt;&gt;"1",IF(입력란!$C$14=0,1.05,IF(입력란!$C$14=1,1.05*1.05,IF(입력란!$C$14=2,1.05*1.12,IF(입력란!$C$14=3,1.05*1.25)))),1),1)</f>
        <v>29773.891818896871</v>
      </c>
      <c r="X313" s="29">
        <f>AN313*0.12*IF(MID(E313,1,1)="1",IF(G313="3히트",0,1),1)*IF(MID(E313,3,1)="1",트라이포드!$J$20,트라이포드!$I$20)*IF(MID(E313,5,1)="2",트라이포드!$R$20,트라이포드!$Q$20)*(1+입력란!$C$33/100)*IF(입력란!$C$9=1,IF(MID(E313,3,1)&lt;&gt;"1",IF(입력란!$C$14=0,1.05,IF(입력란!$C$14=1,1.05*1.05,IF(입력란!$C$14=2,1.05*1.12,IF(입력란!$C$14=3,1.05*1.25)))),1),1)</f>
        <v>29773.891818896871</v>
      </c>
      <c r="Y313" s="38">
        <f>AN313*0.28*IF(MID(E313,1,1)="1",IF(G313="3히트",0,1),1)*IF(MID(E313,3,1)="1",트라이포드!$J$20,트라이포드!$I$20)*IF(MID(E313,3,1)="3",트라이포드!$N$20,트라이포드!$M$20)*IF(MID(E313,5,1)="2",트라이포드!$R$20,트라이포드!$Q$20)*(1+입력란!$C$33/100)*IF(입력란!$C$9=1,IF(MID(E313,3,1)&lt;&gt;"1",IF(입력란!$C$14=0,1.05,IF(입력란!$C$14=1,1.05*1.05,IF(입력란!$C$14=2,1.05*1.12,IF(입력란!$C$14=3,1.05*1.25)))),1),1)</f>
        <v>69472.41424409271</v>
      </c>
      <c r="Z313" s="26">
        <f>(AN313*IF(MID(E313,5,1)="1",0.004*IF(G313="3히트",3,7)*5,0)+IF(MID(E313,5,1)="1",IF(G313="3히트",0,AN313*트라이포드!$P$20*IF(MID(E313,3,1)="1",트라이포드!$J$20,트라이포드!$I$20)),0)+IF(MID(E313,5,1)="1",IF(G313="3히트",0,AN313*0.03),0))*(1+입력란!$C$33/100)</f>
        <v>0</v>
      </c>
      <c r="AA313" s="29">
        <f>SUM(AB313:AI313)</f>
        <v>496231.53031494789</v>
      </c>
      <c r="AB313" s="29">
        <f>S313*2</f>
        <v>59547.783637793742</v>
      </c>
      <c r="AC313" s="29">
        <f>T313*2</f>
        <v>59547.783637793742</v>
      </c>
      <c r="AD313" s="29">
        <f>U313*2</f>
        <v>59547.783637793742</v>
      </c>
      <c r="AE313" s="29">
        <f>V313*2</f>
        <v>59547.783637793742</v>
      </c>
      <c r="AF313" s="29">
        <f>W313*2</f>
        <v>59547.783637793742</v>
      </c>
      <c r="AG313" s="29">
        <f>X313*2</f>
        <v>59547.783637793742</v>
      </c>
      <c r="AH313" s="29">
        <f>Y313*2</f>
        <v>138944.82848818542</v>
      </c>
      <c r="AI313" s="26">
        <f>Z313*2</f>
        <v>0</v>
      </c>
      <c r="AJ313" s="25">
        <f>IF(G313="3히트",10,AR313*(1-입력란!$C$29/100))</f>
        <v>28.731215018700002</v>
      </c>
      <c r="AK31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3" s="25">
        <f>입력란!$C$37+IF(입력란!$C$17=1,10,IF(입력란!$C$17=2,25,IF(입력란!$C$17=3,50,0)))</f>
        <v>200</v>
      </c>
      <c r="AM313" s="29">
        <f>SUM(AN313:AP313)</f>
        <v>208300.92449437414</v>
      </c>
      <c r="AN313" s="29">
        <f>(VLOOKUP(C313,$B$4:$AK$7,26,FALSE)+VLOOKUP(C313,$B$8:$AK$11,26,FALSE)*입력란!$C$23)*입력란!$C$38/100</f>
        <v>208300.92449437414</v>
      </c>
      <c r="AO313" s="29"/>
      <c r="AP313" s="29"/>
      <c r="AQ313" s="29"/>
      <c r="AR313" s="28">
        <v>30</v>
      </c>
    </row>
    <row r="314" spans="2:44" ht="13.5" customHeight="1" x14ac:dyDescent="0.3">
      <c r="B314" s="30">
        <v>299</v>
      </c>
      <c r="C314" s="35">
        <v>4</v>
      </c>
      <c r="D314" s="42" t="s">
        <v>385</v>
      </c>
      <c r="E314" s="37" t="s">
        <v>152</v>
      </c>
      <c r="F314" s="39"/>
      <c r="G314" s="39"/>
      <c r="H314" s="51">
        <f>I314/AJ314</f>
        <v>10610.327396171897</v>
      </c>
      <c r="I314" s="52">
        <f>SUM(J314:Q314)*IF(입력란!C$15=1,1.04,IF(입력란!C$15=2,1.1,IF(입력란!C$15=3,1.2,1)))*IF(입력란!$C$13&lt;&gt;0,0,1)*IF(입력란!$C$17&lt;&gt;0,0.98,1)</f>
        <v>304847.59783821809</v>
      </c>
      <c r="J314" s="29">
        <f>S314*(1+IF($AK314+IF(입력란!$C$9=1,IF(MID(E314,3,1)&lt;&gt;"1",10,0),0)+IF(MID(E314,3,1)="1",20,0)+IF(입력란!$C$19=1,10,0)&gt;100,100,$AK314+IF(입력란!$C$9=1,IF(MID(E314,3,1)&lt;&gt;"1",10,0),0)+IF(MID(E314,3,1)="1",20,0)+IF(입력란!$C$19=1,10,0))/100*($AL314/100-1))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K314" s="29">
        <f>T314*(1+IF($AK314+IF(입력란!$C$9=1,IF(MID(E314,3,1)&lt;&gt;"1",10,0),0)+IF(MID(E314,3,1)="1",20,0)+IF(입력란!$C$19=1,10,0)&gt;100,100,$AK314+IF(입력란!$C$9=1,IF(MID(E314,3,1)&lt;&gt;"1",10,0),0)+IF(MID(E314,3,1)="1",20,0)+IF(입력란!$C$19=1,10,0))/100*($AL314/100-1))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L314" s="29">
        <f>U314*(1+IF($AK314+IF(입력란!$C$9=1,IF(MID(E314,3,1)&lt;&gt;"1",10,0),0)+IF(MID(E314,3,1)="1",20,0)+IF(입력란!$C$19=1,10,0)&gt;100,100,$AK314+IF(입력란!$C$9=1,IF(MID(E314,3,1)&lt;&gt;"1",10,0),0)+IF(MID(E314,3,1)="1",20,0)+IF(입력란!$C$19=1,10,0))/100*($AL314/100-1))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M314" s="29">
        <f>V314*(1+IF($AK314+IF(입력란!$C$9=1,IF(MID(E314,3,1)&lt;&gt;"1",10,0),0)+IF(MID(E314,3,1)="1",20,0)+IF(입력란!$C$19=1,10,0)&gt;100,100,$AK314+IF(입력란!$C$9=1,IF(MID(E314,3,1)&lt;&gt;"1",10,0),0)+IF(MID(E314,3,1)="1",20,0)+IF(입력란!$C$19=1,10,0))/100*($AL314/100-1))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N314" s="38">
        <f>W314*(1+IF($AK314+IF(입력란!$C$9=1,IF(MID(E314,3,1)&lt;&gt;"1",10,0),0)+IF(MID(E314,3,1)="1",20,0)+IF(입력란!$C$19=1,10,0)&gt;100,100,$AK314+IF(입력란!$C$9=1,IF(MID(E314,3,1)&lt;&gt;"1",10,0),0)+IF(MID(E314,3,1)="1",20,0)+IF(입력란!$C$19=1,10,0))/100*($AL314/100-1))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O314" s="38">
        <f>X314*(1+IF($AK314+IF(입력란!$C$9=1,IF(MID(E314,3,1)&lt;&gt;"1",10,0),0)+IF(MID(E314,3,1)="1",20,0)+IF(입력란!$C$19=1,10,0)&gt;100,100,$AK314+IF(입력란!$C$9=1,IF(MID(E314,3,1)&lt;&gt;"1",10,0),0)+IF(MID(E314,3,1)="1",20,0)+IF(입력란!$C$19=1,10,0))/100*($AL314/100-1))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36581.711740586172</v>
      </c>
      <c r="P314" s="38">
        <f>Y314*(1+IF($AK314+IF(입력란!$C$9=1,IF(MID(E314,3,1)&lt;&gt;"1",10,0),0)+IF(MID(E314,3,1)="1",20,0)+IF(입력란!$C$19=1,10,0)&gt;100,100,$AK314+IF(입력란!$C$9=1,IF(MID(E314,3,1)&lt;&gt;"1",10,0),0)+IF(MID(E314,3,1)="1",20,0)+IF(입력란!$C$19=1,10,0))/100*($AL314/100-1))</f>
        <v>85357.32739470106</v>
      </c>
      <c r="Q314" s="34">
        <f>Z314*(1+IF($AK314+IF(입력란!$C$19=1,10,0)&gt;100,100,$AK314+IF(입력란!$C$19=1,10,0))/100*($AL314/100-1))</f>
        <v>0</v>
      </c>
      <c r="R314" s="23">
        <f>SUM(S314:Z314)</f>
        <v>249138.71702211141</v>
      </c>
      <c r="S314" s="29">
        <f>AN314*0.12*IF(MID(E314,3,1)="1",트라이포드!$J$20,트라이포드!$I$20)*(1+입력란!$C$33/100)*IF(입력란!$C$9=1,IF(MID(E314,3,1)&lt;&gt;"1",IF(입력란!$C$14=0,1.05,IF(입력란!$C$14=1,1.05*1.05,IF(입력란!$C$14=2,1.05*1.12,IF(입력란!$C$14=3,1.05*1.25)))),1),1)</f>
        <v>29896.646042653374</v>
      </c>
      <c r="T314" s="29">
        <f>AN314*0.12*IF(MID(E314,3,1)="1",트라이포드!$J$20,트라이포드!$I$20)*(1+입력란!$C$33/100)*IF(입력란!$C$9=1,IF(MID(E314,3,1)&lt;&gt;"1",IF(입력란!$C$14=0,1.05,IF(입력란!$C$14=1,1.05*1.05,IF(입력란!$C$14=2,1.05*1.12,IF(입력란!$C$14=3,1.05*1.25)))),1),1)</f>
        <v>29896.646042653374</v>
      </c>
      <c r="U314" s="29">
        <f>AN314*0.12*IF(MID(E314,3,1)="1",트라이포드!$J$20,트라이포드!$I$20)*(1+입력란!$C$33/100)*IF(입력란!$C$9=1,IF(MID(E314,3,1)&lt;&gt;"1",IF(입력란!$C$14=0,1.05,IF(입력란!$C$14=1,1.05*1.05,IF(입력란!$C$14=2,1.05*1.12,IF(입력란!$C$14=3,1.05*1.25)))),1),1)</f>
        <v>29896.646042653374</v>
      </c>
      <c r="V314" s="29">
        <f>AN314*0.12*IF(MID(E314,1,1)="1",IF(G314="3히트",0,1),1)*IF(MID(E314,3,1)="1",트라이포드!$J$20,트라이포드!$I$20)*(1+입력란!$C$33/100)*IF(입력란!$C$9=1,IF(MID(E314,3,1)&lt;&gt;"1",IF(입력란!$C$14=0,1.05,IF(입력란!$C$14=1,1.05*1.05,IF(입력란!$C$14=2,1.05*1.12,IF(입력란!$C$14=3,1.05*1.25)))),1),1)</f>
        <v>29896.646042653374</v>
      </c>
      <c r="W314" s="29">
        <f>AN314*0.12*IF(MID(E314,1,1)="1",IF(G314="3히트",0,1),1)*IF(MID(E314,3,1)="1",트라이포드!$J$20,트라이포드!$I$20)*IF(MID(E314,5,1)="2",트라이포드!$R$20,트라이포드!$Q$20)*(1+입력란!$C$33/100)*IF(입력란!$C$9=1,IF(MID(E314,3,1)&lt;&gt;"1",IF(입력란!$C$14=0,1.05,IF(입력란!$C$14=1,1.05*1.05,IF(입력란!$C$14=2,1.05*1.12,IF(입력란!$C$14=3,1.05*1.25)))),1),1)</f>
        <v>29896.646042653374</v>
      </c>
      <c r="X314" s="29">
        <f>AN314*0.12*IF(MID(E314,1,1)="1",IF(G314="3히트",0,1),1)*IF(MID(E314,3,1)="1",트라이포드!$J$20,트라이포드!$I$20)*IF(MID(E314,5,1)="2",트라이포드!$R$20,트라이포드!$Q$20)*(1+입력란!$C$33/100)*IF(입력란!$C$9=1,IF(MID(E314,3,1)&lt;&gt;"1",IF(입력란!$C$14=0,1.05,IF(입력란!$C$14=1,1.05*1.05,IF(입력란!$C$14=2,1.05*1.12,IF(입력란!$C$14=3,1.05*1.25)))),1),1)</f>
        <v>29896.646042653374</v>
      </c>
      <c r="Y314" s="38">
        <f>AN314*0.28*IF(MID(E314,1,1)="1",IF(G314="3히트",0,1),1)*IF(MID(E314,3,1)="1",트라이포드!$J$20,트라이포드!$I$20)*IF(MID(E314,3,1)="3",트라이포드!$N$20,트라이포드!$M$20)*IF(MID(E314,5,1)="2",트라이포드!$R$20,트라이포드!$Q$20)*(1+입력란!$C$33/100)*IF(입력란!$C$9=1,IF(MID(E314,3,1)&lt;&gt;"1",IF(입력란!$C$14=0,1.05,IF(입력란!$C$14=1,1.05*1.05,IF(입력란!$C$14=2,1.05*1.12,IF(입력란!$C$14=3,1.05*1.25)))),1),1)</f>
        <v>69758.840766191206</v>
      </c>
      <c r="Z314" s="26">
        <f>(AN314*IF(MID(E314,5,1)="1",0.004*IF(G314="3히트",3,7)*5,0)+IF(MID(E314,5,1)="1",IF(G314="3히트",0,AN314*트라이포드!$P$20*IF(MID(E314,3,1)="1",트라이포드!$J$20,트라이포드!$I$20)),0)+IF(MID(E314,5,1)="1",IF(G314="3히트",0,AN314*0.03),0))*(1+입력란!$C$33/100)</f>
        <v>0</v>
      </c>
      <c r="AA314" s="29">
        <f>SUM(AB314:AI314)</f>
        <v>498277.43404422281</v>
      </c>
      <c r="AB314" s="29">
        <f>S314*2</f>
        <v>59793.292085306748</v>
      </c>
      <c r="AC314" s="29">
        <f>T314*2</f>
        <v>59793.292085306748</v>
      </c>
      <c r="AD314" s="29">
        <f>U314*2</f>
        <v>59793.292085306748</v>
      </c>
      <c r="AE314" s="29">
        <f>V314*2</f>
        <v>59793.292085306748</v>
      </c>
      <c r="AF314" s="29">
        <f>W314*2</f>
        <v>59793.292085306748</v>
      </c>
      <c r="AG314" s="29">
        <f>X314*2</f>
        <v>59793.292085306748</v>
      </c>
      <c r="AH314" s="29">
        <f>Y314*2</f>
        <v>139517.68153238241</v>
      </c>
      <c r="AI314" s="26">
        <f>Z314*2</f>
        <v>0</v>
      </c>
      <c r="AJ314" s="25">
        <f>IF(G314="3히트",10,AR314*(1-입력란!$C$29/100))</f>
        <v>28.731215018700002</v>
      </c>
      <c r="AK31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4" s="25">
        <f>입력란!$C$37+IF(입력란!$C$17=1,10,IF(입력란!$C$17=2,25,IF(입력란!$C$17=3,50,0)))</f>
        <v>200</v>
      </c>
      <c r="AM314" s="29">
        <f>SUM(AN314:AP314)</f>
        <v>209159.72449437412</v>
      </c>
      <c r="AN314" s="29">
        <f>(VLOOKUP(C314,$B$4:$AK$7,26,FALSE)+VLOOKUP(C314,$B$8:$AK$11,26,FALSE)*입력란!$C$23)*입력란!$C$38/100</f>
        <v>209159.72449437412</v>
      </c>
      <c r="AO314" s="29"/>
      <c r="AP314" s="29"/>
      <c r="AQ314" s="29"/>
      <c r="AR314" s="28">
        <v>30</v>
      </c>
    </row>
    <row r="315" spans="2:44" ht="13.5" customHeight="1" x14ac:dyDescent="0.3">
      <c r="B315" s="30">
        <v>300</v>
      </c>
      <c r="C315" s="35">
        <v>4</v>
      </c>
      <c r="D315" s="42" t="s">
        <v>385</v>
      </c>
      <c r="E315" s="37" t="s">
        <v>153</v>
      </c>
      <c r="F315" s="39"/>
      <c r="G315" s="39"/>
      <c r="H315" s="51">
        <f>I315/AJ315</f>
        <v>10610.327396171897</v>
      </c>
      <c r="I315" s="52">
        <f>SUM(J315:Q315)*IF(입력란!C$15=1,1.04,IF(입력란!C$15=2,1.1,IF(입력란!C$15=3,1.2,1)))*IF(입력란!$C$13&lt;&gt;0,0,1)*IF(입력란!$C$17&lt;&gt;0,0.98,1)</f>
        <v>304847.59783821809</v>
      </c>
      <c r="J315" s="29">
        <f>S315*(1+IF($AK315+IF(입력란!$C$9=1,IF(MID(E315,3,1)&lt;&gt;"1",10,0),0)+IF(MID(E315,3,1)="1",20,0)+IF(입력란!$C$19=1,10,0)&gt;100,100,$AK315+IF(입력란!$C$9=1,IF(MID(E315,3,1)&lt;&gt;"1",10,0),0)+IF(MID(E315,3,1)="1",20,0)+IF(입력란!$C$19=1,10,0))/100*($AL315/100-1))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K315" s="29">
        <f>T315*(1+IF($AK315+IF(입력란!$C$9=1,IF(MID(E315,3,1)&lt;&gt;"1",10,0),0)+IF(MID(E315,3,1)="1",20,0)+IF(입력란!$C$19=1,10,0)&gt;100,100,$AK315+IF(입력란!$C$9=1,IF(MID(E315,3,1)&lt;&gt;"1",10,0),0)+IF(MID(E315,3,1)="1",20,0)+IF(입력란!$C$19=1,10,0))/100*($AL315/100-1))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L315" s="29">
        <f>U315*(1+IF($AK315+IF(입력란!$C$9=1,IF(MID(E315,3,1)&lt;&gt;"1",10,0),0)+IF(MID(E315,3,1)="1",20,0)+IF(입력란!$C$19=1,10,0)&gt;100,100,$AK315+IF(입력란!$C$9=1,IF(MID(E315,3,1)&lt;&gt;"1",10,0),0)+IF(MID(E315,3,1)="1",20,0)+IF(입력란!$C$19=1,10,0))/100*($AL315/100-1))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M315" s="29">
        <f>V315*(1+IF($AK315+IF(입력란!$C$9=1,IF(MID(E315,3,1)&lt;&gt;"1",10,0),0)+IF(MID(E315,3,1)="1",20,0)+IF(입력란!$C$19=1,10,0)&gt;100,100,$AK315+IF(입력란!$C$9=1,IF(MID(E315,3,1)&lt;&gt;"1",10,0),0)+IF(MID(E315,3,1)="1",20,0)+IF(입력란!$C$19=1,10,0))/100*($AL315/100-1))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N315" s="38">
        <f>W315*(1+IF($AK315+IF(입력란!$C$9=1,IF(MID(E315,3,1)&lt;&gt;"1",10,0),0)+IF(MID(E315,3,1)="1",20,0)+IF(입력란!$C$19=1,10,0)&gt;100,100,$AK315+IF(입력란!$C$9=1,IF(MID(E315,3,1)&lt;&gt;"1",10,0),0)+IF(MID(E315,3,1)="1",20,0)+IF(입력란!$C$19=1,10,0))/100*($AL315/100-1))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O315" s="38">
        <f>X315*(1+IF($AK315+IF(입력란!$C$9=1,IF(MID(E315,3,1)&lt;&gt;"1",10,0),0)+IF(MID(E315,3,1)="1",20,0)+IF(입력란!$C$19=1,10,0)&gt;100,100,$AK315+IF(입력란!$C$9=1,IF(MID(E315,3,1)&lt;&gt;"1",10,0),0)+IF(MID(E315,3,1)="1",20,0)+IF(입력란!$C$19=1,10,0))/100*($AL315/100-1))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36581.711740586172</v>
      </c>
      <c r="P315" s="38">
        <f>Y315*(1+IF($AK315+IF(입력란!$C$9=1,IF(MID(E315,3,1)&lt;&gt;"1",10,0),0)+IF(MID(E315,3,1)="1",20,0)+IF(입력란!$C$19=1,10,0)&gt;100,100,$AK315+IF(입력란!$C$9=1,IF(MID(E315,3,1)&lt;&gt;"1",10,0),0)+IF(MID(E315,3,1)="1",20,0)+IF(입력란!$C$19=1,10,0))/100*($AL315/100-1))</f>
        <v>85357.32739470106</v>
      </c>
      <c r="Q315" s="34">
        <f>Z315*(1+IF($AK315+IF(입력란!$C$19=1,10,0)&gt;100,100,$AK315+IF(입력란!$C$19=1,10,0))/100*($AL315/100-1))</f>
        <v>0</v>
      </c>
      <c r="R315" s="23">
        <f>SUM(S315:Z315)</f>
        <v>249138.71702211141</v>
      </c>
      <c r="S315" s="29">
        <f>AN315*0.12*IF(MID(E315,3,1)="1",트라이포드!$J$20,트라이포드!$I$20)*(1+입력란!$C$33/100)*IF(입력란!$C$9=1,IF(MID(E315,3,1)&lt;&gt;"1",IF(입력란!$C$14=0,1.05,IF(입력란!$C$14=1,1.05*1.05,IF(입력란!$C$14=2,1.05*1.12,IF(입력란!$C$14=3,1.05*1.25)))),1),1)</f>
        <v>29896.646042653374</v>
      </c>
      <c r="T315" s="29">
        <f>AN315*0.12*IF(MID(E315,3,1)="1",트라이포드!$J$20,트라이포드!$I$20)*(1+입력란!$C$33/100)*IF(입력란!$C$9=1,IF(MID(E315,3,1)&lt;&gt;"1",IF(입력란!$C$14=0,1.05,IF(입력란!$C$14=1,1.05*1.05,IF(입력란!$C$14=2,1.05*1.12,IF(입력란!$C$14=3,1.05*1.25)))),1),1)</f>
        <v>29896.646042653374</v>
      </c>
      <c r="U315" s="29">
        <f>AN315*0.12*IF(MID(E315,3,1)="1",트라이포드!$J$20,트라이포드!$I$20)*(1+입력란!$C$33/100)*IF(입력란!$C$9=1,IF(MID(E315,3,1)&lt;&gt;"1",IF(입력란!$C$14=0,1.05,IF(입력란!$C$14=1,1.05*1.05,IF(입력란!$C$14=2,1.05*1.12,IF(입력란!$C$14=3,1.05*1.25)))),1),1)</f>
        <v>29896.646042653374</v>
      </c>
      <c r="V315" s="29">
        <f>AN315*0.12*IF(MID(E315,1,1)="1",IF(G315="3히트",0,1),1)*IF(MID(E315,3,1)="1",트라이포드!$J$20,트라이포드!$I$20)*(1+입력란!$C$33/100)*IF(입력란!$C$9=1,IF(MID(E315,3,1)&lt;&gt;"1",IF(입력란!$C$14=0,1.05,IF(입력란!$C$14=1,1.05*1.05,IF(입력란!$C$14=2,1.05*1.12,IF(입력란!$C$14=3,1.05*1.25)))),1),1)</f>
        <v>29896.646042653374</v>
      </c>
      <c r="W315" s="29">
        <f>AN315*0.12*IF(MID(E315,1,1)="1",IF(G315="3히트",0,1),1)*IF(MID(E315,3,1)="1",트라이포드!$J$20,트라이포드!$I$20)*IF(MID(E315,5,1)="2",트라이포드!$R$20,트라이포드!$Q$20)*(1+입력란!$C$33/100)*IF(입력란!$C$9=1,IF(MID(E315,3,1)&lt;&gt;"1",IF(입력란!$C$14=0,1.05,IF(입력란!$C$14=1,1.05*1.05,IF(입력란!$C$14=2,1.05*1.12,IF(입력란!$C$14=3,1.05*1.25)))),1),1)</f>
        <v>29896.646042653374</v>
      </c>
      <c r="X315" s="29">
        <f>AN315*0.12*IF(MID(E315,1,1)="1",IF(G315="3히트",0,1),1)*IF(MID(E315,3,1)="1",트라이포드!$J$20,트라이포드!$I$20)*IF(MID(E315,5,1)="2",트라이포드!$R$20,트라이포드!$Q$20)*(1+입력란!$C$33/100)*IF(입력란!$C$9=1,IF(MID(E315,3,1)&lt;&gt;"1",IF(입력란!$C$14=0,1.05,IF(입력란!$C$14=1,1.05*1.05,IF(입력란!$C$14=2,1.05*1.12,IF(입력란!$C$14=3,1.05*1.25)))),1),1)</f>
        <v>29896.646042653374</v>
      </c>
      <c r="Y315" s="38">
        <f>AN315*0.28*IF(MID(E315,1,1)="1",IF(G315="3히트",0,1),1)*IF(MID(E315,3,1)="1",트라이포드!$J$20,트라이포드!$I$20)*IF(MID(E315,3,1)="3",트라이포드!$N$20,트라이포드!$M$20)*IF(MID(E315,5,1)="2",트라이포드!$R$20,트라이포드!$Q$20)*(1+입력란!$C$33/100)*IF(입력란!$C$9=1,IF(MID(E315,3,1)&lt;&gt;"1",IF(입력란!$C$14=0,1.05,IF(입력란!$C$14=1,1.05*1.05,IF(입력란!$C$14=2,1.05*1.12,IF(입력란!$C$14=3,1.05*1.25)))),1),1)</f>
        <v>69758.840766191206</v>
      </c>
      <c r="Z315" s="26">
        <f>(AN315*IF(MID(E315,5,1)="1",0.004*IF(G315="3히트",3,7)*5,0)+IF(MID(E315,5,1)="1",IF(G315="3히트",0,AN315*트라이포드!$P$20*IF(MID(E315,3,1)="1",트라이포드!$J$20,트라이포드!$I$20)),0)+IF(MID(E315,5,1)="1",IF(G315="3히트",0,AN315*0.03),0))*(1+입력란!$C$33/100)</f>
        <v>0</v>
      </c>
      <c r="AA315" s="29">
        <f>SUM(AB315:AI315)</f>
        <v>498277.43404422281</v>
      </c>
      <c r="AB315" s="29">
        <f>S315*2</f>
        <v>59793.292085306748</v>
      </c>
      <c r="AC315" s="29">
        <f>T315*2</f>
        <v>59793.292085306748</v>
      </c>
      <c r="AD315" s="29">
        <f>U315*2</f>
        <v>59793.292085306748</v>
      </c>
      <c r="AE315" s="29">
        <f>V315*2</f>
        <v>59793.292085306748</v>
      </c>
      <c r="AF315" s="29">
        <f>W315*2</f>
        <v>59793.292085306748</v>
      </c>
      <c r="AG315" s="29">
        <f>X315*2</f>
        <v>59793.292085306748</v>
      </c>
      <c r="AH315" s="29">
        <f>Y315*2</f>
        <v>139517.68153238241</v>
      </c>
      <c r="AI315" s="26">
        <f>Z315*2</f>
        <v>0</v>
      </c>
      <c r="AJ315" s="25">
        <f>IF(G315="3히트",10,AR315*(1-입력란!$C$29/100))</f>
        <v>28.731215018700002</v>
      </c>
      <c r="AK31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5" s="25">
        <f>입력란!$C$37+IF(입력란!$C$17=1,10,IF(입력란!$C$17=2,25,IF(입력란!$C$17=3,50,0)))</f>
        <v>200</v>
      </c>
      <c r="AM315" s="29">
        <f>SUM(AN315:AP315)</f>
        <v>209159.72449437412</v>
      </c>
      <c r="AN315" s="29">
        <f>(VLOOKUP(C315,$B$4:$AK$7,26,FALSE)+VLOOKUP(C315,$B$8:$AK$11,26,FALSE)*입력란!$C$23)*입력란!$C$38/100</f>
        <v>209159.72449437412</v>
      </c>
      <c r="AO315" s="29"/>
      <c r="AP315" s="29"/>
      <c r="AQ315" s="29"/>
      <c r="AR315" s="28">
        <v>30</v>
      </c>
    </row>
    <row r="316" spans="2:44" ht="13.5" customHeight="1" x14ac:dyDescent="0.3">
      <c r="B316" s="30">
        <v>301</v>
      </c>
      <c r="C316" s="35">
        <v>4</v>
      </c>
      <c r="D316" s="42" t="s">
        <v>385</v>
      </c>
      <c r="E316" s="37" t="s">
        <v>153</v>
      </c>
      <c r="F316" s="39"/>
      <c r="G316" s="39" t="s">
        <v>389</v>
      </c>
      <c r="H316" s="51">
        <f>I316/AJ316</f>
        <v>10974.51352217585</v>
      </c>
      <c r="I316" s="52">
        <f>SUM(J316:Q316)*IF(입력란!C$15=1,1.04,IF(입력란!C$15=2,1.1,IF(입력란!C$15=3,1.2,1)))*IF(입력란!$C$13&lt;&gt;0,0,1)*IF(입력란!$C$17&lt;&gt;0,0.98,1)</f>
        <v>109745.13522175851</v>
      </c>
      <c r="J316" s="29">
        <f>S316*(1+IF($AK316+IF(입력란!$C$9=1,IF(MID(E316,3,1)&lt;&gt;"1",10,0),0)+IF(MID(E316,3,1)="1",20,0)+IF(입력란!$C$19=1,10,0)&gt;100,100,$AK316+IF(입력란!$C$9=1,IF(MID(E316,3,1)&lt;&gt;"1",10,0),0)+IF(MID(E316,3,1)="1",20,0)+IF(입력란!$C$19=1,10,0))/100*($AL316/100-1))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36581.711740586172</v>
      </c>
      <c r="K316" s="29">
        <f>T316*(1+IF($AK316+IF(입력란!$C$9=1,IF(MID(E316,3,1)&lt;&gt;"1",10,0),0)+IF(MID(E316,3,1)="1",20,0)+IF(입력란!$C$19=1,10,0)&gt;100,100,$AK316+IF(입력란!$C$9=1,IF(MID(E316,3,1)&lt;&gt;"1",10,0),0)+IF(MID(E316,3,1)="1",20,0)+IF(입력란!$C$19=1,10,0))/100*($AL316/100-1))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36581.711740586172</v>
      </c>
      <c r="L316" s="29">
        <f>U316*(1+IF($AK316+IF(입력란!$C$9=1,IF(MID(E316,3,1)&lt;&gt;"1",10,0),0)+IF(MID(E316,3,1)="1",20,0)+IF(입력란!$C$19=1,10,0)&gt;100,100,$AK316+IF(입력란!$C$9=1,IF(MID(E316,3,1)&lt;&gt;"1",10,0),0)+IF(MID(E316,3,1)="1",20,0)+IF(입력란!$C$19=1,10,0))/100*($AL316/100-1))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36581.711740586172</v>
      </c>
      <c r="M316" s="29">
        <f>V316*(1+IF($AK316+IF(입력란!$C$9=1,IF(MID(E316,3,1)&lt;&gt;"1",10,0),0)+IF(MID(E316,3,1)="1",20,0)+IF(입력란!$C$19=1,10,0)&gt;100,100,$AK316+IF(입력란!$C$9=1,IF(MID(E316,3,1)&lt;&gt;"1",10,0),0)+IF(MID(E316,3,1)="1",20,0)+IF(입력란!$C$19=1,10,0))/100*($AL316/100-1))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0</v>
      </c>
      <c r="N316" s="38">
        <f>W316*(1+IF($AK316+IF(입력란!$C$9=1,IF(MID(E316,3,1)&lt;&gt;"1",10,0),0)+IF(MID(E316,3,1)="1",20,0)+IF(입력란!$C$19=1,10,0)&gt;100,100,$AK316+IF(입력란!$C$9=1,IF(MID(E316,3,1)&lt;&gt;"1",10,0),0)+IF(MID(E316,3,1)="1",20,0)+IF(입력란!$C$19=1,10,0))/100*($AL316/100-1))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0</v>
      </c>
      <c r="O316" s="38">
        <f>X316*(1+IF($AK316+IF(입력란!$C$9=1,IF(MID(E316,3,1)&lt;&gt;"1",10,0),0)+IF(MID(E316,3,1)="1",20,0)+IF(입력란!$C$19=1,10,0)&gt;100,100,$AK316+IF(입력란!$C$9=1,IF(MID(E316,3,1)&lt;&gt;"1",10,0),0)+IF(MID(E316,3,1)="1",20,0)+IF(입력란!$C$19=1,10,0))/100*($AL316/100-1))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0</v>
      </c>
      <c r="P316" s="38">
        <f>Y316*(1+IF($AK316+IF(입력란!$C$9=1,IF(MID(E316,3,1)&lt;&gt;"1",10,0),0)+IF(MID(E316,3,1)="1",20,0)+IF(입력란!$C$19=1,10,0)&gt;100,100,$AK316+IF(입력란!$C$9=1,IF(MID(E316,3,1)&lt;&gt;"1",10,0),0)+IF(MID(E316,3,1)="1",20,0)+IF(입력란!$C$19=1,10,0))/100*($AL316/100-1))</f>
        <v>0</v>
      </c>
      <c r="Q316" s="34">
        <f>Z316*(1+IF($AK316+IF(입력란!$C$19=1,10,0)&gt;100,100,$AK316+IF(입력란!$C$19=1,10,0))/100*($AL316/100-1))</f>
        <v>0</v>
      </c>
      <c r="R316" s="23">
        <f>SUM(S316:Z316)</f>
        <v>89689.938127960122</v>
      </c>
      <c r="S316" s="29">
        <f>AN316*0.12*IF(MID(E316,3,1)="1",트라이포드!$J$20,트라이포드!$I$20)*(1+입력란!$C$33/100)*IF(입력란!$C$9=1,IF(MID(E316,3,1)&lt;&gt;"1",IF(입력란!$C$14=0,1.05,IF(입력란!$C$14=1,1.05*1.05,IF(입력란!$C$14=2,1.05*1.12,IF(입력란!$C$14=3,1.05*1.25)))),1),1)</f>
        <v>29896.646042653374</v>
      </c>
      <c r="T316" s="29">
        <f>AN316*0.12*IF(MID(E316,3,1)="1",트라이포드!$J$20,트라이포드!$I$20)*(1+입력란!$C$33/100)*IF(입력란!$C$9=1,IF(MID(E316,3,1)&lt;&gt;"1",IF(입력란!$C$14=0,1.05,IF(입력란!$C$14=1,1.05*1.05,IF(입력란!$C$14=2,1.05*1.12,IF(입력란!$C$14=3,1.05*1.25)))),1),1)</f>
        <v>29896.646042653374</v>
      </c>
      <c r="U316" s="29">
        <f>AN316*0.12*IF(MID(E316,3,1)="1",트라이포드!$J$20,트라이포드!$I$20)*(1+입력란!$C$33/100)*IF(입력란!$C$9=1,IF(MID(E316,3,1)&lt;&gt;"1",IF(입력란!$C$14=0,1.05,IF(입력란!$C$14=1,1.05*1.05,IF(입력란!$C$14=2,1.05*1.12,IF(입력란!$C$14=3,1.05*1.25)))),1),1)</f>
        <v>29896.646042653374</v>
      </c>
      <c r="V316" s="29">
        <f>AN316*0.12*IF(MID(E316,1,1)="1",IF(G316="3히트",0,1),1)*IF(MID(E316,3,1)="1",트라이포드!$J$20,트라이포드!$I$20)*(1+입력란!$C$33/100)*IF(입력란!$C$9=1,IF(MID(E316,3,1)&lt;&gt;"1",IF(입력란!$C$14=0,1.05,IF(입력란!$C$14=1,1.05*1.05,IF(입력란!$C$14=2,1.05*1.12,IF(입력란!$C$14=3,1.05*1.25)))),1),1)</f>
        <v>0</v>
      </c>
      <c r="W316" s="29">
        <f>AN316*0.12*IF(MID(E316,1,1)="1",IF(G316="3히트",0,1),1)*IF(MID(E316,3,1)="1",트라이포드!$J$20,트라이포드!$I$20)*IF(MID(E316,5,1)="2",트라이포드!$R$20,트라이포드!$Q$20)*(1+입력란!$C$33/100)*IF(입력란!$C$9=1,IF(MID(E316,3,1)&lt;&gt;"1",IF(입력란!$C$14=0,1.05,IF(입력란!$C$14=1,1.05*1.05,IF(입력란!$C$14=2,1.05*1.12,IF(입력란!$C$14=3,1.05*1.25)))),1),1)</f>
        <v>0</v>
      </c>
      <c r="X316" s="29">
        <f>AN316*0.12*IF(MID(E316,1,1)="1",IF(G316="3히트",0,1),1)*IF(MID(E316,3,1)="1",트라이포드!$J$20,트라이포드!$I$20)*IF(MID(E316,5,1)="2",트라이포드!$R$20,트라이포드!$Q$20)*(1+입력란!$C$33/100)*IF(입력란!$C$9=1,IF(MID(E316,3,1)&lt;&gt;"1",IF(입력란!$C$14=0,1.05,IF(입력란!$C$14=1,1.05*1.05,IF(입력란!$C$14=2,1.05*1.12,IF(입력란!$C$14=3,1.05*1.25)))),1),1)</f>
        <v>0</v>
      </c>
      <c r="Y316" s="38">
        <f>AN316*0.28*IF(MID(E316,1,1)="1",IF(G316="3히트",0,1),1)*IF(MID(E316,3,1)="1",트라이포드!$J$20,트라이포드!$I$20)*IF(MID(E316,3,1)="3",트라이포드!$N$20,트라이포드!$M$20)*IF(MID(E316,5,1)="2",트라이포드!$R$20,트라이포드!$Q$20)*(1+입력란!$C$33/100)*IF(입력란!$C$9=1,IF(MID(E316,3,1)&lt;&gt;"1",IF(입력란!$C$14=0,1.05,IF(입력란!$C$14=1,1.05*1.05,IF(입력란!$C$14=2,1.05*1.12,IF(입력란!$C$14=3,1.05*1.25)))),1),1)</f>
        <v>0</v>
      </c>
      <c r="Z316" s="26">
        <f>(AN316*IF(MID(E316,5,1)="1",0.004*IF(G316="3히트",3,7)*5,0)+IF(MID(E316,5,1)="1",IF(G316="3히트",0,AN316*트라이포드!$P$20*IF(MID(E316,3,1)="1",트라이포드!$J$20,트라이포드!$I$20)),0)+IF(MID(E316,5,1)="1",IF(G316="3히트",0,AN316*0.03),0))*(1+입력란!$C$33/100)</f>
        <v>0</v>
      </c>
      <c r="AA316" s="29">
        <f>SUM(AB316:AI316)</f>
        <v>179379.87625592024</v>
      </c>
      <c r="AB316" s="29">
        <f>S316*2</f>
        <v>59793.292085306748</v>
      </c>
      <c r="AC316" s="29">
        <f>T316*2</f>
        <v>59793.292085306748</v>
      </c>
      <c r="AD316" s="29">
        <f>U316*2</f>
        <v>59793.292085306748</v>
      </c>
      <c r="AE316" s="29">
        <f>V316*2</f>
        <v>0</v>
      </c>
      <c r="AF316" s="29">
        <f>W316*2</f>
        <v>0</v>
      </c>
      <c r="AG316" s="29">
        <f>X316*2</f>
        <v>0</v>
      </c>
      <c r="AH316" s="29">
        <f>Y316*2</f>
        <v>0</v>
      </c>
      <c r="AI316" s="26">
        <f>Z316*2</f>
        <v>0</v>
      </c>
      <c r="AJ316" s="25">
        <f>IF(G316="3히트",10,AR316*(1-입력란!$C$29/100))</f>
        <v>10</v>
      </c>
      <c r="AK31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6" s="25">
        <f>입력란!$C$37+IF(입력란!$C$17=1,10,IF(입력란!$C$17=2,25,IF(입력란!$C$17=3,50,0)))</f>
        <v>200</v>
      </c>
      <c r="AM316" s="29">
        <f>SUM(AN316:AP316)</f>
        <v>209159.72449437412</v>
      </c>
      <c r="AN316" s="29">
        <f>(VLOOKUP(C316,$B$4:$AK$7,26,FALSE)+VLOOKUP(C316,$B$8:$AK$11,26,FALSE)*입력란!$C$23)*입력란!$C$38/100</f>
        <v>209159.72449437412</v>
      </c>
      <c r="AO316" s="29"/>
      <c r="AP316" s="29"/>
      <c r="AQ316" s="29"/>
      <c r="AR316" s="28">
        <v>30</v>
      </c>
    </row>
    <row r="317" spans="2:44" ht="13.5" customHeight="1" x14ac:dyDescent="0.3">
      <c r="B317" s="30">
        <v>302</v>
      </c>
      <c r="C317" s="35">
        <v>7</v>
      </c>
      <c r="D317" s="42" t="s">
        <v>385</v>
      </c>
      <c r="E317" s="37" t="s">
        <v>152</v>
      </c>
      <c r="F317" s="39"/>
      <c r="G317" s="39"/>
      <c r="H317" s="51">
        <f>I317/AJ317</f>
        <v>10630.760774947423</v>
      </c>
      <c r="I317" s="52">
        <f>SUM(J317:Q317)*IF(입력란!C$15=1,1.04,IF(입력란!C$15=2,1.1,IF(입력란!C$15=3,1.2,1)))*IF(입력란!$C$13&lt;&gt;0,0,1)*IF(입력란!$C$17&lt;&gt;0,0.98,1)</f>
        <v>305434.67363737628</v>
      </c>
      <c r="J317" s="29">
        <f>S317*(1+IF($AK317+IF(입력란!$C$9=1,IF(MID(E317,3,1)&lt;&gt;"1",10,0),0)+IF(MID(E317,3,1)="1",20,0)+IF(입력란!$C$19=1,10,0)&gt;100,100,$AK317+IF(입력란!$C$9=1,IF(MID(E317,3,1)&lt;&gt;"1",10,0),0)+IF(MID(E317,3,1)="1",20,0)+IF(입력란!$C$19=1,10,0))/100*($AL317/100-1))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K317" s="29">
        <f>T317*(1+IF($AK317+IF(입력란!$C$9=1,IF(MID(E317,3,1)&lt;&gt;"1",10,0),0)+IF(MID(E317,3,1)="1",20,0)+IF(입력란!$C$19=1,10,0)&gt;100,100,$AK317+IF(입력란!$C$9=1,IF(MID(E317,3,1)&lt;&gt;"1",10,0),0)+IF(MID(E317,3,1)="1",20,0)+IF(입력란!$C$19=1,10,0))/100*($AL317/100-1))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L317" s="29">
        <f>U317*(1+IF($AK317+IF(입력란!$C$9=1,IF(MID(E317,3,1)&lt;&gt;"1",10,0),0)+IF(MID(E317,3,1)="1",20,0)+IF(입력란!$C$19=1,10,0)&gt;100,100,$AK317+IF(입력란!$C$9=1,IF(MID(E317,3,1)&lt;&gt;"1",10,0),0)+IF(MID(E317,3,1)="1",20,0)+IF(입력란!$C$19=1,10,0))/100*($AL317/100-1))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M317" s="29">
        <f>V317*(1+IF($AK317+IF(입력란!$C$9=1,IF(MID(E317,3,1)&lt;&gt;"1",10,0),0)+IF(MID(E317,3,1)="1",20,0)+IF(입력란!$C$19=1,10,0)&gt;100,100,$AK317+IF(입력란!$C$9=1,IF(MID(E317,3,1)&lt;&gt;"1",10,0),0)+IF(MID(E317,3,1)="1",20,0)+IF(입력란!$C$19=1,10,0))/100*($AL317/100-1))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N317" s="38">
        <f>W317*(1+IF($AK317+IF(입력란!$C$9=1,IF(MID(E317,3,1)&lt;&gt;"1",10,0),0)+IF(MID(E317,3,1)="1",20,0)+IF(입력란!$C$19=1,10,0)&gt;100,100,$AK317+IF(입력란!$C$9=1,IF(MID(E317,3,1)&lt;&gt;"1",10,0),0)+IF(MID(E317,3,1)="1",20,0)+IF(입력란!$C$19=1,10,0))/100*($AL317/100-1))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O317" s="38">
        <f>X317*(1+IF($AK317+IF(입력란!$C$9=1,IF(MID(E317,3,1)&lt;&gt;"1",10,0),0)+IF(MID(E317,3,1)="1",20,0)+IF(입력란!$C$19=1,10,0)&gt;100,100,$AK317+IF(입력란!$C$9=1,IF(MID(E317,3,1)&lt;&gt;"1",10,0),0)+IF(MID(E317,3,1)="1",20,0)+IF(입력란!$C$19=1,10,0))/100*($AL317/100-1))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36652.160836485149</v>
      </c>
      <c r="P317" s="38">
        <f>Y317*(1+IF($AK317+IF(입력란!$C$9=1,IF(MID(E317,3,1)&lt;&gt;"1",10,0),0)+IF(MID(E317,3,1)="1",20,0)+IF(입력란!$C$19=1,10,0)&gt;100,100,$AK317+IF(입력란!$C$9=1,IF(MID(E317,3,1)&lt;&gt;"1",10,0),0)+IF(MID(E317,3,1)="1",20,0)+IF(입력란!$C$19=1,10,0))/100*($AL317/100-1))</f>
        <v>85521.70861846536</v>
      </c>
      <c r="Q317" s="34">
        <f>Z317*(1+IF($AK317+IF(입력란!$C$19=1,10,0)&gt;100,100,$AK317+IF(입력란!$C$19=1,10,0))/100*($AL317/100-1))</f>
        <v>0</v>
      </c>
      <c r="R317" s="23">
        <f>SUM(S317:Z317)</f>
        <v>249618.50860464058</v>
      </c>
      <c r="S317" s="29">
        <f>AN317*0.12*IF(MID(E317,3,1)="1",트라이포드!$J$20,트라이포드!$I$20)*(1+입력란!$C$33/100)*IF(입력란!$C$9=1,IF(MID(E317,3,1)&lt;&gt;"1",IF(입력란!$C$14=0,1.05,IF(입력란!$C$14=1,1.05*1.05,IF(입력란!$C$14=2,1.05*1.12,IF(입력란!$C$14=3,1.05*1.25)))),1),1)</f>
        <v>29954.221032556867</v>
      </c>
      <c r="T317" s="29">
        <f>AN317*0.12*IF(MID(E317,3,1)="1",트라이포드!$J$20,트라이포드!$I$20)*(1+입력란!$C$33/100)*IF(입력란!$C$9=1,IF(MID(E317,3,1)&lt;&gt;"1",IF(입력란!$C$14=0,1.05,IF(입력란!$C$14=1,1.05*1.05,IF(입력란!$C$14=2,1.05*1.12,IF(입력란!$C$14=3,1.05*1.25)))),1),1)</f>
        <v>29954.221032556867</v>
      </c>
      <c r="U317" s="29">
        <f>AN317*0.12*IF(MID(E317,3,1)="1",트라이포드!$J$20,트라이포드!$I$20)*(1+입력란!$C$33/100)*IF(입력란!$C$9=1,IF(MID(E317,3,1)&lt;&gt;"1",IF(입력란!$C$14=0,1.05,IF(입력란!$C$14=1,1.05*1.05,IF(입력란!$C$14=2,1.05*1.12,IF(입력란!$C$14=3,1.05*1.25)))),1),1)</f>
        <v>29954.221032556867</v>
      </c>
      <c r="V317" s="29">
        <f>AN317*0.12*IF(MID(E317,1,1)="1",IF(G317="3히트",0,1),1)*IF(MID(E317,3,1)="1",트라이포드!$J$20,트라이포드!$I$20)*(1+입력란!$C$33/100)*IF(입력란!$C$9=1,IF(MID(E317,3,1)&lt;&gt;"1",IF(입력란!$C$14=0,1.05,IF(입력란!$C$14=1,1.05*1.05,IF(입력란!$C$14=2,1.05*1.12,IF(입력란!$C$14=3,1.05*1.25)))),1),1)</f>
        <v>29954.221032556867</v>
      </c>
      <c r="W317" s="29">
        <f>AN317*0.12*IF(MID(E317,1,1)="1",IF(G317="3히트",0,1),1)*IF(MID(E317,3,1)="1",트라이포드!$J$20,트라이포드!$I$20)*IF(MID(E317,5,1)="2",트라이포드!$R$20,트라이포드!$Q$20)*(1+입력란!$C$33/100)*IF(입력란!$C$9=1,IF(MID(E317,3,1)&lt;&gt;"1",IF(입력란!$C$14=0,1.05,IF(입력란!$C$14=1,1.05*1.05,IF(입력란!$C$14=2,1.05*1.12,IF(입력란!$C$14=3,1.05*1.25)))),1),1)</f>
        <v>29954.221032556867</v>
      </c>
      <c r="X317" s="29">
        <f>AN317*0.12*IF(MID(E317,1,1)="1",IF(G317="3히트",0,1),1)*IF(MID(E317,3,1)="1",트라이포드!$J$20,트라이포드!$I$20)*IF(MID(E317,5,1)="2",트라이포드!$R$20,트라이포드!$Q$20)*(1+입력란!$C$33/100)*IF(입력란!$C$9=1,IF(MID(E317,3,1)&lt;&gt;"1",IF(입력란!$C$14=0,1.05,IF(입력란!$C$14=1,1.05*1.05,IF(입력란!$C$14=2,1.05*1.12,IF(입력란!$C$14=3,1.05*1.25)))),1),1)</f>
        <v>29954.221032556867</v>
      </c>
      <c r="Y317" s="38">
        <f>AN317*0.28*IF(MID(E317,1,1)="1",IF(G317="3히트",0,1),1)*IF(MID(E317,3,1)="1",트라이포드!$J$20,트라이포드!$I$20)*IF(MID(E317,3,1)="3",트라이포드!$N$20,트라이포드!$M$20)*IF(MID(E317,5,1)="2",트라이포드!$R$20,트라이포드!$Q$20)*(1+입력란!$C$33/100)*IF(입력란!$C$9=1,IF(MID(E317,3,1)&lt;&gt;"1",IF(입력란!$C$14=0,1.05,IF(입력란!$C$14=1,1.05*1.05,IF(입력란!$C$14=2,1.05*1.12,IF(입력란!$C$14=3,1.05*1.25)))),1),1)</f>
        <v>69893.182409299363</v>
      </c>
      <c r="Z317" s="26">
        <f>(AN317*IF(MID(E317,5,1)="1",0.004*IF(G317="3히트",3,7)*5,0)+IF(MID(E317,5,1)="1",IF(G317="3히트",0,AN317*트라이포드!$P$20*IF(MID(E317,3,1)="1",트라이포드!$J$20,트라이포드!$I$20)),0)+IF(MID(E317,5,1)="1",IF(G317="3히트",0,AN317*0.03),0))*(1+입력란!$C$33/100)</f>
        <v>0</v>
      </c>
      <c r="AA317" s="29">
        <f>SUM(AB317:AI317)</f>
        <v>499237.01720928116</v>
      </c>
      <c r="AB317" s="29">
        <f>S317*2</f>
        <v>59908.442065113733</v>
      </c>
      <c r="AC317" s="29">
        <f>T317*2</f>
        <v>59908.442065113733</v>
      </c>
      <c r="AD317" s="29">
        <f>U317*2</f>
        <v>59908.442065113733</v>
      </c>
      <c r="AE317" s="29">
        <f>V317*2</f>
        <v>59908.442065113733</v>
      </c>
      <c r="AF317" s="29">
        <f>W317*2</f>
        <v>59908.442065113733</v>
      </c>
      <c r="AG317" s="29">
        <f>X317*2</f>
        <v>59908.442065113733</v>
      </c>
      <c r="AH317" s="29">
        <f>Y317*2</f>
        <v>139786.36481859873</v>
      </c>
      <c r="AI317" s="26">
        <f>Z317*2</f>
        <v>0</v>
      </c>
      <c r="AJ317" s="25">
        <f>IF(G317="3히트",10,AR317*(1-입력란!$C$29/100))</f>
        <v>28.731215018700002</v>
      </c>
      <c r="AK31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7" s="25">
        <f>입력란!$C$37+IF(입력란!$C$17=1,10,IF(입력란!$C$17=2,25,IF(입력란!$C$17=3,50,0)))</f>
        <v>200</v>
      </c>
      <c r="AM317" s="29">
        <f>SUM(AN317:AP317)</f>
        <v>209562.52449437414</v>
      </c>
      <c r="AN317" s="29">
        <f>(VLOOKUP(C317,$B$4:$AK$7,26,FALSE)+VLOOKUP(C317,$B$8:$AK$11,26,FALSE)*입력란!$C$23)*입력란!$C$38/100</f>
        <v>209562.52449437414</v>
      </c>
      <c r="AO317" s="29"/>
      <c r="AP317" s="29"/>
      <c r="AQ317" s="29"/>
      <c r="AR317" s="28">
        <v>30</v>
      </c>
    </row>
    <row r="318" spans="2:44" ht="13.5" customHeight="1" x14ac:dyDescent="0.3">
      <c r="B318" s="30">
        <v>303</v>
      </c>
      <c r="C318" s="35">
        <v>7</v>
      </c>
      <c r="D318" s="42" t="s">
        <v>385</v>
      </c>
      <c r="E318" s="37" t="s">
        <v>337</v>
      </c>
      <c r="F318" s="39"/>
      <c r="G318" s="39"/>
      <c r="H318" s="51">
        <f>I318/AJ318</f>
        <v>13605.209965527645</v>
      </c>
      <c r="I318" s="52">
        <f>SUM(J318:Q318)*IF(입력란!C$15=1,1.04,IF(입력란!C$15=2,1.1,IF(입력란!C$15=3,1.2,1)))*IF(입력란!$C$13&lt;&gt;0,0,1)*IF(입력란!$C$17&lt;&gt;0,0.98,1)</f>
        <v>390894.21289413481</v>
      </c>
      <c r="J318" s="29">
        <f>S318*(1+IF($AK318+IF(입력란!$C$9=1,IF(MID(E318,3,1)&lt;&gt;"1",10,0),0)+IF(MID(E318,3,1)="1",20,0)+IF(입력란!$C$19=1,10,0)&gt;100,100,$AK318+IF(입력란!$C$9=1,IF(MID(E318,3,1)&lt;&gt;"1",10,0),0)+IF(MID(E318,3,1)="1",20,0)+IF(입력란!$C$19=1,10,0))/100*($AL318/100-1))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K318" s="29">
        <f>T318*(1+IF($AK318+IF(입력란!$C$9=1,IF(MID(E318,3,1)&lt;&gt;"1",10,0),0)+IF(MID(E318,3,1)="1",20,0)+IF(입력란!$C$19=1,10,0)&gt;100,100,$AK318+IF(입력란!$C$9=1,IF(MID(E318,3,1)&lt;&gt;"1",10,0),0)+IF(MID(E318,3,1)="1",20,0)+IF(입력란!$C$19=1,10,0))/100*($AL318/100-1))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L318" s="29">
        <f>U318*(1+IF($AK318+IF(입력란!$C$9=1,IF(MID(E318,3,1)&lt;&gt;"1",10,0),0)+IF(MID(E318,3,1)="1",20,0)+IF(입력란!$C$19=1,10,0)&gt;100,100,$AK318+IF(입력란!$C$9=1,IF(MID(E318,3,1)&lt;&gt;"1",10,0),0)+IF(MID(E318,3,1)="1",20,0)+IF(입력란!$C$19=1,10,0))/100*($AL318/100-1))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M318" s="29">
        <f>V318*(1+IF($AK318+IF(입력란!$C$9=1,IF(MID(E318,3,1)&lt;&gt;"1",10,0),0)+IF(MID(E318,3,1)="1",20,0)+IF(입력란!$C$19=1,10,0)&gt;100,100,$AK318+IF(입력란!$C$9=1,IF(MID(E318,3,1)&lt;&gt;"1",10,0),0)+IF(MID(E318,3,1)="1",20,0)+IF(입력란!$C$19=1,10,0))/100*($AL318/100-1))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N318" s="38">
        <f>W318*(1+IF($AK318+IF(입력란!$C$9=1,IF(MID(E318,3,1)&lt;&gt;"1",10,0),0)+IF(MID(E318,3,1)="1",20,0)+IF(입력란!$C$19=1,10,0)&gt;100,100,$AK318+IF(입력란!$C$9=1,IF(MID(E318,3,1)&lt;&gt;"1",10,0),0)+IF(MID(E318,3,1)="1",20,0)+IF(입력란!$C$19=1,10,0))/100*($AL318/100-1))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O318" s="38">
        <f>X318*(1+IF($AK318+IF(입력란!$C$9=1,IF(MID(E318,3,1)&lt;&gt;"1",10,0),0)+IF(MID(E318,3,1)="1",20,0)+IF(입력란!$C$19=1,10,0)&gt;100,100,$AK318+IF(입력란!$C$9=1,IF(MID(E318,3,1)&lt;&gt;"1",10,0),0)+IF(MID(E318,3,1)="1",20,0)+IF(입력란!$C$19=1,10,0))/100*($AL318/100-1))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46907.305547296179</v>
      </c>
      <c r="P318" s="38">
        <f>Y318*(1+IF($AK318+IF(입력란!$C$9=1,IF(MID(E318,3,1)&lt;&gt;"1",10,0),0)+IF(MID(E318,3,1)="1",20,0)+IF(입력란!$C$19=1,10,0)&gt;100,100,$AK318+IF(입력란!$C$9=1,IF(MID(E318,3,1)&lt;&gt;"1",10,0),0)+IF(MID(E318,3,1)="1",20,0)+IF(입력란!$C$19=1,10,0))/100*($AL318/100-1))</f>
        <v>109450.37961035776</v>
      </c>
      <c r="Q318" s="34">
        <f>Z318*(1+IF($AK318+IF(입력란!$C$19=1,10,0)&gt;100,100,$AK318+IF(입력란!$C$19=1,10,0))/100*($AL318/100-1))</f>
        <v>0</v>
      </c>
      <c r="R318" s="23">
        <f>SUM(S318:Z318)</f>
        <v>274580.35946510464</v>
      </c>
      <c r="S318" s="29">
        <f>AN318*0.12*IF(MID(E318,3,1)="1",트라이포드!$J$20,트라이포드!$I$20)*(1+입력란!$C$33/100)*IF(입력란!$C$9=1,IF(MID(E318,3,1)&lt;&gt;"1",IF(입력란!$C$14=0,1.05,IF(입력란!$C$14=1,1.05*1.05,IF(입력란!$C$14=2,1.05*1.12,IF(입력란!$C$14=3,1.05*1.25)))),1),1)</f>
        <v>32949.643135812556</v>
      </c>
      <c r="T318" s="29">
        <f>AN318*0.12*IF(MID(E318,3,1)="1",트라이포드!$J$20,트라이포드!$I$20)*(1+입력란!$C$33/100)*IF(입력란!$C$9=1,IF(MID(E318,3,1)&lt;&gt;"1",IF(입력란!$C$14=0,1.05,IF(입력란!$C$14=1,1.05*1.05,IF(입력란!$C$14=2,1.05*1.12,IF(입력란!$C$14=3,1.05*1.25)))),1),1)</f>
        <v>32949.643135812556</v>
      </c>
      <c r="U318" s="29">
        <f>AN318*0.12*IF(MID(E318,3,1)="1",트라이포드!$J$20,트라이포드!$I$20)*(1+입력란!$C$33/100)*IF(입력란!$C$9=1,IF(MID(E318,3,1)&lt;&gt;"1",IF(입력란!$C$14=0,1.05,IF(입력란!$C$14=1,1.05*1.05,IF(입력란!$C$14=2,1.05*1.12,IF(입력란!$C$14=3,1.05*1.25)))),1),1)</f>
        <v>32949.643135812556</v>
      </c>
      <c r="V318" s="29">
        <f>AN318*0.12*IF(MID(E318,1,1)="1",IF(G318="3히트",0,1),1)*IF(MID(E318,3,1)="1",트라이포드!$J$20,트라이포드!$I$20)*(1+입력란!$C$33/100)*IF(입력란!$C$9=1,IF(MID(E318,3,1)&lt;&gt;"1",IF(입력란!$C$14=0,1.05,IF(입력란!$C$14=1,1.05*1.05,IF(입력란!$C$14=2,1.05*1.12,IF(입력란!$C$14=3,1.05*1.25)))),1),1)</f>
        <v>32949.643135812556</v>
      </c>
      <c r="W318" s="29">
        <f>AN318*0.12*IF(MID(E318,1,1)="1",IF(G318="3히트",0,1),1)*IF(MID(E318,3,1)="1",트라이포드!$J$20,트라이포드!$I$20)*IF(MID(E318,5,1)="2",트라이포드!$R$20,트라이포드!$Q$20)*(1+입력란!$C$33/100)*IF(입력란!$C$9=1,IF(MID(E318,3,1)&lt;&gt;"1",IF(입력란!$C$14=0,1.05,IF(입력란!$C$14=1,1.05*1.05,IF(입력란!$C$14=2,1.05*1.12,IF(입력란!$C$14=3,1.05*1.25)))),1),1)</f>
        <v>32949.643135812556</v>
      </c>
      <c r="X318" s="29">
        <f>AN318*0.12*IF(MID(E318,1,1)="1",IF(G318="3히트",0,1),1)*IF(MID(E318,3,1)="1",트라이포드!$J$20,트라이포드!$I$20)*IF(MID(E318,5,1)="2",트라이포드!$R$20,트라이포드!$Q$20)*(1+입력란!$C$33/100)*IF(입력란!$C$9=1,IF(MID(E318,3,1)&lt;&gt;"1",IF(입력란!$C$14=0,1.05,IF(입력란!$C$14=1,1.05*1.05,IF(입력란!$C$14=2,1.05*1.12,IF(입력란!$C$14=3,1.05*1.25)))),1),1)</f>
        <v>32949.643135812556</v>
      </c>
      <c r="Y318" s="38">
        <f>AN318*0.28*IF(MID(E318,1,1)="1",IF(G318="3히트",0,1),1)*IF(MID(E318,3,1)="1",트라이포드!$J$20,트라이포드!$I$20)*IF(MID(E318,3,1)="3",트라이포드!$N$20,트라이포드!$M$20)*IF(MID(E318,5,1)="2",트라이포드!$R$20,트라이포드!$Q$20)*(1+입력란!$C$33/100)*IF(입력란!$C$9=1,IF(MID(E318,3,1)&lt;&gt;"1",IF(입력란!$C$14=0,1.05,IF(입력란!$C$14=1,1.05*1.05,IF(입력란!$C$14=2,1.05*1.12,IF(입력란!$C$14=3,1.05*1.25)))),1),1)</f>
        <v>76882.500650229311</v>
      </c>
      <c r="Z318" s="26">
        <f>(AN318*IF(MID(E318,5,1)="1",0.004*IF(G318="3히트",3,7)*5,0)+IF(MID(E318,5,1)="1",IF(G318="3히트",0,AN318*트라이포드!$P$20*IF(MID(E318,3,1)="1",트라이포드!$J$20,트라이포드!$I$20)),0)+IF(MID(E318,5,1)="1",IF(G318="3히트",0,AN318*0.03),0))*(1+입력란!$C$33/100)</f>
        <v>0</v>
      </c>
      <c r="AA318" s="29">
        <f>SUM(AB318:AI318)</f>
        <v>549160.71893020929</v>
      </c>
      <c r="AB318" s="29">
        <f>S318*2</f>
        <v>65899.286271625111</v>
      </c>
      <c r="AC318" s="29">
        <f>T318*2</f>
        <v>65899.286271625111</v>
      </c>
      <c r="AD318" s="29">
        <f>U318*2</f>
        <v>65899.286271625111</v>
      </c>
      <c r="AE318" s="29">
        <f>V318*2</f>
        <v>65899.286271625111</v>
      </c>
      <c r="AF318" s="29">
        <f>W318*2</f>
        <v>65899.286271625111</v>
      </c>
      <c r="AG318" s="29">
        <f>X318*2</f>
        <v>65899.286271625111</v>
      </c>
      <c r="AH318" s="29">
        <f>Y318*2</f>
        <v>153765.00130045862</v>
      </c>
      <c r="AI318" s="26">
        <f>Z318*2</f>
        <v>0</v>
      </c>
      <c r="AJ318" s="25">
        <f>IF(G318="3히트",10,AR318*(1-입력란!$C$29/100))</f>
        <v>28.731215018700002</v>
      </c>
      <c r="AK31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8" s="25">
        <f>입력란!$C$37+IF(입력란!$C$17=1,10,IF(입력란!$C$17=2,25,IF(입력란!$C$17=3,50,0)))</f>
        <v>200</v>
      </c>
      <c r="AM318" s="29">
        <f>SUM(AN318:AP318)</f>
        <v>209562.52449437414</v>
      </c>
      <c r="AN318" s="29">
        <f>(VLOOKUP(C318,$B$4:$AK$7,26,FALSE)+VLOOKUP(C318,$B$8:$AK$11,26,FALSE)*입력란!$C$23)*입력란!$C$38/100</f>
        <v>209562.52449437414</v>
      </c>
      <c r="AO318" s="29"/>
      <c r="AP318" s="29"/>
      <c r="AQ318" s="29"/>
      <c r="AR318" s="28">
        <v>30</v>
      </c>
    </row>
    <row r="319" spans="2:44" ht="13.5" customHeight="1" x14ac:dyDescent="0.3">
      <c r="B319" s="30">
        <v>304</v>
      </c>
      <c r="C319" s="35">
        <v>7</v>
      </c>
      <c r="D319" s="42" t="s">
        <v>385</v>
      </c>
      <c r="E319" s="37" t="s">
        <v>339</v>
      </c>
      <c r="F319" s="39"/>
      <c r="G319" s="39"/>
      <c r="H319" s="51">
        <f>I319/AJ319</f>
        <v>15095.68030042534</v>
      </c>
      <c r="I319" s="52">
        <f>SUM(J319:Q319)*IF(입력란!C$15=1,1.04,IF(입력란!C$15=2,1.1,IF(입력란!C$15=3,1.2,1)))*IF(입력란!$C$13&lt;&gt;0,0,1)*IF(입력란!$C$17&lt;&gt;0,0.98,1)</f>
        <v>433717.2365650743</v>
      </c>
      <c r="J319" s="29">
        <f>S319*(1+IF($AK319+IF(입력란!$C$9=1,IF(MID(E319,3,1)&lt;&gt;"1",10,0),0)+IF(MID(E319,3,1)="1",20,0)+IF(입력란!$C$19=1,10,0)&gt;100,100,$AK319+IF(입력란!$C$9=1,IF(MID(E319,3,1)&lt;&gt;"1",10,0),0)+IF(MID(E319,3,1)="1",20,0)+IF(입력란!$C$19=1,10,0))/100*($AL319/100-1))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K319" s="29">
        <f>T319*(1+IF($AK319+IF(입력란!$C$9=1,IF(MID(E319,3,1)&lt;&gt;"1",10,0),0)+IF(MID(E319,3,1)="1",20,0)+IF(입력란!$C$19=1,10,0)&gt;100,100,$AK319+IF(입력란!$C$9=1,IF(MID(E319,3,1)&lt;&gt;"1",10,0),0)+IF(MID(E319,3,1)="1",20,0)+IF(입력란!$C$19=1,10,0))/100*($AL319/100-1))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L319" s="29">
        <f>U319*(1+IF($AK319+IF(입력란!$C$9=1,IF(MID(E319,3,1)&lt;&gt;"1",10,0),0)+IF(MID(E319,3,1)="1",20,0)+IF(입력란!$C$19=1,10,0)&gt;100,100,$AK319+IF(입력란!$C$9=1,IF(MID(E319,3,1)&lt;&gt;"1",10,0),0)+IF(MID(E319,3,1)="1",20,0)+IF(입력란!$C$19=1,10,0))/100*($AL319/100-1))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M319" s="29">
        <f>V319*(1+IF($AK319+IF(입력란!$C$9=1,IF(MID(E319,3,1)&lt;&gt;"1",10,0),0)+IF(MID(E319,3,1)="1",20,0)+IF(입력란!$C$19=1,10,0)&gt;100,100,$AK319+IF(입력란!$C$9=1,IF(MID(E319,3,1)&lt;&gt;"1",10,0),0)+IF(MID(E319,3,1)="1",20,0)+IF(입력란!$C$19=1,10,0))/100*($AL319/100-1))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N319" s="38">
        <f>W319*(1+IF($AK319+IF(입력란!$C$9=1,IF(MID(E319,3,1)&lt;&gt;"1",10,0),0)+IF(MID(E319,3,1)="1",20,0)+IF(입력란!$C$19=1,10,0)&gt;100,100,$AK319+IF(입력란!$C$9=1,IF(MID(E319,3,1)&lt;&gt;"1",10,0),0)+IF(MID(E319,3,1)="1",20,0)+IF(입력란!$C$19=1,10,0))/100*($AL319/100-1))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O319" s="38">
        <f>X319*(1+IF($AK319+IF(입력란!$C$9=1,IF(MID(E319,3,1)&lt;&gt;"1",10,0),0)+IF(MID(E319,3,1)="1",20,0)+IF(입력란!$C$19=1,10,0)&gt;100,100,$AK319+IF(입력란!$C$9=1,IF(MID(E319,3,1)&lt;&gt;"1",10,0),0)+IF(MID(E319,3,1)="1",20,0)+IF(입력란!$C$19=1,10,0))/100*($AL319/100-1))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36652.160836485149</v>
      </c>
      <c r="P319" s="38">
        <f>Y319*(1+IF($AK319+IF(입력란!$C$9=1,IF(MID(E319,3,1)&lt;&gt;"1",10,0),0)+IF(MID(E319,3,1)="1",20,0)+IF(입력란!$C$19=1,10,0)&gt;100,100,$AK319+IF(입력란!$C$9=1,IF(MID(E319,3,1)&lt;&gt;"1",10,0),0)+IF(MID(E319,3,1)="1",20,0)+IF(입력란!$C$19=1,10,0))/100*($AL319/100-1))</f>
        <v>213804.27154616339</v>
      </c>
      <c r="Q319" s="34">
        <f>Z319*(1+IF($AK319+IF(입력란!$C$19=1,10,0)&gt;100,100,$AK319+IF(입력란!$C$19=1,10,0))/100*($AL319/100-1))</f>
        <v>0</v>
      </c>
      <c r="R319" s="23">
        <f>SUM(S319:Z319)</f>
        <v>354458.28221858962</v>
      </c>
      <c r="S319" s="29">
        <f>AN319*0.12*IF(MID(E319,3,1)="1",트라이포드!$J$20,트라이포드!$I$20)*(1+입력란!$C$33/100)*IF(입력란!$C$9=1,IF(MID(E319,3,1)&lt;&gt;"1",IF(입력란!$C$14=0,1.05,IF(입력란!$C$14=1,1.05*1.05,IF(입력란!$C$14=2,1.05*1.12,IF(입력란!$C$14=3,1.05*1.25)))),1),1)</f>
        <v>29954.221032556867</v>
      </c>
      <c r="T319" s="29">
        <f>AN319*0.12*IF(MID(E319,3,1)="1",트라이포드!$J$20,트라이포드!$I$20)*(1+입력란!$C$33/100)*IF(입력란!$C$9=1,IF(MID(E319,3,1)&lt;&gt;"1",IF(입력란!$C$14=0,1.05,IF(입력란!$C$14=1,1.05*1.05,IF(입력란!$C$14=2,1.05*1.12,IF(입력란!$C$14=3,1.05*1.25)))),1),1)</f>
        <v>29954.221032556867</v>
      </c>
      <c r="U319" s="29">
        <f>AN319*0.12*IF(MID(E319,3,1)="1",트라이포드!$J$20,트라이포드!$I$20)*(1+입력란!$C$33/100)*IF(입력란!$C$9=1,IF(MID(E319,3,1)&lt;&gt;"1",IF(입력란!$C$14=0,1.05,IF(입력란!$C$14=1,1.05*1.05,IF(입력란!$C$14=2,1.05*1.12,IF(입력란!$C$14=3,1.05*1.25)))),1),1)</f>
        <v>29954.221032556867</v>
      </c>
      <c r="V319" s="29">
        <f>AN319*0.12*IF(MID(E319,1,1)="1",IF(G319="3히트",0,1),1)*IF(MID(E319,3,1)="1",트라이포드!$J$20,트라이포드!$I$20)*(1+입력란!$C$33/100)*IF(입력란!$C$9=1,IF(MID(E319,3,1)&lt;&gt;"1",IF(입력란!$C$14=0,1.05,IF(입력란!$C$14=1,1.05*1.05,IF(입력란!$C$14=2,1.05*1.12,IF(입력란!$C$14=3,1.05*1.25)))),1),1)</f>
        <v>29954.221032556867</v>
      </c>
      <c r="W319" s="29">
        <f>AN319*0.12*IF(MID(E319,1,1)="1",IF(G319="3히트",0,1),1)*IF(MID(E319,3,1)="1",트라이포드!$J$20,트라이포드!$I$20)*IF(MID(E319,5,1)="2",트라이포드!$R$20,트라이포드!$Q$20)*(1+입력란!$C$33/100)*IF(입력란!$C$9=1,IF(MID(E319,3,1)&lt;&gt;"1",IF(입력란!$C$14=0,1.05,IF(입력란!$C$14=1,1.05*1.05,IF(입력란!$C$14=2,1.05*1.12,IF(입력란!$C$14=3,1.05*1.25)))),1),1)</f>
        <v>29954.221032556867</v>
      </c>
      <c r="X319" s="29">
        <f>AN319*0.12*IF(MID(E319,1,1)="1",IF(G319="3히트",0,1),1)*IF(MID(E319,3,1)="1",트라이포드!$J$20,트라이포드!$I$20)*IF(MID(E319,5,1)="2",트라이포드!$R$20,트라이포드!$Q$20)*(1+입력란!$C$33/100)*IF(입력란!$C$9=1,IF(MID(E319,3,1)&lt;&gt;"1",IF(입력란!$C$14=0,1.05,IF(입력란!$C$14=1,1.05*1.05,IF(입력란!$C$14=2,1.05*1.12,IF(입력란!$C$14=3,1.05*1.25)))),1),1)</f>
        <v>29954.221032556867</v>
      </c>
      <c r="Y319" s="38">
        <f>AN319*0.28*IF(MID(E319,1,1)="1",IF(G319="3히트",0,1),1)*IF(MID(E319,3,1)="1",트라이포드!$J$20,트라이포드!$I$20)*IF(MID(E319,3,1)="3",트라이포드!$N$20,트라이포드!$M$20)*IF(MID(E319,5,1)="2",트라이포드!$R$20,트라이포드!$Q$20)*(1+입력란!$C$33/100)*IF(입력란!$C$9=1,IF(MID(E319,3,1)&lt;&gt;"1",IF(입력란!$C$14=0,1.05,IF(입력란!$C$14=1,1.05*1.05,IF(입력란!$C$14=2,1.05*1.12,IF(입력란!$C$14=3,1.05*1.25)))),1),1)</f>
        <v>174732.95602324841</v>
      </c>
      <c r="Z319" s="26">
        <f>(AN319*IF(MID(E319,5,1)="1",0.004*IF(G319="3히트",3,7)*5,0)+IF(MID(E319,5,1)="1",IF(G319="3히트",0,AN319*트라이포드!$P$20*IF(MID(E319,3,1)="1",트라이포드!$J$20,트라이포드!$I$20)),0)+IF(MID(E319,5,1)="1",IF(G319="3히트",0,AN319*0.03),0))*(1+입력란!$C$33/100)</f>
        <v>0</v>
      </c>
      <c r="AA319" s="29">
        <f>SUM(AB319:AI319)</f>
        <v>708916.56443717924</v>
      </c>
      <c r="AB319" s="29">
        <f>S319*2</f>
        <v>59908.442065113733</v>
      </c>
      <c r="AC319" s="29">
        <f>T319*2</f>
        <v>59908.442065113733</v>
      </c>
      <c r="AD319" s="29">
        <f>U319*2</f>
        <v>59908.442065113733</v>
      </c>
      <c r="AE319" s="29">
        <f>V319*2</f>
        <v>59908.442065113733</v>
      </c>
      <c r="AF319" s="29">
        <f>W319*2</f>
        <v>59908.442065113733</v>
      </c>
      <c r="AG319" s="29">
        <f>X319*2</f>
        <v>59908.442065113733</v>
      </c>
      <c r="AH319" s="29">
        <f>Y319*2</f>
        <v>349465.91204649681</v>
      </c>
      <c r="AI319" s="26">
        <f>Z319*2</f>
        <v>0</v>
      </c>
      <c r="AJ319" s="25">
        <f>IF(G319="3히트",10,AR319*(1-입력란!$C$29/100))</f>
        <v>28.731215018700002</v>
      </c>
      <c r="AK31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19" s="25">
        <f>입력란!$C$37+IF(입력란!$C$17=1,10,IF(입력란!$C$17=2,25,IF(입력란!$C$17=3,50,0)))</f>
        <v>200</v>
      </c>
      <c r="AM319" s="29">
        <f>SUM(AN319:AP319)</f>
        <v>209562.52449437414</v>
      </c>
      <c r="AN319" s="29">
        <f>(VLOOKUP(C319,$B$4:$AK$7,26,FALSE)+VLOOKUP(C319,$B$8:$AK$11,26,FALSE)*입력란!$C$23)*입력란!$C$38/100</f>
        <v>209562.52449437414</v>
      </c>
      <c r="AO319" s="29"/>
      <c r="AP319" s="29"/>
      <c r="AQ319" s="29"/>
      <c r="AR319" s="28">
        <v>30</v>
      </c>
    </row>
    <row r="320" spans="2:44" ht="13.5" customHeight="1" x14ac:dyDescent="0.3">
      <c r="B320" s="30">
        <v>305</v>
      </c>
      <c r="C320" s="35">
        <v>7</v>
      </c>
      <c r="D320" s="42" t="s">
        <v>385</v>
      </c>
      <c r="E320" s="37" t="s">
        <v>367</v>
      </c>
      <c r="F320" s="39"/>
      <c r="G320" s="39"/>
      <c r="H320" s="51">
        <f>I320/AJ320</f>
        <v>10630.760774947423</v>
      </c>
      <c r="I320" s="52">
        <f>SUM(J320:Q320)*IF(입력란!C$15=1,1.04,IF(입력란!C$15=2,1.1,IF(입력란!C$15=3,1.2,1)))*IF(입력란!$C$13&lt;&gt;0,0,1)*IF(입력란!$C$17&lt;&gt;0,0.98,1)</f>
        <v>305434.67363737628</v>
      </c>
      <c r="J320" s="29">
        <f>S320*(1+IF($AK320+IF(입력란!$C$9=1,IF(MID(E320,3,1)&lt;&gt;"1",10,0),0)+IF(MID(E320,3,1)="1",20,0)+IF(입력란!$C$19=1,10,0)&gt;100,100,$AK320+IF(입력란!$C$9=1,IF(MID(E320,3,1)&lt;&gt;"1",10,0),0)+IF(MID(E320,3,1)="1",20,0)+IF(입력란!$C$19=1,10,0))/100*($AL320/100-1))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K320" s="29">
        <f>T320*(1+IF($AK320+IF(입력란!$C$9=1,IF(MID(E320,3,1)&lt;&gt;"1",10,0),0)+IF(MID(E320,3,1)="1",20,0)+IF(입력란!$C$19=1,10,0)&gt;100,100,$AK320+IF(입력란!$C$9=1,IF(MID(E320,3,1)&lt;&gt;"1",10,0),0)+IF(MID(E320,3,1)="1",20,0)+IF(입력란!$C$19=1,10,0))/100*($AL320/100-1))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L320" s="29">
        <f>U320*(1+IF($AK320+IF(입력란!$C$9=1,IF(MID(E320,3,1)&lt;&gt;"1",10,0),0)+IF(MID(E320,3,1)="1",20,0)+IF(입력란!$C$19=1,10,0)&gt;100,100,$AK320+IF(입력란!$C$9=1,IF(MID(E320,3,1)&lt;&gt;"1",10,0),0)+IF(MID(E320,3,1)="1",20,0)+IF(입력란!$C$19=1,10,0))/100*($AL320/100-1))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M320" s="29">
        <f>V320*(1+IF($AK320+IF(입력란!$C$9=1,IF(MID(E320,3,1)&lt;&gt;"1",10,0),0)+IF(MID(E320,3,1)="1",20,0)+IF(입력란!$C$19=1,10,0)&gt;100,100,$AK320+IF(입력란!$C$9=1,IF(MID(E320,3,1)&lt;&gt;"1",10,0),0)+IF(MID(E320,3,1)="1",20,0)+IF(입력란!$C$19=1,10,0))/100*($AL320/100-1))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N320" s="38">
        <f>W320*(1+IF($AK320+IF(입력란!$C$9=1,IF(MID(E320,3,1)&lt;&gt;"1",10,0),0)+IF(MID(E320,3,1)="1",20,0)+IF(입력란!$C$19=1,10,0)&gt;100,100,$AK320+IF(입력란!$C$9=1,IF(MID(E320,3,1)&lt;&gt;"1",10,0),0)+IF(MID(E320,3,1)="1",20,0)+IF(입력란!$C$19=1,10,0))/100*($AL320/100-1))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O320" s="38">
        <f>X320*(1+IF($AK320+IF(입력란!$C$9=1,IF(MID(E320,3,1)&lt;&gt;"1",10,0),0)+IF(MID(E320,3,1)="1",20,0)+IF(입력란!$C$19=1,10,0)&gt;100,100,$AK320+IF(입력란!$C$9=1,IF(MID(E320,3,1)&lt;&gt;"1",10,0),0)+IF(MID(E320,3,1)="1",20,0)+IF(입력란!$C$19=1,10,0))/100*($AL320/100-1))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36652.160836485149</v>
      </c>
      <c r="P320" s="38">
        <f>Y320*(1+IF($AK320+IF(입력란!$C$9=1,IF(MID(E320,3,1)&lt;&gt;"1",10,0),0)+IF(MID(E320,3,1)="1",20,0)+IF(입력란!$C$19=1,10,0)&gt;100,100,$AK320+IF(입력란!$C$9=1,IF(MID(E320,3,1)&lt;&gt;"1",10,0),0)+IF(MID(E320,3,1)="1",20,0)+IF(입력란!$C$19=1,10,0))/100*($AL320/100-1))</f>
        <v>85521.70861846536</v>
      </c>
      <c r="Q320" s="34">
        <f>Z320*(1+IF($AK320+IF(입력란!$C$19=1,10,0)&gt;100,100,$AK320+IF(입력란!$C$19=1,10,0))/100*($AL320/100-1))</f>
        <v>0</v>
      </c>
      <c r="R320" s="23">
        <f>SUM(S320:Z320)</f>
        <v>249618.50860464058</v>
      </c>
      <c r="S320" s="29">
        <f>AN320*0.12*IF(MID(E320,3,1)="1",트라이포드!$J$20,트라이포드!$I$20)*(1+입력란!$C$33/100)*IF(입력란!$C$9=1,IF(MID(E320,3,1)&lt;&gt;"1",IF(입력란!$C$14=0,1.05,IF(입력란!$C$14=1,1.05*1.05,IF(입력란!$C$14=2,1.05*1.12,IF(입력란!$C$14=3,1.05*1.25)))),1),1)</f>
        <v>29954.221032556867</v>
      </c>
      <c r="T320" s="29">
        <f>AN320*0.12*IF(MID(E320,3,1)="1",트라이포드!$J$20,트라이포드!$I$20)*(1+입력란!$C$33/100)*IF(입력란!$C$9=1,IF(MID(E320,3,1)&lt;&gt;"1",IF(입력란!$C$14=0,1.05,IF(입력란!$C$14=1,1.05*1.05,IF(입력란!$C$14=2,1.05*1.12,IF(입력란!$C$14=3,1.05*1.25)))),1),1)</f>
        <v>29954.221032556867</v>
      </c>
      <c r="U320" s="29">
        <f>AN320*0.12*IF(MID(E320,3,1)="1",트라이포드!$J$20,트라이포드!$I$20)*(1+입력란!$C$33/100)*IF(입력란!$C$9=1,IF(MID(E320,3,1)&lt;&gt;"1",IF(입력란!$C$14=0,1.05,IF(입력란!$C$14=1,1.05*1.05,IF(입력란!$C$14=2,1.05*1.12,IF(입력란!$C$14=3,1.05*1.25)))),1),1)</f>
        <v>29954.221032556867</v>
      </c>
      <c r="V320" s="29">
        <f>AN320*0.12*IF(MID(E320,1,1)="1",IF(G320="3히트",0,1),1)*IF(MID(E320,3,1)="1",트라이포드!$J$20,트라이포드!$I$20)*(1+입력란!$C$33/100)*IF(입력란!$C$9=1,IF(MID(E320,3,1)&lt;&gt;"1",IF(입력란!$C$14=0,1.05,IF(입력란!$C$14=1,1.05*1.05,IF(입력란!$C$14=2,1.05*1.12,IF(입력란!$C$14=3,1.05*1.25)))),1),1)</f>
        <v>29954.221032556867</v>
      </c>
      <c r="W320" s="29">
        <f>AN320*0.12*IF(MID(E320,1,1)="1",IF(G320="3히트",0,1),1)*IF(MID(E320,3,1)="1",트라이포드!$J$20,트라이포드!$I$20)*IF(MID(E320,5,1)="2",트라이포드!$R$20,트라이포드!$Q$20)*(1+입력란!$C$33/100)*IF(입력란!$C$9=1,IF(MID(E320,3,1)&lt;&gt;"1",IF(입력란!$C$14=0,1.05,IF(입력란!$C$14=1,1.05*1.05,IF(입력란!$C$14=2,1.05*1.12,IF(입력란!$C$14=3,1.05*1.25)))),1),1)</f>
        <v>29954.221032556867</v>
      </c>
      <c r="X320" s="29">
        <f>AN320*0.12*IF(MID(E320,1,1)="1",IF(G320="3히트",0,1),1)*IF(MID(E320,3,1)="1",트라이포드!$J$20,트라이포드!$I$20)*IF(MID(E320,5,1)="2",트라이포드!$R$20,트라이포드!$Q$20)*(1+입력란!$C$33/100)*IF(입력란!$C$9=1,IF(MID(E320,3,1)&lt;&gt;"1",IF(입력란!$C$14=0,1.05,IF(입력란!$C$14=1,1.05*1.05,IF(입력란!$C$14=2,1.05*1.12,IF(입력란!$C$14=3,1.05*1.25)))),1),1)</f>
        <v>29954.221032556867</v>
      </c>
      <c r="Y320" s="38">
        <f>AN320*0.28*IF(MID(E320,1,1)="1",IF(G320="3히트",0,1),1)*IF(MID(E320,3,1)="1",트라이포드!$J$20,트라이포드!$I$20)*IF(MID(E320,3,1)="3",트라이포드!$N$20,트라이포드!$M$20)*IF(MID(E320,5,1)="2",트라이포드!$R$20,트라이포드!$Q$20)*(1+입력란!$C$33/100)*IF(입력란!$C$9=1,IF(MID(E320,3,1)&lt;&gt;"1",IF(입력란!$C$14=0,1.05,IF(입력란!$C$14=1,1.05*1.05,IF(입력란!$C$14=2,1.05*1.12,IF(입력란!$C$14=3,1.05*1.25)))),1),1)</f>
        <v>69893.182409299363</v>
      </c>
      <c r="Z320" s="26">
        <f>(AN320*IF(MID(E320,5,1)="1",0.004*IF(G320="3히트",3,7)*5,0)+IF(MID(E320,5,1)="1",IF(G320="3히트",0,AN320*트라이포드!$P$20*IF(MID(E320,3,1)="1",트라이포드!$J$20,트라이포드!$I$20)),0)+IF(MID(E320,5,1)="1",IF(G320="3히트",0,AN320*0.03),0))*(1+입력란!$C$33/100)</f>
        <v>0</v>
      </c>
      <c r="AA320" s="29">
        <f>SUM(AB320:AI320)</f>
        <v>499237.01720928116</v>
      </c>
      <c r="AB320" s="29">
        <f>S320*2</f>
        <v>59908.442065113733</v>
      </c>
      <c r="AC320" s="29">
        <f>T320*2</f>
        <v>59908.442065113733</v>
      </c>
      <c r="AD320" s="29">
        <f>U320*2</f>
        <v>59908.442065113733</v>
      </c>
      <c r="AE320" s="29">
        <f>V320*2</f>
        <v>59908.442065113733</v>
      </c>
      <c r="AF320" s="29">
        <f>W320*2</f>
        <v>59908.442065113733</v>
      </c>
      <c r="AG320" s="29">
        <f>X320*2</f>
        <v>59908.442065113733</v>
      </c>
      <c r="AH320" s="29">
        <f>Y320*2</f>
        <v>139786.36481859873</v>
      </c>
      <c r="AI320" s="26">
        <f>Z320*2</f>
        <v>0</v>
      </c>
      <c r="AJ320" s="25">
        <f>IF(G320="3히트",10,AR320*(1-입력란!$C$29/100))</f>
        <v>28.731215018700002</v>
      </c>
      <c r="AK32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0" s="25">
        <f>입력란!$C$37+IF(입력란!$C$17=1,10,IF(입력란!$C$17=2,25,IF(입력란!$C$17=3,50,0)))</f>
        <v>200</v>
      </c>
      <c r="AM320" s="29">
        <f>SUM(AN320:AP320)</f>
        <v>209562.52449437414</v>
      </c>
      <c r="AN320" s="29">
        <f>(VLOOKUP(C320,$B$4:$AK$7,26,FALSE)+VLOOKUP(C320,$B$8:$AK$11,26,FALSE)*입력란!$C$23)*입력란!$C$38/100</f>
        <v>209562.52449437414</v>
      </c>
      <c r="AO320" s="29"/>
      <c r="AP320" s="29"/>
      <c r="AQ320" s="29"/>
      <c r="AR320" s="28">
        <v>30</v>
      </c>
    </row>
    <row r="321" spans="2:44" ht="13.5" customHeight="1" x14ac:dyDescent="0.3">
      <c r="B321" s="30">
        <v>306</v>
      </c>
      <c r="C321" s="35">
        <v>7</v>
      </c>
      <c r="D321" s="42" t="s">
        <v>385</v>
      </c>
      <c r="E321" s="37" t="s">
        <v>381</v>
      </c>
      <c r="F321" s="39"/>
      <c r="G321" s="39"/>
      <c r="H321" s="51">
        <f>I321/AJ321</f>
        <v>13605.209965527645</v>
      </c>
      <c r="I321" s="52">
        <f>SUM(J321:Q321)*IF(입력란!C$15=1,1.04,IF(입력란!C$15=2,1.1,IF(입력란!C$15=3,1.2,1)))*IF(입력란!$C$13&lt;&gt;0,0,1)*IF(입력란!$C$17&lt;&gt;0,0.98,1)</f>
        <v>390894.21289413481</v>
      </c>
      <c r="J321" s="29">
        <f>S321*(1+IF($AK321+IF(입력란!$C$9=1,IF(MID(E321,3,1)&lt;&gt;"1",10,0),0)+IF(MID(E321,3,1)="1",20,0)+IF(입력란!$C$19=1,10,0)&gt;100,100,$AK321+IF(입력란!$C$9=1,IF(MID(E321,3,1)&lt;&gt;"1",10,0),0)+IF(MID(E321,3,1)="1",20,0)+IF(입력란!$C$19=1,10,0))/100*($AL321/100-1))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K321" s="29">
        <f>T321*(1+IF($AK321+IF(입력란!$C$9=1,IF(MID(E321,3,1)&lt;&gt;"1",10,0),0)+IF(MID(E321,3,1)="1",20,0)+IF(입력란!$C$19=1,10,0)&gt;100,100,$AK321+IF(입력란!$C$9=1,IF(MID(E321,3,1)&lt;&gt;"1",10,0),0)+IF(MID(E321,3,1)="1",20,0)+IF(입력란!$C$19=1,10,0))/100*($AL321/100-1))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L321" s="29">
        <f>U321*(1+IF($AK321+IF(입력란!$C$9=1,IF(MID(E321,3,1)&lt;&gt;"1",10,0),0)+IF(MID(E321,3,1)="1",20,0)+IF(입력란!$C$19=1,10,0)&gt;100,100,$AK321+IF(입력란!$C$9=1,IF(MID(E321,3,1)&lt;&gt;"1",10,0),0)+IF(MID(E321,3,1)="1",20,0)+IF(입력란!$C$19=1,10,0))/100*($AL321/100-1))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M321" s="29">
        <f>V321*(1+IF($AK321+IF(입력란!$C$9=1,IF(MID(E321,3,1)&lt;&gt;"1",10,0),0)+IF(MID(E321,3,1)="1",20,0)+IF(입력란!$C$19=1,10,0)&gt;100,100,$AK321+IF(입력란!$C$9=1,IF(MID(E321,3,1)&lt;&gt;"1",10,0),0)+IF(MID(E321,3,1)="1",20,0)+IF(입력란!$C$19=1,10,0))/100*($AL321/100-1))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N321" s="38">
        <f>W321*(1+IF($AK321+IF(입력란!$C$9=1,IF(MID(E321,3,1)&lt;&gt;"1",10,0),0)+IF(MID(E321,3,1)="1",20,0)+IF(입력란!$C$19=1,10,0)&gt;100,100,$AK321+IF(입력란!$C$9=1,IF(MID(E321,3,1)&lt;&gt;"1",10,0),0)+IF(MID(E321,3,1)="1",20,0)+IF(입력란!$C$19=1,10,0))/100*($AL321/100-1))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O321" s="38">
        <f>X321*(1+IF($AK321+IF(입력란!$C$9=1,IF(MID(E321,3,1)&lt;&gt;"1",10,0),0)+IF(MID(E321,3,1)="1",20,0)+IF(입력란!$C$19=1,10,0)&gt;100,100,$AK321+IF(입력란!$C$9=1,IF(MID(E321,3,1)&lt;&gt;"1",10,0),0)+IF(MID(E321,3,1)="1",20,0)+IF(입력란!$C$19=1,10,0))/100*($AL321/100-1))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46907.305547296179</v>
      </c>
      <c r="P321" s="38">
        <f>Y321*(1+IF($AK321+IF(입력란!$C$9=1,IF(MID(E321,3,1)&lt;&gt;"1",10,0),0)+IF(MID(E321,3,1)="1",20,0)+IF(입력란!$C$19=1,10,0)&gt;100,100,$AK321+IF(입력란!$C$9=1,IF(MID(E321,3,1)&lt;&gt;"1",10,0),0)+IF(MID(E321,3,1)="1",20,0)+IF(입력란!$C$19=1,10,0))/100*($AL321/100-1))</f>
        <v>109450.37961035776</v>
      </c>
      <c r="Q321" s="34">
        <f>Z321*(1+IF($AK321+IF(입력란!$C$19=1,10,0)&gt;100,100,$AK321+IF(입력란!$C$19=1,10,0))/100*($AL321/100-1))</f>
        <v>0</v>
      </c>
      <c r="R321" s="23">
        <f>SUM(S321:Z321)</f>
        <v>274580.35946510464</v>
      </c>
      <c r="S321" s="29">
        <f>AN321*0.12*IF(MID(E321,3,1)="1",트라이포드!$J$20,트라이포드!$I$20)*(1+입력란!$C$33/100)*IF(입력란!$C$9=1,IF(MID(E321,3,1)&lt;&gt;"1",IF(입력란!$C$14=0,1.05,IF(입력란!$C$14=1,1.05*1.05,IF(입력란!$C$14=2,1.05*1.12,IF(입력란!$C$14=3,1.05*1.25)))),1),1)</f>
        <v>32949.643135812556</v>
      </c>
      <c r="T321" s="29">
        <f>AN321*0.12*IF(MID(E321,3,1)="1",트라이포드!$J$20,트라이포드!$I$20)*(1+입력란!$C$33/100)*IF(입력란!$C$9=1,IF(MID(E321,3,1)&lt;&gt;"1",IF(입력란!$C$14=0,1.05,IF(입력란!$C$14=1,1.05*1.05,IF(입력란!$C$14=2,1.05*1.12,IF(입력란!$C$14=3,1.05*1.25)))),1),1)</f>
        <v>32949.643135812556</v>
      </c>
      <c r="U321" s="29">
        <f>AN321*0.12*IF(MID(E321,3,1)="1",트라이포드!$J$20,트라이포드!$I$20)*(1+입력란!$C$33/100)*IF(입력란!$C$9=1,IF(MID(E321,3,1)&lt;&gt;"1",IF(입력란!$C$14=0,1.05,IF(입력란!$C$14=1,1.05*1.05,IF(입력란!$C$14=2,1.05*1.12,IF(입력란!$C$14=3,1.05*1.25)))),1),1)</f>
        <v>32949.643135812556</v>
      </c>
      <c r="V321" s="29">
        <f>AN321*0.12*IF(MID(E321,1,1)="1",IF(G321="3히트",0,1),1)*IF(MID(E321,3,1)="1",트라이포드!$J$20,트라이포드!$I$20)*(1+입력란!$C$33/100)*IF(입력란!$C$9=1,IF(MID(E321,3,1)&lt;&gt;"1",IF(입력란!$C$14=0,1.05,IF(입력란!$C$14=1,1.05*1.05,IF(입력란!$C$14=2,1.05*1.12,IF(입력란!$C$14=3,1.05*1.25)))),1),1)</f>
        <v>32949.643135812556</v>
      </c>
      <c r="W321" s="29">
        <f>AN321*0.12*IF(MID(E321,1,1)="1",IF(G321="3히트",0,1),1)*IF(MID(E321,3,1)="1",트라이포드!$J$20,트라이포드!$I$20)*IF(MID(E321,5,1)="2",트라이포드!$R$20,트라이포드!$Q$20)*(1+입력란!$C$33/100)*IF(입력란!$C$9=1,IF(MID(E321,3,1)&lt;&gt;"1",IF(입력란!$C$14=0,1.05,IF(입력란!$C$14=1,1.05*1.05,IF(입력란!$C$14=2,1.05*1.12,IF(입력란!$C$14=3,1.05*1.25)))),1),1)</f>
        <v>32949.643135812556</v>
      </c>
      <c r="X321" s="29">
        <f>AN321*0.12*IF(MID(E321,1,1)="1",IF(G321="3히트",0,1),1)*IF(MID(E321,3,1)="1",트라이포드!$J$20,트라이포드!$I$20)*IF(MID(E321,5,1)="2",트라이포드!$R$20,트라이포드!$Q$20)*(1+입력란!$C$33/100)*IF(입력란!$C$9=1,IF(MID(E321,3,1)&lt;&gt;"1",IF(입력란!$C$14=0,1.05,IF(입력란!$C$14=1,1.05*1.05,IF(입력란!$C$14=2,1.05*1.12,IF(입력란!$C$14=3,1.05*1.25)))),1),1)</f>
        <v>32949.643135812556</v>
      </c>
      <c r="Y321" s="38">
        <f>AN321*0.28*IF(MID(E321,1,1)="1",IF(G321="3히트",0,1),1)*IF(MID(E321,3,1)="1",트라이포드!$J$20,트라이포드!$I$20)*IF(MID(E321,3,1)="3",트라이포드!$N$20,트라이포드!$M$20)*IF(MID(E321,5,1)="2",트라이포드!$R$20,트라이포드!$Q$20)*(1+입력란!$C$33/100)*IF(입력란!$C$9=1,IF(MID(E321,3,1)&lt;&gt;"1",IF(입력란!$C$14=0,1.05,IF(입력란!$C$14=1,1.05*1.05,IF(입력란!$C$14=2,1.05*1.12,IF(입력란!$C$14=3,1.05*1.25)))),1),1)</f>
        <v>76882.500650229311</v>
      </c>
      <c r="Z321" s="26">
        <f>(AN321*IF(MID(E321,5,1)="1",0.004*IF(G321="3히트",3,7)*5,0)+IF(MID(E321,5,1)="1",IF(G321="3히트",0,AN321*트라이포드!$P$20*IF(MID(E321,3,1)="1",트라이포드!$J$20,트라이포드!$I$20)),0)+IF(MID(E321,5,1)="1",IF(G321="3히트",0,AN321*0.03),0))*(1+입력란!$C$33/100)</f>
        <v>0</v>
      </c>
      <c r="AA321" s="29">
        <f>SUM(AB321:AI321)</f>
        <v>549160.71893020929</v>
      </c>
      <c r="AB321" s="29">
        <f>S321*2</f>
        <v>65899.286271625111</v>
      </c>
      <c r="AC321" s="29">
        <f>T321*2</f>
        <v>65899.286271625111</v>
      </c>
      <c r="AD321" s="29">
        <f>U321*2</f>
        <v>65899.286271625111</v>
      </c>
      <c r="AE321" s="29">
        <f>V321*2</f>
        <v>65899.286271625111</v>
      </c>
      <c r="AF321" s="29">
        <f>W321*2</f>
        <v>65899.286271625111</v>
      </c>
      <c r="AG321" s="29">
        <f>X321*2</f>
        <v>65899.286271625111</v>
      </c>
      <c r="AH321" s="29">
        <f>Y321*2</f>
        <v>153765.00130045862</v>
      </c>
      <c r="AI321" s="26">
        <f>Z321*2</f>
        <v>0</v>
      </c>
      <c r="AJ321" s="25">
        <f>IF(G321="3히트",10,AR321*(1-입력란!$C$29/100))</f>
        <v>28.731215018700002</v>
      </c>
      <c r="AK32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1" s="25">
        <f>입력란!$C$37+IF(입력란!$C$17=1,10,IF(입력란!$C$17=2,25,IF(입력란!$C$17=3,50,0)))</f>
        <v>200</v>
      </c>
      <c r="AM321" s="29">
        <f>SUM(AN321:AP321)</f>
        <v>209562.52449437414</v>
      </c>
      <c r="AN321" s="29">
        <f>(VLOOKUP(C321,$B$4:$AK$7,26,FALSE)+VLOOKUP(C321,$B$8:$AK$11,26,FALSE)*입력란!$C$23)*입력란!$C$38/100</f>
        <v>209562.52449437414</v>
      </c>
      <c r="AO321" s="29"/>
      <c r="AP321" s="29"/>
      <c r="AQ321" s="29"/>
      <c r="AR321" s="28">
        <v>30</v>
      </c>
    </row>
    <row r="322" spans="2:44" ht="13.5" customHeight="1" x14ac:dyDescent="0.3">
      <c r="B322" s="30">
        <v>307</v>
      </c>
      <c r="C322" s="35">
        <v>7</v>
      </c>
      <c r="D322" s="42" t="s">
        <v>385</v>
      </c>
      <c r="E322" s="37" t="s">
        <v>365</v>
      </c>
      <c r="F322" s="39"/>
      <c r="G322" s="39"/>
      <c r="H322" s="51">
        <f>I322/AJ322</f>
        <v>15095.68030042534</v>
      </c>
      <c r="I322" s="52">
        <f>SUM(J322:Q322)*IF(입력란!C$15=1,1.04,IF(입력란!C$15=2,1.1,IF(입력란!C$15=3,1.2,1)))*IF(입력란!$C$13&lt;&gt;0,0,1)*IF(입력란!$C$17&lt;&gt;0,0.98,1)</f>
        <v>433717.2365650743</v>
      </c>
      <c r="J322" s="29">
        <f>S322*(1+IF($AK322+IF(입력란!$C$9=1,IF(MID(E322,3,1)&lt;&gt;"1",10,0),0)+IF(MID(E322,3,1)="1",20,0)+IF(입력란!$C$19=1,10,0)&gt;100,100,$AK322+IF(입력란!$C$9=1,IF(MID(E322,3,1)&lt;&gt;"1",10,0),0)+IF(MID(E322,3,1)="1",20,0)+IF(입력란!$C$19=1,10,0))/100*($AL322/100-1))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K322" s="29">
        <f>T322*(1+IF($AK322+IF(입력란!$C$9=1,IF(MID(E322,3,1)&lt;&gt;"1",10,0),0)+IF(MID(E322,3,1)="1",20,0)+IF(입력란!$C$19=1,10,0)&gt;100,100,$AK322+IF(입력란!$C$9=1,IF(MID(E322,3,1)&lt;&gt;"1",10,0),0)+IF(MID(E322,3,1)="1",20,0)+IF(입력란!$C$19=1,10,0))/100*($AL322/100-1))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L322" s="29">
        <f>U322*(1+IF($AK322+IF(입력란!$C$9=1,IF(MID(E322,3,1)&lt;&gt;"1",10,0),0)+IF(MID(E322,3,1)="1",20,0)+IF(입력란!$C$19=1,10,0)&gt;100,100,$AK322+IF(입력란!$C$9=1,IF(MID(E322,3,1)&lt;&gt;"1",10,0),0)+IF(MID(E322,3,1)="1",20,0)+IF(입력란!$C$19=1,10,0))/100*($AL322/100-1))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M322" s="29">
        <f>V322*(1+IF($AK322+IF(입력란!$C$9=1,IF(MID(E322,3,1)&lt;&gt;"1",10,0),0)+IF(MID(E322,3,1)="1",20,0)+IF(입력란!$C$19=1,10,0)&gt;100,100,$AK322+IF(입력란!$C$9=1,IF(MID(E322,3,1)&lt;&gt;"1",10,0),0)+IF(MID(E322,3,1)="1",20,0)+IF(입력란!$C$19=1,10,0))/100*($AL322/100-1))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N322" s="38">
        <f>W322*(1+IF($AK322+IF(입력란!$C$9=1,IF(MID(E322,3,1)&lt;&gt;"1",10,0),0)+IF(MID(E322,3,1)="1",20,0)+IF(입력란!$C$19=1,10,0)&gt;100,100,$AK322+IF(입력란!$C$9=1,IF(MID(E322,3,1)&lt;&gt;"1",10,0),0)+IF(MID(E322,3,1)="1",20,0)+IF(입력란!$C$19=1,10,0))/100*($AL322/100-1))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O322" s="38">
        <f>X322*(1+IF($AK322+IF(입력란!$C$9=1,IF(MID(E322,3,1)&lt;&gt;"1",10,0),0)+IF(MID(E322,3,1)="1",20,0)+IF(입력란!$C$19=1,10,0)&gt;100,100,$AK322+IF(입력란!$C$9=1,IF(MID(E322,3,1)&lt;&gt;"1",10,0),0)+IF(MID(E322,3,1)="1",20,0)+IF(입력란!$C$19=1,10,0))/100*($AL322/100-1))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36652.160836485149</v>
      </c>
      <c r="P322" s="38">
        <f>Y322*(1+IF($AK322+IF(입력란!$C$9=1,IF(MID(E322,3,1)&lt;&gt;"1",10,0),0)+IF(MID(E322,3,1)="1",20,0)+IF(입력란!$C$19=1,10,0)&gt;100,100,$AK322+IF(입력란!$C$9=1,IF(MID(E322,3,1)&lt;&gt;"1",10,0),0)+IF(MID(E322,3,1)="1",20,0)+IF(입력란!$C$19=1,10,0))/100*($AL322/100-1))</f>
        <v>213804.27154616339</v>
      </c>
      <c r="Q322" s="34">
        <f>Z322*(1+IF($AK322+IF(입력란!$C$19=1,10,0)&gt;100,100,$AK322+IF(입력란!$C$19=1,10,0))/100*($AL322/100-1))</f>
        <v>0</v>
      </c>
      <c r="R322" s="23">
        <f>SUM(S322:Z322)</f>
        <v>354458.28221858962</v>
      </c>
      <c r="S322" s="29">
        <f>AN322*0.12*IF(MID(E322,3,1)="1",트라이포드!$J$20,트라이포드!$I$20)*(1+입력란!$C$33/100)*IF(입력란!$C$9=1,IF(MID(E322,3,1)&lt;&gt;"1",IF(입력란!$C$14=0,1.05,IF(입력란!$C$14=1,1.05*1.05,IF(입력란!$C$14=2,1.05*1.12,IF(입력란!$C$14=3,1.05*1.25)))),1),1)</f>
        <v>29954.221032556867</v>
      </c>
      <c r="T322" s="29">
        <f>AN322*0.12*IF(MID(E322,3,1)="1",트라이포드!$J$20,트라이포드!$I$20)*(1+입력란!$C$33/100)*IF(입력란!$C$9=1,IF(MID(E322,3,1)&lt;&gt;"1",IF(입력란!$C$14=0,1.05,IF(입력란!$C$14=1,1.05*1.05,IF(입력란!$C$14=2,1.05*1.12,IF(입력란!$C$14=3,1.05*1.25)))),1),1)</f>
        <v>29954.221032556867</v>
      </c>
      <c r="U322" s="29">
        <f>AN322*0.12*IF(MID(E322,3,1)="1",트라이포드!$J$20,트라이포드!$I$20)*(1+입력란!$C$33/100)*IF(입력란!$C$9=1,IF(MID(E322,3,1)&lt;&gt;"1",IF(입력란!$C$14=0,1.05,IF(입력란!$C$14=1,1.05*1.05,IF(입력란!$C$14=2,1.05*1.12,IF(입력란!$C$14=3,1.05*1.25)))),1),1)</f>
        <v>29954.221032556867</v>
      </c>
      <c r="V322" s="29">
        <f>AN322*0.12*IF(MID(E322,1,1)="1",IF(G322="3히트",0,1),1)*IF(MID(E322,3,1)="1",트라이포드!$J$20,트라이포드!$I$20)*(1+입력란!$C$33/100)*IF(입력란!$C$9=1,IF(MID(E322,3,1)&lt;&gt;"1",IF(입력란!$C$14=0,1.05,IF(입력란!$C$14=1,1.05*1.05,IF(입력란!$C$14=2,1.05*1.12,IF(입력란!$C$14=3,1.05*1.25)))),1),1)</f>
        <v>29954.221032556867</v>
      </c>
      <c r="W322" s="29">
        <f>AN322*0.12*IF(MID(E322,1,1)="1",IF(G322="3히트",0,1),1)*IF(MID(E322,3,1)="1",트라이포드!$J$20,트라이포드!$I$20)*IF(MID(E322,5,1)="2",트라이포드!$R$20,트라이포드!$Q$20)*(1+입력란!$C$33/100)*IF(입력란!$C$9=1,IF(MID(E322,3,1)&lt;&gt;"1",IF(입력란!$C$14=0,1.05,IF(입력란!$C$14=1,1.05*1.05,IF(입력란!$C$14=2,1.05*1.12,IF(입력란!$C$14=3,1.05*1.25)))),1),1)</f>
        <v>29954.221032556867</v>
      </c>
      <c r="X322" s="29">
        <f>AN322*0.12*IF(MID(E322,1,1)="1",IF(G322="3히트",0,1),1)*IF(MID(E322,3,1)="1",트라이포드!$J$20,트라이포드!$I$20)*IF(MID(E322,5,1)="2",트라이포드!$R$20,트라이포드!$Q$20)*(1+입력란!$C$33/100)*IF(입력란!$C$9=1,IF(MID(E322,3,1)&lt;&gt;"1",IF(입력란!$C$14=0,1.05,IF(입력란!$C$14=1,1.05*1.05,IF(입력란!$C$14=2,1.05*1.12,IF(입력란!$C$14=3,1.05*1.25)))),1),1)</f>
        <v>29954.221032556867</v>
      </c>
      <c r="Y322" s="38">
        <f>AN322*0.28*IF(MID(E322,1,1)="1",IF(G322="3히트",0,1),1)*IF(MID(E322,3,1)="1",트라이포드!$J$20,트라이포드!$I$20)*IF(MID(E322,3,1)="3",트라이포드!$N$20,트라이포드!$M$20)*IF(MID(E322,5,1)="2",트라이포드!$R$20,트라이포드!$Q$20)*(1+입력란!$C$33/100)*IF(입력란!$C$9=1,IF(MID(E322,3,1)&lt;&gt;"1",IF(입력란!$C$14=0,1.05,IF(입력란!$C$14=1,1.05*1.05,IF(입력란!$C$14=2,1.05*1.12,IF(입력란!$C$14=3,1.05*1.25)))),1),1)</f>
        <v>174732.95602324841</v>
      </c>
      <c r="Z322" s="26">
        <f>(AN322*IF(MID(E322,5,1)="1",0.004*IF(G322="3히트",3,7)*5,0)+IF(MID(E322,5,1)="1",IF(G322="3히트",0,AN322*트라이포드!$P$20*IF(MID(E322,3,1)="1",트라이포드!$J$20,트라이포드!$I$20)),0)+IF(MID(E322,5,1)="1",IF(G322="3히트",0,AN322*0.03),0))*(1+입력란!$C$33/100)</f>
        <v>0</v>
      </c>
      <c r="AA322" s="29">
        <f>SUM(AB322:AI322)</f>
        <v>708916.56443717924</v>
      </c>
      <c r="AB322" s="29">
        <f>S322*2</f>
        <v>59908.442065113733</v>
      </c>
      <c r="AC322" s="29">
        <f>T322*2</f>
        <v>59908.442065113733</v>
      </c>
      <c r="AD322" s="29">
        <f>U322*2</f>
        <v>59908.442065113733</v>
      </c>
      <c r="AE322" s="29">
        <f>V322*2</f>
        <v>59908.442065113733</v>
      </c>
      <c r="AF322" s="29">
        <f>W322*2</f>
        <v>59908.442065113733</v>
      </c>
      <c r="AG322" s="29">
        <f>X322*2</f>
        <v>59908.442065113733</v>
      </c>
      <c r="AH322" s="29">
        <f>Y322*2</f>
        <v>349465.91204649681</v>
      </c>
      <c r="AI322" s="26">
        <f>Z322*2</f>
        <v>0</v>
      </c>
      <c r="AJ322" s="25">
        <f>IF(G322="3히트",10,AR322*(1-입력란!$C$29/100))</f>
        <v>28.731215018700002</v>
      </c>
      <c r="AK32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2" s="25">
        <f>입력란!$C$37+IF(입력란!$C$17=1,10,IF(입력란!$C$17=2,25,IF(입력란!$C$17=3,50,0)))</f>
        <v>200</v>
      </c>
      <c r="AM322" s="29">
        <f>SUM(AN322:AP322)</f>
        <v>209562.52449437414</v>
      </c>
      <c r="AN322" s="29">
        <f>(VLOOKUP(C322,$B$4:$AK$7,26,FALSE)+VLOOKUP(C322,$B$8:$AK$11,26,FALSE)*입력란!$C$23)*입력란!$C$38/100</f>
        <v>209562.52449437414</v>
      </c>
      <c r="AO322" s="29"/>
      <c r="AP322" s="29"/>
      <c r="AQ322" s="29"/>
      <c r="AR322" s="28">
        <v>30</v>
      </c>
    </row>
    <row r="323" spans="2:44" ht="13.5" customHeight="1" x14ac:dyDescent="0.3">
      <c r="B323" s="30">
        <v>308</v>
      </c>
      <c r="C323" s="35">
        <v>7</v>
      </c>
      <c r="D323" s="42" t="s">
        <v>385</v>
      </c>
      <c r="E323" s="37" t="s">
        <v>367</v>
      </c>
      <c r="F323" s="39"/>
      <c r="G323" s="39" t="s">
        <v>389</v>
      </c>
      <c r="H323" s="51">
        <f>I323/AJ323</f>
        <v>10995.648250945544</v>
      </c>
      <c r="I323" s="52">
        <f>SUM(J323:Q323)*IF(입력란!C$15=1,1.04,IF(입력란!C$15=2,1.1,IF(입력란!C$15=3,1.2,1)))*IF(입력란!$C$13&lt;&gt;0,0,1)*IF(입력란!$C$17&lt;&gt;0,0.98,1)</f>
        <v>109956.48250945544</v>
      </c>
      <c r="J323" s="29">
        <f>S323*(1+IF($AK323+IF(입력란!$C$9=1,IF(MID(E323,3,1)&lt;&gt;"1",10,0),0)+IF(MID(E323,3,1)="1",20,0)+IF(입력란!$C$19=1,10,0)&gt;100,100,$AK323+IF(입력란!$C$9=1,IF(MID(E323,3,1)&lt;&gt;"1",10,0),0)+IF(MID(E323,3,1)="1",20,0)+IF(입력란!$C$19=1,10,0))/100*($AL323/100-1))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36652.160836485149</v>
      </c>
      <c r="K323" s="29">
        <f>T323*(1+IF($AK323+IF(입력란!$C$9=1,IF(MID(E323,3,1)&lt;&gt;"1",10,0),0)+IF(MID(E323,3,1)="1",20,0)+IF(입력란!$C$19=1,10,0)&gt;100,100,$AK323+IF(입력란!$C$9=1,IF(MID(E323,3,1)&lt;&gt;"1",10,0),0)+IF(MID(E323,3,1)="1",20,0)+IF(입력란!$C$19=1,10,0))/100*($AL323/100-1))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36652.160836485149</v>
      </c>
      <c r="L323" s="29">
        <f>U323*(1+IF($AK323+IF(입력란!$C$9=1,IF(MID(E323,3,1)&lt;&gt;"1",10,0),0)+IF(MID(E323,3,1)="1",20,0)+IF(입력란!$C$19=1,10,0)&gt;100,100,$AK323+IF(입력란!$C$9=1,IF(MID(E323,3,1)&lt;&gt;"1",10,0),0)+IF(MID(E323,3,1)="1",20,0)+IF(입력란!$C$19=1,10,0))/100*($AL323/100-1))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36652.160836485149</v>
      </c>
      <c r="M323" s="29">
        <f>V323*(1+IF($AK323+IF(입력란!$C$9=1,IF(MID(E323,3,1)&lt;&gt;"1",10,0),0)+IF(MID(E323,3,1)="1",20,0)+IF(입력란!$C$19=1,10,0)&gt;100,100,$AK323+IF(입력란!$C$9=1,IF(MID(E323,3,1)&lt;&gt;"1",10,0),0)+IF(MID(E323,3,1)="1",20,0)+IF(입력란!$C$19=1,10,0))/100*($AL323/100-1))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0</v>
      </c>
      <c r="N323" s="38">
        <f>W323*(1+IF($AK323+IF(입력란!$C$9=1,IF(MID(E323,3,1)&lt;&gt;"1",10,0),0)+IF(MID(E323,3,1)="1",20,0)+IF(입력란!$C$19=1,10,0)&gt;100,100,$AK323+IF(입력란!$C$9=1,IF(MID(E323,3,1)&lt;&gt;"1",10,0),0)+IF(MID(E323,3,1)="1",20,0)+IF(입력란!$C$19=1,10,0))/100*($AL323/100-1))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0</v>
      </c>
      <c r="O323" s="38">
        <f>X323*(1+IF($AK323+IF(입력란!$C$9=1,IF(MID(E323,3,1)&lt;&gt;"1",10,0),0)+IF(MID(E323,3,1)="1",20,0)+IF(입력란!$C$19=1,10,0)&gt;100,100,$AK323+IF(입력란!$C$9=1,IF(MID(E323,3,1)&lt;&gt;"1",10,0),0)+IF(MID(E323,3,1)="1",20,0)+IF(입력란!$C$19=1,10,0))/100*($AL323/100-1))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0</v>
      </c>
      <c r="P323" s="38">
        <f>Y323*(1+IF($AK323+IF(입력란!$C$9=1,IF(MID(E323,3,1)&lt;&gt;"1",10,0),0)+IF(MID(E323,3,1)="1",20,0)+IF(입력란!$C$19=1,10,0)&gt;100,100,$AK323+IF(입력란!$C$9=1,IF(MID(E323,3,1)&lt;&gt;"1",10,0),0)+IF(MID(E323,3,1)="1",20,0)+IF(입력란!$C$19=1,10,0))/100*($AL323/100-1))</f>
        <v>0</v>
      </c>
      <c r="Q323" s="34">
        <f>Z323*(1+IF($AK323+IF(입력란!$C$19=1,10,0)&gt;100,100,$AK323+IF(입력란!$C$19=1,10,0))/100*($AL323/100-1))</f>
        <v>0</v>
      </c>
      <c r="R323" s="23">
        <f>SUM(S323:Z323)</f>
        <v>89862.663097670593</v>
      </c>
      <c r="S323" s="29">
        <f>AN323*0.12*IF(MID(E323,3,1)="1",트라이포드!$J$20,트라이포드!$I$20)*(1+입력란!$C$33/100)*IF(입력란!$C$9=1,IF(MID(E323,3,1)&lt;&gt;"1",IF(입력란!$C$14=0,1.05,IF(입력란!$C$14=1,1.05*1.05,IF(입력란!$C$14=2,1.05*1.12,IF(입력란!$C$14=3,1.05*1.25)))),1),1)</f>
        <v>29954.221032556867</v>
      </c>
      <c r="T323" s="29">
        <f>AN323*0.12*IF(MID(E323,3,1)="1",트라이포드!$J$20,트라이포드!$I$20)*(1+입력란!$C$33/100)*IF(입력란!$C$9=1,IF(MID(E323,3,1)&lt;&gt;"1",IF(입력란!$C$14=0,1.05,IF(입력란!$C$14=1,1.05*1.05,IF(입력란!$C$14=2,1.05*1.12,IF(입력란!$C$14=3,1.05*1.25)))),1),1)</f>
        <v>29954.221032556867</v>
      </c>
      <c r="U323" s="29">
        <f>AN323*0.12*IF(MID(E323,3,1)="1",트라이포드!$J$20,트라이포드!$I$20)*(1+입력란!$C$33/100)*IF(입력란!$C$9=1,IF(MID(E323,3,1)&lt;&gt;"1",IF(입력란!$C$14=0,1.05,IF(입력란!$C$14=1,1.05*1.05,IF(입력란!$C$14=2,1.05*1.12,IF(입력란!$C$14=3,1.05*1.25)))),1),1)</f>
        <v>29954.221032556867</v>
      </c>
      <c r="V323" s="29">
        <f>AN323*0.12*IF(MID(E323,1,1)="1",IF(G323="3히트",0,1),1)*IF(MID(E323,3,1)="1",트라이포드!$J$20,트라이포드!$I$20)*(1+입력란!$C$33/100)*IF(입력란!$C$9=1,IF(MID(E323,3,1)&lt;&gt;"1",IF(입력란!$C$14=0,1.05,IF(입력란!$C$14=1,1.05*1.05,IF(입력란!$C$14=2,1.05*1.12,IF(입력란!$C$14=3,1.05*1.25)))),1),1)</f>
        <v>0</v>
      </c>
      <c r="W323" s="29">
        <f>AN323*0.12*IF(MID(E323,1,1)="1",IF(G323="3히트",0,1),1)*IF(MID(E323,3,1)="1",트라이포드!$J$20,트라이포드!$I$20)*IF(MID(E323,5,1)="2",트라이포드!$R$20,트라이포드!$Q$20)*(1+입력란!$C$33/100)*IF(입력란!$C$9=1,IF(MID(E323,3,1)&lt;&gt;"1",IF(입력란!$C$14=0,1.05,IF(입력란!$C$14=1,1.05*1.05,IF(입력란!$C$14=2,1.05*1.12,IF(입력란!$C$14=3,1.05*1.25)))),1),1)</f>
        <v>0</v>
      </c>
      <c r="X323" s="29">
        <f>AN323*0.12*IF(MID(E323,1,1)="1",IF(G323="3히트",0,1),1)*IF(MID(E323,3,1)="1",트라이포드!$J$20,트라이포드!$I$20)*IF(MID(E323,5,1)="2",트라이포드!$R$20,트라이포드!$Q$20)*(1+입력란!$C$33/100)*IF(입력란!$C$9=1,IF(MID(E323,3,1)&lt;&gt;"1",IF(입력란!$C$14=0,1.05,IF(입력란!$C$14=1,1.05*1.05,IF(입력란!$C$14=2,1.05*1.12,IF(입력란!$C$14=3,1.05*1.25)))),1),1)</f>
        <v>0</v>
      </c>
      <c r="Y323" s="38">
        <f>AN323*0.28*IF(MID(E323,1,1)="1",IF(G323="3히트",0,1),1)*IF(MID(E323,3,1)="1",트라이포드!$J$20,트라이포드!$I$20)*IF(MID(E323,3,1)="3",트라이포드!$N$20,트라이포드!$M$20)*IF(MID(E323,5,1)="2",트라이포드!$R$20,트라이포드!$Q$20)*(1+입력란!$C$33/100)*IF(입력란!$C$9=1,IF(MID(E323,3,1)&lt;&gt;"1",IF(입력란!$C$14=0,1.05,IF(입력란!$C$14=1,1.05*1.05,IF(입력란!$C$14=2,1.05*1.12,IF(입력란!$C$14=3,1.05*1.25)))),1),1)</f>
        <v>0</v>
      </c>
      <c r="Z323" s="26">
        <f>(AN323*IF(MID(E323,5,1)="1",0.004*IF(G323="3히트",3,7)*5,0)+IF(MID(E323,5,1)="1",IF(G323="3히트",0,AN323*트라이포드!$P$20*IF(MID(E323,3,1)="1",트라이포드!$J$20,트라이포드!$I$20)),0)+IF(MID(E323,5,1)="1",IF(G323="3히트",0,AN323*0.03),0))*(1+입력란!$C$33/100)</f>
        <v>0</v>
      </c>
      <c r="AA323" s="29">
        <f>SUM(AB323:AI323)</f>
        <v>179725.32619534119</v>
      </c>
      <c r="AB323" s="29">
        <f>S323*2</f>
        <v>59908.442065113733</v>
      </c>
      <c r="AC323" s="29">
        <f>T323*2</f>
        <v>59908.442065113733</v>
      </c>
      <c r="AD323" s="29">
        <f>U323*2</f>
        <v>59908.442065113733</v>
      </c>
      <c r="AE323" s="29">
        <f>V323*2</f>
        <v>0</v>
      </c>
      <c r="AF323" s="29">
        <f>W323*2</f>
        <v>0</v>
      </c>
      <c r="AG323" s="29">
        <f>X323*2</f>
        <v>0</v>
      </c>
      <c r="AH323" s="29">
        <f>Y323*2</f>
        <v>0</v>
      </c>
      <c r="AI323" s="26">
        <f>Z323*2</f>
        <v>0</v>
      </c>
      <c r="AJ323" s="25">
        <f>IF(G323="3히트",10,AR323*(1-입력란!$C$29/100))</f>
        <v>10</v>
      </c>
      <c r="AK32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3" s="25">
        <f>입력란!$C$37+IF(입력란!$C$17=1,10,IF(입력란!$C$17=2,25,IF(입력란!$C$17=3,50,0)))</f>
        <v>200</v>
      </c>
      <c r="AM323" s="29">
        <f>SUM(AN323:AP323)</f>
        <v>209562.52449437414</v>
      </c>
      <c r="AN323" s="29">
        <f>(VLOOKUP(C323,$B$4:$AK$7,26,FALSE)+VLOOKUP(C323,$B$8:$AK$11,26,FALSE)*입력란!$C$23)*입력란!$C$38/100</f>
        <v>209562.52449437414</v>
      </c>
      <c r="AO323" s="29"/>
      <c r="AP323" s="29"/>
      <c r="AQ323" s="29"/>
      <c r="AR323" s="28">
        <v>30</v>
      </c>
    </row>
    <row r="324" spans="2:44" ht="13.5" customHeight="1" x14ac:dyDescent="0.3">
      <c r="B324" s="30">
        <v>309</v>
      </c>
      <c r="C324" s="35">
        <v>7</v>
      </c>
      <c r="D324" s="42" t="s">
        <v>385</v>
      </c>
      <c r="E324" s="37" t="s">
        <v>381</v>
      </c>
      <c r="F324" s="39"/>
      <c r="G324" s="39" t="s">
        <v>389</v>
      </c>
      <c r="H324" s="51">
        <f>I324/AJ324</f>
        <v>14072.191664188853</v>
      </c>
      <c r="I324" s="52">
        <f>SUM(J324:Q324)*IF(입력란!C$15=1,1.04,IF(입력란!C$15=2,1.1,IF(입력란!C$15=3,1.2,1)))*IF(입력란!$C$13&lt;&gt;0,0,1)*IF(입력란!$C$17&lt;&gt;0,0.98,1)</f>
        <v>140721.91664188853</v>
      </c>
      <c r="J324" s="29">
        <f>S324*(1+IF($AK324+IF(입력란!$C$9=1,IF(MID(E324,3,1)&lt;&gt;"1",10,0),0)+IF(MID(E324,3,1)="1",20,0)+IF(입력란!$C$19=1,10,0)&gt;100,100,$AK324+IF(입력란!$C$9=1,IF(MID(E324,3,1)&lt;&gt;"1",10,0),0)+IF(MID(E324,3,1)="1",20,0)+IF(입력란!$C$19=1,10,0))/100*($AL324/100-1))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46907.305547296179</v>
      </c>
      <c r="K324" s="29">
        <f>T324*(1+IF($AK324+IF(입력란!$C$9=1,IF(MID(E324,3,1)&lt;&gt;"1",10,0),0)+IF(MID(E324,3,1)="1",20,0)+IF(입력란!$C$19=1,10,0)&gt;100,100,$AK324+IF(입력란!$C$9=1,IF(MID(E324,3,1)&lt;&gt;"1",10,0),0)+IF(MID(E324,3,1)="1",20,0)+IF(입력란!$C$19=1,10,0))/100*($AL324/100-1))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46907.305547296179</v>
      </c>
      <c r="L324" s="29">
        <f>U324*(1+IF($AK324+IF(입력란!$C$9=1,IF(MID(E324,3,1)&lt;&gt;"1",10,0),0)+IF(MID(E324,3,1)="1",20,0)+IF(입력란!$C$19=1,10,0)&gt;100,100,$AK324+IF(입력란!$C$9=1,IF(MID(E324,3,1)&lt;&gt;"1",10,0),0)+IF(MID(E324,3,1)="1",20,0)+IF(입력란!$C$19=1,10,0))/100*($AL324/100-1))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46907.305547296179</v>
      </c>
      <c r="M324" s="29">
        <f>V324*(1+IF($AK324+IF(입력란!$C$9=1,IF(MID(E324,3,1)&lt;&gt;"1",10,0),0)+IF(MID(E324,3,1)="1",20,0)+IF(입력란!$C$19=1,10,0)&gt;100,100,$AK324+IF(입력란!$C$9=1,IF(MID(E324,3,1)&lt;&gt;"1",10,0),0)+IF(MID(E324,3,1)="1",20,0)+IF(입력란!$C$19=1,10,0))/100*($AL324/100-1))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0</v>
      </c>
      <c r="N324" s="38">
        <f>W324*(1+IF($AK324+IF(입력란!$C$9=1,IF(MID(E324,3,1)&lt;&gt;"1",10,0),0)+IF(MID(E324,3,1)="1",20,0)+IF(입력란!$C$19=1,10,0)&gt;100,100,$AK324+IF(입력란!$C$9=1,IF(MID(E324,3,1)&lt;&gt;"1",10,0),0)+IF(MID(E324,3,1)="1",20,0)+IF(입력란!$C$19=1,10,0))/100*($AL324/100-1))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0</v>
      </c>
      <c r="O324" s="38">
        <f>X324*(1+IF($AK324+IF(입력란!$C$9=1,IF(MID(E324,3,1)&lt;&gt;"1",10,0),0)+IF(MID(E324,3,1)="1",20,0)+IF(입력란!$C$19=1,10,0)&gt;100,100,$AK324+IF(입력란!$C$9=1,IF(MID(E324,3,1)&lt;&gt;"1",10,0),0)+IF(MID(E324,3,1)="1",20,0)+IF(입력란!$C$19=1,10,0))/100*($AL324/100-1))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0</v>
      </c>
      <c r="P324" s="38">
        <f>Y324*(1+IF($AK324+IF(입력란!$C$9=1,IF(MID(E324,3,1)&lt;&gt;"1",10,0),0)+IF(MID(E324,3,1)="1",20,0)+IF(입력란!$C$19=1,10,0)&gt;100,100,$AK324+IF(입력란!$C$9=1,IF(MID(E324,3,1)&lt;&gt;"1",10,0),0)+IF(MID(E324,3,1)="1",20,0)+IF(입력란!$C$19=1,10,0))/100*($AL324/100-1))</f>
        <v>0</v>
      </c>
      <c r="Q324" s="34">
        <f>Z324*(1+IF($AK324+IF(입력란!$C$19=1,10,0)&gt;100,100,$AK324+IF(입력란!$C$19=1,10,0))/100*($AL324/100-1))</f>
        <v>0</v>
      </c>
      <c r="R324" s="23">
        <f>SUM(S324:Z324)</f>
        <v>98848.929407437667</v>
      </c>
      <c r="S324" s="29">
        <f>AN324*0.12*IF(MID(E324,3,1)="1",트라이포드!$J$20,트라이포드!$I$20)*(1+입력란!$C$33/100)*IF(입력란!$C$9=1,IF(MID(E324,3,1)&lt;&gt;"1",IF(입력란!$C$14=0,1.05,IF(입력란!$C$14=1,1.05*1.05,IF(입력란!$C$14=2,1.05*1.12,IF(입력란!$C$14=3,1.05*1.25)))),1),1)</f>
        <v>32949.643135812556</v>
      </c>
      <c r="T324" s="29">
        <f>AN324*0.12*IF(MID(E324,3,1)="1",트라이포드!$J$20,트라이포드!$I$20)*(1+입력란!$C$33/100)*IF(입력란!$C$9=1,IF(MID(E324,3,1)&lt;&gt;"1",IF(입력란!$C$14=0,1.05,IF(입력란!$C$14=1,1.05*1.05,IF(입력란!$C$14=2,1.05*1.12,IF(입력란!$C$14=3,1.05*1.25)))),1),1)</f>
        <v>32949.643135812556</v>
      </c>
      <c r="U324" s="29">
        <f>AN324*0.12*IF(MID(E324,3,1)="1",트라이포드!$J$20,트라이포드!$I$20)*(1+입력란!$C$33/100)*IF(입력란!$C$9=1,IF(MID(E324,3,1)&lt;&gt;"1",IF(입력란!$C$14=0,1.05,IF(입력란!$C$14=1,1.05*1.05,IF(입력란!$C$14=2,1.05*1.12,IF(입력란!$C$14=3,1.05*1.25)))),1),1)</f>
        <v>32949.643135812556</v>
      </c>
      <c r="V324" s="29">
        <f>AN324*0.12*IF(MID(E324,1,1)="1",IF(G324="3히트",0,1),1)*IF(MID(E324,3,1)="1",트라이포드!$J$20,트라이포드!$I$20)*(1+입력란!$C$33/100)*IF(입력란!$C$9=1,IF(MID(E324,3,1)&lt;&gt;"1",IF(입력란!$C$14=0,1.05,IF(입력란!$C$14=1,1.05*1.05,IF(입력란!$C$14=2,1.05*1.12,IF(입력란!$C$14=3,1.05*1.25)))),1),1)</f>
        <v>0</v>
      </c>
      <c r="W324" s="29">
        <f>AN324*0.12*IF(MID(E324,1,1)="1",IF(G324="3히트",0,1),1)*IF(MID(E324,3,1)="1",트라이포드!$J$20,트라이포드!$I$20)*IF(MID(E324,5,1)="2",트라이포드!$R$20,트라이포드!$Q$20)*(1+입력란!$C$33/100)*IF(입력란!$C$9=1,IF(MID(E324,3,1)&lt;&gt;"1",IF(입력란!$C$14=0,1.05,IF(입력란!$C$14=1,1.05*1.05,IF(입력란!$C$14=2,1.05*1.12,IF(입력란!$C$14=3,1.05*1.25)))),1),1)</f>
        <v>0</v>
      </c>
      <c r="X324" s="29">
        <f>AN324*0.12*IF(MID(E324,1,1)="1",IF(G324="3히트",0,1),1)*IF(MID(E324,3,1)="1",트라이포드!$J$20,트라이포드!$I$20)*IF(MID(E324,5,1)="2",트라이포드!$R$20,트라이포드!$Q$20)*(1+입력란!$C$33/100)*IF(입력란!$C$9=1,IF(MID(E324,3,1)&lt;&gt;"1",IF(입력란!$C$14=0,1.05,IF(입력란!$C$14=1,1.05*1.05,IF(입력란!$C$14=2,1.05*1.12,IF(입력란!$C$14=3,1.05*1.25)))),1),1)</f>
        <v>0</v>
      </c>
      <c r="Y324" s="38">
        <f>AN324*0.28*IF(MID(E324,1,1)="1",IF(G324="3히트",0,1),1)*IF(MID(E324,3,1)="1",트라이포드!$J$20,트라이포드!$I$20)*IF(MID(E324,3,1)="3",트라이포드!$N$20,트라이포드!$M$20)*IF(MID(E324,5,1)="2",트라이포드!$R$20,트라이포드!$Q$20)*(1+입력란!$C$33/100)*IF(입력란!$C$9=1,IF(MID(E324,3,1)&lt;&gt;"1",IF(입력란!$C$14=0,1.05,IF(입력란!$C$14=1,1.05*1.05,IF(입력란!$C$14=2,1.05*1.12,IF(입력란!$C$14=3,1.05*1.25)))),1),1)</f>
        <v>0</v>
      </c>
      <c r="Z324" s="26">
        <f>(AN324*IF(MID(E324,5,1)="1",0.004*IF(G324="3히트",3,7)*5,0)+IF(MID(E324,5,1)="1",IF(G324="3히트",0,AN324*트라이포드!$P$20*IF(MID(E324,3,1)="1",트라이포드!$J$20,트라이포드!$I$20)),0)+IF(MID(E324,5,1)="1",IF(G324="3히트",0,AN324*0.03),0))*(1+입력란!$C$33/100)</f>
        <v>0</v>
      </c>
      <c r="AA324" s="29">
        <f>SUM(AB324:AI324)</f>
        <v>197697.85881487533</v>
      </c>
      <c r="AB324" s="29">
        <f>S324*2</f>
        <v>65899.286271625111</v>
      </c>
      <c r="AC324" s="29">
        <f>T324*2</f>
        <v>65899.286271625111</v>
      </c>
      <c r="AD324" s="29">
        <f>U324*2</f>
        <v>65899.286271625111</v>
      </c>
      <c r="AE324" s="29">
        <f>V324*2</f>
        <v>0</v>
      </c>
      <c r="AF324" s="29">
        <f>W324*2</f>
        <v>0</v>
      </c>
      <c r="AG324" s="29">
        <f>X324*2</f>
        <v>0</v>
      </c>
      <c r="AH324" s="29">
        <f>Y324*2</f>
        <v>0</v>
      </c>
      <c r="AI324" s="26">
        <f>Z324*2</f>
        <v>0</v>
      </c>
      <c r="AJ324" s="25">
        <f>IF(G324="3히트",10,AR324*(1-입력란!$C$29/100))</f>
        <v>10</v>
      </c>
      <c r="AK32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4" s="25">
        <f>입력란!$C$37+IF(입력란!$C$17=1,10,IF(입력란!$C$17=2,25,IF(입력란!$C$17=3,50,0)))</f>
        <v>200</v>
      </c>
      <c r="AM324" s="29">
        <f>SUM(AN324:AP324)</f>
        <v>209562.52449437414</v>
      </c>
      <c r="AN324" s="29">
        <f>(VLOOKUP(C324,$B$4:$AK$7,26,FALSE)+VLOOKUP(C324,$B$8:$AK$11,26,FALSE)*입력란!$C$23)*입력란!$C$38/100</f>
        <v>209562.52449437414</v>
      </c>
      <c r="AO324" s="29"/>
      <c r="AP324" s="29"/>
      <c r="AQ324" s="29"/>
      <c r="AR324" s="28">
        <v>30</v>
      </c>
    </row>
    <row r="325" spans="2:44" ht="13.5" customHeight="1" x14ac:dyDescent="0.3">
      <c r="B325" s="30">
        <v>310</v>
      </c>
      <c r="C325" s="35">
        <v>7</v>
      </c>
      <c r="D325" s="42" t="s">
        <v>385</v>
      </c>
      <c r="E325" s="37" t="s">
        <v>365</v>
      </c>
      <c r="F325" s="39"/>
      <c r="G325" s="39" t="s">
        <v>389</v>
      </c>
      <c r="H325" s="51">
        <f>I325/AJ325</f>
        <v>10995.648250945544</v>
      </c>
      <c r="I325" s="52">
        <f>SUM(J325:Q325)*IF(입력란!C$15=1,1.04,IF(입력란!C$15=2,1.1,IF(입력란!C$15=3,1.2,1)))*IF(입력란!$C$13&lt;&gt;0,0,1)*IF(입력란!$C$17&lt;&gt;0,0.98,1)</f>
        <v>109956.48250945544</v>
      </c>
      <c r="J325" s="29">
        <f>S325*(1+IF($AK325+IF(입력란!$C$9=1,IF(MID(E325,3,1)&lt;&gt;"1",10,0),0)+IF(MID(E325,3,1)="1",20,0)+IF(입력란!$C$19=1,10,0)&gt;100,100,$AK325+IF(입력란!$C$9=1,IF(MID(E325,3,1)&lt;&gt;"1",10,0),0)+IF(MID(E325,3,1)="1",20,0)+IF(입력란!$C$19=1,10,0))/100*($AL325/100-1))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36652.160836485149</v>
      </c>
      <c r="K325" s="29">
        <f>T325*(1+IF($AK325+IF(입력란!$C$9=1,IF(MID(E325,3,1)&lt;&gt;"1",10,0),0)+IF(MID(E325,3,1)="1",20,0)+IF(입력란!$C$19=1,10,0)&gt;100,100,$AK325+IF(입력란!$C$9=1,IF(MID(E325,3,1)&lt;&gt;"1",10,0),0)+IF(MID(E325,3,1)="1",20,0)+IF(입력란!$C$19=1,10,0))/100*($AL325/100-1))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36652.160836485149</v>
      </c>
      <c r="L325" s="29">
        <f>U325*(1+IF($AK325+IF(입력란!$C$9=1,IF(MID(E325,3,1)&lt;&gt;"1",10,0),0)+IF(MID(E325,3,1)="1",20,0)+IF(입력란!$C$19=1,10,0)&gt;100,100,$AK325+IF(입력란!$C$9=1,IF(MID(E325,3,1)&lt;&gt;"1",10,0),0)+IF(MID(E325,3,1)="1",20,0)+IF(입력란!$C$19=1,10,0))/100*($AL325/100-1))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36652.160836485149</v>
      </c>
      <c r="M325" s="29">
        <f>V325*(1+IF($AK325+IF(입력란!$C$9=1,IF(MID(E325,3,1)&lt;&gt;"1",10,0),0)+IF(MID(E325,3,1)="1",20,0)+IF(입력란!$C$19=1,10,0)&gt;100,100,$AK325+IF(입력란!$C$9=1,IF(MID(E325,3,1)&lt;&gt;"1",10,0),0)+IF(MID(E325,3,1)="1",20,0)+IF(입력란!$C$19=1,10,0))/100*($AL325/100-1))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0</v>
      </c>
      <c r="N325" s="38">
        <f>W325*(1+IF($AK325+IF(입력란!$C$9=1,IF(MID(E325,3,1)&lt;&gt;"1",10,0),0)+IF(MID(E325,3,1)="1",20,0)+IF(입력란!$C$19=1,10,0)&gt;100,100,$AK325+IF(입력란!$C$9=1,IF(MID(E325,3,1)&lt;&gt;"1",10,0),0)+IF(MID(E325,3,1)="1",20,0)+IF(입력란!$C$19=1,10,0))/100*($AL325/100-1))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0</v>
      </c>
      <c r="O325" s="38">
        <f>X325*(1+IF($AK325+IF(입력란!$C$9=1,IF(MID(E325,3,1)&lt;&gt;"1",10,0),0)+IF(MID(E325,3,1)="1",20,0)+IF(입력란!$C$19=1,10,0)&gt;100,100,$AK325+IF(입력란!$C$9=1,IF(MID(E325,3,1)&lt;&gt;"1",10,0),0)+IF(MID(E325,3,1)="1",20,0)+IF(입력란!$C$19=1,10,0))/100*($AL325/100-1))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0</v>
      </c>
      <c r="P325" s="38">
        <f>Y325*(1+IF($AK325+IF(입력란!$C$9=1,IF(MID(E325,3,1)&lt;&gt;"1",10,0),0)+IF(MID(E325,3,1)="1",20,0)+IF(입력란!$C$19=1,10,0)&gt;100,100,$AK325+IF(입력란!$C$9=1,IF(MID(E325,3,1)&lt;&gt;"1",10,0),0)+IF(MID(E325,3,1)="1",20,0)+IF(입력란!$C$19=1,10,0))/100*($AL325/100-1))</f>
        <v>0</v>
      </c>
      <c r="Q325" s="34">
        <f>Z325*(1+IF($AK325+IF(입력란!$C$19=1,10,0)&gt;100,100,$AK325+IF(입력란!$C$19=1,10,0))/100*($AL325/100-1))</f>
        <v>0</v>
      </c>
      <c r="R325" s="23">
        <f>SUM(S325:Z325)</f>
        <v>89862.663097670593</v>
      </c>
      <c r="S325" s="29">
        <f>AN325*0.12*IF(MID(E325,3,1)="1",트라이포드!$J$20,트라이포드!$I$20)*(1+입력란!$C$33/100)*IF(입력란!$C$9=1,IF(MID(E325,3,1)&lt;&gt;"1",IF(입력란!$C$14=0,1.05,IF(입력란!$C$14=1,1.05*1.05,IF(입력란!$C$14=2,1.05*1.12,IF(입력란!$C$14=3,1.05*1.25)))),1),1)</f>
        <v>29954.221032556867</v>
      </c>
      <c r="T325" s="29">
        <f>AN325*0.12*IF(MID(E325,3,1)="1",트라이포드!$J$20,트라이포드!$I$20)*(1+입력란!$C$33/100)*IF(입력란!$C$9=1,IF(MID(E325,3,1)&lt;&gt;"1",IF(입력란!$C$14=0,1.05,IF(입력란!$C$14=1,1.05*1.05,IF(입력란!$C$14=2,1.05*1.12,IF(입력란!$C$14=3,1.05*1.25)))),1),1)</f>
        <v>29954.221032556867</v>
      </c>
      <c r="U325" s="29">
        <f>AN325*0.12*IF(MID(E325,3,1)="1",트라이포드!$J$20,트라이포드!$I$20)*(1+입력란!$C$33/100)*IF(입력란!$C$9=1,IF(MID(E325,3,1)&lt;&gt;"1",IF(입력란!$C$14=0,1.05,IF(입력란!$C$14=1,1.05*1.05,IF(입력란!$C$14=2,1.05*1.12,IF(입력란!$C$14=3,1.05*1.25)))),1),1)</f>
        <v>29954.221032556867</v>
      </c>
      <c r="V325" s="29">
        <f>AN325*0.12*IF(MID(E325,1,1)="1",IF(G325="3히트",0,1),1)*IF(MID(E325,3,1)="1",트라이포드!$J$20,트라이포드!$I$20)*(1+입력란!$C$33/100)*IF(입력란!$C$9=1,IF(MID(E325,3,1)&lt;&gt;"1",IF(입력란!$C$14=0,1.05,IF(입력란!$C$14=1,1.05*1.05,IF(입력란!$C$14=2,1.05*1.12,IF(입력란!$C$14=3,1.05*1.25)))),1),1)</f>
        <v>0</v>
      </c>
      <c r="W325" s="29">
        <f>AN325*0.12*IF(MID(E325,1,1)="1",IF(G325="3히트",0,1),1)*IF(MID(E325,3,1)="1",트라이포드!$J$20,트라이포드!$I$20)*IF(MID(E325,5,1)="2",트라이포드!$R$20,트라이포드!$Q$20)*(1+입력란!$C$33/100)*IF(입력란!$C$9=1,IF(MID(E325,3,1)&lt;&gt;"1",IF(입력란!$C$14=0,1.05,IF(입력란!$C$14=1,1.05*1.05,IF(입력란!$C$14=2,1.05*1.12,IF(입력란!$C$14=3,1.05*1.25)))),1),1)</f>
        <v>0</v>
      </c>
      <c r="X325" s="29">
        <f>AN325*0.12*IF(MID(E325,1,1)="1",IF(G325="3히트",0,1),1)*IF(MID(E325,3,1)="1",트라이포드!$J$20,트라이포드!$I$20)*IF(MID(E325,5,1)="2",트라이포드!$R$20,트라이포드!$Q$20)*(1+입력란!$C$33/100)*IF(입력란!$C$9=1,IF(MID(E325,3,1)&lt;&gt;"1",IF(입력란!$C$14=0,1.05,IF(입력란!$C$14=1,1.05*1.05,IF(입력란!$C$14=2,1.05*1.12,IF(입력란!$C$14=3,1.05*1.25)))),1),1)</f>
        <v>0</v>
      </c>
      <c r="Y325" s="38">
        <f>AN325*0.28*IF(MID(E325,1,1)="1",IF(G325="3히트",0,1),1)*IF(MID(E325,3,1)="1",트라이포드!$J$20,트라이포드!$I$20)*IF(MID(E325,3,1)="3",트라이포드!$N$20,트라이포드!$M$20)*IF(MID(E325,5,1)="2",트라이포드!$R$20,트라이포드!$Q$20)*(1+입력란!$C$33/100)*IF(입력란!$C$9=1,IF(MID(E325,3,1)&lt;&gt;"1",IF(입력란!$C$14=0,1.05,IF(입력란!$C$14=1,1.05*1.05,IF(입력란!$C$14=2,1.05*1.12,IF(입력란!$C$14=3,1.05*1.25)))),1),1)</f>
        <v>0</v>
      </c>
      <c r="Z325" s="26">
        <f>(AN325*IF(MID(E325,5,1)="1",0.004*IF(G325="3히트",3,7)*5,0)+IF(MID(E325,5,1)="1",IF(G325="3히트",0,AN325*트라이포드!$P$20*IF(MID(E325,3,1)="1",트라이포드!$J$20,트라이포드!$I$20)),0)+IF(MID(E325,5,1)="1",IF(G325="3히트",0,AN325*0.03),0))*(1+입력란!$C$33/100)</f>
        <v>0</v>
      </c>
      <c r="AA325" s="29">
        <f>SUM(AB325:AI325)</f>
        <v>179725.32619534119</v>
      </c>
      <c r="AB325" s="29">
        <f>S325*2</f>
        <v>59908.442065113733</v>
      </c>
      <c r="AC325" s="29">
        <f>T325*2</f>
        <v>59908.442065113733</v>
      </c>
      <c r="AD325" s="29">
        <f>U325*2</f>
        <v>59908.442065113733</v>
      </c>
      <c r="AE325" s="29">
        <f>V325*2</f>
        <v>0</v>
      </c>
      <c r="AF325" s="29">
        <f>W325*2</f>
        <v>0</v>
      </c>
      <c r="AG325" s="29">
        <f>X325*2</f>
        <v>0</v>
      </c>
      <c r="AH325" s="29">
        <f>Y325*2</f>
        <v>0</v>
      </c>
      <c r="AI325" s="26">
        <f>Z325*2</f>
        <v>0</v>
      </c>
      <c r="AJ325" s="25">
        <f>IF(G325="3히트",10,AR325*(1-입력란!$C$29/100))</f>
        <v>10</v>
      </c>
      <c r="AK32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5" s="25">
        <f>입력란!$C$37+IF(입력란!$C$17=1,10,IF(입력란!$C$17=2,25,IF(입력란!$C$17=3,50,0)))</f>
        <v>200</v>
      </c>
      <c r="AM325" s="29">
        <f>SUM(AN325:AP325)</f>
        <v>209562.52449437414</v>
      </c>
      <c r="AN325" s="29">
        <f>(VLOOKUP(C325,$B$4:$AK$7,26,FALSE)+VLOOKUP(C325,$B$8:$AK$11,26,FALSE)*입력란!$C$23)*입력란!$C$38/100</f>
        <v>209562.52449437414</v>
      </c>
      <c r="AO325" s="29"/>
      <c r="AP325" s="29"/>
      <c r="AQ325" s="29"/>
      <c r="AR325" s="28">
        <v>30</v>
      </c>
    </row>
    <row r="326" spans="2:44" ht="13.5" customHeight="1" x14ac:dyDescent="0.3">
      <c r="B326" s="30">
        <v>311</v>
      </c>
      <c r="C326" s="35">
        <v>10</v>
      </c>
      <c r="D326" s="42" t="s">
        <v>385</v>
      </c>
      <c r="E326" s="37" t="s">
        <v>152</v>
      </c>
      <c r="F326" s="39"/>
      <c r="G326" s="39"/>
      <c r="H326" s="51">
        <f>I326/AJ326</f>
        <v>10643.868980199648</v>
      </c>
      <c r="I326" s="52">
        <f>SUM(J326:Q326)*IF(입력란!C$15=1,1.04,IF(입력란!C$15=2,1.1,IF(입력란!C$15=3,1.2,1)))*IF(입력란!$C$13&lt;&gt;0,0,1)*IF(입력란!$C$17&lt;&gt;0,0.98,1)</f>
        <v>305811.28830098722</v>
      </c>
      <c r="J326" s="29">
        <f>S326*(1+IF($AK326+IF(입력란!$C$9=1,IF(MID(E326,3,1)&lt;&gt;"1",10,0),0)+IF(MID(E326,3,1)="1",20,0)+IF(입력란!$C$19=1,10,0)&gt;100,100,$AK326+IF(입력란!$C$9=1,IF(MID(E326,3,1)&lt;&gt;"1",10,0),0)+IF(MID(E326,3,1)="1",20,0)+IF(입력란!$C$19=1,10,0))/100*($AL326/100-1))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K326" s="29">
        <f>T326*(1+IF($AK326+IF(입력란!$C$9=1,IF(MID(E326,3,1)&lt;&gt;"1",10,0),0)+IF(MID(E326,3,1)="1",20,0)+IF(입력란!$C$19=1,10,0)&gt;100,100,$AK326+IF(입력란!$C$9=1,IF(MID(E326,3,1)&lt;&gt;"1",10,0),0)+IF(MID(E326,3,1)="1",20,0)+IF(입력란!$C$19=1,10,0))/100*($AL326/100-1))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L326" s="29">
        <f>U326*(1+IF($AK326+IF(입력란!$C$9=1,IF(MID(E326,3,1)&lt;&gt;"1",10,0),0)+IF(MID(E326,3,1)="1",20,0)+IF(입력란!$C$19=1,10,0)&gt;100,100,$AK326+IF(입력란!$C$9=1,IF(MID(E326,3,1)&lt;&gt;"1",10,0),0)+IF(MID(E326,3,1)="1",20,0)+IF(입력란!$C$19=1,10,0))/100*($AL326/100-1))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M326" s="29">
        <f>V326*(1+IF($AK326+IF(입력란!$C$9=1,IF(MID(E326,3,1)&lt;&gt;"1",10,0),0)+IF(MID(E326,3,1)="1",20,0)+IF(입력란!$C$19=1,10,0)&gt;100,100,$AK326+IF(입력란!$C$9=1,IF(MID(E326,3,1)&lt;&gt;"1",10,0),0)+IF(MID(E326,3,1)="1",20,0)+IF(입력란!$C$19=1,10,0))/100*($AL326/100-1))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N326" s="38">
        <f>W326*(1+IF($AK326+IF(입력란!$C$9=1,IF(MID(E326,3,1)&lt;&gt;"1",10,0),0)+IF(MID(E326,3,1)="1",20,0)+IF(입력란!$C$19=1,10,0)&gt;100,100,$AK326+IF(입력란!$C$9=1,IF(MID(E326,3,1)&lt;&gt;"1",10,0),0)+IF(MID(E326,3,1)="1",20,0)+IF(입력란!$C$19=1,10,0))/100*($AL326/100-1))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O326" s="38">
        <f>X326*(1+IF($AK326+IF(입력란!$C$9=1,IF(MID(E326,3,1)&lt;&gt;"1",10,0),0)+IF(MID(E326,3,1)="1",20,0)+IF(입력란!$C$19=1,10,0)&gt;100,100,$AK326+IF(입력란!$C$9=1,IF(MID(E326,3,1)&lt;&gt;"1",10,0),0)+IF(MID(E326,3,1)="1",20,0)+IF(입력란!$C$19=1,10,0))/100*($AL326/100-1))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36697.354596118465</v>
      </c>
      <c r="P326" s="38">
        <f>Y326*(1+IF($AK326+IF(입력란!$C$9=1,IF(MID(E326,3,1)&lt;&gt;"1",10,0),0)+IF(MID(E326,3,1)="1",20,0)+IF(입력란!$C$19=1,10,0)&gt;100,100,$AK326+IF(입력란!$C$9=1,IF(MID(E326,3,1)&lt;&gt;"1",10,0),0)+IF(MID(E326,3,1)="1",20,0)+IF(입력란!$C$19=1,10,0))/100*($AL326/100-1))</f>
        <v>85627.160724276415</v>
      </c>
      <c r="Q326" s="34">
        <f>Z326*(1+IF($AK326+IF(입력란!$C$19=1,10,0)&gt;100,100,$AK326+IF(입력란!$C$19=1,10,0))/100*($AL326/100-1))</f>
        <v>0</v>
      </c>
      <c r="R326" s="23">
        <f>SUM(S326:Z326)</f>
        <v>249926.29943116871</v>
      </c>
      <c r="S326" s="29">
        <f>AN326*0.12*IF(MID(E326,3,1)="1",트라이포드!$J$20,트라이포드!$I$20)*(1+입력란!$C$33/100)*IF(입력란!$C$9=1,IF(MID(E326,3,1)&lt;&gt;"1",IF(입력란!$C$14=0,1.05,IF(입력란!$C$14=1,1.05*1.05,IF(입력란!$C$14=2,1.05*1.12,IF(입력란!$C$14=3,1.05*1.25)))),1),1)</f>
        <v>29991.155931740243</v>
      </c>
      <c r="T326" s="29">
        <f>AN326*0.12*IF(MID(E326,3,1)="1",트라이포드!$J$20,트라이포드!$I$20)*(1+입력란!$C$33/100)*IF(입력란!$C$9=1,IF(MID(E326,3,1)&lt;&gt;"1",IF(입력란!$C$14=0,1.05,IF(입력란!$C$14=1,1.05*1.05,IF(입력란!$C$14=2,1.05*1.12,IF(입력란!$C$14=3,1.05*1.25)))),1),1)</f>
        <v>29991.155931740243</v>
      </c>
      <c r="U326" s="29">
        <f>AN326*0.12*IF(MID(E326,3,1)="1",트라이포드!$J$20,트라이포드!$I$20)*(1+입력란!$C$33/100)*IF(입력란!$C$9=1,IF(MID(E326,3,1)&lt;&gt;"1",IF(입력란!$C$14=0,1.05,IF(입력란!$C$14=1,1.05*1.05,IF(입력란!$C$14=2,1.05*1.12,IF(입력란!$C$14=3,1.05*1.25)))),1),1)</f>
        <v>29991.155931740243</v>
      </c>
      <c r="V326" s="29">
        <f>AN326*0.12*IF(MID(E326,1,1)="1",IF(G326="3히트",0,1),1)*IF(MID(E326,3,1)="1",트라이포드!$J$20,트라이포드!$I$20)*(1+입력란!$C$33/100)*IF(입력란!$C$9=1,IF(MID(E326,3,1)&lt;&gt;"1",IF(입력란!$C$14=0,1.05,IF(입력란!$C$14=1,1.05*1.05,IF(입력란!$C$14=2,1.05*1.12,IF(입력란!$C$14=3,1.05*1.25)))),1),1)</f>
        <v>29991.155931740243</v>
      </c>
      <c r="W326" s="29">
        <f>AN326*0.12*IF(MID(E326,1,1)="1",IF(G326="3히트",0,1),1)*IF(MID(E326,3,1)="1",트라이포드!$J$20,트라이포드!$I$20)*IF(MID(E326,5,1)="2",트라이포드!$R$20,트라이포드!$Q$20)*(1+입력란!$C$33/100)*IF(입력란!$C$9=1,IF(MID(E326,3,1)&lt;&gt;"1",IF(입력란!$C$14=0,1.05,IF(입력란!$C$14=1,1.05*1.05,IF(입력란!$C$14=2,1.05*1.12,IF(입력란!$C$14=3,1.05*1.25)))),1),1)</f>
        <v>29991.155931740243</v>
      </c>
      <c r="X326" s="29">
        <f>AN326*0.12*IF(MID(E326,1,1)="1",IF(G326="3히트",0,1),1)*IF(MID(E326,3,1)="1",트라이포드!$J$20,트라이포드!$I$20)*IF(MID(E326,5,1)="2",트라이포드!$R$20,트라이포드!$Q$20)*(1+입력란!$C$33/100)*IF(입력란!$C$9=1,IF(MID(E326,3,1)&lt;&gt;"1",IF(입력란!$C$14=0,1.05,IF(입력란!$C$14=1,1.05*1.05,IF(입력란!$C$14=2,1.05*1.12,IF(입력란!$C$14=3,1.05*1.25)))),1),1)</f>
        <v>29991.155931740243</v>
      </c>
      <c r="Y326" s="38">
        <f>AN326*0.28*IF(MID(E326,1,1)="1",IF(G326="3히트",0,1),1)*IF(MID(E326,3,1)="1",트라이포드!$J$20,트라이포드!$I$20)*IF(MID(E326,3,1)="3",트라이포드!$N$20,트라이포드!$M$20)*IF(MID(E326,5,1)="2",트라이포드!$R$20,트라이포드!$Q$20)*(1+입력란!$C$33/100)*IF(입력란!$C$9=1,IF(MID(E326,3,1)&lt;&gt;"1",IF(입력란!$C$14=0,1.05,IF(입력란!$C$14=1,1.05*1.05,IF(입력란!$C$14=2,1.05*1.12,IF(입력란!$C$14=3,1.05*1.25)))),1),1)</f>
        <v>69979.363840727237</v>
      </c>
      <c r="Z326" s="26">
        <f>(AN326*IF(MID(E326,5,1)="1",0.004*IF(G326="3히트",3,7)*5,0)+IF(MID(E326,5,1)="1",IF(G326="3히트",0,AN326*트라이포드!$P$20*IF(MID(E326,3,1)="1",트라이포드!$J$20,트라이포드!$I$20)),0)+IF(MID(E326,5,1)="1",IF(G326="3히트",0,AN326*0.03),0))*(1+입력란!$C$33/100)</f>
        <v>0</v>
      </c>
      <c r="AA326" s="29">
        <f>SUM(AB326:AI326)</f>
        <v>499852.59886233741</v>
      </c>
      <c r="AB326" s="29">
        <f>S326*2</f>
        <v>59982.311863480485</v>
      </c>
      <c r="AC326" s="29">
        <f>T326*2</f>
        <v>59982.311863480485</v>
      </c>
      <c r="AD326" s="29">
        <f>U326*2</f>
        <v>59982.311863480485</v>
      </c>
      <c r="AE326" s="29">
        <f>V326*2</f>
        <v>59982.311863480485</v>
      </c>
      <c r="AF326" s="29">
        <f>W326*2</f>
        <v>59982.311863480485</v>
      </c>
      <c r="AG326" s="29">
        <f>X326*2</f>
        <v>59982.311863480485</v>
      </c>
      <c r="AH326" s="29">
        <f>Y326*2</f>
        <v>139958.72768145447</v>
      </c>
      <c r="AI326" s="26">
        <f>Z326*2</f>
        <v>0</v>
      </c>
      <c r="AJ326" s="25">
        <f>IF(G326="3히트",10,AR326*(1-입력란!$C$29/100))</f>
        <v>28.731215018700002</v>
      </c>
      <c r="AK32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6" s="25">
        <f>입력란!$C$37+IF(입력란!$C$17=1,10,IF(입력란!$C$17=2,25,IF(입력란!$C$17=3,50,0)))</f>
        <v>200</v>
      </c>
      <c r="AM326" s="29">
        <f>SUM(AN326:AP326)</f>
        <v>209820.92449437417</v>
      </c>
      <c r="AN326" s="29">
        <f>(VLOOKUP(C326,$B$4:$AK$7,26,FALSE)+VLOOKUP(C326,$B$8:$AK$11,26,FALSE)*입력란!$C$23)*입력란!$C$38/100</f>
        <v>209820.92449437417</v>
      </c>
      <c r="AO326" s="29"/>
      <c r="AP326" s="29"/>
      <c r="AQ326" s="29"/>
      <c r="AR326" s="28">
        <v>30</v>
      </c>
    </row>
    <row r="327" spans="2:44" ht="13.5" customHeight="1" x14ac:dyDescent="0.3">
      <c r="B327" s="30">
        <v>312</v>
      </c>
      <c r="C327" s="35">
        <v>10</v>
      </c>
      <c r="D327" s="42" t="s">
        <v>385</v>
      </c>
      <c r="E327" s="37" t="s">
        <v>157</v>
      </c>
      <c r="F327" s="39" t="s">
        <v>392</v>
      </c>
      <c r="G327" s="39"/>
      <c r="H327" s="51">
        <f>I327/AJ327</f>
        <v>18839.648094953372</v>
      </c>
      <c r="I327" s="52">
        <f>SUM(J327:Q327)*IF(입력란!C$15=1,1.04,IF(입력란!C$15=2,1.1,IF(입력란!C$15=3,1.2,1)))*IF(입력란!$C$13&lt;&gt;0,0,1)*IF(입력란!$C$17&lt;&gt;0,0.98,1)</f>
        <v>541285.98029274726</v>
      </c>
      <c r="J327" s="29">
        <f>S327*(1+IF($AK327+IF(입력란!$C$9=1,IF(MID(E327,3,1)&lt;&gt;"1",10,0),0)+IF(MID(E327,3,1)="1",20,0)+IF(입력란!$C$19=1,10,0)&gt;100,100,$AK327+IF(입력란!$C$9=1,IF(MID(E327,3,1)&lt;&gt;"1",10,0),0)+IF(MID(E327,3,1)="1",20,0)+IF(입력란!$C$19=1,10,0))/100*($AL327/100-1))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K327" s="29">
        <f>T327*(1+IF($AK327+IF(입력란!$C$9=1,IF(MID(E327,3,1)&lt;&gt;"1",10,0),0)+IF(MID(E327,3,1)="1",20,0)+IF(입력란!$C$19=1,10,0)&gt;100,100,$AK327+IF(입력란!$C$9=1,IF(MID(E327,3,1)&lt;&gt;"1",10,0),0)+IF(MID(E327,3,1)="1",20,0)+IF(입력란!$C$19=1,10,0))/100*($AL327/100-1))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L327" s="29">
        <f>U327*(1+IF($AK327+IF(입력란!$C$9=1,IF(MID(E327,3,1)&lt;&gt;"1",10,0),0)+IF(MID(E327,3,1)="1",20,0)+IF(입력란!$C$19=1,10,0)&gt;100,100,$AK327+IF(입력란!$C$9=1,IF(MID(E327,3,1)&lt;&gt;"1",10,0),0)+IF(MID(E327,3,1)="1",20,0)+IF(입력란!$C$19=1,10,0))/100*($AL327/100-1))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M327" s="29">
        <f>V327*(1+IF($AK327+IF(입력란!$C$9=1,IF(MID(E327,3,1)&lt;&gt;"1",10,0),0)+IF(MID(E327,3,1)="1",20,0)+IF(입력란!$C$19=1,10,0)&gt;100,100,$AK327+IF(입력란!$C$9=1,IF(MID(E327,3,1)&lt;&gt;"1",10,0),0)+IF(MID(E327,3,1)="1",20,0)+IF(입력란!$C$19=1,10,0))/100*($AL327/100-1))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N327" s="38">
        <f>W327*(1+IF($AK327+IF(입력란!$C$9=1,IF(MID(E327,3,1)&lt;&gt;"1",10,0),0)+IF(MID(E327,3,1)="1",20,0)+IF(입력란!$C$19=1,10,0)&gt;100,100,$AK327+IF(입력란!$C$9=1,IF(MID(E327,3,1)&lt;&gt;"1",10,0),0)+IF(MID(E327,3,1)="1",20,0)+IF(입력란!$C$19=1,10,0))/100*($AL327/100-1))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O327" s="38">
        <f>X327*(1+IF($AK327+IF(입력란!$C$9=1,IF(MID(E327,3,1)&lt;&gt;"1",10,0),0)+IF(MID(E327,3,1)="1",20,0)+IF(입력란!$C$19=1,10,0)&gt;100,100,$AK327+IF(입력란!$C$9=1,IF(MID(E327,3,1)&lt;&gt;"1",10,0),0)+IF(MID(E327,3,1)="1",20,0)+IF(입력란!$C$19=1,10,0))/100*($AL327/100-1))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36697.354596118465</v>
      </c>
      <c r="P327" s="38">
        <f>Y327*(1+IF($AK327+IF(입력란!$C$9=1,IF(MID(E327,3,1)&lt;&gt;"1",10,0),0)+IF(MID(E327,3,1)="1",20,0)+IF(입력란!$C$19=1,10,0)&gt;100,100,$AK327+IF(입력란!$C$9=1,IF(MID(E327,3,1)&lt;&gt;"1",10,0),0)+IF(MID(E327,3,1)="1",20,0)+IF(입력란!$C$19=1,10,0))/100*($AL327/100-1))</f>
        <v>85627.160724276415</v>
      </c>
      <c r="Q327" s="34">
        <f>Z327*(1+IF($AK327+IF(입력란!$C$19=1,10,0)&gt;100,100,$AK327+IF(입력란!$C$19=1,10,0))/100*($AL327/100-1))</f>
        <v>235474.69199176008</v>
      </c>
      <c r="R327" s="23">
        <f>SUM(S327:Z327)</f>
        <v>442369.54999316856</v>
      </c>
      <c r="S327" s="29">
        <f>AN327*0.12*IF(MID(E327,3,1)="1",트라이포드!$J$20,트라이포드!$I$20)*(1+입력란!$C$33/100)*IF(입력란!$C$9=1,IF(MID(E327,3,1)&lt;&gt;"1",IF(입력란!$C$14=0,1.05,IF(입력란!$C$14=1,1.05*1.05,IF(입력란!$C$14=2,1.05*1.12,IF(입력란!$C$14=3,1.05*1.25)))),1),1)</f>
        <v>29991.155931740243</v>
      </c>
      <c r="T327" s="29">
        <f>AN327*0.12*IF(MID(E327,3,1)="1",트라이포드!$J$20,트라이포드!$I$20)*(1+입력란!$C$33/100)*IF(입력란!$C$9=1,IF(MID(E327,3,1)&lt;&gt;"1",IF(입력란!$C$14=0,1.05,IF(입력란!$C$14=1,1.05*1.05,IF(입력란!$C$14=2,1.05*1.12,IF(입력란!$C$14=3,1.05*1.25)))),1),1)</f>
        <v>29991.155931740243</v>
      </c>
      <c r="U327" s="29">
        <f>AN327*0.12*IF(MID(E327,3,1)="1",트라이포드!$J$20,트라이포드!$I$20)*(1+입력란!$C$33/100)*IF(입력란!$C$9=1,IF(MID(E327,3,1)&lt;&gt;"1",IF(입력란!$C$14=0,1.05,IF(입력란!$C$14=1,1.05*1.05,IF(입력란!$C$14=2,1.05*1.12,IF(입력란!$C$14=3,1.05*1.25)))),1),1)</f>
        <v>29991.155931740243</v>
      </c>
      <c r="V327" s="29">
        <f>AN327*0.12*IF(MID(E327,1,1)="1",IF(G327="3히트",0,1),1)*IF(MID(E327,3,1)="1",트라이포드!$J$20,트라이포드!$I$20)*(1+입력란!$C$33/100)*IF(입력란!$C$9=1,IF(MID(E327,3,1)&lt;&gt;"1",IF(입력란!$C$14=0,1.05,IF(입력란!$C$14=1,1.05*1.05,IF(입력란!$C$14=2,1.05*1.12,IF(입력란!$C$14=3,1.05*1.25)))),1),1)</f>
        <v>29991.155931740243</v>
      </c>
      <c r="W327" s="29">
        <f>AN327*0.12*IF(MID(E327,1,1)="1",IF(G327="3히트",0,1),1)*IF(MID(E327,3,1)="1",트라이포드!$J$20,트라이포드!$I$20)*IF(MID(E327,5,1)="2",트라이포드!$R$20,트라이포드!$Q$20)*(1+입력란!$C$33/100)*IF(입력란!$C$9=1,IF(MID(E327,3,1)&lt;&gt;"1",IF(입력란!$C$14=0,1.05,IF(입력란!$C$14=1,1.05*1.05,IF(입력란!$C$14=2,1.05*1.12,IF(입력란!$C$14=3,1.05*1.25)))),1),1)</f>
        <v>29991.155931740243</v>
      </c>
      <c r="X327" s="29">
        <f>AN327*0.12*IF(MID(E327,1,1)="1",IF(G327="3히트",0,1),1)*IF(MID(E327,3,1)="1",트라이포드!$J$20,트라이포드!$I$20)*IF(MID(E327,5,1)="2",트라이포드!$R$20,트라이포드!$Q$20)*(1+입력란!$C$33/100)*IF(입력란!$C$9=1,IF(MID(E327,3,1)&lt;&gt;"1",IF(입력란!$C$14=0,1.05,IF(입력란!$C$14=1,1.05*1.05,IF(입력란!$C$14=2,1.05*1.12,IF(입력란!$C$14=3,1.05*1.25)))),1),1)</f>
        <v>29991.155931740243</v>
      </c>
      <c r="Y327" s="38">
        <f>AN327*0.28*IF(MID(E327,1,1)="1",IF(G327="3히트",0,1),1)*IF(MID(E327,3,1)="1",트라이포드!$J$20,트라이포드!$I$20)*IF(MID(E327,3,1)="3",트라이포드!$N$20,트라이포드!$M$20)*IF(MID(E327,5,1)="2",트라이포드!$R$20,트라이포드!$Q$20)*(1+입력란!$C$33/100)*IF(입력란!$C$9=1,IF(MID(E327,3,1)&lt;&gt;"1",IF(입력란!$C$14=0,1.05,IF(입력란!$C$14=1,1.05*1.05,IF(입력란!$C$14=2,1.05*1.12,IF(입력란!$C$14=3,1.05*1.25)))),1),1)</f>
        <v>69979.363840727237</v>
      </c>
      <c r="Z327" s="26">
        <f>(AN327*IF(MID(E327,5,1)="1",0.004*IF(G327="3히트",3,7)*5,0)+IF(MID(E327,5,1)="1",IF(G327="3히트",0,AN327*트라이포드!$P$20*IF(MID(E327,3,1)="1",트라이포드!$J$20,트라이포드!$I$20)),0)+IF(MID(E327,5,1)="1",IF(G327="3히트",0,AN327*0.03),0))*(1+입력란!$C$33/100)</f>
        <v>192443.25056199986</v>
      </c>
      <c r="AA327" s="29">
        <f>SUM(AB327:AI327)</f>
        <v>884739.09998633713</v>
      </c>
      <c r="AB327" s="29">
        <f>S327*2</f>
        <v>59982.311863480485</v>
      </c>
      <c r="AC327" s="29">
        <f>T327*2</f>
        <v>59982.311863480485</v>
      </c>
      <c r="AD327" s="29">
        <f>U327*2</f>
        <v>59982.311863480485</v>
      </c>
      <c r="AE327" s="29">
        <f>V327*2</f>
        <v>59982.311863480485</v>
      </c>
      <c r="AF327" s="29">
        <f>W327*2</f>
        <v>59982.311863480485</v>
      </c>
      <c r="AG327" s="29">
        <f>X327*2</f>
        <v>59982.311863480485</v>
      </c>
      <c r="AH327" s="29">
        <f>Y327*2</f>
        <v>139958.72768145447</v>
      </c>
      <c r="AI327" s="26">
        <f>Z327*2</f>
        <v>384886.50112399971</v>
      </c>
      <c r="AJ327" s="25">
        <f>IF(G327="3히트",10,AR327*(1-입력란!$C$29/100))</f>
        <v>28.731215018700002</v>
      </c>
      <c r="AK32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7" s="25">
        <f>입력란!$C$37+IF(입력란!$C$17=1,10,IF(입력란!$C$17=2,25,IF(입력란!$C$17=3,50,0)))</f>
        <v>200</v>
      </c>
      <c r="AM327" s="29">
        <f>SUM(AN327:AP327)</f>
        <v>209820.92449437417</v>
      </c>
      <c r="AN327" s="29">
        <f>(VLOOKUP(C327,$B$4:$AK$7,26,FALSE)+VLOOKUP(C327,$B$8:$AK$11,26,FALSE)*입력란!$C$23)*입력란!$C$38/100</f>
        <v>209820.92449437417</v>
      </c>
      <c r="AO327" s="29"/>
      <c r="AP327" s="29"/>
      <c r="AQ327" s="29"/>
      <c r="AR327" s="28">
        <v>30</v>
      </c>
    </row>
    <row r="328" spans="2:44" ht="13.5" customHeight="1" x14ac:dyDescent="0.3">
      <c r="B328" s="30">
        <v>313</v>
      </c>
      <c r="C328" s="35">
        <v>10</v>
      </c>
      <c r="D328" s="42" t="s">
        <v>385</v>
      </c>
      <c r="E328" s="37" t="s">
        <v>169</v>
      </c>
      <c r="F328" s="39" t="s">
        <v>393</v>
      </c>
      <c r="G328" s="39"/>
      <c r="H328" s="51">
        <f>I328/AJ328</f>
        <v>16178.680849903465</v>
      </c>
      <c r="I328" s="52">
        <f>SUM(J328:Q328)*IF(입력란!C$15=1,1.04,IF(입력란!C$15=2,1.1,IF(입력란!C$15=3,1.2,1)))*IF(입력란!$C$13&lt;&gt;0,0,1)*IF(입력란!$C$17&lt;&gt;0,0.98,1)</f>
        <v>464833.15821750055</v>
      </c>
      <c r="J328" s="29">
        <f>S328*(1+IF($AK328+IF(입력란!$C$9=1,IF(MID(E328,3,1)&lt;&gt;"1",10,0),0)+IF(MID(E328,3,1)="1",20,0)+IF(입력란!$C$19=1,10,0)&gt;100,100,$AK328+IF(입력란!$C$9=1,IF(MID(E328,3,1)&lt;&gt;"1",10,0),0)+IF(MID(E328,3,1)="1",20,0)+IF(입력란!$C$19=1,10,0))/100*($AL328/100-1))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36697.354596118465</v>
      </c>
      <c r="K328" s="29">
        <f>T328*(1+IF($AK328+IF(입력란!$C$9=1,IF(MID(E328,3,1)&lt;&gt;"1",10,0),0)+IF(MID(E328,3,1)="1",20,0)+IF(입력란!$C$19=1,10,0)&gt;100,100,$AK328+IF(입력란!$C$9=1,IF(MID(E328,3,1)&lt;&gt;"1",10,0),0)+IF(MID(E328,3,1)="1",20,0)+IF(입력란!$C$19=1,10,0))/100*($AL328/100-1))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36697.354596118465</v>
      </c>
      <c r="L328" s="29">
        <f>U328*(1+IF($AK328+IF(입력란!$C$9=1,IF(MID(E328,3,1)&lt;&gt;"1",10,0),0)+IF(MID(E328,3,1)="1",20,0)+IF(입력란!$C$19=1,10,0)&gt;100,100,$AK328+IF(입력란!$C$9=1,IF(MID(E328,3,1)&lt;&gt;"1",10,0),0)+IF(MID(E328,3,1)="1",20,0)+IF(입력란!$C$19=1,10,0))/100*($AL328/100-1))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36697.354596118465</v>
      </c>
      <c r="M328" s="29">
        <f>V328*(1+IF($AK328+IF(입력란!$C$9=1,IF(MID(E328,3,1)&lt;&gt;"1",10,0),0)+IF(MID(E328,3,1)="1",20,0)+IF(입력란!$C$19=1,10,0)&gt;100,100,$AK328+IF(입력란!$C$9=1,IF(MID(E328,3,1)&lt;&gt;"1",10,0),0)+IF(MID(E328,3,1)="1",20,0)+IF(입력란!$C$19=1,10,0))/100*($AL328/100-1))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36697.354596118465</v>
      </c>
      <c r="N328" s="38">
        <f>W328*(1+IF($AK328+IF(입력란!$C$9=1,IF(MID(E328,3,1)&lt;&gt;"1",10,0),0)+IF(MID(E328,3,1)="1",20,0)+IF(입력란!$C$19=1,10,0)&gt;100,100,$AK328+IF(입력란!$C$9=1,IF(MID(E328,3,1)&lt;&gt;"1",10,0),0)+IF(MID(E328,3,1)="1",20,0)+IF(입력란!$C$19=1,10,0))/100*($AL328/100-1))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73394.709192236929</v>
      </c>
      <c r="O328" s="38">
        <f>X328*(1+IF($AK328+IF(입력란!$C$9=1,IF(MID(E328,3,1)&lt;&gt;"1",10,0),0)+IF(MID(E328,3,1)="1",20,0)+IF(입력란!$C$19=1,10,0)&gt;100,100,$AK328+IF(입력란!$C$9=1,IF(MID(E328,3,1)&lt;&gt;"1",10,0),0)+IF(MID(E328,3,1)="1",20,0)+IF(입력란!$C$19=1,10,0))/100*($AL328/100-1))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73394.709192236929</v>
      </c>
      <c r="P328" s="38">
        <f>Y328*(1+IF($AK328+IF(입력란!$C$9=1,IF(MID(E328,3,1)&lt;&gt;"1",10,0),0)+IF(MID(E328,3,1)="1",20,0)+IF(입력란!$C$19=1,10,0)&gt;100,100,$AK328+IF(입력란!$C$9=1,IF(MID(E328,3,1)&lt;&gt;"1",10,0),0)+IF(MID(E328,3,1)="1",20,0)+IF(입력란!$C$19=1,10,0))/100*($AL328/100-1))</f>
        <v>171254.32144855283</v>
      </c>
      <c r="Q328" s="34">
        <f>Z328*(1+IF($AK328+IF(입력란!$C$19=1,10,0)&gt;100,100,$AK328+IF(입력란!$C$19=1,10,0))/100*($AL328/100-1))</f>
        <v>0</v>
      </c>
      <c r="R328" s="23">
        <f>SUM(S328:Z328)</f>
        <v>379887.97513537644</v>
      </c>
      <c r="S328" s="29">
        <f>AN328*0.12*IF(MID(E328,3,1)="1",트라이포드!$J$20,트라이포드!$I$20)*(1+입력란!$C$33/100)*IF(입력란!$C$9=1,IF(MID(E328,3,1)&lt;&gt;"1",IF(입력란!$C$14=0,1.05,IF(입력란!$C$14=1,1.05*1.05,IF(입력란!$C$14=2,1.05*1.12,IF(입력란!$C$14=3,1.05*1.25)))),1),1)</f>
        <v>29991.155931740243</v>
      </c>
      <c r="T328" s="29">
        <f>AN328*0.12*IF(MID(E328,3,1)="1",트라이포드!$J$20,트라이포드!$I$20)*(1+입력란!$C$33/100)*IF(입력란!$C$9=1,IF(MID(E328,3,1)&lt;&gt;"1",IF(입력란!$C$14=0,1.05,IF(입력란!$C$14=1,1.05*1.05,IF(입력란!$C$14=2,1.05*1.12,IF(입력란!$C$14=3,1.05*1.25)))),1),1)</f>
        <v>29991.155931740243</v>
      </c>
      <c r="U328" s="29">
        <f>AN328*0.12*IF(MID(E328,3,1)="1",트라이포드!$J$20,트라이포드!$I$20)*(1+입력란!$C$33/100)*IF(입력란!$C$9=1,IF(MID(E328,3,1)&lt;&gt;"1",IF(입력란!$C$14=0,1.05,IF(입력란!$C$14=1,1.05*1.05,IF(입력란!$C$14=2,1.05*1.12,IF(입력란!$C$14=3,1.05*1.25)))),1),1)</f>
        <v>29991.155931740243</v>
      </c>
      <c r="V328" s="29">
        <f>AN328*0.12*IF(MID(E328,1,1)="1",IF(G328="3히트",0,1),1)*IF(MID(E328,3,1)="1",트라이포드!$J$20,트라이포드!$I$20)*(1+입력란!$C$33/100)*IF(입력란!$C$9=1,IF(MID(E328,3,1)&lt;&gt;"1",IF(입력란!$C$14=0,1.05,IF(입력란!$C$14=1,1.05*1.05,IF(입력란!$C$14=2,1.05*1.12,IF(입력란!$C$14=3,1.05*1.25)))),1),1)</f>
        <v>29991.155931740243</v>
      </c>
      <c r="W328" s="29">
        <f>AN328*0.12*IF(MID(E328,1,1)="1",IF(G328="3히트",0,1),1)*IF(MID(E328,3,1)="1",트라이포드!$J$20,트라이포드!$I$20)*IF(MID(E328,5,1)="2",트라이포드!$R$20,트라이포드!$Q$20)*(1+입력란!$C$33/100)*IF(입력란!$C$9=1,IF(MID(E328,3,1)&lt;&gt;"1",IF(입력란!$C$14=0,1.05,IF(입력란!$C$14=1,1.05*1.05,IF(입력란!$C$14=2,1.05*1.12,IF(입력란!$C$14=3,1.05*1.25)))),1),1)</f>
        <v>59982.311863480485</v>
      </c>
      <c r="X328" s="29">
        <f>AN328*0.12*IF(MID(E328,1,1)="1",IF(G328="3히트",0,1),1)*IF(MID(E328,3,1)="1",트라이포드!$J$20,트라이포드!$I$20)*IF(MID(E328,5,1)="2",트라이포드!$R$20,트라이포드!$Q$20)*(1+입력란!$C$33/100)*IF(입력란!$C$9=1,IF(MID(E328,3,1)&lt;&gt;"1",IF(입력란!$C$14=0,1.05,IF(입력란!$C$14=1,1.05*1.05,IF(입력란!$C$14=2,1.05*1.12,IF(입력란!$C$14=3,1.05*1.25)))),1),1)</f>
        <v>59982.311863480485</v>
      </c>
      <c r="Y328" s="38">
        <f>AN328*0.28*IF(MID(E328,1,1)="1",IF(G328="3히트",0,1),1)*IF(MID(E328,3,1)="1",트라이포드!$J$20,트라이포드!$I$20)*IF(MID(E328,3,1)="3",트라이포드!$N$20,트라이포드!$M$20)*IF(MID(E328,5,1)="2",트라이포드!$R$20,트라이포드!$Q$20)*(1+입력란!$C$33/100)*IF(입력란!$C$9=1,IF(MID(E328,3,1)&lt;&gt;"1",IF(입력란!$C$14=0,1.05,IF(입력란!$C$14=1,1.05*1.05,IF(입력란!$C$14=2,1.05*1.12,IF(입력란!$C$14=3,1.05*1.25)))),1),1)</f>
        <v>139958.72768145447</v>
      </c>
      <c r="Z328" s="26">
        <f>(AN328*IF(MID(E328,5,1)="1",0.004*IF(G328="3히트",3,7)*5,0)+IF(MID(E328,5,1)="1",IF(G328="3히트",0,AN328*트라이포드!$P$20*IF(MID(E328,3,1)="1",트라이포드!$J$20,트라이포드!$I$20)),0)+IF(MID(E328,5,1)="1",IF(G328="3히트",0,AN328*0.03),0))*(1+입력란!$C$33/100)</f>
        <v>0</v>
      </c>
      <c r="AA328" s="29">
        <f>SUM(AB328:AI328)</f>
        <v>759775.95027075289</v>
      </c>
      <c r="AB328" s="29">
        <f>S328*2</f>
        <v>59982.311863480485</v>
      </c>
      <c r="AC328" s="29">
        <f>T328*2</f>
        <v>59982.311863480485</v>
      </c>
      <c r="AD328" s="29">
        <f>U328*2</f>
        <v>59982.311863480485</v>
      </c>
      <c r="AE328" s="29">
        <f>V328*2</f>
        <v>59982.311863480485</v>
      </c>
      <c r="AF328" s="29">
        <f>W328*2</f>
        <v>119964.62372696097</v>
      </c>
      <c r="AG328" s="29">
        <f>X328*2</f>
        <v>119964.62372696097</v>
      </c>
      <c r="AH328" s="29">
        <f>Y328*2</f>
        <v>279917.45536290895</v>
      </c>
      <c r="AI328" s="26">
        <f>Z328*2</f>
        <v>0</v>
      </c>
      <c r="AJ328" s="25">
        <f>IF(G328="3히트",10,AR328*(1-입력란!$C$29/100))</f>
        <v>28.731215018700002</v>
      </c>
      <c r="AK32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8" s="25">
        <f>입력란!$C$37+IF(입력란!$C$17=1,10,IF(입력란!$C$17=2,25,IF(입력란!$C$17=3,50,0)))</f>
        <v>200</v>
      </c>
      <c r="AM328" s="29">
        <f>SUM(AN328:AP328)</f>
        <v>209820.92449437417</v>
      </c>
      <c r="AN328" s="29">
        <f>(VLOOKUP(C328,$B$4:$AK$7,26,FALSE)+VLOOKUP(C328,$B$8:$AK$11,26,FALSE)*입력란!$C$23)*입력란!$C$38/100</f>
        <v>209820.92449437417</v>
      </c>
      <c r="AO328" s="29"/>
      <c r="AP328" s="29"/>
      <c r="AQ328" s="29"/>
      <c r="AR328" s="28">
        <v>30</v>
      </c>
    </row>
    <row r="329" spans="2:44" ht="13.5" customHeight="1" x14ac:dyDescent="0.3">
      <c r="B329" s="30">
        <v>314</v>
      </c>
      <c r="C329" s="35">
        <v>10</v>
      </c>
      <c r="D329" s="42" t="s">
        <v>385</v>
      </c>
      <c r="E329" s="37" t="s">
        <v>337</v>
      </c>
      <c r="F329" s="39"/>
      <c r="G329" s="39"/>
      <c r="H329" s="51">
        <f>I329/AJ329</f>
        <v>13621.985800155402</v>
      </c>
      <c r="I329" s="52">
        <f>SUM(J329:Q329)*IF(입력란!C$15=1,1.04,IF(입력란!C$15=2,1.1,IF(입력란!C$15=3,1.2,1)))*IF(입력란!$C$13&lt;&gt;0,0,1)*IF(입력란!$C$17&lt;&gt;0,0.98,1)</f>
        <v>391376.20300594304</v>
      </c>
      <c r="J329" s="29">
        <f>S329*(1+IF($AK329+IF(입력란!$C$9=1,IF(MID(E329,3,1)&lt;&gt;"1",10,0),0)+IF(MID(E329,3,1)="1",20,0)+IF(입력란!$C$19=1,10,0)&gt;100,100,$AK329+IF(입력란!$C$9=1,IF(MID(E329,3,1)&lt;&gt;"1",10,0),0)+IF(MID(E329,3,1)="1",20,0)+IF(입력란!$C$19=1,10,0))/100*($AL329/100-1))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K329" s="29">
        <f>T329*(1+IF($AK329+IF(입력란!$C$9=1,IF(MID(E329,3,1)&lt;&gt;"1",10,0),0)+IF(MID(E329,3,1)="1",20,0)+IF(입력란!$C$19=1,10,0)&gt;100,100,$AK329+IF(입력란!$C$9=1,IF(MID(E329,3,1)&lt;&gt;"1",10,0),0)+IF(MID(E329,3,1)="1",20,0)+IF(입력란!$C$19=1,10,0))/100*($AL329/100-1))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L329" s="29">
        <f>U329*(1+IF($AK329+IF(입력란!$C$9=1,IF(MID(E329,3,1)&lt;&gt;"1",10,0),0)+IF(MID(E329,3,1)="1",20,0)+IF(입력란!$C$19=1,10,0)&gt;100,100,$AK329+IF(입력란!$C$9=1,IF(MID(E329,3,1)&lt;&gt;"1",10,0),0)+IF(MID(E329,3,1)="1",20,0)+IF(입력란!$C$19=1,10,0))/100*($AL329/100-1))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M329" s="29">
        <f>V329*(1+IF($AK329+IF(입력란!$C$9=1,IF(MID(E329,3,1)&lt;&gt;"1",10,0),0)+IF(MID(E329,3,1)="1",20,0)+IF(입력란!$C$19=1,10,0)&gt;100,100,$AK329+IF(입력란!$C$9=1,IF(MID(E329,3,1)&lt;&gt;"1",10,0),0)+IF(MID(E329,3,1)="1",20,0)+IF(입력란!$C$19=1,10,0))/100*($AL329/100-1))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N329" s="38">
        <f>W329*(1+IF($AK329+IF(입력란!$C$9=1,IF(MID(E329,3,1)&lt;&gt;"1",10,0),0)+IF(MID(E329,3,1)="1",20,0)+IF(입력란!$C$19=1,10,0)&gt;100,100,$AK329+IF(입력란!$C$9=1,IF(MID(E329,3,1)&lt;&gt;"1",10,0),0)+IF(MID(E329,3,1)="1",20,0)+IF(입력란!$C$19=1,10,0))/100*($AL329/100-1))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O329" s="38">
        <f>X329*(1+IF($AK329+IF(입력란!$C$9=1,IF(MID(E329,3,1)&lt;&gt;"1",10,0),0)+IF(MID(E329,3,1)="1",20,0)+IF(입력란!$C$19=1,10,0)&gt;100,100,$AK329+IF(입력란!$C$9=1,IF(MID(E329,3,1)&lt;&gt;"1",10,0),0)+IF(MID(E329,3,1)="1",20,0)+IF(입력란!$C$19=1,10,0))/100*($AL329/100-1))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46965.144360713166</v>
      </c>
      <c r="P329" s="38">
        <f>Y329*(1+IF($AK329+IF(입력란!$C$9=1,IF(MID(E329,3,1)&lt;&gt;"1",10,0),0)+IF(MID(E329,3,1)="1",20,0)+IF(입력란!$C$19=1,10,0)&gt;100,100,$AK329+IF(입력란!$C$9=1,IF(MID(E329,3,1)&lt;&gt;"1",10,0),0)+IF(MID(E329,3,1)="1",20,0)+IF(입력란!$C$19=1,10,0))/100*($AL329/100-1))</f>
        <v>109585.33684166406</v>
      </c>
      <c r="Q329" s="34">
        <f>Z329*(1+IF($AK329+IF(입력란!$C$19=1,10,0)&gt;100,100,$AK329+IF(입력란!$C$19=1,10,0))/100*($AL329/100-1))</f>
        <v>0</v>
      </c>
      <c r="R329" s="23">
        <f>SUM(S329:Z329)</f>
        <v>274918.92937428562</v>
      </c>
      <c r="S329" s="29">
        <f>AN329*0.12*IF(MID(E329,3,1)="1",트라이포드!$J$20,트라이포드!$I$20)*(1+입력란!$C$33/100)*IF(입력란!$C$9=1,IF(MID(E329,3,1)&lt;&gt;"1",IF(입력란!$C$14=0,1.05,IF(입력란!$C$14=1,1.05*1.05,IF(입력란!$C$14=2,1.05*1.12,IF(입력란!$C$14=3,1.05*1.25)))),1),1)</f>
        <v>32990.271524914271</v>
      </c>
      <c r="T329" s="29">
        <f>AN329*0.12*IF(MID(E329,3,1)="1",트라이포드!$J$20,트라이포드!$I$20)*(1+입력란!$C$33/100)*IF(입력란!$C$9=1,IF(MID(E329,3,1)&lt;&gt;"1",IF(입력란!$C$14=0,1.05,IF(입력란!$C$14=1,1.05*1.05,IF(입력란!$C$14=2,1.05*1.12,IF(입력란!$C$14=3,1.05*1.25)))),1),1)</f>
        <v>32990.271524914271</v>
      </c>
      <c r="U329" s="29">
        <f>AN329*0.12*IF(MID(E329,3,1)="1",트라이포드!$J$20,트라이포드!$I$20)*(1+입력란!$C$33/100)*IF(입력란!$C$9=1,IF(MID(E329,3,1)&lt;&gt;"1",IF(입력란!$C$14=0,1.05,IF(입력란!$C$14=1,1.05*1.05,IF(입력란!$C$14=2,1.05*1.12,IF(입력란!$C$14=3,1.05*1.25)))),1),1)</f>
        <v>32990.271524914271</v>
      </c>
      <c r="V329" s="29">
        <f>AN329*0.12*IF(MID(E329,1,1)="1",IF(G329="3히트",0,1),1)*IF(MID(E329,3,1)="1",트라이포드!$J$20,트라이포드!$I$20)*(1+입력란!$C$33/100)*IF(입력란!$C$9=1,IF(MID(E329,3,1)&lt;&gt;"1",IF(입력란!$C$14=0,1.05,IF(입력란!$C$14=1,1.05*1.05,IF(입력란!$C$14=2,1.05*1.12,IF(입력란!$C$14=3,1.05*1.25)))),1),1)</f>
        <v>32990.271524914271</v>
      </c>
      <c r="W329" s="29">
        <f>AN329*0.12*IF(MID(E329,1,1)="1",IF(G329="3히트",0,1),1)*IF(MID(E329,3,1)="1",트라이포드!$J$20,트라이포드!$I$20)*IF(MID(E329,5,1)="2",트라이포드!$R$20,트라이포드!$Q$20)*(1+입력란!$C$33/100)*IF(입력란!$C$9=1,IF(MID(E329,3,1)&lt;&gt;"1",IF(입력란!$C$14=0,1.05,IF(입력란!$C$14=1,1.05*1.05,IF(입력란!$C$14=2,1.05*1.12,IF(입력란!$C$14=3,1.05*1.25)))),1),1)</f>
        <v>32990.271524914271</v>
      </c>
      <c r="X329" s="29">
        <f>AN329*0.12*IF(MID(E329,1,1)="1",IF(G329="3히트",0,1),1)*IF(MID(E329,3,1)="1",트라이포드!$J$20,트라이포드!$I$20)*IF(MID(E329,5,1)="2",트라이포드!$R$20,트라이포드!$Q$20)*(1+입력란!$C$33/100)*IF(입력란!$C$9=1,IF(MID(E329,3,1)&lt;&gt;"1",IF(입력란!$C$14=0,1.05,IF(입력란!$C$14=1,1.05*1.05,IF(입력란!$C$14=2,1.05*1.12,IF(입력란!$C$14=3,1.05*1.25)))),1),1)</f>
        <v>32990.271524914271</v>
      </c>
      <c r="Y329" s="38">
        <f>AN329*0.28*IF(MID(E329,1,1)="1",IF(G329="3히트",0,1),1)*IF(MID(E329,3,1)="1",트라이포드!$J$20,트라이포드!$I$20)*IF(MID(E329,3,1)="3",트라이포드!$N$20,트라이포드!$M$20)*IF(MID(E329,5,1)="2",트라이포드!$R$20,트라이포드!$Q$20)*(1+입력란!$C$33/100)*IF(입력란!$C$9=1,IF(MID(E329,3,1)&lt;&gt;"1",IF(입력란!$C$14=0,1.05,IF(입력란!$C$14=1,1.05*1.05,IF(입력란!$C$14=2,1.05*1.12,IF(입력란!$C$14=3,1.05*1.25)))),1),1)</f>
        <v>76977.300224799968</v>
      </c>
      <c r="Z329" s="26">
        <f>(AN329*IF(MID(E329,5,1)="1",0.004*IF(G329="3히트",3,7)*5,0)+IF(MID(E329,5,1)="1",IF(G329="3히트",0,AN329*트라이포드!$P$20*IF(MID(E329,3,1)="1",트라이포드!$J$20,트라이포드!$I$20)),0)+IF(MID(E329,5,1)="1",IF(G329="3히트",0,AN329*0.03),0))*(1+입력란!$C$33/100)</f>
        <v>0</v>
      </c>
      <c r="AA329" s="29">
        <f>SUM(AB329:AI329)</f>
        <v>549837.85874857125</v>
      </c>
      <c r="AB329" s="29">
        <f>S329*2</f>
        <v>65980.543049828542</v>
      </c>
      <c r="AC329" s="29">
        <f>T329*2</f>
        <v>65980.543049828542</v>
      </c>
      <c r="AD329" s="29">
        <f>U329*2</f>
        <v>65980.543049828542</v>
      </c>
      <c r="AE329" s="29">
        <f>V329*2</f>
        <v>65980.543049828542</v>
      </c>
      <c r="AF329" s="29">
        <f>W329*2</f>
        <v>65980.543049828542</v>
      </c>
      <c r="AG329" s="29">
        <f>X329*2</f>
        <v>65980.543049828542</v>
      </c>
      <c r="AH329" s="29">
        <f>Y329*2</f>
        <v>153954.60044959994</v>
      </c>
      <c r="AI329" s="26">
        <f>Z329*2</f>
        <v>0</v>
      </c>
      <c r="AJ329" s="25">
        <f>IF(G329="3히트",10,AR329*(1-입력란!$C$29/100))</f>
        <v>28.731215018700002</v>
      </c>
      <c r="AK32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29" s="25">
        <f>입력란!$C$37+IF(입력란!$C$17=1,10,IF(입력란!$C$17=2,25,IF(입력란!$C$17=3,50,0)))</f>
        <v>200</v>
      </c>
      <c r="AM329" s="29">
        <f>SUM(AN329:AP329)</f>
        <v>209820.92449437417</v>
      </c>
      <c r="AN329" s="29">
        <f>(VLOOKUP(C329,$B$4:$AK$7,26,FALSE)+VLOOKUP(C329,$B$8:$AK$11,26,FALSE)*입력란!$C$23)*입력란!$C$38/100</f>
        <v>209820.92449437417</v>
      </c>
      <c r="AO329" s="29"/>
      <c r="AP329" s="29"/>
      <c r="AQ329" s="29"/>
      <c r="AR329" s="28">
        <v>30</v>
      </c>
    </row>
    <row r="330" spans="2:44" ht="13.5" customHeight="1" x14ac:dyDescent="0.3">
      <c r="B330" s="30">
        <v>315</v>
      </c>
      <c r="C330" s="35">
        <v>10</v>
      </c>
      <c r="D330" s="42" t="s">
        <v>385</v>
      </c>
      <c r="E330" s="37" t="s">
        <v>390</v>
      </c>
      <c r="F330" s="39" t="s">
        <v>392</v>
      </c>
      <c r="G330" s="39"/>
      <c r="H330" s="51">
        <f>I330/AJ330</f>
        <v>22456.397053721106</v>
      </c>
      <c r="I330" s="52">
        <f>SUM(J330:Q330)*IF(입력란!C$15=1,1.04,IF(입력란!C$15=2,1.1,IF(입력란!C$15=3,1.2,1)))*IF(입력란!$C$13&lt;&gt;0,0,1)*IF(입력란!$C$17&lt;&gt;0,0.98,1)</f>
        <v>645199.57229576237</v>
      </c>
      <c r="J330" s="29">
        <f>S330*(1+IF($AK330+IF(입력란!$C$9=1,IF(MID(E330,3,1)&lt;&gt;"1",10,0),0)+IF(MID(E330,3,1)="1",20,0)+IF(입력란!$C$19=1,10,0)&gt;100,100,$AK330+IF(입력란!$C$9=1,IF(MID(E330,3,1)&lt;&gt;"1",10,0),0)+IF(MID(E330,3,1)="1",20,0)+IF(입력란!$C$19=1,10,0))/100*($AL330/100-1))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K330" s="29">
        <f>T330*(1+IF($AK330+IF(입력란!$C$9=1,IF(MID(E330,3,1)&lt;&gt;"1",10,0),0)+IF(MID(E330,3,1)="1",20,0)+IF(입력란!$C$19=1,10,0)&gt;100,100,$AK330+IF(입력란!$C$9=1,IF(MID(E330,3,1)&lt;&gt;"1",10,0),0)+IF(MID(E330,3,1)="1",20,0)+IF(입력란!$C$19=1,10,0))/100*($AL330/100-1))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L330" s="29">
        <f>U330*(1+IF($AK330+IF(입력란!$C$9=1,IF(MID(E330,3,1)&lt;&gt;"1",10,0),0)+IF(MID(E330,3,1)="1",20,0)+IF(입력란!$C$19=1,10,0)&gt;100,100,$AK330+IF(입력란!$C$9=1,IF(MID(E330,3,1)&lt;&gt;"1",10,0),0)+IF(MID(E330,3,1)="1",20,0)+IF(입력란!$C$19=1,10,0))/100*($AL330/100-1))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M330" s="29">
        <f>V330*(1+IF($AK330+IF(입력란!$C$9=1,IF(MID(E330,3,1)&lt;&gt;"1",10,0),0)+IF(MID(E330,3,1)="1",20,0)+IF(입력란!$C$19=1,10,0)&gt;100,100,$AK330+IF(입력란!$C$9=1,IF(MID(E330,3,1)&lt;&gt;"1",10,0),0)+IF(MID(E330,3,1)="1",20,0)+IF(입력란!$C$19=1,10,0))/100*($AL330/100-1))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N330" s="38">
        <f>W330*(1+IF($AK330+IF(입력란!$C$9=1,IF(MID(E330,3,1)&lt;&gt;"1",10,0),0)+IF(MID(E330,3,1)="1",20,0)+IF(입력란!$C$19=1,10,0)&gt;100,100,$AK330+IF(입력란!$C$9=1,IF(MID(E330,3,1)&lt;&gt;"1",10,0),0)+IF(MID(E330,3,1)="1",20,0)+IF(입력란!$C$19=1,10,0))/100*($AL330/100-1))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O330" s="38">
        <f>X330*(1+IF($AK330+IF(입력란!$C$9=1,IF(MID(E330,3,1)&lt;&gt;"1",10,0),0)+IF(MID(E330,3,1)="1",20,0)+IF(입력란!$C$19=1,10,0)&gt;100,100,$AK330+IF(입력란!$C$9=1,IF(MID(E330,3,1)&lt;&gt;"1",10,0),0)+IF(MID(E330,3,1)="1",20,0)+IF(입력란!$C$19=1,10,0))/100*($AL330/100-1))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46965.144360713166</v>
      </c>
      <c r="P330" s="38">
        <f>Y330*(1+IF($AK330+IF(입력란!$C$9=1,IF(MID(E330,3,1)&lt;&gt;"1",10,0),0)+IF(MID(E330,3,1)="1",20,0)+IF(입력란!$C$19=1,10,0)&gt;100,100,$AK330+IF(입력란!$C$9=1,IF(MID(E330,3,1)&lt;&gt;"1",10,0),0)+IF(MID(E330,3,1)="1",20,0)+IF(입력란!$C$19=1,10,0))/100*($AL330/100-1))</f>
        <v>109585.33684166406</v>
      </c>
      <c r="Q330" s="34">
        <f>Z330*(1+IF($AK330+IF(입력란!$C$19=1,10,0)&gt;100,100,$AK330+IF(입력란!$C$19=1,10,0))/100*($AL330/100-1))</f>
        <v>253823.36928981935</v>
      </c>
      <c r="R330" s="23">
        <f>SUM(S330:Z330)</f>
        <v>482357.75790215563</v>
      </c>
      <c r="S330" s="29">
        <f>AN330*0.12*IF(MID(E330,3,1)="1",트라이포드!$J$20,트라이포드!$I$20)*(1+입력란!$C$33/100)*IF(입력란!$C$9=1,IF(MID(E330,3,1)&lt;&gt;"1",IF(입력란!$C$14=0,1.05,IF(입력란!$C$14=1,1.05*1.05,IF(입력란!$C$14=2,1.05*1.12,IF(입력란!$C$14=3,1.05*1.25)))),1),1)</f>
        <v>32990.271524914271</v>
      </c>
      <c r="T330" s="29">
        <f>AN330*0.12*IF(MID(E330,3,1)="1",트라이포드!$J$20,트라이포드!$I$20)*(1+입력란!$C$33/100)*IF(입력란!$C$9=1,IF(MID(E330,3,1)&lt;&gt;"1",IF(입력란!$C$14=0,1.05,IF(입력란!$C$14=1,1.05*1.05,IF(입력란!$C$14=2,1.05*1.12,IF(입력란!$C$14=3,1.05*1.25)))),1),1)</f>
        <v>32990.271524914271</v>
      </c>
      <c r="U330" s="29">
        <f>AN330*0.12*IF(MID(E330,3,1)="1",트라이포드!$J$20,트라이포드!$I$20)*(1+입력란!$C$33/100)*IF(입력란!$C$9=1,IF(MID(E330,3,1)&lt;&gt;"1",IF(입력란!$C$14=0,1.05,IF(입력란!$C$14=1,1.05*1.05,IF(입력란!$C$14=2,1.05*1.12,IF(입력란!$C$14=3,1.05*1.25)))),1),1)</f>
        <v>32990.271524914271</v>
      </c>
      <c r="V330" s="29">
        <f>AN330*0.12*IF(MID(E330,1,1)="1",IF(G330="3히트",0,1),1)*IF(MID(E330,3,1)="1",트라이포드!$J$20,트라이포드!$I$20)*(1+입력란!$C$33/100)*IF(입력란!$C$9=1,IF(MID(E330,3,1)&lt;&gt;"1",IF(입력란!$C$14=0,1.05,IF(입력란!$C$14=1,1.05*1.05,IF(입력란!$C$14=2,1.05*1.12,IF(입력란!$C$14=3,1.05*1.25)))),1),1)</f>
        <v>32990.271524914271</v>
      </c>
      <c r="W330" s="29">
        <f>AN330*0.12*IF(MID(E330,1,1)="1",IF(G330="3히트",0,1),1)*IF(MID(E330,3,1)="1",트라이포드!$J$20,트라이포드!$I$20)*IF(MID(E330,5,1)="2",트라이포드!$R$20,트라이포드!$Q$20)*(1+입력란!$C$33/100)*IF(입력란!$C$9=1,IF(MID(E330,3,1)&lt;&gt;"1",IF(입력란!$C$14=0,1.05,IF(입력란!$C$14=1,1.05*1.05,IF(입력란!$C$14=2,1.05*1.12,IF(입력란!$C$14=3,1.05*1.25)))),1),1)</f>
        <v>32990.271524914271</v>
      </c>
      <c r="X330" s="29">
        <f>AN330*0.12*IF(MID(E330,1,1)="1",IF(G330="3히트",0,1),1)*IF(MID(E330,3,1)="1",트라이포드!$J$20,트라이포드!$I$20)*IF(MID(E330,5,1)="2",트라이포드!$R$20,트라이포드!$Q$20)*(1+입력란!$C$33/100)*IF(입력란!$C$9=1,IF(MID(E330,3,1)&lt;&gt;"1",IF(입력란!$C$14=0,1.05,IF(입력란!$C$14=1,1.05*1.05,IF(입력란!$C$14=2,1.05*1.12,IF(입력란!$C$14=3,1.05*1.25)))),1),1)</f>
        <v>32990.271524914271</v>
      </c>
      <c r="Y330" s="38">
        <f>AN330*0.28*IF(MID(E330,1,1)="1",IF(G330="3히트",0,1),1)*IF(MID(E330,3,1)="1",트라이포드!$J$20,트라이포드!$I$20)*IF(MID(E330,3,1)="3",트라이포드!$N$20,트라이포드!$M$20)*IF(MID(E330,5,1)="2",트라이포드!$R$20,트라이포드!$Q$20)*(1+입력란!$C$33/100)*IF(입력란!$C$9=1,IF(MID(E330,3,1)&lt;&gt;"1",IF(입력란!$C$14=0,1.05,IF(입력란!$C$14=1,1.05*1.05,IF(입력란!$C$14=2,1.05*1.12,IF(입력란!$C$14=3,1.05*1.25)))),1),1)</f>
        <v>76977.300224799968</v>
      </c>
      <c r="Z330" s="26">
        <f>(AN330*IF(MID(E330,5,1)="1",0.004*IF(G330="3히트",3,7)*5,0)+IF(MID(E330,5,1)="1",IF(G330="3히트",0,AN330*트라이포드!$P$20*IF(MID(E330,3,1)="1",트라이포드!$J$20,트라이포드!$I$20)),0)+IF(MID(E330,5,1)="1",IF(G330="3히트",0,AN330*0.03),0))*(1+입력란!$C$33/100)</f>
        <v>207438.82852787001</v>
      </c>
      <c r="AA330" s="29">
        <f>SUM(AB330:AI330)</f>
        <v>964715.51580431126</v>
      </c>
      <c r="AB330" s="29">
        <f>S330*2</f>
        <v>65980.543049828542</v>
      </c>
      <c r="AC330" s="29">
        <f>T330*2</f>
        <v>65980.543049828542</v>
      </c>
      <c r="AD330" s="29">
        <f>U330*2</f>
        <v>65980.543049828542</v>
      </c>
      <c r="AE330" s="29">
        <f>V330*2</f>
        <v>65980.543049828542</v>
      </c>
      <c r="AF330" s="29">
        <f>W330*2</f>
        <v>65980.543049828542</v>
      </c>
      <c r="AG330" s="29">
        <f>X330*2</f>
        <v>65980.543049828542</v>
      </c>
      <c r="AH330" s="29">
        <f>Y330*2</f>
        <v>153954.60044959994</v>
      </c>
      <c r="AI330" s="26">
        <f>Z330*2</f>
        <v>414877.65705574001</v>
      </c>
      <c r="AJ330" s="25">
        <f>IF(G330="3히트",10,AR330*(1-입력란!$C$29/100))</f>
        <v>28.731215018700002</v>
      </c>
      <c r="AK33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0" s="25">
        <f>입력란!$C$37+IF(입력란!$C$17=1,10,IF(입력란!$C$17=2,25,IF(입력란!$C$17=3,50,0)))</f>
        <v>200</v>
      </c>
      <c r="AM330" s="29">
        <f>SUM(AN330:AP330)</f>
        <v>209820.92449437417</v>
      </c>
      <c r="AN330" s="29">
        <f>(VLOOKUP(C330,$B$4:$AK$7,26,FALSE)+VLOOKUP(C330,$B$8:$AK$11,26,FALSE)*입력란!$C$23)*입력란!$C$38/100</f>
        <v>209820.92449437417</v>
      </c>
      <c r="AO330" s="29"/>
      <c r="AP330" s="29"/>
      <c r="AQ330" s="29"/>
      <c r="AR330" s="28">
        <v>30</v>
      </c>
    </row>
    <row r="331" spans="2:44" ht="13.5" customHeight="1" x14ac:dyDescent="0.3">
      <c r="B331" s="30">
        <v>316</v>
      </c>
      <c r="C331" s="35">
        <v>10</v>
      </c>
      <c r="D331" s="42" t="s">
        <v>385</v>
      </c>
      <c r="E331" s="37" t="s">
        <v>391</v>
      </c>
      <c r="F331" s="39" t="s">
        <v>393</v>
      </c>
      <c r="G331" s="39"/>
      <c r="H331" s="51">
        <f>I331/AJ331</f>
        <v>20705.418416236211</v>
      </c>
      <c r="I331" s="52">
        <f>SUM(J331:Q331)*IF(입력란!C$15=1,1.04,IF(입력란!C$15=2,1.1,IF(입력란!C$15=3,1.2,1)))*IF(입력란!$C$13&lt;&gt;0,0,1)*IF(입력란!$C$17&lt;&gt;0,0.98,1)</f>
        <v>594891.82856903342</v>
      </c>
      <c r="J331" s="29">
        <f>S331*(1+IF($AK331+IF(입력란!$C$9=1,IF(MID(E331,3,1)&lt;&gt;"1",10,0),0)+IF(MID(E331,3,1)="1",20,0)+IF(입력란!$C$19=1,10,0)&gt;100,100,$AK331+IF(입력란!$C$9=1,IF(MID(E331,3,1)&lt;&gt;"1",10,0),0)+IF(MID(E331,3,1)="1",20,0)+IF(입력란!$C$19=1,10,0))/100*($AL331/100-1))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46965.144360713166</v>
      </c>
      <c r="K331" s="29">
        <f>T331*(1+IF($AK331+IF(입력란!$C$9=1,IF(MID(E331,3,1)&lt;&gt;"1",10,0),0)+IF(MID(E331,3,1)="1",20,0)+IF(입력란!$C$19=1,10,0)&gt;100,100,$AK331+IF(입력란!$C$9=1,IF(MID(E331,3,1)&lt;&gt;"1",10,0),0)+IF(MID(E331,3,1)="1",20,0)+IF(입력란!$C$19=1,10,0))/100*($AL331/100-1))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46965.144360713166</v>
      </c>
      <c r="L331" s="29">
        <f>U331*(1+IF($AK331+IF(입력란!$C$9=1,IF(MID(E331,3,1)&lt;&gt;"1",10,0),0)+IF(MID(E331,3,1)="1",20,0)+IF(입력란!$C$19=1,10,0)&gt;100,100,$AK331+IF(입력란!$C$9=1,IF(MID(E331,3,1)&lt;&gt;"1",10,0),0)+IF(MID(E331,3,1)="1",20,0)+IF(입력란!$C$19=1,10,0))/100*($AL331/100-1))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46965.144360713166</v>
      </c>
      <c r="M331" s="29">
        <f>V331*(1+IF($AK331+IF(입력란!$C$9=1,IF(MID(E331,3,1)&lt;&gt;"1",10,0),0)+IF(MID(E331,3,1)="1",20,0)+IF(입력란!$C$19=1,10,0)&gt;100,100,$AK331+IF(입력란!$C$9=1,IF(MID(E331,3,1)&lt;&gt;"1",10,0),0)+IF(MID(E331,3,1)="1",20,0)+IF(입력란!$C$19=1,10,0))/100*($AL331/100-1))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46965.144360713166</v>
      </c>
      <c r="N331" s="38">
        <f>W331*(1+IF($AK331+IF(입력란!$C$9=1,IF(MID(E331,3,1)&lt;&gt;"1",10,0),0)+IF(MID(E331,3,1)="1",20,0)+IF(입력란!$C$19=1,10,0)&gt;100,100,$AK331+IF(입력란!$C$9=1,IF(MID(E331,3,1)&lt;&gt;"1",10,0),0)+IF(MID(E331,3,1)="1",20,0)+IF(입력란!$C$19=1,10,0))/100*($AL331/100-1))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93930.288721426332</v>
      </c>
      <c r="O331" s="38">
        <f>X331*(1+IF($AK331+IF(입력란!$C$9=1,IF(MID(E331,3,1)&lt;&gt;"1",10,0),0)+IF(MID(E331,3,1)="1",20,0)+IF(입력란!$C$19=1,10,0)&gt;100,100,$AK331+IF(입력란!$C$9=1,IF(MID(E331,3,1)&lt;&gt;"1",10,0),0)+IF(MID(E331,3,1)="1",20,0)+IF(입력란!$C$19=1,10,0))/100*($AL331/100-1))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93930.288721426332</v>
      </c>
      <c r="P331" s="38">
        <f>Y331*(1+IF($AK331+IF(입력란!$C$9=1,IF(MID(E331,3,1)&lt;&gt;"1",10,0),0)+IF(MID(E331,3,1)="1",20,0)+IF(입력란!$C$19=1,10,0)&gt;100,100,$AK331+IF(입력란!$C$9=1,IF(MID(E331,3,1)&lt;&gt;"1",10,0),0)+IF(MID(E331,3,1)="1",20,0)+IF(입력란!$C$19=1,10,0))/100*($AL331/100-1))</f>
        <v>219170.67368332812</v>
      </c>
      <c r="Q331" s="34">
        <f>Z331*(1+IF($AK331+IF(입력란!$C$19=1,10,0)&gt;100,100,$AK331+IF(입력란!$C$19=1,10,0))/100*($AL331/100-1))</f>
        <v>0</v>
      </c>
      <c r="R331" s="23">
        <f>SUM(S331:Z331)</f>
        <v>417876.77264891414</v>
      </c>
      <c r="S331" s="29">
        <f>AN331*0.12*IF(MID(E331,3,1)="1",트라이포드!$J$20,트라이포드!$I$20)*(1+입력란!$C$33/100)*IF(입력란!$C$9=1,IF(MID(E331,3,1)&lt;&gt;"1",IF(입력란!$C$14=0,1.05,IF(입력란!$C$14=1,1.05*1.05,IF(입력란!$C$14=2,1.05*1.12,IF(입력란!$C$14=3,1.05*1.25)))),1),1)</f>
        <v>32990.271524914271</v>
      </c>
      <c r="T331" s="29">
        <f>AN331*0.12*IF(MID(E331,3,1)="1",트라이포드!$J$20,트라이포드!$I$20)*(1+입력란!$C$33/100)*IF(입력란!$C$9=1,IF(MID(E331,3,1)&lt;&gt;"1",IF(입력란!$C$14=0,1.05,IF(입력란!$C$14=1,1.05*1.05,IF(입력란!$C$14=2,1.05*1.12,IF(입력란!$C$14=3,1.05*1.25)))),1),1)</f>
        <v>32990.271524914271</v>
      </c>
      <c r="U331" s="29">
        <f>AN331*0.12*IF(MID(E331,3,1)="1",트라이포드!$J$20,트라이포드!$I$20)*(1+입력란!$C$33/100)*IF(입력란!$C$9=1,IF(MID(E331,3,1)&lt;&gt;"1",IF(입력란!$C$14=0,1.05,IF(입력란!$C$14=1,1.05*1.05,IF(입력란!$C$14=2,1.05*1.12,IF(입력란!$C$14=3,1.05*1.25)))),1),1)</f>
        <v>32990.271524914271</v>
      </c>
      <c r="V331" s="29">
        <f>AN331*0.12*IF(MID(E331,1,1)="1",IF(G331="3히트",0,1),1)*IF(MID(E331,3,1)="1",트라이포드!$J$20,트라이포드!$I$20)*(1+입력란!$C$33/100)*IF(입력란!$C$9=1,IF(MID(E331,3,1)&lt;&gt;"1",IF(입력란!$C$14=0,1.05,IF(입력란!$C$14=1,1.05*1.05,IF(입력란!$C$14=2,1.05*1.12,IF(입력란!$C$14=3,1.05*1.25)))),1),1)</f>
        <v>32990.271524914271</v>
      </c>
      <c r="W331" s="29">
        <f>AN331*0.12*IF(MID(E331,1,1)="1",IF(G331="3히트",0,1),1)*IF(MID(E331,3,1)="1",트라이포드!$J$20,트라이포드!$I$20)*IF(MID(E331,5,1)="2",트라이포드!$R$20,트라이포드!$Q$20)*(1+입력란!$C$33/100)*IF(입력란!$C$9=1,IF(MID(E331,3,1)&lt;&gt;"1",IF(입력란!$C$14=0,1.05,IF(입력란!$C$14=1,1.05*1.05,IF(입력란!$C$14=2,1.05*1.12,IF(입력란!$C$14=3,1.05*1.25)))),1),1)</f>
        <v>65980.543049828542</v>
      </c>
      <c r="X331" s="29">
        <f>AN331*0.12*IF(MID(E331,1,1)="1",IF(G331="3히트",0,1),1)*IF(MID(E331,3,1)="1",트라이포드!$J$20,트라이포드!$I$20)*IF(MID(E331,5,1)="2",트라이포드!$R$20,트라이포드!$Q$20)*(1+입력란!$C$33/100)*IF(입력란!$C$9=1,IF(MID(E331,3,1)&lt;&gt;"1",IF(입력란!$C$14=0,1.05,IF(입력란!$C$14=1,1.05*1.05,IF(입력란!$C$14=2,1.05*1.12,IF(입력란!$C$14=3,1.05*1.25)))),1),1)</f>
        <v>65980.543049828542</v>
      </c>
      <c r="Y331" s="38">
        <f>AN331*0.28*IF(MID(E331,1,1)="1",IF(G331="3히트",0,1),1)*IF(MID(E331,3,1)="1",트라이포드!$J$20,트라이포드!$I$20)*IF(MID(E331,3,1)="3",트라이포드!$N$20,트라이포드!$M$20)*IF(MID(E331,5,1)="2",트라이포드!$R$20,트라이포드!$Q$20)*(1+입력란!$C$33/100)*IF(입력란!$C$9=1,IF(MID(E331,3,1)&lt;&gt;"1",IF(입력란!$C$14=0,1.05,IF(입력란!$C$14=1,1.05*1.05,IF(입력란!$C$14=2,1.05*1.12,IF(입력란!$C$14=3,1.05*1.25)))),1),1)</f>
        <v>153954.60044959994</v>
      </c>
      <c r="Z331" s="26">
        <f>(AN331*IF(MID(E331,5,1)="1",0.004*IF(G331="3히트",3,7)*5,0)+IF(MID(E331,5,1)="1",IF(G331="3히트",0,AN331*트라이포드!$P$20*IF(MID(E331,3,1)="1",트라이포드!$J$20,트라이포드!$I$20)),0)+IF(MID(E331,5,1)="1",IF(G331="3히트",0,AN331*0.03),0))*(1+입력란!$C$33/100)</f>
        <v>0</v>
      </c>
      <c r="AA331" s="29">
        <f>SUM(AB331:AI331)</f>
        <v>835753.54529782827</v>
      </c>
      <c r="AB331" s="29">
        <f>S331*2</f>
        <v>65980.543049828542</v>
      </c>
      <c r="AC331" s="29">
        <f>T331*2</f>
        <v>65980.543049828542</v>
      </c>
      <c r="AD331" s="29">
        <f>U331*2</f>
        <v>65980.543049828542</v>
      </c>
      <c r="AE331" s="29">
        <f>V331*2</f>
        <v>65980.543049828542</v>
      </c>
      <c r="AF331" s="29">
        <f>W331*2</f>
        <v>131961.08609965708</v>
      </c>
      <c r="AG331" s="29">
        <f>X331*2</f>
        <v>131961.08609965708</v>
      </c>
      <c r="AH331" s="29">
        <f>Y331*2</f>
        <v>307909.20089919987</v>
      </c>
      <c r="AI331" s="26">
        <f>Z331*2</f>
        <v>0</v>
      </c>
      <c r="AJ331" s="25">
        <f>IF(G331="3히트",10,AR331*(1-입력란!$C$29/100))</f>
        <v>28.731215018700002</v>
      </c>
      <c r="AK33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1" s="25">
        <f>입력란!$C$37+IF(입력란!$C$17=1,10,IF(입력란!$C$17=2,25,IF(입력란!$C$17=3,50,0)))</f>
        <v>200</v>
      </c>
      <c r="AM331" s="29">
        <f>SUM(AN331:AP331)</f>
        <v>209820.92449437417</v>
      </c>
      <c r="AN331" s="29">
        <f>(VLOOKUP(C331,$B$4:$AK$7,26,FALSE)+VLOOKUP(C331,$B$8:$AK$11,26,FALSE)*입력란!$C$23)*입력란!$C$38/100</f>
        <v>209820.92449437417</v>
      </c>
      <c r="AO331" s="29"/>
      <c r="AP331" s="29"/>
      <c r="AQ331" s="29"/>
      <c r="AR331" s="28">
        <v>30</v>
      </c>
    </row>
    <row r="332" spans="2:44" ht="13.5" customHeight="1" x14ac:dyDescent="0.3">
      <c r="B332" s="30">
        <v>317</v>
      </c>
      <c r="C332" s="35">
        <v>10</v>
      </c>
      <c r="D332" s="42" t="s">
        <v>385</v>
      </c>
      <c r="E332" s="37" t="s">
        <v>339</v>
      </c>
      <c r="F332" s="39"/>
      <c r="G332" s="39"/>
      <c r="H332" s="51">
        <f>I332/AJ332</f>
        <v>15114.293951883503</v>
      </c>
      <c r="I332" s="52">
        <f>SUM(J332:Q332)*IF(입력란!C$15=1,1.04,IF(입력란!C$15=2,1.1,IF(입력란!C$15=3,1.2,1)))*IF(입력란!$C$13&lt;&gt;0,0,1)*IF(입력란!$C$17&lt;&gt;0,0.98,1)</f>
        <v>434252.02938740188</v>
      </c>
      <c r="J332" s="29">
        <f>S332*(1+IF($AK332+IF(입력란!$C$9=1,IF(MID(E332,3,1)&lt;&gt;"1",10,0),0)+IF(MID(E332,3,1)="1",20,0)+IF(입력란!$C$19=1,10,0)&gt;100,100,$AK332+IF(입력란!$C$9=1,IF(MID(E332,3,1)&lt;&gt;"1",10,0),0)+IF(MID(E332,3,1)="1",20,0)+IF(입력란!$C$19=1,10,0))/100*($AL332/100-1))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K332" s="29">
        <f>T332*(1+IF($AK332+IF(입력란!$C$9=1,IF(MID(E332,3,1)&lt;&gt;"1",10,0),0)+IF(MID(E332,3,1)="1",20,0)+IF(입력란!$C$19=1,10,0)&gt;100,100,$AK332+IF(입력란!$C$9=1,IF(MID(E332,3,1)&lt;&gt;"1",10,0),0)+IF(MID(E332,3,1)="1",20,0)+IF(입력란!$C$19=1,10,0))/100*($AL332/100-1))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L332" s="29">
        <f>U332*(1+IF($AK332+IF(입력란!$C$9=1,IF(MID(E332,3,1)&lt;&gt;"1",10,0),0)+IF(MID(E332,3,1)="1",20,0)+IF(입력란!$C$19=1,10,0)&gt;100,100,$AK332+IF(입력란!$C$9=1,IF(MID(E332,3,1)&lt;&gt;"1",10,0),0)+IF(MID(E332,3,1)="1",20,0)+IF(입력란!$C$19=1,10,0))/100*($AL332/100-1))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M332" s="29">
        <f>V332*(1+IF($AK332+IF(입력란!$C$9=1,IF(MID(E332,3,1)&lt;&gt;"1",10,0),0)+IF(MID(E332,3,1)="1",20,0)+IF(입력란!$C$19=1,10,0)&gt;100,100,$AK332+IF(입력란!$C$9=1,IF(MID(E332,3,1)&lt;&gt;"1",10,0),0)+IF(MID(E332,3,1)="1",20,0)+IF(입력란!$C$19=1,10,0))/100*($AL332/100-1))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N332" s="38">
        <f>W332*(1+IF($AK332+IF(입력란!$C$9=1,IF(MID(E332,3,1)&lt;&gt;"1",10,0),0)+IF(MID(E332,3,1)="1",20,0)+IF(입력란!$C$19=1,10,0)&gt;100,100,$AK332+IF(입력란!$C$9=1,IF(MID(E332,3,1)&lt;&gt;"1",10,0),0)+IF(MID(E332,3,1)="1",20,0)+IF(입력란!$C$19=1,10,0))/100*($AL332/100-1))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O332" s="38">
        <f>X332*(1+IF($AK332+IF(입력란!$C$9=1,IF(MID(E332,3,1)&lt;&gt;"1",10,0),0)+IF(MID(E332,3,1)="1",20,0)+IF(입력란!$C$19=1,10,0)&gt;100,100,$AK332+IF(입력란!$C$9=1,IF(MID(E332,3,1)&lt;&gt;"1",10,0),0)+IF(MID(E332,3,1)="1",20,0)+IF(입력란!$C$19=1,10,0))/100*($AL332/100-1))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36697.354596118465</v>
      </c>
      <c r="P332" s="38">
        <f>Y332*(1+IF($AK332+IF(입력란!$C$9=1,IF(MID(E332,3,1)&lt;&gt;"1",10,0),0)+IF(MID(E332,3,1)="1",20,0)+IF(입력란!$C$19=1,10,0)&gt;100,100,$AK332+IF(입력란!$C$9=1,IF(MID(E332,3,1)&lt;&gt;"1",10,0),0)+IF(MID(E332,3,1)="1",20,0)+IF(입력란!$C$19=1,10,0))/100*($AL332/100-1))</f>
        <v>214067.90181069105</v>
      </c>
      <c r="Q332" s="34">
        <f>Z332*(1+IF($AK332+IF(입력란!$C$19=1,10,0)&gt;100,100,$AK332+IF(입력란!$C$19=1,10,0))/100*($AL332/100-1))</f>
        <v>0</v>
      </c>
      <c r="R332" s="23">
        <f>SUM(S332:Z332)</f>
        <v>354895.34519225953</v>
      </c>
      <c r="S332" s="29">
        <f>AN332*0.12*IF(MID(E332,3,1)="1",트라이포드!$J$20,트라이포드!$I$20)*(1+입력란!$C$33/100)*IF(입력란!$C$9=1,IF(MID(E332,3,1)&lt;&gt;"1",IF(입력란!$C$14=0,1.05,IF(입력란!$C$14=1,1.05*1.05,IF(입력란!$C$14=2,1.05*1.12,IF(입력란!$C$14=3,1.05*1.25)))),1),1)</f>
        <v>29991.155931740243</v>
      </c>
      <c r="T332" s="29">
        <f>AN332*0.12*IF(MID(E332,3,1)="1",트라이포드!$J$20,트라이포드!$I$20)*(1+입력란!$C$33/100)*IF(입력란!$C$9=1,IF(MID(E332,3,1)&lt;&gt;"1",IF(입력란!$C$14=0,1.05,IF(입력란!$C$14=1,1.05*1.05,IF(입력란!$C$14=2,1.05*1.12,IF(입력란!$C$14=3,1.05*1.25)))),1),1)</f>
        <v>29991.155931740243</v>
      </c>
      <c r="U332" s="29">
        <f>AN332*0.12*IF(MID(E332,3,1)="1",트라이포드!$J$20,트라이포드!$I$20)*(1+입력란!$C$33/100)*IF(입력란!$C$9=1,IF(MID(E332,3,1)&lt;&gt;"1",IF(입력란!$C$14=0,1.05,IF(입력란!$C$14=1,1.05*1.05,IF(입력란!$C$14=2,1.05*1.12,IF(입력란!$C$14=3,1.05*1.25)))),1),1)</f>
        <v>29991.155931740243</v>
      </c>
      <c r="V332" s="29">
        <f>AN332*0.12*IF(MID(E332,1,1)="1",IF(G332="3히트",0,1),1)*IF(MID(E332,3,1)="1",트라이포드!$J$20,트라이포드!$I$20)*(1+입력란!$C$33/100)*IF(입력란!$C$9=1,IF(MID(E332,3,1)&lt;&gt;"1",IF(입력란!$C$14=0,1.05,IF(입력란!$C$14=1,1.05*1.05,IF(입력란!$C$14=2,1.05*1.12,IF(입력란!$C$14=3,1.05*1.25)))),1),1)</f>
        <v>29991.155931740243</v>
      </c>
      <c r="W332" s="29">
        <f>AN332*0.12*IF(MID(E332,1,1)="1",IF(G332="3히트",0,1),1)*IF(MID(E332,3,1)="1",트라이포드!$J$20,트라이포드!$I$20)*IF(MID(E332,5,1)="2",트라이포드!$R$20,트라이포드!$Q$20)*(1+입력란!$C$33/100)*IF(입력란!$C$9=1,IF(MID(E332,3,1)&lt;&gt;"1",IF(입력란!$C$14=0,1.05,IF(입력란!$C$14=1,1.05*1.05,IF(입력란!$C$14=2,1.05*1.12,IF(입력란!$C$14=3,1.05*1.25)))),1),1)</f>
        <v>29991.155931740243</v>
      </c>
      <c r="X332" s="29">
        <f>AN332*0.12*IF(MID(E332,1,1)="1",IF(G332="3히트",0,1),1)*IF(MID(E332,3,1)="1",트라이포드!$J$20,트라이포드!$I$20)*IF(MID(E332,5,1)="2",트라이포드!$R$20,트라이포드!$Q$20)*(1+입력란!$C$33/100)*IF(입력란!$C$9=1,IF(MID(E332,3,1)&lt;&gt;"1",IF(입력란!$C$14=0,1.05,IF(입력란!$C$14=1,1.05*1.05,IF(입력란!$C$14=2,1.05*1.12,IF(입력란!$C$14=3,1.05*1.25)))),1),1)</f>
        <v>29991.155931740243</v>
      </c>
      <c r="Y332" s="38">
        <f>AN332*0.28*IF(MID(E332,1,1)="1",IF(G332="3히트",0,1),1)*IF(MID(E332,3,1)="1",트라이포드!$J$20,트라이포드!$I$20)*IF(MID(E332,3,1)="3",트라이포드!$N$20,트라이포드!$M$20)*IF(MID(E332,5,1)="2",트라이포드!$R$20,트라이포드!$Q$20)*(1+입력란!$C$33/100)*IF(입력란!$C$9=1,IF(MID(E332,3,1)&lt;&gt;"1",IF(입력란!$C$14=0,1.05,IF(입력란!$C$14=1,1.05*1.05,IF(입력란!$C$14=2,1.05*1.12,IF(입력란!$C$14=3,1.05*1.25)))),1),1)</f>
        <v>174948.4096018181</v>
      </c>
      <c r="Z332" s="26">
        <f>(AN332*IF(MID(E332,5,1)="1",0.004*IF(G332="3히트",3,7)*5,0)+IF(MID(E332,5,1)="1",IF(G332="3히트",0,AN332*트라이포드!$P$20*IF(MID(E332,3,1)="1",트라이포드!$J$20,트라이포드!$I$20)),0)+IF(MID(E332,5,1)="1",IF(G332="3히트",0,AN332*0.03),0))*(1+입력란!$C$33/100)</f>
        <v>0</v>
      </c>
      <c r="AA332" s="29">
        <f>SUM(AB332:AI332)</f>
        <v>709790.69038451905</v>
      </c>
      <c r="AB332" s="29">
        <f>S332*2</f>
        <v>59982.311863480485</v>
      </c>
      <c r="AC332" s="29">
        <f>T332*2</f>
        <v>59982.311863480485</v>
      </c>
      <c r="AD332" s="29">
        <f>U332*2</f>
        <v>59982.311863480485</v>
      </c>
      <c r="AE332" s="29">
        <f>V332*2</f>
        <v>59982.311863480485</v>
      </c>
      <c r="AF332" s="29">
        <f>W332*2</f>
        <v>59982.311863480485</v>
      </c>
      <c r="AG332" s="29">
        <f>X332*2</f>
        <v>59982.311863480485</v>
      </c>
      <c r="AH332" s="29">
        <f>Y332*2</f>
        <v>349896.8192036362</v>
      </c>
      <c r="AI332" s="26">
        <f>Z332*2</f>
        <v>0</v>
      </c>
      <c r="AJ332" s="25">
        <f>IF(G332="3히트",10,AR332*(1-입력란!$C$29/100))</f>
        <v>28.731215018700002</v>
      </c>
      <c r="AK33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2" s="25">
        <f>입력란!$C$37+IF(입력란!$C$17=1,10,IF(입력란!$C$17=2,25,IF(입력란!$C$17=3,50,0)))</f>
        <v>200</v>
      </c>
      <c r="AM332" s="29">
        <f>SUM(AN332:AP332)</f>
        <v>209820.92449437417</v>
      </c>
      <c r="AN332" s="29">
        <f>(VLOOKUP(C332,$B$4:$AK$7,26,FALSE)+VLOOKUP(C332,$B$8:$AK$11,26,FALSE)*입력란!$C$23)*입력란!$C$38/100</f>
        <v>209820.92449437417</v>
      </c>
      <c r="AO332" s="29"/>
      <c r="AP332" s="29"/>
      <c r="AQ332" s="29"/>
      <c r="AR332" s="28">
        <v>30</v>
      </c>
    </row>
    <row r="333" spans="2:44" ht="13.5" customHeight="1" x14ac:dyDescent="0.3">
      <c r="B333" s="30">
        <v>318</v>
      </c>
      <c r="C333" s="35">
        <v>10</v>
      </c>
      <c r="D333" s="42" t="s">
        <v>385</v>
      </c>
      <c r="E333" s="37" t="s">
        <v>159</v>
      </c>
      <c r="F333" s="39" t="s">
        <v>392</v>
      </c>
      <c r="G333" s="39"/>
      <c r="H333" s="51">
        <f>I333/AJ333</f>
        <v>23310.073066637229</v>
      </c>
      <c r="I333" s="52">
        <f>SUM(J333:Q333)*IF(입력란!C$15=1,1.04,IF(입력란!C$15=2,1.1,IF(입력란!C$15=3,1.2,1)))*IF(입력란!$C$13&lt;&gt;0,0,1)*IF(입력란!$C$17&lt;&gt;0,0.98,1)</f>
        <v>669726.72137916193</v>
      </c>
      <c r="J333" s="29">
        <f>S333*(1+IF($AK333+IF(입력란!$C$9=1,IF(MID(E333,3,1)&lt;&gt;"1",10,0),0)+IF(MID(E333,3,1)="1",20,0)+IF(입력란!$C$19=1,10,0)&gt;100,100,$AK333+IF(입력란!$C$9=1,IF(MID(E333,3,1)&lt;&gt;"1",10,0),0)+IF(MID(E333,3,1)="1",20,0)+IF(입력란!$C$19=1,10,0))/100*($AL333/100-1))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K333" s="29">
        <f>T333*(1+IF($AK333+IF(입력란!$C$9=1,IF(MID(E333,3,1)&lt;&gt;"1",10,0),0)+IF(MID(E333,3,1)="1",20,0)+IF(입력란!$C$19=1,10,0)&gt;100,100,$AK333+IF(입력란!$C$9=1,IF(MID(E333,3,1)&lt;&gt;"1",10,0),0)+IF(MID(E333,3,1)="1",20,0)+IF(입력란!$C$19=1,10,0))/100*($AL333/100-1))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L333" s="29">
        <f>U333*(1+IF($AK333+IF(입력란!$C$9=1,IF(MID(E333,3,1)&lt;&gt;"1",10,0),0)+IF(MID(E333,3,1)="1",20,0)+IF(입력란!$C$19=1,10,0)&gt;100,100,$AK333+IF(입력란!$C$9=1,IF(MID(E333,3,1)&lt;&gt;"1",10,0),0)+IF(MID(E333,3,1)="1",20,0)+IF(입력란!$C$19=1,10,0))/100*($AL333/100-1))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M333" s="29">
        <f>V333*(1+IF($AK333+IF(입력란!$C$9=1,IF(MID(E333,3,1)&lt;&gt;"1",10,0),0)+IF(MID(E333,3,1)="1",20,0)+IF(입력란!$C$19=1,10,0)&gt;100,100,$AK333+IF(입력란!$C$9=1,IF(MID(E333,3,1)&lt;&gt;"1",10,0),0)+IF(MID(E333,3,1)="1",20,0)+IF(입력란!$C$19=1,10,0))/100*($AL333/100-1))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N333" s="38">
        <f>W333*(1+IF($AK333+IF(입력란!$C$9=1,IF(MID(E333,3,1)&lt;&gt;"1",10,0),0)+IF(MID(E333,3,1)="1",20,0)+IF(입력란!$C$19=1,10,0)&gt;100,100,$AK333+IF(입력란!$C$9=1,IF(MID(E333,3,1)&lt;&gt;"1",10,0),0)+IF(MID(E333,3,1)="1",20,0)+IF(입력란!$C$19=1,10,0))/100*($AL333/100-1))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O333" s="38">
        <f>X333*(1+IF($AK333+IF(입력란!$C$9=1,IF(MID(E333,3,1)&lt;&gt;"1",10,0),0)+IF(MID(E333,3,1)="1",20,0)+IF(입력란!$C$19=1,10,0)&gt;100,100,$AK333+IF(입력란!$C$9=1,IF(MID(E333,3,1)&lt;&gt;"1",10,0),0)+IF(MID(E333,3,1)="1",20,0)+IF(입력란!$C$19=1,10,0))/100*($AL333/100-1))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36697.354596118465</v>
      </c>
      <c r="P333" s="38">
        <f>Y333*(1+IF($AK333+IF(입력란!$C$9=1,IF(MID(E333,3,1)&lt;&gt;"1",10,0),0)+IF(MID(E333,3,1)="1",20,0)+IF(입력란!$C$19=1,10,0)&gt;100,100,$AK333+IF(입력란!$C$9=1,IF(MID(E333,3,1)&lt;&gt;"1",10,0),0)+IF(MID(E333,3,1)="1",20,0)+IF(입력란!$C$19=1,10,0))/100*($AL333/100-1))</f>
        <v>214067.90181069105</v>
      </c>
      <c r="Q333" s="34">
        <f>Z333*(1+IF($AK333+IF(입력란!$C$19=1,10,0)&gt;100,100,$AK333+IF(입력란!$C$19=1,10,0))/100*($AL333/100-1))</f>
        <v>235474.69199176008</v>
      </c>
      <c r="R333" s="23">
        <f>SUM(S333:Z333)</f>
        <v>547338.59575425938</v>
      </c>
      <c r="S333" s="29">
        <f>AN333*0.12*IF(MID(E333,3,1)="1",트라이포드!$J$20,트라이포드!$I$20)*(1+입력란!$C$33/100)*IF(입력란!$C$9=1,IF(MID(E333,3,1)&lt;&gt;"1",IF(입력란!$C$14=0,1.05,IF(입력란!$C$14=1,1.05*1.05,IF(입력란!$C$14=2,1.05*1.12,IF(입력란!$C$14=3,1.05*1.25)))),1),1)</f>
        <v>29991.155931740243</v>
      </c>
      <c r="T333" s="29">
        <f>AN333*0.12*IF(MID(E333,3,1)="1",트라이포드!$J$20,트라이포드!$I$20)*(1+입력란!$C$33/100)*IF(입력란!$C$9=1,IF(MID(E333,3,1)&lt;&gt;"1",IF(입력란!$C$14=0,1.05,IF(입력란!$C$14=1,1.05*1.05,IF(입력란!$C$14=2,1.05*1.12,IF(입력란!$C$14=3,1.05*1.25)))),1),1)</f>
        <v>29991.155931740243</v>
      </c>
      <c r="U333" s="29">
        <f>AN333*0.12*IF(MID(E333,3,1)="1",트라이포드!$J$20,트라이포드!$I$20)*(1+입력란!$C$33/100)*IF(입력란!$C$9=1,IF(MID(E333,3,1)&lt;&gt;"1",IF(입력란!$C$14=0,1.05,IF(입력란!$C$14=1,1.05*1.05,IF(입력란!$C$14=2,1.05*1.12,IF(입력란!$C$14=3,1.05*1.25)))),1),1)</f>
        <v>29991.155931740243</v>
      </c>
      <c r="V333" s="29">
        <f>AN333*0.12*IF(MID(E333,1,1)="1",IF(G333="3히트",0,1),1)*IF(MID(E333,3,1)="1",트라이포드!$J$20,트라이포드!$I$20)*(1+입력란!$C$33/100)*IF(입력란!$C$9=1,IF(MID(E333,3,1)&lt;&gt;"1",IF(입력란!$C$14=0,1.05,IF(입력란!$C$14=1,1.05*1.05,IF(입력란!$C$14=2,1.05*1.12,IF(입력란!$C$14=3,1.05*1.25)))),1),1)</f>
        <v>29991.155931740243</v>
      </c>
      <c r="W333" s="29">
        <f>AN333*0.12*IF(MID(E333,1,1)="1",IF(G333="3히트",0,1),1)*IF(MID(E333,3,1)="1",트라이포드!$J$20,트라이포드!$I$20)*IF(MID(E333,5,1)="2",트라이포드!$R$20,트라이포드!$Q$20)*(1+입력란!$C$33/100)*IF(입력란!$C$9=1,IF(MID(E333,3,1)&lt;&gt;"1",IF(입력란!$C$14=0,1.05,IF(입력란!$C$14=1,1.05*1.05,IF(입력란!$C$14=2,1.05*1.12,IF(입력란!$C$14=3,1.05*1.25)))),1),1)</f>
        <v>29991.155931740243</v>
      </c>
      <c r="X333" s="29">
        <f>AN333*0.12*IF(MID(E333,1,1)="1",IF(G333="3히트",0,1),1)*IF(MID(E333,3,1)="1",트라이포드!$J$20,트라이포드!$I$20)*IF(MID(E333,5,1)="2",트라이포드!$R$20,트라이포드!$Q$20)*(1+입력란!$C$33/100)*IF(입력란!$C$9=1,IF(MID(E333,3,1)&lt;&gt;"1",IF(입력란!$C$14=0,1.05,IF(입력란!$C$14=1,1.05*1.05,IF(입력란!$C$14=2,1.05*1.12,IF(입력란!$C$14=3,1.05*1.25)))),1),1)</f>
        <v>29991.155931740243</v>
      </c>
      <c r="Y333" s="38">
        <f>AN333*0.28*IF(MID(E333,1,1)="1",IF(G333="3히트",0,1),1)*IF(MID(E333,3,1)="1",트라이포드!$J$20,트라이포드!$I$20)*IF(MID(E333,3,1)="3",트라이포드!$N$20,트라이포드!$M$20)*IF(MID(E333,5,1)="2",트라이포드!$R$20,트라이포드!$Q$20)*(1+입력란!$C$33/100)*IF(입력란!$C$9=1,IF(MID(E333,3,1)&lt;&gt;"1",IF(입력란!$C$14=0,1.05,IF(입력란!$C$14=1,1.05*1.05,IF(입력란!$C$14=2,1.05*1.12,IF(입력란!$C$14=3,1.05*1.25)))),1),1)</f>
        <v>174948.4096018181</v>
      </c>
      <c r="Z333" s="26">
        <f>(AN333*IF(MID(E333,5,1)="1",0.004*IF(G333="3히트",3,7)*5,0)+IF(MID(E333,5,1)="1",IF(G333="3히트",0,AN333*트라이포드!$P$20*IF(MID(E333,3,1)="1",트라이포드!$J$20,트라이포드!$I$20)),0)+IF(MID(E333,5,1)="1",IF(G333="3히트",0,AN333*0.03),0))*(1+입력란!$C$33/100)</f>
        <v>192443.25056199986</v>
      </c>
      <c r="AA333" s="29">
        <f>SUM(AB333:AI333)</f>
        <v>1094677.1915085188</v>
      </c>
      <c r="AB333" s="29">
        <f>S333*2</f>
        <v>59982.311863480485</v>
      </c>
      <c r="AC333" s="29">
        <f>T333*2</f>
        <v>59982.311863480485</v>
      </c>
      <c r="AD333" s="29">
        <f>U333*2</f>
        <v>59982.311863480485</v>
      </c>
      <c r="AE333" s="29">
        <f>V333*2</f>
        <v>59982.311863480485</v>
      </c>
      <c r="AF333" s="29">
        <f>W333*2</f>
        <v>59982.311863480485</v>
      </c>
      <c r="AG333" s="29">
        <f>X333*2</f>
        <v>59982.311863480485</v>
      </c>
      <c r="AH333" s="29">
        <f>Y333*2</f>
        <v>349896.8192036362</v>
      </c>
      <c r="AI333" s="26">
        <f>Z333*2</f>
        <v>384886.50112399971</v>
      </c>
      <c r="AJ333" s="25">
        <f>IF(G333="3히트",10,AR333*(1-입력란!$C$29/100))</f>
        <v>28.731215018700002</v>
      </c>
      <c r="AK33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3" s="25">
        <f>입력란!$C$37+IF(입력란!$C$17=1,10,IF(입력란!$C$17=2,25,IF(입력란!$C$17=3,50,0)))</f>
        <v>200</v>
      </c>
      <c r="AM333" s="29">
        <f>SUM(AN333:AP333)</f>
        <v>209820.92449437417</v>
      </c>
      <c r="AN333" s="29">
        <f>(VLOOKUP(C333,$B$4:$AK$7,26,FALSE)+VLOOKUP(C333,$B$8:$AK$11,26,FALSE)*입력란!$C$23)*입력란!$C$38/100</f>
        <v>209820.92449437417</v>
      </c>
      <c r="AO333" s="29"/>
      <c r="AP333" s="29"/>
      <c r="AQ333" s="29"/>
      <c r="AR333" s="28">
        <v>30</v>
      </c>
    </row>
    <row r="334" spans="2:44" ht="13.5" customHeight="1" x14ac:dyDescent="0.3">
      <c r="B334" s="30">
        <v>319</v>
      </c>
      <c r="C334" s="35">
        <v>10</v>
      </c>
      <c r="D334" s="42" t="s">
        <v>385</v>
      </c>
      <c r="E334" s="37" t="s">
        <v>160</v>
      </c>
      <c r="F334" s="39" t="s">
        <v>393</v>
      </c>
      <c r="G334" s="39"/>
      <c r="H334" s="51">
        <f>I334/AJ334</f>
        <v>25119.530793271169</v>
      </c>
      <c r="I334" s="52">
        <f>SUM(J334:Q334)*IF(입력란!C$15=1,1.04,IF(입력란!C$15=2,1.1,IF(입력란!C$15=3,1.2,1)))*IF(입력란!$C$13&lt;&gt;0,0,1)*IF(입력란!$C$17&lt;&gt;0,0.98,1)</f>
        <v>721714.64039032976</v>
      </c>
      <c r="J334" s="29">
        <f>S334*(1+IF($AK334+IF(입력란!$C$9=1,IF(MID(E334,3,1)&lt;&gt;"1",10,0),0)+IF(MID(E334,3,1)="1",20,0)+IF(입력란!$C$19=1,10,0)&gt;100,100,$AK334+IF(입력란!$C$9=1,IF(MID(E334,3,1)&lt;&gt;"1",10,0),0)+IF(MID(E334,3,1)="1",20,0)+IF(입력란!$C$19=1,10,0))/100*($AL334/100-1))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36697.354596118465</v>
      </c>
      <c r="K334" s="29">
        <f>T334*(1+IF($AK334+IF(입력란!$C$9=1,IF(MID(E334,3,1)&lt;&gt;"1",10,0),0)+IF(MID(E334,3,1)="1",20,0)+IF(입력란!$C$19=1,10,0)&gt;100,100,$AK334+IF(입력란!$C$9=1,IF(MID(E334,3,1)&lt;&gt;"1",10,0),0)+IF(MID(E334,3,1)="1",20,0)+IF(입력란!$C$19=1,10,0))/100*($AL334/100-1))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36697.354596118465</v>
      </c>
      <c r="L334" s="29">
        <f>U334*(1+IF($AK334+IF(입력란!$C$9=1,IF(MID(E334,3,1)&lt;&gt;"1",10,0),0)+IF(MID(E334,3,1)="1",20,0)+IF(입력란!$C$19=1,10,0)&gt;100,100,$AK334+IF(입력란!$C$9=1,IF(MID(E334,3,1)&lt;&gt;"1",10,0),0)+IF(MID(E334,3,1)="1",20,0)+IF(입력란!$C$19=1,10,0))/100*($AL334/100-1))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36697.354596118465</v>
      </c>
      <c r="M334" s="29">
        <f>V334*(1+IF($AK334+IF(입력란!$C$9=1,IF(MID(E334,3,1)&lt;&gt;"1",10,0),0)+IF(MID(E334,3,1)="1",20,0)+IF(입력란!$C$19=1,10,0)&gt;100,100,$AK334+IF(입력란!$C$9=1,IF(MID(E334,3,1)&lt;&gt;"1",10,0),0)+IF(MID(E334,3,1)="1",20,0)+IF(입력란!$C$19=1,10,0))/100*($AL334/100-1))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36697.354596118465</v>
      </c>
      <c r="N334" s="38">
        <f>W334*(1+IF($AK334+IF(입력란!$C$9=1,IF(MID(E334,3,1)&lt;&gt;"1",10,0),0)+IF(MID(E334,3,1)="1",20,0)+IF(입력란!$C$19=1,10,0)&gt;100,100,$AK334+IF(입력란!$C$9=1,IF(MID(E334,3,1)&lt;&gt;"1",10,0),0)+IF(MID(E334,3,1)="1",20,0)+IF(입력란!$C$19=1,10,0))/100*($AL334/100-1))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73394.709192236929</v>
      </c>
      <c r="O334" s="38">
        <f>X334*(1+IF($AK334+IF(입력란!$C$9=1,IF(MID(E334,3,1)&lt;&gt;"1",10,0),0)+IF(MID(E334,3,1)="1",20,0)+IF(입력란!$C$19=1,10,0)&gt;100,100,$AK334+IF(입력란!$C$9=1,IF(MID(E334,3,1)&lt;&gt;"1",10,0),0)+IF(MID(E334,3,1)="1",20,0)+IF(입력란!$C$19=1,10,0))/100*($AL334/100-1))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73394.709192236929</v>
      </c>
      <c r="P334" s="38">
        <f>Y334*(1+IF($AK334+IF(입력란!$C$9=1,IF(MID(E334,3,1)&lt;&gt;"1",10,0),0)+IF(MID(E334,3,1)="1",20,0)+IF(입력란!$C$19=1,10,0)&gt;100,100,$AK334+IF(입력란!$C$9=1,IF(MID(E334,3,1)&lt;&gt;"1",10,0),0)+IF(MID(E334,3,1)="1",20,0)+IF(입력란!$C$19=1,10,0))/100*($AL334/100-1))</f>
        <v>428135.8036213821</v>
      </c>
      <c r="Q334" s="34">
        <f>Z334*(1+IF($AK334+IF(입력란!$C$19=1,10,0)&gt;100,100,$AK334+IF(입력란!$C$19=1,10,0))/100*($AL334/100-1))</f>
        <v>0</v>
      </c>
      <c r="R334" s="23">
        <f>SUM(S334:Z334)</f>
        <v>589826.06665755808</v>
      </c>
      <c r="S334" s="29">
        <f>AN334*0.12*IF(MID(E334,3,1)="1",트라이포드!$J$20,트라이포드!$I$20)*(1+입력란!$C$33/100)*IF(입력란!$C$9=1,IF(MID(E334,3,1)&lt;&gt;"1",IF(입력란!$C$14=0,1.05,IF(입력란!$C$14=1,1.05*1.05,IF(입력란!$C$14=2,1.05*1.12,IF(입력란!$C$14=3,1.05*1.25)))),1),1)</f>
        <v>29991.155931740243</v>
      </c>
      <c r="T334" s="29">
        <f>AN334*0.12*IF(MID(E334,3,1)="1",트라이포드!$J$20,트라이포드!$I$20)*(1+입력란!$C$33/100)*IF(입력란!$C$9=1,IF(MID(E334,3,1)&lt;&gt;"1",IF(입력란!$C$14=0,1.05,IF(입력란!$C$14=1,1.05*1.05,IF(입력란!$C$14=2,1.05*1.12,IF(입력란!$C$14=3,1.05*1.25)))),1),1)</f>
        <v>29991.155931740243</v>
      </c>
      <c r="U334" s="29">
        <f>AN334*0.12*IF(MID(E334,3,1)="1",트라이포드!$J$20,트라이포드!$I$20)*(1+입력란!$C$33/100)*IF(입력란!$C$9=1,IF(MID(E334,3,1)&lt;&gt;"1",IF(입력란!$C$14=0,1.05,IF(입력란!$C$14=1,1.05*1.05,IF(입력란!$C$14=2,1.05*1.12,IF(입력란!$C$14=3,1.05*1.25)))),1),1)</f>
        <v>29991.155931740243</v>
      </c>
      <c r="V334" s="29">
        <f>AN334*0.12*IF(MID(E334,1,1)="1",IF(G334="3히트",0,1),1)*IF(MID(E334,3,1)="1",트라이포드!$J$20,트라이포드!$I$20)*(1+입력란!$C$33/100)*IF(입력란!$C$9=1,IF(MID(E334,3,1)&lt;&gt;"1",IF(입력란!$C$14=0,1.05,IF(입력란!$C$14=1,1.05*1.05,IF(입력란!$C$14=2,1.05*1.12,IF(입력란!$C$14=3,1.05*1.25)))),1),1)</f>
        <v>29991.155931740243</v>
      </c>
      <c r="W334" s="29">
        <f>AN334*0.12*IF(MID(E334,1,1)="1",IF(G334="3히트",0,1),1)*IF(MID(E334,3,1)="1",트라이포드!$J$20,트라이포드!$I$20)*IF(MID(E334,5,1)="2",트라이포드!$R$20,트라이포드!$Q$20)*(1+입력란!$C$33/100)*IF(입력란!$C$9=1,IF(MID(E334,3,1)&lt;&gt;"1",IF(입력란!$C$14=0,1.05,IF(입력란!$C$14=1,1.05*1.05,IF(입력란!$C$14=2,1.05*1.12,IF(입력란!$C$14=3,1.05*1.25)))),1),1)</f>
        <v>59982.311863480485</v>
      </c>
      <c r="X334" s="29">
        <f>AN334*0.12*IF(MID(E334,1,1)="1",IF(G334="3히트",0,1),1)*IF(MID(E334,3,1)="1",트라이포드!$J$20,트라이포드!$I$20)*IF(MID(E334,5,1)="2",트라이포드!$R$20,트라이포드!$Q$20)*(1+입력란!$C$33/100)*IF(입력란!$C$9=1,IF(MID(E334,3,1)&lt;&gt;"1",IF(입력란!$C$14=0,1.05,IF(입력란!$C$14=1,1.05*1.05,IF(입력란!$C$14=2,1.05*1.12,IF(입력란!$C$14=3,1.05*1.25)))),1),1)</f>
        <v>59982.311863480485</v>
      </c>
      <c r="Y334" s="38">
        <f>AN334*0.28*IF(MID(E334,1,1)="1",IF(G334="3히트",0,1),1)*IF(MID(E334,3,1)="1",트라이포드!$J$20,트라이포드!$I$20)*IF(MID(E334,3,1)="3",트라이포드!$N$20,트라이포드!$M$20)*IF(MID(E334,5,1)="2",트라이포드!$R$20,트라이포드!$Q$20)*(1+입력란!$C$33/100)*IF(입력란!$C$9=1,IF(MID(E334,3,1)&lt;&gt;"1",IF(입력란!$C$14=0,1.05,IF(입력란!$C$14=1,1.05*1.05,IF(입력란!$C$14=2,1.05*1.12,IF(입력란!$C$14=3,1.05*1.25)))),1),1)</f>
        <v>349896.8192036362</v>
      </c>
      <c r="Z334" s="26">
        <f>(AN334*IF(MID(E334,5,1)="1",0.004*IF(G334="3히트",3,7)*5,0)+IF(MID(E334,5,1)="1",IF(G334="3히트",0,AN334*트라이포드!$P$20*IF(MID(E334,3,1)="1",트라이포드!$J$20,트라이포드!$I$20)),0)+IF(MID(E334,5,1)="1",IF(G334="3히트",0,AN334*0.03),0))*(1+입력란!$C$33/100)</f>
        <v>0</v>
      </c>
      <c r="AA334" s="29">
        <f>SUM(AB334:AI334)</f>
        <v>1179652.1333151162</v>
      </c>
      <c r="AB334" s="29">
        <f>S334*2</f>
        <v>59982.311863480485</v>
      </c>
      <c r="AC334" s="29">
        <f>T334*2</f>
        <v>59982.311863480485</v>
      </c>
      <c r="AD334" s="29">
        <f>U334*2</f>
        <v>59982.311863480485</v>
      </c>
      <c r="AE334" s="29">
        <f>V334*2</f>
        <v>59982.311863480485</v>
      </c>
      <c r="AF334" s="29">
        <f>W334*2</f>
        <v>119964.62372696097</v>
      </c>
      <c r="AG334" s="29">
        <f>X334*2</f>
        <v>119964.62372696097</v>
      </c>
      <c r="AH334" s="29">
        <f>Y334*2</f>
        <v>699793.6384072724</v>
      </c>
      <c r="AI334" s="26">
        <f>Z334*2</f>
        <v>0</v>
      </c>
      <c r="AJ334" s="25">
        <f>IF(G334="3히트",10,AR334*(1-입력란!$C$29/100))</f>
        <v>28.731215018700002</v>
      </c>
      <c r="AK33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4" s="25">
        <f>입력란!$C$37+IF(입력란!$C$17=1,10,IF(입력란!$C$17=2,25,IF(입력란!$C$17=3,50,0)))</f>
        <v>200</v>
      </c>
      <c r="AM334" s="29">
        <f>SUM(AN334:AP334)</f>
        <v>209820.92449437417</v>
      </c>
      <c r="AN334" s="29">
        <f>(VLOOKUP(C334,$B$4:$AK$7,26,FALSE)+VLOOKUP(C334,$B$8:$AK$11,26,FALSE)*입력란!$C$23)*입력란!$C$38/100</f>
        <v>209820.92449437417</v>
      </c>
      <c r="AO334" s="29"/>
      <c r="AP334" s="29"/>
      <c r="AQ334" s="29"/>
      <c r="AR334" s="28">
        <v>30</v>
      </c>
    </row>
    <row r="335" spans="2:44" ht="13.5" customHeight="1" x14ac:dyDescent="0.3">
      <c r="B335" s="30">
        <v>320</v>
      </c>
      <c r="C335" s="35">
        <v>10</v>
      </c>
      <c r="D335" s="42" t="s">
        <v>385</v>
      </c>
      <c r="E335" s="37" t="s">
        <v>367</v>
      </c>
      <c r="F335" s="39"/>
      <c r="G335" s="39"/>
      <c r="H335" s="51">
        <f>I335/AJ335</f>
        <v>10643.868980199648</v>
      </c>
      <c r="I335" s="52">
        <f>SUM(J335:Q335)*IF(입력란!C$15=1,1.04,IF(입력란!C$15=2,1.1,IF(입력란!C$15=3,1.2,1)))*IF(입력란!$C$13&lt;&gt;0,0,1)*IF(입력란!$C$17&lt;&gt;0,0.98,1)</f>
        <v>305811.28830098722</v>
      </c>
      <c r="J335" s="29">
        <f>S335*(1+IF($AK335+IF(입력란!$C$9=1,IF(MID(E335,3,1)&lt;&gt;"1",10,0),0)+IF(MID(E335,3,1)="1",20,0)+IF(입력란!$C$19=1,10,0)&gt;100,100,$AK335+IF(입력란!$C$9=1,IF(MID(E335,3,1)&lt;&gt;"1",10,0),0)+IF(MID(E335,3,1)="1",20,0)+IF(입력란!$C$19=1,10,0))/100*($AL335/100-1))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K335" s="29">
        <f>T335*(1+IF($AK335+IF(입력란!$C$9=1,IF(MID(E335,3,1)&lt;&gt;"1",10,0),0)+IF(MID(E335,3,1)="1",20,0)+IF(입력란!$C$19=1,10,0)&gt;100,100,$AK335+IF(입력란!$C$9=1,IF(MID(E335,3,1)&lt;&gt;"1",10,0),0)+IF(MID(E335,3,1)="1",20,0)+IF(입력란!$C$19=1,10,0))/100*($AL335/100-1))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L335" s="29">
        <f>U335*(1+IF($AK335+IF(입력란!$C$9=1,IF(MID(E335,3,1)&lt;&gt;"1",10,0),0)+IF(MID(E335,3,1)="1",20,0)+IF(입력란!$C$19=1,10,0)&gt;100,100,$AK335+IF(입력란!$C$9=1,IF(MID(E335,3,1)&lt;&gt;"1",10,0),0)+IF(MID(E335,3,1)="1",20,0)+IF(입력란!$C$19=1,10,0))/100*($AL335/100-1))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M335" s="29">
        <f>V335*(1+IF($AK335+IF(입력란!$C$9=1,IF(MID(E335,3,1)&lt;&gt;"1",10,0),0)+IF(MID(E335,3,1)="1",20,0)+IF(입력란!$C$19=1,10,0)&gt;100,100,$AK335+IF(입력란!$C$9=1,IF(MID(E335,3,1)&lt;&gt;"1",10,0),0)+IF(MID(E335,3,1)="1",20,0)+IF(입력란!$C$19=1,10,0))/100*($AL335/100-1))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N335" s="38">
        <f>W335*(1+IF($AK335+IF(입력란!$C$9=1,IF(MID(E335,3,1)&lt;&gt;"1",10,0),0)+IF(MID(E335,3,1)="1",20,0)+IF(입력란!$C$19=1,10,0)&gt;100,100,$AK335+IF(입력란!$C$9=1,IF(MID(E335,3,1)&lt;&gt;"1",10,0),0)+IF(MID(E335,3,1)="1",20,0)+IF(입력란!$C$19=1,10,0))/100*($AL335/100-1))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O335" s="38">
        <f>X335*(1+IF($AK335+IF(입력란!$C$9=1,IF(MID(E335,3,1)&lt;&gt;"1",10,0),0)+IF(MID(E335,3,1)="1",20,0)+IF(입력란!$C$19=1,10,0)&gt;100,100,$AK335+IF(입력란!$C$9=1,IF(MID(E335,3,1)&lt;&gt;"1",10,0),0)+IF(MID(E335,3,1)="1",20,0)+IF(입력란!$C$19=1,10,0))/100*($AL335/100-1))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36697.354596118465</v>
      </c>
      <c r="P335" s="38">
        <f>Y335*(1+IF($AK335+IF(입력란!$C$9=1,IF(MID(E335,3,1)&lt;&gt;"1",10,0),0)+IF(MID(E335,3,1)="1",20,0)+IF(입력란!$C$19=1,10,0)&gt;100,100,$AK335+IF(입력란!$C$9=1,IF(MID(E335,3,1)&lt;&gt;"1",10,0),0)+IF(MID(E335,3,1)="1",20,0)+IF(입력란!$C$19=1,10,0))/100*($AL335/100-1))</f>
        <v>85627.160724276415</v>
      </c>
      <c r="Q335" s="34">
        <f>Z335*(1+IF($AK335+IF(입력란!$C$19=1,10,0)&gt;100,100,$AK335+IF(입력란!$C$19=1,10,0))/100*($AL335/100-1))</f>
        <v>0</v>
      </c>
      <c r="R335" s="23">
        <f>SUM(S335:Z335)</f>
        <v>249926.29943116871</v>
      </c>
      <c r="S335" s="29">
        <f>AN335*0.12*IF(MID(E335,3,1)="1",트라이포드!$J$20,트라이포드!$I$20)*(1+입력란!$C$33/100)*IF(입력란!$C$9=1,IF(MID(E335,3,1)&lt;&gt;"1",IF(입력란!$C$14=0,1.05,IF(입력란!$C$14=1,1.05*1.05,IF(입력란!$C$14=2,1.05*1.12,IF(입력란!$C$14=3,1.05*1.25)))),1),1)</f>
        <v>29991.155931740243</v>
      </c>
      <c r="T335" s="29">
        <f>AN335*0.12*IF(MID(E335,3,1)="1",트라이포드!$J$20,트라이포드!$I$20)*(1+입력란!$C$33/100)*IF(입력란!$C$9=1,IF(MID(E335,3,1)&lt;&gt;"1",IF(입력란!$C$14=0,1.05,IF(입력란!$C$14=1,1.05*1.05,IF(입력란!$C$14=2,1.05*1.12,IF(입력란!$C$14=3,1.05*1.25)))),1),1)</f>
        <v>29991.155931740243</v>
      </c>
      <c r="U335" s="29">
        <f>AN335*0.12*IF(MID(E335,3,1)="1",트라이포드!$J$20,트라이포드!$I$20)*(1+입력란!$C$33/100)*IF(입력란!$C$9=1,IF(MID(E335,3,1)&lt;&gt;"1",IF(입력란!$C$14=0,1.05,IF(입력란!$C$14=1,1.05*1.05,IF(입력란!$C$14=2,1.05*1.12,IF(입력란!$C$14=3,1.05*1.25)))),1),1)</f>
        <v>29991.155931740243</v>
      </c>
      <c r="V335" s="29">
        <f>AN335*0.12*IF(MID(E335,1,1)="1",IF(G335="3히트",0,1),1)*IF(MID(E335,3,1)="1",트라이포드!$J$20,트라이포드!$I$20)*(1+입력란!$C$33/100)*IF(입력란!$C$9=1,IF(MID(E335,3,1)&lt;&gt;"1",IF(입력란!$C$14=0,1.05,IF(입력란!$C$14=1,1.05*1.05,IF(입력란!$C$14=2,1.05*1.12,IF(입력란!$C$14=3,1.05*1.25)))),1),1)</f>
        <v>29991.155931740243</v>
      </c>
      <c r="W335" s="29">
        <f>AN335*0.12*IF(MID(E335,1,1)="1",IF(G335="3히트",0,1),1)*IF(MID(E335,3,1)="1",트라이포드!$J$20,트라이포드!$I$20)*IF(MID(E335,5,1)="2",트라이포드!$R$20,트라이포드!$Q$20)*(1+입력란!$C$33/100)*IF(입력란!$C$9=1,IF(MID(E335,3,1)&lt;&gt;"1",IF(입력란!$C$14=0,1.05,IF(입력란!$C$14=1,1.05*1.05,IF(입력란!$C$14=2,1.05*1.12,IF(입력란!$C$14=3,1.05*1.25)))),1),1)</f>
        <v>29991.155931740243</v>
      </c>
      <c r="X335" s="29">
        <f>AN335*0.12*IF(MID(E335,1,1)="1",IF(G335="3히트",0,1),1)*IF(MID(E335,3,1)="1",트라이포드!$J$20,트라이포드!$I$20)*IF(MID(E335,5,1)="2",트라이포드!$R$20,트라이포드!$Q$20)*(1+입력란!$C$33/100)*IF(입력란!$C$9=1,IF(MID(E335,3,1)&lt;&gt;"1",IF(입력란!$C$14=0,1.05,IF(입력란!$C$14=1,1.05*1.05,IF(입력란!$C$14=2,1.05*1.12,IF(입력란!$C$14=3,1.05*1.25)))),1),1)</f>
        <v>29991.155931740243</v>
      </c>
      <c r="Y335" s="38">
        <f>AN335*0.28*IF(MID(E335,1,1)="1",IF(G335="3히트",0,1),1)*IF(MID(E335,3,1)="1",트라이포드!$J$20,트라이포드!$I$20)*IF(MID(E335,3,1)="3",트라이포드!$N$20,트라이포드!$M$20)*IF(MID(E335,5,1)="2",트라이포드!$R$20,트라이포드!$Q$20)*(1+입력란!$C$33/100)*IF(입력란!$C$9=1,IF(MID(E335,3,1)&lt;&gt;"1",IF(입력란!$C$14=0,1.05,IF(입력란!$C$14=1,1.05*1.05,IF(입력란!$C$14=2,1.05*1.12,IF(입력란!$C$14=3,1.05*1.25)))),1),1)</f>
        <v>69979.363840727237</v>
      </c>
      <c r="Z335" s="26">
        <f>(AN335*IF(MID(E335,5,1)="1",0.004*IF(G335="3히트",3,7)*5,0)+IF(MID(E335,5,1)="1",IF(G335="3히트",0,AN335*트라이포드!$P$20*IF(MID(E335,3,1)="1",트라이포드!$J$20,트라이포드!$I$20)),0)+IF(MID(E335,5,1)="1",IF(G335="3히트",0,AN335*0.03),0))*(1+입력란!$C$33/100)</f>
        <v>0</v>
      </c>
      <c r="AA335" s="29">
        <f>SUM(AB335:AI335)</f>
        <v>499852.59886233741</v>
      </c>
      <c r="AB335" s="29">
        <f>S335*2</f>
        <v>59982.311863480485</v>
      </c>
      <c r="AC335" s="29">
        <f>T335*2</f>
        <v>59982.311863480485</v>
      </c>
      <c r="AD335" s="29">
        <f>U335*2</f>
        <v>59982.311863480485</v>
      </c>
      <c r="AE335" s="29">
        <f>V335*2</f>
        <v>59982.311863480485</v>
      </c>
      <c r="AF335" s="29">
        <f>W335*2</f>
        <v>59982.311863480485</v>
      </c>
      <c r="AG335" s="29">
        <f>X335*2</f>
        <v>59982.311863480485</v>
      </c>
      <c r="AH335" s="29">
        <f>Y335*2</f>
        <v>139958.72768145447</v>
      </c>
      <c r="AI335" s="26">
        <f>Z335*2</f>
        <v>0</v>
      </c>
      <c r="AJ335" s="25">
        <f>IF(G335="3히트",10,AR335*(1-입력란!$C$29/100))</f>
        <v>28.731215018700002</v>
      </c>
      <c r="AK33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5" s="25">
        <f>입력란!$C$37+IF(입력란!$C$17=1,10,IF(입력란!$C$17=2,25,IF(입력란!$C$17=3,50,0)))</f>
        <v>200</v>
      </c>
      <c r="AM335" s="29">
        <f>SUM(AN335:AP335)</f>
        <v>209820.92449437417</v>
      </c>
      <c r="AN335" s="29">
        <f>(VLOOKUP(C335,$B$4:$AK$7,26,FALSE)+VLOOKUP(C335,$B$8:$AK$11,26,FALSE)*입력란!$C$23)*입력란!$C$38/100</f>
        <v>209820.92449437417</v>
      </c>
      <c r="AO335" s="29"/>
      <c r="AP335" s="29"/>
      <c r="AQ335" s="29"/>
      <c r="AR335" s="28">
        <v>30</v>
      </c>
    </row>
    <row r="336" spans="2:44" ht="13.5" customHeight="1" x14ac:dyDescent="0.3">
      <c r="B336" s="30">
        <v>321</v>
      </c>
      <c r="C336" s="35">
        <v>10</v>
      </c>
      <c r="D336" s="42" t="s">
        <v>385</v>
      </c>
      <c r="E336" s="37" t="s">
        <v>313</v>
      </c>
      <c r="F336" s="39"/>
      <c r="G336" s="39"/>
      <c r="H336" s="51">
        <f>I336/AJ336</f>
        <v>13621.985800155402</v>
      </c>
      <c r="I336" s="52">
        <f>SUM(J336:Q336)*IF(입력란!C$15=1,1.04,IF(입력란!C$15=2,1.1,IF(입력란!C$15=3,1.2,1)))*IF(입력란!$C$13&lt;&gt;0,0,1)*IF(입력란!$C$17&lt;&gt;0,0.98,1)</f>
        <v>391376.20300594304</v>
      </c>
      <c r="J336" s="29">
        <f>S336*(1+IF($AK336+IF(입력란!$C$9=1,IF(MID(E336,3,1)&lt;&gt;"1",10,0),0)+IF(MID(E336,3,1)="1",20,0)+IF(입력란!$C$19=1,10,0)&gt;100,100,$AK336+IF(입력란!$C$9=1,IF(MID(E336,3,1)&lt;&gt;"1",10,0),0)+IF(MID(E336,3,1)="1",20,0)+IF(입력란!$C$19=1,10,0))/100*($AL336/100-1))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K336" s="29">
        <f>T336*(1+IF($AK336+IF(입력란!$C$9=1,IF(MID(E336,3,1)&lt;&gt;"1",10,0),0)+IF(MID(E336,3,1)="1",20,0)+IF(입력란!$C$19=1,10,0)&gt;100,100,$AK336+IF(입력란!$C$9=1,IF(MID(E336,3,1)&lt;&gt;"1",10,0),0)+IF(MID(E336,3,1)="1",20,0)+IF(입력란!$C$19=1,10,0))/100*($AL336/100-1))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L336" s="29">
        <f>U336*(1+IF($AK336+IF(입력란!$C$9=1,IF(MID(E336,3,1)&lt;&gt;"1",10,0),0)+IF(MID(E336,3,1)="1",20,0)+IF(입력란!$C$19=1,10,0)&gt;100,100,$AK336+IF(입력란!$C$9=1,IF(MID(E336,3,1)&lt;&gt;"1",10,0),0)+IF(MID(E336,3,1)="1",20,0)+IF(입력란!$C$19=1,10,0))/100*($AL336/100-1))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M336" s="29">
        <f>V336*(1+IF($AK336+IF(입력란!$C$9=1,IF(MID(E336,3,1)&lt;&gt;"1",10,0),0)+IF(MID(E336,3,1)="1",20,0)+IF(입력란!$C$19=1,10,0)&gt;100,100,$AK336+IF(입력란!$C$9=1,IF(MID(E336,3,1)&lt;&gt;"1",10,0),0)+IF(MID(E336,3,1)="1",20,0)+IF(입력란!$C$19=1,10,0))/100*($AL336/100-1))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N336" s="38">
        <f>W336*(1+IF($AK336+IF(입력란!$C$9=1,IF(MID(E336,3,1)&lt;&gt;"1",10,0),0)+IF(MID(E336,3,1)="1",20,0)+IF(입력란!$C$19=1,10,0)&gt;100,100,$AK336+IF(입력란!$C$9=1,IF(MID(E336,3,1)&lt;&gt;"1",10,0),0)+IF(MID(E336,3,1)="1",20,0)+IF(입력란!$C$19=1,10,0))/100*($AL336/100-1))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O336" s="38">
        <f>X336*(1+IF($AK336+IF(입력란!$C$9=1,IF(MID(E336,3,1)&lt;&gt;"1",10,0),0)+IF(MID(E336,3,1)="1",20,0)+IF(입력란!$C$19=1,10,0)&gt;100,100,$AK336+IF(입력란!$C$9=1,IF(MID(E336,3,1)&lt;&gt;"1",10,0),0)+IF(MID(E336,3,1)="1",20,0)+IF(입력란!$C$19=1,10,0))/100*($AL336/100-1))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46965.144360713166</v>
      </c>
      <c r="P336" s="38">
        <f>Y336*(1+IF($AK336+IF(입력란!$C$9=1,IF(MID(E336,3,1)&lt;&gt;"1",10,0),0)+IF(MID(E336,3,1)="1",20,0)+IF(입력란!$C$19=1,10,0)&gt;100,100,$AK336+IF(입력란!$C$9=1,IF(MID(E336,3,1)&lt;&gt;"1",10,0),0)+IF(MID(E336,3,1)="1",20,0)+IF(입력란!$C$19=1,10,0))/100*($AL336/100-1))</f>
        <v>109585.33684166406</v>
      </c>
      <c r="Q336" s="34">
        <f>Z336*(1+IF($AK336+IF(입력란!$C$19=1,10,0)&gt;100,100,$AK336+IF(입력란!$C$19=1,10,0))/100*($AL336/100-1))</f>
        <v>0</v>
      </c>
      <c r="R336" s="23">
        <f>SUM(S336:Z336)</f>
        <v>274918.92937428562</v>
      </c>
      <c r="S336" s="29">
        <f>AN336*0.12*IF(MID(E336,3,1)="1",트라이포드!$J$20,트라이포드!$I$20)*(1+입력란!$C$33/100)*IF(입력란!$C$9=1,IF(MID(E336,3,1)&lt;&gt;"1",IF(입력란!$C$14=0,1.05,IF(입력란!$C$14=1,1.05*1.05,IF(입력란!$C$14=2,1.05*1.12,IF(입력란!$C$14=3,1.05*1.25)))),1),1)</f>
        <v>32990.271524914271</v>
      </c>
      <c r="T336" s="29">
        <f>AN336*0.12*IF(MID(E336,3,1)="1",트라이포드!$J$20,트라이포드!$I$20)*(1+입력란!$C$33/100)*IF(입력란!$C$9=1,IF(MID(E336,3,1)&lt;&gt;"1",IF(입력란!$C$14=0,1.05,IF(입력란!$C$14=1,1.05*1.05,IF(입력란!$C$14=2,1.05*1.12,IF(입력란!$C$14=3,1.05*1.25)))),1),1)</f>
        <v>32990.271524914271</v>
      </c>
      <c r="U336" s="29">
        <f>AN336*0.12*IF(MID(E336,3,1)="1",트라이포드!$J$20,트라이포드!$I$20)*(1+입력란!$C$33/100)*IF(입력란!$C$9=1,IF(MID(E336,3,1)&lt;&gt;"1",IF(입력란!$C$14=0,1.05,IF(입력란!$C$14=1,1.05*1.05,IF(입력란!$C$14=2,1.05*1.12,IF(입력란!$C$14=3,1.05*1.25)))),1),1)</f>
        <v>32990.271524914271</v>
      </c>
      <c r="V336" s="29">
        <f>AN336*0.12*IF(MID(E336,1,1)="1",IF(G336="3히트",0,1),1)*IF(MID(E336,3,1)="1",트라이포드!$J$20,트라이포드!$I$20)*(1+입력란!$C$33/100)*IF(입력란!$C$9=1,IF(MID(E336,3,1)&lt;&gt;"1",IF(입력란!$C$14=0,1.05,IF(입력란!$C$14=1,1.05*1.05,IF(입력란!$C$14=2,1.05*1.12,IF(입력란!$C$14=3,1.05*1.25)))),1),1)</f>
        <v>32990.271524914271</v>
      </c>
      <c r="W336" s="29">
        <f>AN336*0.12*IF(MID(E336,1,1)="1",IF(G336="3히트",0,1),1)*IF(MID(E336,3,1)="1",트라이포드!$J$20,트라이포드!$I$20)*IF(MID(E336,5,1)="2",트라이포드!$R$20,트라이포드!$Q$20)*(1+입력란!$C$33/100)*IF(입력란!$C$9=1,IF(MID(E336,3,1)&lt;&gt;"1",IF(입력란!$C$14=0,1.05,IF(입력란!$C$14=1,1.05*1.05,IF(입력란!$C$14=2,1.05*1.12,IF(입력란!$C$14=3,1.05*1.25)))),1),1)</f>
        <v>32990.271524914271</v>
      </c>
      <c r="X336" s="29">
        <f>AN336*0.12*IF(MID(E336,1,1)="1",IF(G336="3히트",0,1),1)*IF(MID(E336,3,1)="1",트라이포드!$J$20,트라이포드!$I$20)*IF(MID(E336,5,1)="2",트라이포드!$R$20,트라이포드!$Q$20)*(1+입력란!$C$33/100)*IF(입력란!$C$9=1,IF(MID(E336,3,1)&lt;&gt;"1",IF(입력란!$C$14=0,1.05,IF(입력란!$C$14=1,1.05*1.05,IF(입력란!$C$14=2,1.05*1.12,IF(입력란!$C$14=3,1.05*1.25)))),1),1)</f>
        <v>32990.271524914271</v>
      </c>
      <c r="Y336" s="38">
        <f>AN336*0.28*IF(MID(E336,1,1)="1",IF(G336="3히트",0,1),1)*IF(MID(E336,3,1)="1",트라이포드!$J$20,트라이포드!$I$20)*IF(MID(E336,3,1)="3",트라이포드!$N$20,트라이포드!$M$20)*IF(MID(E336,5,1)="2",트라이포드!$R$20,트라이포드!$Q$20)*(1+입력란!$C$33/100)*IF(입력란!$C$9=1,IF(MID(E336,3,1)&lt;&gt;"1",IF(입력란!$C$14=0,1.05,IF(입력란!$C$14=1,1.05*1.05,IF(입력란!$C$14=2,1.05*1.12,IF(입력란!$C$14=3,1.05*1.25)))),1),1)</f>
        <v>76977.300224799968</v>
      </c>
      <c r="Z336" s="26">
        <f>(AN336*IF(MID(E336,5,1)="1",0.004*IF(G336="3히트",3,7)*5,0)+IF(MID(E336,5,1)="1",IF(G336="3히트",0,AN336*트라이포드!$P$20*IF(MID(E336,3,1)="1",트라이포드!$J$20,트라이포드!$I$20)),0)+IF(MID(E336,5,1)="1",IF(G336="3히트",0,AN336*0.03),0))*(1+입력란!$C$33/100)</f>
        <v>0</v>
      </c>
      <c r="AA336" s="29">
        <f>SUM(AB336:AI336)</f>
        <v>549837.85874857125</v>
      </c>
      <c r="AB336" s="29">
        <f>S336*2</f>
        <v>65980.543049828542</v>
      </c>
      <c r="AC336" s="29">
        <f>T336*2</f>
        <v>65980.543049828542</v>
      </c>
      <c r="AD336" s="29">
        <f>U336*2</f>
        <v>65980.543049828542</v>
      </c>
      <c r="AE336" s="29">
        <f>V336*2</f>
        <v>65980.543049828542</v>
      </c>
      <c r="AF336" s="29">
        <f>W336*2</f>
        <v>65980.543049828542</v>
      </c>
      <c r="AG336" s="29">
        <f>X336*2</f>
        <v>65980.543049828542</v>
      </c>
      <c r="AH336" s="29">
        <f>Y336*2</f>
        <v>153954.60044959994</v>
      </c>
      <c r="AI336" s="26">
        <f>Z336*2</f>
        <v>0</v>
      </c>
      <c r="AJ336" s="25">
        <f>IF(G336="3히트",10,AR336*(1-입력란!$C$29/100))</f>
        <v>28.731215018700002</v>
      </c>
      <c r="AK33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6" s="25">
        <f>입력란!$C$37+IF(입력란!$C$17=1,10,IF(입력란!$C$17=2,25,IF(입력란!$C$17=3,50,0)))</f>
        <v>200</v>
      </c>
      <c r="AM336" s="29">
        <f>SUM(AN336:AP336)</f>
        <v>209820.92449437417</v>
      </c>
      <c r="AN336" s="29">
        <f>(VLOOKUP(C336,$B$4:$AK$7,26,FALSE)+VLOOKUP(C336,$B$8:$AK$11,26,FALSE)*입력란!$C$23)*입력란!$C$38/100</f>
        <v>209820.92449437417</v>
      </c>
      <c r="AO336" s="29"/>
      <c r="AP336" s="29"/>
      <c r="AQ336" s="29"/>
      <c r="AR336" s="28">
        <v>30</v>
      </c>
    </row>
    <row r="337" spans="2:44" ht="13.5" customHeight="1" x14ac:dyDescent="0.3">
      <c r="B337" s="30">
        <v>322</v>
      </c>
      <c r="C337" s="35">
        <v>10</v>
      </c>
      <c r="D337" s="42" t="s">
        <v>385</v>
      </c>
      <c r="E337" s="37" t="s">
        <v>315</v>
      </c>
      <c r="F337" s="39"/>
      <c r="G337" s="39"/>
      <c r="H337" s="51">
        <f>I337/AJ337</f>
        <v>15114.293951883503</v>
      </c>
      <c r="I337" s="52">
        <f>SUM(J337:Q337)*IF(입력란!C$15=1,1.04,IF(입력란!C$15=2,1.1,IF(입력란!C$15=3,1.2,1)))*IF(입력란!$C$13&lt;&gt;0,0,1)*IF(입력란!$C$17&lt;&gt;0,0.98,1)</f>
        <v>434252.02938740188</v>
      </c>
      <c r="J337" s="29">
        <f>S337*(1+IF($AK337+IF(입력란!$C$9=1,IF(MID(E337,3,1)&lt;&gt;"1",10,0),0)+IF(MID(E337,3,1)="1",20,0)+IF(입력란!$C$19=1,10,0)&gt;100,100,$AK337+IF(입력란!$C$9=1,IF(MID(E337,3,1)&lt;&gt;"1",10,0),0)+IF(MID(E337,3,1)="1",20,0)+IF(입력란!$C$19=1,10,0))/100*($AL337/100-1))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K337" s="29">
        <f>T337*(1+IF($AK337+IF(입력란!$C$9=1,IF(MID(E337,3,1)&lt;&gt;"1",10,0),0)+IF(MID(E337,3,1)="1",20,0)+IF(입력란!$C$19=1,10,0)&gt;100,100,$AK337+IF(입력란!$C$9=1,IF(MID(E337,3,1)&lt;&gt;"1",10,0),0)+IF(MID(E337,3,1)="1",20,0)+IF(입력란!$C$19=1,10,0))/100*($AL337/100-1))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L337" s="29">
        <f>U337*(1+IF($AK337+IF(입력란!$C$9=1,IF(MID(E337,3,1)&lt;&gt;"1",10,0),0)+IF(MID(E337,3,1)="1",20,0)+IF(입력란!$C$19=1,10,0)&gt;100,100,$AK337+IF(입력란!$C$9=1,IF(MID(E337,3,1)&lt;&gt;"1",10,0),0)+IF(MID(E337,3,1)="1",20,0)+IF(입력란!$C$19=1,10,0))/100*($AL337/100-1))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M337" s="29">
        <f>V337*(1+IF($AK337+IF(입력란!$C$9=1,IF(MID(E337,3,1)&lt;&gt;"1",10,0),0)+IF(MID(E337,3,1)="1",20,0)+IF(입력란!$C$19=1,10,0)&gt;100,100,$AK337+IF(입력란!$C$9=1,IF(MID(E337,3,1)&lt;&gt;"1",10,0),0)+IF(MID(E337,3,1)="1",20,0)+IF(입력란!$C$19=1,10,0))/100*($AL337/100-1))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N337" s="38">
        <f>W337*(1+IF($AK337+IF(입력란!$C$9=1,IF(MID(E337,3,1)&lt;&gt;"1",10,0),0)+IF(MID(E337,3,1)="1",20,0)+IF(입력란!$C$19=1,10,0)&gt;100,100,$AK337+IF(입력란!$C$9=1,IF(MID(E337,3,1)&lt;&gt;"1",10,0),0)+IF(MID(E337,3,1)="1",20,0)+IF(입력란!$C$19=1,10,0))/100*($AL337/100-1))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O337" s="38">
        <f>X337*(1+IF($AK337+IF(입력란!$C$9=1,IF(MID(E337,3,1)&lt;&gt;"1",10,0),0)+IF(MID(E337,3,1)="1",20,0)+IF(입력란!$C$19=1,10,0)&gt;100,100,$AK337+IF(입력란!$C$9=1,IF(MID(E337,3,1)&lt;&gt;"1",10,0),0)+IF(MID(E337,3,1)="1",20,0)+IF(입력란!$C$19=1,10,0))/100*($AL337/100-1))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36697.354596118465</v>
      </c>
      <c r="P337" s="38">
        <f>Y337*(1+IF($AK337+IF(입력란!$C$9=1,IF(MID(E337,3,1)&lt;&gt;"1",10,0),0)+IF(MID(E337,3,1)="1",20,0)+IF(입력란!$C$19=1,10,0)&gt;100,100,$AK337+IF(입력란!$C$9=1,IF(MID(E337,3,1)&lt;&gt;"1",10,0),0)+IF(MID(E337,3,1)="1",20,0)+IF(입력란!$C$19=1,10,0))/100*($AL337/100-1))</f>
        <v>214067.90181069105</v>
      </c>
      <c r="Q337" s="34">
        <f>Z337*(1+IF($AK337+IF(입력란!$C$19=1,10,0)&gt;100,100,$AK337+IF(입력란!$C$19=1,10,0))/100*($AL337/100-1))</f>
        <v>0</v>
      </c>
      <c r="R337" s="23">
        <f>SUM(S337:Z337)</f>
        <v>354895.34519225953</v>
      </c>
      <c r="S337" s="29">
        <f>AN337*0.12*IF(MID(E337,3,1)="1",트라이포드!$J$20,트라이포드!$I$20)*(1+입력란!$C$33/100)*IF(입력란!$C$9=1,IF(MID(E337,3,1)&lt;&gt;"1",IF(입력란!$C$14=0,1.05,IF(입력란!$C$14=1,1.05*1.05,IF(입력란!$C$14=2,1.05*1.12,IF(입력란!$C$14=3,1.05*1.25)))),1),1)</f>
        <v>29991.155931740243</v>
      </c>
      <c r="T337" s="29">
        <f>AN337*0.12*IF(MID(E337,3,1)="1",트라이포드!$J$20,트라이포드!$I$20)*(1+입력란!$C$33/100)*IF(입력란!$C$9=1,IF(MID(E337,3,1)&lt;&gt;"1",IF(입력란!$C$14=0,1.05,IF(입력란!$C$14=1,1.05*1.05,IF(입력란!$C$14=2,1.05*1.12,IF(입력란!$C$14=3,1.05*1.25)))),1),1)</f>
        <v>29991.155931740243</v>
      </c>
      <c r="U337" s="29">
        <f>AN337*0.12*IF(MID(E337,3,1)="1",트라이포드!$J$20,트라이포드!$I$20)*(1+입력란!$C$33/100)*IF(입력란!$C$9=1,IF(MID(E337,3,1)&lt;&gt;"1",IF(입력란!$C$14=0,1.05,IF(입력란!$C$14=1,1.05*1.05,IF(입력란!$C$14=2,1.05*1.12,IF(입력란!$C$14=3,1.05*1.25)))),1),1)</f>
        <v>29991.155931740243</v>
      </c>
      <c r="V337" s="29">
        <f>AN337*0.12*IF(MID(E337,1,1)="1",IF(G337="3히트",0,1),1)*IF(MID(E337,3,1)="1",트라이포드!$J$20,트라이포드!$I$20)*(1+입력란!$C$33/100)*IF(입력란!$C$9=1,IF(MID(E337,3,1)&lt;&gt;"1",IF(입력란!$C$14=0,1.05,IF(입력란!$C$14=1,1.05*1.05,IF(입력란!$C$14=2,1.05*1.12,IF(입력란!$C$14=3,1.05*1.25)))),1),1)</f>
        <v>29991.155931740243</v>
      </c>
      <c r="W337" s="29">
        <f>AN337*0.12*IF(MID(E337,1,1)="1",IF(G337="3히트",0,1),1)*IF(MID(E337,3,1)="1",트라이포드!$J$20,트라이포드!$I$20)*IF(MID(E337,5,1)="2",트라이포드!$R$20,트라이포드!$Q$20)*(1+입력란!$C$33/100)*IF(입력란!$C$9=1,IF(MID(E337,3,1)&lt;&gt;"1",IF(입력란!$C$14=0,1.05,IF(입력란!$C$14=1,1.05*1.05,IF(입력란!$C$14=2,1.05*1.12,IF(입력란!$C$14=3,1.05*1.25)))),1),1)</f>
        <v>29991.155931740243</v>
      </c>
      <c r="X337" s="29">
        <f>AN337*0.12*IF(MID(E337,1,1)="1",IF(G337="3히트",0,1),1)*IF(MID(E337,3,1)="1",트라이포드!$J$20,트라이포드!$I$20)*IF(MID(E337,5,1)="2",트라이포드!$R$20,트라이포드!$Q$20)*(1+입력란!$C$33/100)*IF(입력란!$C$9=1,IF(MID(E337,3,1)&lt;&gt;"1",IF(입력란!$C$14=0,1.05,IF(입력란!$C$14=1,1.05*1.05,IF(입력란!$C$14=2,1.05*1.12,IF(입력란!$C$14=3,1.05*1.25)))),1),1)</f>
        <v>29991.155931740243</v>
      </c>
      <c r="Y337" s="38">
        <f>AN337*0.28*IF(MID(E337,1,1)="1",IF(G337="3히트",0,1),1)*IF(MID(E337,3,1)="1",트라이포드!$J$20,트라이포드!$I$20)*IF(MID(E337,3,1)="3",트라이포드!$N$20,트라이포드!$M$20)*IF(MID(E337,5,1)="2",트라이포드!$R$20,트라이포드!$Q$20)*(1+입력란!$C$33/100)*IF(입력란!$C$9=1,IF(MID(E337,3,1)&lt;&gt;"1",IF(입력란!$C$14=0,1.05,IF(입력란!$C$14=1,1.05*1.05,IF(입력란!$C$14=2,1.05*1.12,IF(입력란!$C$14=3,1.05*1.25)))),1),1)</f>
        <v>174948.4096018181</v>
      </c>
      <c r="Z337" s="26">
        <f>(AN337*IF(MID(E337,5,1)="1",0.004*IF(G337="3히트",3,7)*5,0)+IF(MID(E337,5,1)="1",IF(G337="3히트",0,AN337*트라이포드!$P$20*IF(MID(E337,3,1)="1",트라이포드!$J$20,트라이포드!$I$20)),0)+IF(MID(E337,5,1)="1",IF(G337="3히트",0,AN337*0.03),0))*(1+입력란!$C$33/100)</f>
        <v>0</v>
      </c>
      <c r="AA337" s="29">
        <f>SUM(AB337:AI337)</f>
        <v>709790.69038451905</v>
      </c>
      <c r="AB337" s="29">
        <f>S337*2</f>
        <v>59982.311863480485</v>
      </c>
      <c r="AC337" s="29">
        <f>T337*2</f>
        <v>59982.311863480485</v>
      </c>
      <c r="AD337" s="29">
        <f>U337*2</f>
        <v>59982.311863480485</v>
      </c>
      <c r="AE337" s="29">
        <f>V337*2</f>
        <v>59982.311863480485</v>
      </c>
      <c r="AF337" s="29">
        <f>W337*2</f>
        <v>59982.311863480485</v>
      </c>
      <c r="AG337" s="29">
        <f>X337*2</f>
        <v>59982.311863480485</v>
      </c>
      <c r="AH337" s="29">
        <f>Y337*2</f>
        <v>349896.8192036362</v>
      </c>
      <c r="AI337" s="26">
        <f>Z337*2</f>
        <v>0</v>
      </c>
      <c r="AJ337" s="25">
        <f>IF(G337="3히트",10,AR337*(1-입력란!$C$29/100))</f>
        <v>28.731215018700002</v>
      </c>
      <c r="AK33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7" s="25">
        <f>입력란!$C$37+IF(입력란!$C$17=1,10,IF(입력란!$C$17=2,25,IF(입력란!$C$17=3,50,0)))</f>
        <v>200</v>
      </c>
      <c r="AM337" s="29">
        <f>SUM(AN337:AP337)</f>
        <v>209820.92449437417</v>
      </c>
      <c r="AN337" s="29">
        <f>(VLOOKUP(C337,$B$4:$AK$7,26,FALSE)+VLOOKUP(C337,$B$8:$AK$11,26,FALSE)*입력란!$C$23)*입력란!$C$38/100</f>
        <v>209820.92449437417</v>
      </c>
      <c r="AO337" s="29"/>
      <c r="AP337" s="29"/>
      <c r="AQ337" s="29"/>
      <c r="AR337" s="28">
        <v>30</v>
      </c>
    </row>
    <row r="338" spans="2:44" ht="13.5" customHeight="1" x14ac:dyDescent="0.3">
      <c r="B338" s="30">
        <v>323</v>
      </c>
      <c r="C338" s="35">
        <v>10</v>
      </c>
      <c r="D338" s="42" t="s">
        <v>385</v>
      </c>
      <c r="E338" s="37" t="s">
        <v>368</v>
      </c>
      <c r="F338" s="39" t="s">
        <v>392</v>
      </c>
      <c r="G338" s="39"/>
      <c r="H338" s="51">
        <f>I338/AJ338</f>
        <v>22456.397053721106</v>
      </c>
      <c r="I338" s="52">
        <f>SUM(J338:Q338)*IF(입력란!C$15=1,1.04,IF(입력란!C$15=2,1.1,IF(입력란!C$15=3,1.2,1)))*IF(입력란!$C$13&lt;&gt;0,0,1)*IF(입력란!$C$17&lt;&gt;0,0.98,1)</f>
        <v>645199.57229576237</v>
      </c>
      <c r="J338" s="29">
        <f>S338*(1+IF($AK338+IF(입력란!$C$9=1,IF(MID(E338,3,1)&lt;&gt;"1",10,0),0)+IF(MID(E338,3,1)="1",20,0)+IF(입력란!$C$19=1,10,0)&gt;100,100,$AK338+IF(입력란!$C$9=1,IF(MID(E338,3,1)&lt;&gt;"1",10,0),0)+IF(MID(E338,3,1)="1",20,0)+IF(입력란!$C$19=1,10,0))/100*($AL338/100-1))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K338" s="29">
        <f>T338*(1+IF($AK338+IF(입력란!$C$9=1,IF(MID(E338,3,1)&lt;&gt;"1",10,0),0)+IF(MID(E338,3,1)="1",20,0)+IF(입력란!$C$19=1,10,0)&gt;100,100,$AK338+IF(입력란!$C$9=1,IF(MID(E338,3,1)&lt;&gt;"1",10,0),0)+IF(MID(E338,3,1)="1",20,0)+IF(입력란!$C$19=1,10,0))/100*($AL338/100-1))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L338" s="29">
        <f>U338*(1+IF($AK338+IF(입력란!$C$9=1,IF(MID(E338,3,1)&lt;&gt;"1",10,0),0)+IF(MID(E338,3,1)="1",20,0)+IF(입력란!$C$19=1,10,0)&gt;100,100,$AK338+IF(입력란!$C$9=1,IF(MID(E338,3,1)&lt;&gt;"1",10,0),0)+IF(MID(E338,3,1)="1",20,0)+IF(입력란!$C$19=1,10,0))/100*($AL338/100-1))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M338" s="29">
        <f>V338*(1+IF($AK338+IF(입력란!$C$9=1,IF(MID(E338,3,1)&lt;&gt;"1",10,0),0)+IF(MID(E338,3,1)="1",20,0)+IF(입력란!$C$19=1,10,0)&gt;100,100,$AK338+IF(입력란!$C$9=1,IF(MID(E338,3,1)&lt;&gt;"1",10,0),0)+IF(MID(E338,3,1)="1",20,0)+IF(입력란!$C$19=1,10,0))/100*($AL338/100-1))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N338" s="38">
        <f>W338*(1+IF($AK338+IF(입력란!$C$9=1,IF(MID(E338,3,1)&lt;&gt;"1",10,0),0)+IF(MID(E338,3,1)="1",20,0)+IF(입력란!$C$19=1,10,0)&gt;100,100,$AK338+IF(입력란!$C$9=1,IF(MID(E338,3,1)&lt;&gt;"1",10,0),0)+IF(MID(E338,3,1)="1",20,0)+IF(입력란!$C$19=1,10,0))/100*($AL338/100-1))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O338" s="38">
        <f>X338*(1+IF($AK338+IF(입력란!$C$9=1,IF(MID(E338,3,1)&lt;&gt;"1",10,0),0)+IF(MID(E338,3,1)="1",20,0)+IF(입력란!$C$19=1,10,0)&gt;100,100,$AK338+IF(입력란!$C$9=1,IF(MID(E338,3,1)&lt;&gt;"1",10,0),0)+IF(MID(E338,3,1)="1",20,0)+IF(입력란!$C$19=1,10,0))/100*($AL338/100-1))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46965.144360713166</v>
      </c>
      <c r="P338" s="38">
        <f>Y338*(1+IF($AK338+IF(입력란!$C$9=1,IF(MID(E338,3,1)&lt;&gt;"1",10,0),0)+IF(MID(E338,3,1)="1",20,0)+IF(입력란!$C$19=1,10,0)&gt;100,100,$AK338+IF(입력란!$C$9=1,IF(MID(E338,3,1)&lt;&gt;"1",10,0),0)+IF(MID(E338,3,1)="1",20,0)+IF(입력란!$C$19=1,10,0))/100*($AL338/100-1))</f>
        <v>109585.33684166406</v>
      </c>
      <c r="Q338" s="34">
        <f>Z338*(1+IF($AK338+IF(입력란!$C$19=1,10,0)&gt;100,100,$AK338+IF(입력란!$C$19=1,10,0))/100*($AL338/100-1))</f>
        <v>253823.36928981935</v>
      </c>
      <c r="R338" s="23">
        <f>SUM(S338:Z338)</f>
        <v>482357.75790215563</v>
      </c>
      <c r="S338" s="29">
        <f>AN338*0.12*IF(MID(E338,3,1)="1",트라이포드!$J$20,트라이포드!$I$20)*(1+입력란!$C$33/100)*IF(입력란!$C$9=1,IF(MID(E338,3,1)&lt;&gt;"1",IF(입력란!$C$14=0,1.05,IF(입력란!$C$14=1,1.05*1.05,IF(입력란!$C$14=2,1.05*1.12,IF(입력란!$C$14=3,1.05*1.25)))),1),1)</f>
        <v>32990.271524914271</v>
      </c>
      <c r="T338" s="29">
        <f>AN338*0.12*IF(MID(E338,3,1)="1",트라이포드!$J$20,트라이포드!$I$20)*(1+입력란!$C$33/100)*IF(입력란!$C$9=1,IF(MID(E338,3,1)&lt;&gt;"1",IF(입력란!$C$14=0,1.05,IF(입력란!$C$14=1,1.05*1.05,IF(입력란!$C$14=2,1.05*1.12,IF(입력란!$C$14=3,1.05*1.25)))),1),1)</f>
        <v>32990.271524914271</v>
      </c>
      <c r="U338" s="29">
        <f>AN338*0.12*IF(MID(E338,3,1)="1",트라이포드!$J$20,트라이포드!$I$20)*(1+입력란!$C$33/100)*IF(입력란!$C$9=1,IF(MID(E338,3,1)&lt;&gt;"1",IF(입력란!$C$14=0,1.05,IF(입력란!$C$14=1,1.05*1.05,IF(입력란!$C$14=2,1.05*1.12,IF(입력란!$C$14=3,1.05*1.25)))),1),1)</f>
        <v>32990.271524914271</v>
      </c>
      <c r="V338" s="29">
        <f>AN338*0.12*IF(MID(E338,1,1)="1",IF(G338="3히트",0,1),1)*IF(MID(E338,3,1)="1",트라이포드!$J$20,트라이포드!$I$20)*(1+입력란!$C$33/100)*IF(입력란!$C$9=1,IF(MID(E338,3,1)&lt;&gt;"1",IF(입력란!$C$14=0,1.05,IF(입력란!$C$14=1,1.05*1.05,IF(입력란!$C$14=2,1.05*1.12,IF(입력란!$C$14=3,1.05*1.25)))),1),1)</f>
        <v>32990.271524914271</v>
      </c>
      <c r="W338" s="29">
        <f>AN338*0.12*IF(MID(E338,1,1)="1",IF(G338="3히트",0,1),1)*IF(MID(E338,3,1)="1",트라이포드!$J$20,트라이포드!$I$20)*IF(MID(E338,5,1)="2",트라이포드!$R$20,트라이포드!$Q$20)*(1+입력란!$C$33/100)*IF(입력란!$C$9=1,IF(MID(E338,3,1)&lt;&gt;"1",IF(입력란!$C$14=0,1.05,IF(입력란!$C$14=1,1.05*1.05,IF(입력란!$C$14=2,1.05*1.12,IF(입력란!$C$14=3,1.05*1.25)))),1),1)</f>
        <v>32990.271524914271</v>
      </c>
      <c r="X338" s="29">
        <f>AN338*0.12*IF(MID(E338,1,1)="1",IF(G338="3히트",0,1),1)*IF(MID(E338,3,1)="1",트라이포드!$J$20,트라이포드!$I$20)*IF(MID(E338,5,1)="2",트라이포드!$R$20,트라이포드!$Q$20)*(1+입력란!$C$33/100)*IF(입력란!$C$9=1,IF(MID(E338,3,1)&lt;&gt;"1",IF(입력란!$C$14=0,1.05,IF(입력란!$C$14=1,1.05*1.05,IF(입력란!$C$14=2,1.05*1.12,IF(입력란!$C$14=3,1.05*1.25)))),1),1)</f>
        <v>32990.271524914271</v>
      </c>
      <c r="Y338" s="38">
        <f>AN338*0.28*IF(MID(E338,1,1)="1",IF(G338="3히트",0,1),1)*IF(MID(E338,3,1)="1",트라이포드!$J$20,트라이포드!$I$20)*IF(MID(E338,3,1)="3",트라이포드!$N$20,트라이포드!$M$20)*IF(MID(E338,5,1)="2",트라이포드!$R$20,트라이포드!$Q$20)*(1+입력란!$C$33/100)*IF(입력란!$C$9=1,IF(MID(E338,3,1)&lt;&gt;"1",IF(입력란!$C$14=0,1.05,IF(입력란!$C$14=1,1.05*1.05,IF(입력란!$C$14=2,1.05*1.12,IF(입력란!$C$14=3,1.05*1.25)))),1),1)</f>
        <v>76977.300224799968</v>
      </c>
      <c r="Z338" s="26">
        <f>(AN338*IF(MID(E338,5,1)="1",0.004*IF(G338="3히트",3,7)*5,0)+IF(MID(E338,5,1)="1",IF(G338="3히트",0,AN338*트라이포드!$P$20*IF(MID(E338,3,1)="1",트라이포드!$J$20,트라이포드!$I$20)),0)+IF(MID(E338,5,1)="1",IF(G338="3히트",0,AN338*0.03),0))*(1+입력란!$C$33/100)</f>
        <v>207438.82852787001</v>
      </c>
      <c r="AA338" s="29">
        <f>SUM(AB338:AI338)</f>
        <v>964715.51580431126</v>
      </c>
      <c r="AB338" s="29">
        <f>S338*2</f>
        <v>65980.543049828542</v>
      </c>
      <c r="AC338" s="29">
        <f>T338*2</f>
        <v>65980.543049828542</v>
      </c>
      <c r="AD338" s="29">
        <f>U338*2</f>
        <v>65980.543049828542</v>
      </c>
      <c r="AE338" s="29">
        <f>V338*2</f>
        <v>65980.543049828542</v>
      </c>
      <c r="AF338" s="29">
        <f>W338*2</f>
        <v>65980.543049828542</v>
      </c>
      <c r="AG338" s="29">
        <f>X338*2</f>
        <v>65980.543049828542</v>
      </c>
      <c r="AH338" s="29">
        <f>Y338*2</f>
        <v>153954.60044959994</v>
      </c>
      <c r="AI338" s="26">
        <f>Z338*2</f>
        <v>414877.65705574001</v>
      </c>
      <c r="AJ338" s="25">
        <f>IF(G338="3히트",10,AR338*(1-입력란!$C$29/100))</f>
        <v>28.731215018700002</v>
      </c>
      <c r="AK33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8" s="25">
        <f>입력란!$C$37+IF(입력란!$C$17=1,10,IF(입력란!$C$17=2,25,IF(입력란!$C$17=3,50,0)))</f>
        <v>200</v>
      </c>
      <c r="AM338" s="29">
        <f>SUM(AN338:AP338)</f>
        <v>209820.92449437417</v>
      </c>
      <c r="AN338" s="29">
        <f>(VLOOKUP(C338,$B$4:$AK$7,26,FALSE)+VLOOKUP(C338,$B$8:$AK$11,26,FALSE)*입력란!$C$23)*입력란!$C$38/100</f>
        <v>209820.92449437417</v>
      </c>
      <c r="AO338" s="29"/>
      <c r="AP338" s="29"/>
      <c r="AQ338" s="29"/>
      <c r="AR338" s="28">
        <v>30</v>
      </c>
    </row>
    <row r="339" spans="2:44" ht="13.5" customHeight="1" x14ac:dyDescent="0.3">
      <c r="B339" s="30">
        <v>324</v>
      </c>
      <c r="C339" s="35">
        <v>10</v>
      </c>
      <c r="D339" s="42" t="s">
        <v>385</v>
      </c>
      <c r="E339" s="37" t="s">
        <v>162</v>
      </c>
      <c r="F339" s="39" t="s">
        <v>393</v>
      </c>
      <c r="G339" s="39"/>
      <c r="H339" s="51">
        <f>I339/AJ339</f>
        <v>20705.418416236211</v>
      </c>
      <c r="I339" s="52">
        <f>SUM(J339:Q339)*IF(입력란!C$15=1,1.04,IF(입력란!C$15=2,1.1,IF(입력란!C$15=3,1.2,1)))*IF(입력란!$C$13&lt;&gt;0,0,1)*IF(입력란!$C$17&lt;&gt;0,0.98,1)</f>
        <v>594891.82856903342</v>
      </c>
      <c r="J339" s="29">
        <f>S339*(1+IF($AK339+IF(입력란!$C$9=1,IF(MID(E339,3,1)&lt;&gt;"1",10,0),0)+IF(MID(E339,3,1)="1",20,0)+IF(입력란!$C$19=1,10,0)&gt;100,100,$AK339+IF(입력란!$C$9=1,IF(MID(E339,3,1)&lt;&gt;"1",10,0),0)+IF(MID(E339,3,1)="1",20,0)+IF(입력란!$C$19=1,10,0))/100*($AL339/100-1))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46965.144360713166</v>
      </c>
      <c r="K339" s="29">
        <f>T339*(1+IF($AK339+IF(입력란!$C$9=1,IF(MID(E339,3,1)&lt;&gt;"1",10,0),0)+IF(MID(E339,3,1)="1",20,0)+IF(입력란!$C$19=1,10,0)&gt;100,100,$AK339+IF(입력란!$C$9=1,IF(MID(E339,3,1)&lt;&gt;"1",10,0),0)+IF(MID(E339,3,1)="1",20,0)+IF(입력란!$C$19=1,10,0))/100*($AL339/100-1))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46965.144360713166</v>
      </c>
      <c r="L339" s="29">
        <f>U339*(1+IF($AK339+IF(입력란!$C$9=1,IF(MID(E339,3,1)&lt;&gt;"1",10,0),0)+IF(MID(E339,3,1)="1",20,0)+IF(입력란!$C$19=1,10,0)&gt;100,100,$AK339+IF(입력란!$C$9=1,IF(MID(E339,3,1)&lt;&gt;"1",10,0),0)+IF(MID(E339,3,1)="1",20,0)+IF(입력란!$C$19=1,10,0))/100*($AL339/100-1))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46965.144360713166</v>
      </c>
      <c r="M339" s="29">
        <f>V339*(1+IF($AK339+IF(입력란!$C$9=1,IF(MID(E339,3,1)&lt;&gt;"1",10,0),0)+IF(MID(E339,3,1)="1",20,0)+IF(입력란!$C$19=1,10,0)&gt;100,100,$AK339+IF(입력란!$C$9=1,IF(MID(E339,3,1)&lt;&gt;"1",10,0),0)+IF(MID(E339,3,1)="1",20,0)+IF(입력란!$C$19=1,10,0))/100*($AL339/100-1))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46965.144360713166</v>
      </c>
      <c r="N339" s="38">
        <f>W339*(1+IF($AK339+IF(입력란!$C$9=1,IF(MID(E339,3,1)&lt;&gt;"1",10,0),0)+IF(MID(E339,3,1)="1",20,0)+IF(입력란!$C$19=1,10,0)&gt;100,100,$AK339+IF(입력란!$C$9=1,IF(MID(E339,3,1)&lt;&gt;"1",10,0),0)+IF(MID(E339,3,1)="1",20,0)+IF(입력란!$C$19=1,10,0))/100*($AL339/100-1))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93930.288721426332</v>
      </c>
      <c r="O339" s="38">
        <f>X339*(1+IF($AK339+IF(입력란!$C$9=1,IF(MID(E339,3,1)&lt;&gt;"1",10,0),0)+IF(MID(E339,3,1)="1",20,0)+IF(입력란!$C$19=1,10,0)&gt;100,100,$AK339+IF(입력란!$C$9=1,IF(MID(E339,3,1)&lt;&gt;"1",10,0),0)+IF(MID(E339,3,1)="1",20,0)+IF(입력란!$C$19=1,10,0))/100*($AL339/100-1))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93930.288721426332</v>
      </c>
      <c r="P339" s="38">
        <f>Y339*(1+IF($AK339+IF(입력란!$C$9=1,IF(MID(E339,3,1)&lt;&gt;"1",10,0),0)+IF(MID(E339,3,1)="1",20,0)+IF(입력란!$C$19=1,10,0)&gt;100,100,$AK339+IF(입력란!$C$9=1,IF(MID(E339,3,1)&lt;&gt;"1",10,0),0)+IF(MID(E339,3,1)="1",20,0)+IF(입력란!$C$19=1,10,0))/100*($AL339/100-1))</f>
        <v>219170.67368332812</v>
      </c>
      <c r="Q339" s="34">
        <f>Z339*(1+IF($AK339+IF(입력란!$C$19=1,10,0)&gt;100,100,$AK339+IF(입력란!$C$19=1,10,0))/100*($AL339/100-1))</f>
        <v>0</v>
      </c>
      <c r="R339" s="23">
        <f>SUM(S339:Z339)</f>
        <v>417876.77264891414</v>
      </c>
      <c r="S339" s="29">
        <f>AN339*0.12*IF(MID(E339,3,1)="1",트라이포드!$J$20,트라이포드!$I$20)*(1+입력란!$C$33/100)*IF(입력란!$C$9=1,IF(MID(E339,3,1)&lt;&gt;"1",IF(입력란!$C$14=0,1.05,IF(입력란!$C$14=1,1.05*1.05,IF(입력란!$C$14=2,1.05*1.12,IF(입력란!$C$14=3,1.05*1.25)))),1),1)</f>
        <v>32990.271524914271</v>
      </c>
      <c r="T339" s="29">
        <f>AN339*0.12*IF(MID(E339,3,1)="1",트라이포드!$J$20,트라이포드!$I$20)*(1+입력란!$C$33/100)*IF(입력란!$C$9=1,IF(MID(E339,3,1)&lt;&gt;"1",IF(입력란!$C$14=0,1.05,IF(입력란!$C$14=1,1.05*1.05,IF(입력란!$C$14=2,1.05*1.12,IF(입력란!$C$14=3,1.05*1.25)))),1),1)</f>
        <v>32990.271524914271</v>
      </c>
      <c r="U339" s="29">
        <f>AN339*0.12*IF(MID(E339,3,1)="1",트라이포드!$J$20,트라이포드!$I$20)*(1+입력란!$C$33/100)*IF(입력란!$C$9=1,IF(MID(E339,3,1)&lt;&gt;"1",IF(입력란!$C$14=0,1.05,IF(입력란!$C$14=1,1.05*1.05,IF(입력란!$C$14=2,1.05*1.12,IF(입력란!$C$14=3,1.05*1.25)))),1),1)</f>
        <v>32990.271524914271</v>
      </c>
      <c r="V339" s="29">
        <f>AN339*0.12*IF(MID(E339,1,1)="1",IF(G339="3히트",0,1),1)*IF(MID(E339,3,1)="1",트라이포드!$J$20,트라이포드!$I$20)*(1+입력란!$C$33/100)*IF(입력란!$C$9=1,IF(MID(E339,3,1)&lt;&gt;"1",IF(입력란!$C$14=0,1.05,IF(입력란!$C$14=1,1.05*1.05,IF(입력란!$C$14=2,1.05*1.12,IF(입력란!$C$14=3,1.05*1.25)))),1),1)</f>
        <v>32990.271524914271</v>
      </c>
      <c r="W339" s="29">
        <f>AN339*0.12*IF(MID(E339,1,1)="1",IF(G339="3히트",0,1),1)*IF(MID(E339,3,1)="1",트라이포드!$J$20,트라이포드!$I$20)*IF(MID(E339,5,1)="2",트라이포드!$R$20,트라이포드!$Q$20)*(1+입력란!$C$33/100)*IF(입력란!$C$9=1,IF(MID(E339,3,1)&lt;&gt;"1",IF(입력란!$C$14=0,1.05,IF(입력란!$C$14=1,1.05*1.05,IF(입력란!$C$14=2,1.05*1.12,IF(입력란!$C$14=3,1.05*1.25)))),1),1)</f>
        <v>65980.543049828542</v>
      </c>
      <c r="X339" s="29">
        <f>AN339*0.12*IF(MID(E339,1,1)="1",IF(G339="3히트",0,1),1)*IF(MID(E339,3,1)="1",트라이포드!$J$20,트라이포드!$I$20)*IF(MID(E339,5,1)="2",트라이포드!$R$20,트라이포드!$Q$20)*(1+입력란!$C$33/100)*IF(입력란!$C$9=1,IF(MID(E339,3,1)&lt;&gt;"1",IF(입력란!$C$14=0,1.05,IF(입력란!$C$14=1,1.05*1.05,IF(입력란!$C$14=2,1.05*1.12,IF(입력란!$C$14=3,1.05*1.25)))),1),1)</f>
        <v>65980.543049828542</v>
      </c>
      <c r="Y339" s="38">
        <f>AN339*0.28*IF(MID(E339,1,1)="1",IF(G339="3히트",0,1),1)*IF(MID(E339,3,1)="1",트라이포드!$J$20,트라이포드!$I$20)*IF(MID(E339,3,1)="3",트라이포드!$N$20,트라이포드!$M$20)*IF(MID(E339,5,1)="2",트라이포드!$R$20,트라이포드!$Q$20)*(1+입력란!$C$33/100)*IF(입력란!$C$9=1,IF(MID(E339,3,1)&lt;&gt;"1",IF(입력란!$C$14=0,1.05,IF(입력란!$C$14=1,1.05*1.05,IF(입력란!$C$14=2,1.05*1.12,IF(입력란!$C$14=3,1.05*1.25)))),1),1)</f>
        <v>153954.60044959994</v>
      </c>
      <c r="Z339" s="26">
        <f>(AN339*IF(MID(E339,5,1)="1",0.004*IF(G339="3히트",3,7)*5,0)+IF(MID(E339,5,1)="1",IF(G339="3히트",0,AN339*트라이포드!$P$20*IF(MID(E339,3,1)="1",트라이포드!$J$20,트라이포드!$I$20)),0)+IF(MID(E339,5,1)="1",IF(G339="3히트",0,AN339*0.03),0))*(1+입력란!$C$33/100)</f>
        <v>0</v>
      </c>
      <c r="AA339" s="29">
        <f>SUM(AB339:AI339)</f>
        <v>835753.54529782827</v>
      </c>
      <c r="AB339" s="29">
        <f>S339*2</f>
        <v>65980.543049828542</v>
      </c>
      <c r="AC339" s="29">
        <f>T339*2</f>
        <v>65980.543049828542</v>
      </c>
      <c r="AD339" s="29">
        <f>U339*2</f>
        <v>65980.543049828542</v>
      </c>
      <c r="AE339" s="29">
        <f>V339*2</f>
        <v>65980.543049828542</v>
      </c>
      <c r="AF339" s="29">
        <f>W339*2</f>
        <v>131961.08609965708</v>
      </c>
      <c r="AG339" s="29">
        <f>X339*2</f>
        <v>131961.08609965708</v>
      </c>
      <c r="AH339" s="29">
        <f>Y339*2</f>
        <v>307909.20089919987</v>
      </c>
      <c r="AI339" s="26">
        <f>Z339*2</f>
        <v>0</v>
      </c>
      <c r="AJ339" s="25">
        <f>IF(G339="3히트",10,AR339*(1-입력란!$C$29/100))</f>
        <v>28.731215018700002</v>
      </c>
      <c r="AK339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39" s="25">
        <f>입력란!$C$37+IF(입력란!$C$17=1,10,IF(입력란!$C$17=2,25,IF(입력란!$C$17=3,50,0)))</f>
        <v>200</v>
      </c>
      <c r="AM339" s="29">
        <f>SUM(AN339:AP339)</f>
        <v>209820.92449437417</v>
      </c>
      <c r="AN339" s="29">
        <f>(VLOOKUP(C339,$B$4:$AK$7,26,FALSE)+VLOOKUP(C339,$B$8:$AK$11,26,FALSE)*입력란!$C$23)*입력란!$C$38/100</f>
        <v>209820.92449437417</v>
      </c>
      <c r="AO339" s="29"/>
      <c r="AP339" s="29"/>
      <c r="AQ339" s="29"/>
      <c r="AR339" s="28">
        <v>30</v>
      </c>
    </row>
    <row r="340" spans="2:44" ht="13.5" customHeight="1" x14ac:dyDescent="0.3">
      <c r="B340" s="30">
        <v>325</v>
      </c>
      <c r="C340" s="35">
        <v>10</v>
      </c>
      <c r="D340" s="42" t="s">
        <v>385</v>
      </c>
      <c r="E340" s="37" t="s">
        <v>369</v>
      </c>
      <c r="F340" s="39" t="s">
        <v>392</v>
      </c>
      <c r="G340" s="39"/>
      <c r="H340" s="51">
        <f>I340/AJ340</f>
        <v>23310.073066637229</v>
      </c>
      <c r="I340" s="52">
        <f>SUM(J340:Q340)*IF(입력란!C$15=1,1.04,IF(입력란!C$15=2,1.1,IF(입력란!C$15=3,1.2,1)))*IF(입력란!$C$13&lt;&gt;0,0,1)*IF(입력란!$C$17&lt;&gt;0,0.98,1)</f>
        <v>669726.72137916193</v>
      </c>
      <c r="J340" s="29">
        <f>S340*(1+IF($AK340+IF(입력란!$C$9=1,IF(MID(E340,3,1)&lt;&gt;"1",10,0),0)+IF(MID(E340,3,1)="1",20,0)+IF(입력란!$C$19=1,10,0)&gt;100,100,$AK340+IF(입력란!$C$9=1,IF(MID(E340,3,1)&lt;&gt;"1",10,0),0)+IF(MID(E340,3,1)="1",20,0)+IF(입력란!$C$19=1,10,0))/100*($AL340/100-1))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K340" s="29">
        <f>T340*(1+IF($AK340+IF(입력란!$C$9=1,IF(MID(E340,3,1)&lt;&gt;"1",10,0),0)+IF(MID(E340,3,1)="1",20,0)+IF(입력란!$C$19=1,10,0)&gt;100,100,$AK340+IF(입력란!$C$9=1,IF(MID(E340,3,1)&lt;&gt;"1",10,0),0)+IF(MID(E340,3,1)="1",20,0)+IF(입력란!$C$19=1,10,0))/100*($AL340/100-1))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L340" s="29">
        <f>U340*(1+IF($AK340+IF(입력란!$C$9=1,IF(MID(E340,3,1)&lt;&gt;"1",10,0),0)+IF(MID(E340,3,1)="1",20,0)+IF(입력란!$C$19=1,10,0)&gt;100,100,$AK340+IF(입력란!$C$9=1,IF(MID(E340,3,1)&lt;&gt;"1",10,0),0)+IF(MID(E340,3,1)="1",20,0)+IF(입력란!$C$19=1,10,0))/100*($AL340/100-1))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M340" s="29">
        <f>V340*(1+IF($AK340+IF(입력란!$C$9=1,IF(MID(E340,3,1)&lt;&gt;"1",10,0),0)+IF(MID(E340,3,1)="1",20,0)+IF(입력란!$C$19=1,10,0)&gt;100,100,$AK340+IF(입력란!$C$9=1,IF(MID(E340,3,1)&lt;&gt;"1",10,0),0)+IF(MID(E340,3,1)="1",20,0)+IF(입력란!$C$19=1,10,0))/100*($AL340/100-1))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N340" s="38">
        <f>W340*(1+IF($AK340+IF(입력란!$C$9=1,IF(MID(E340,3,1)&lt;&gt;"1",10,0),0)+IF(MID(E340,3,1)="1",20,0)+IF(입력란!$C$19=1,10,0)&gt;100,100,$AK340+IF(입력란!$C$9=1,IF(MID(E340,3,1)&lt;&gt;"1",10,0),0)+IF(MID(E340,3,1)="1",20,0)+IF(입력란!$C$19=1,10,0))/100*($AL340/100-1))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O340" s="38">
        <f>X340*(1+IF($AK340+IF(입력란!$C$9=1,IF(MID(E340,3,1)&lt;&gt;"1",10,0),0)+IF(MID(E340,3,1)="1",20,0)+IF(입력란!$C$19=1,10,0)&gt;100,100,$AK340+IF(입력란!$C$9=1,IF(MID(E340,3,1)&lt;&gt;"1",10,0),0)+IF(MID(E340,3,1)="1",20,0)+IF(입력란!$C$19=1,10,0))/100*($AL340/100-1))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36697.354596118465</v>
      </c>
      <c r="P340" s="38">
        <f>Y340*(1+IF($AK340+IF(입력란!$C$9=1,IF(MID(E340,3,1)&lt;&gt;"1",10,0),0)+IF(MID(E340,3,1)="1",20,0)+IF(입력란!$C$19=1,10,0)&gt;100,100,$AK340+IF(입력란!$C$9=1,IF(MID(E340,3,1)&lt;&gt;"1",10,0),0)+IF(MID(E340,3,1)="1",20,0)+IF(입력란!$C$19=1,10,0))/100*($AL340/100-1))</f>
        <v>214067.90181069105</v>
      </c>
      <c r="Q340" s="34">
        <f>Z340*(1+IF($AK340+IF(입력란!$C$19=1,10,0)&gt;100,100,$AK340+IF(입력란!$C$19=1,10,0))/100*($AL340/100-1))</f>
        <v>235474.69199176008</v>
      </c>
      <c r="R340" s="23">
        <f>SUM(S340:Z340)</f>
        <v>547338.59575425938</v>
      </c>
      <c r="S340" s="29">
        <f>AN340*0.12*IF(MID(E340,3,1)="1",트라이포드!$J$20,트라이포드!$I$20)*(1+입력란!$C$33/100)*IF(입력란!$C$9=1,IF(MID(E340,3,1)&lt;&gt;"1",IF(입력란!$C$14=0,1.05,IF(입력란!$C$14=1,1.05*1.05,IF(입력란!$C$14=2,1.05*1.12,IF(입력란!$C$14=3,1.05*1.25)))),1),1)</f>
        <v>29991.155931740243</v>
      </c>
      <c r="T340" s="29">
        <f>AN340*0.12*IF(MID(E340,3,1)="1",트라이포드!$J$20,트라이포드!$I$20)*(1+입력란!$C$33/100)*IF(입력란!$C$9=1,IF(MID(E340,3,1)&lt;&gt;"1",IF(입력란!$C$14=0,1.05,IF(입력란!$C$14=1,1.05*1.05,IF(입력란!$C$14=2,1.05*1.12,IF(입력란!$C$14=3,1.05*1.25)))),1),1)</f>
        <v>29991.155931740243</v>
      </c>
      <c r="U340" s="29">
        <f>AN340*0.12*IF(MID(E340,3,1)="1",트라이포드!$J$20,트라이포드!$I$20)*(1+입력란!$C$33/100)*IF(입력란!$C$9=1,IF(MID(E340,3,1)&lt;&gt;"1",IF(입력란!$C$14=0,1.05,IF(입력란!$C$14=1,1.05*1.05,IF(입력란!$C$14=2,1.05*1.12,IF(입력란!$C$14=3,1.05*1.25)))),1),1)</f>
        <v>29991.155931740243</v>
      </c>
      <c r="V340" s="29">
        <f>AN340*0.12*IF(MID(E340,1,1)="1",IF(G340="3히트",0,1),1)*IF(MID(E340,3,1)="1",트라이포드!$J$20,트라이포드!$I$20)*(1+입력란!$C$33/100)*IF(입력란!$C$9=1,IF(MID(E340,3,1)&lt;&gt;"1",IF(입력란!$C$14=0,1.05,IF(입력란!$C$14=1,1.05*1.05,IF(입력란!$C$14=2,1.05*1.12,IF(입력란!$C$14=3,1.05*1.25)))),1),1)</f>
        <v>29991.155931740243</v>
      </c>
      <c r="W340" s="29">
        <f>AN340*0.12*IF(MID(E340,1,1)="1",IF(G340="3히트",0,1),1)*IF(MID(E340,3,1)="1",트라이포드!$J$20,트라이포드!$I$20)*IF(MID(E340,5,1)="2",트라이포드!$R$20,트라이포드!$Q$20)*(1+입력란!$C$33/100)*IF(입력란!$C$9=1,IF(MID(E340,3,1)&lt;&gt;"1",IF(입력란!$C$14=0,1.05,IF(입력란!$C$14=1,1.05*1.05,IF(입력란!$C$14=2,1.05*1.12,IF(입력란!$C$14=3,1.05*1.25)))),1),1)</f>
        <v>29991.155931740243</v>
      </c>
      <c r="X340" s="29">
        <f>AN340*0.12*IF(MID(E340,1,1)="1",IF(G340="3히트",0,1),1)*IF(MID(E340,3,1)="1",트라이포드!$J$20,트라이포드!$I$20)*IF(MID(E340,5,1)="2",트라이포드!$R$20,트라이포드!$Q$20)*(1+입력란!$C$33/100)*IF(입력란!$C$9=1,IF(MID(E340,3,1)&lt;&gt;"1",IF(입력란!$C$14=0,1.05,IF(입력란!$C$14=1,1.05*1.05,IF(입력란!$C$14=2,1.05*1.12,IF(입력란!$C$14=3,1.05*1.25)))),1),1)</f>
        <v>29991.155931740243</v>
      </c>
      <c r="Y340" s="38">
        <f>AN340*0.28*IF(MID(E340,1,1)="1",IF(G340="3히트",0,1),1)*IF(MID(E340,3,1)="1",트라이포드!$J$20,트라이포드!$I$20)*IF(MID(E340,3,1)="3",트라이포드!$N$20,트라이포드!$M$20)*IF(MID(E340,5,1)="2",트라이포드!$R$20,트라이포드!$Q$20)*(1+입력란!$C$33/100)*IF(입력란!$C$9=1,IF(MID(E340,3,1)&lt;&gt;"1",IF(입력란!$C$14=0,1.05,IF(입력란!$C$14=1,1.05*1.05,IF(입력란!$C$14=2,1.05*1.12,IF(입력란!$C$14=3,1.05*1.25)))),1),1)</f>
        <v>174948.4096018181</v>
      </c>
      <c r="Z340" s="26">
        <f>(AN340*IF(MID(E340,5,1)="1",0.004*IF(G340="3히트",3,7)*5,0)+IF(MID(E340,5,1)="1",IF(G340="3히트",0,AN340*트라이포드!$P$20*IF(MID(E340,3,1)="1",트라이포드!$J$20,트라이포드!$I$20)),0)+IF(MID(E340,5,1)="1",IF(G340="3히트",0,AN340*0.03),0))*(1+입력란!$C$33/100)</f>
        <v>192443.25056199986</v>
      </c>
      <c r="AA340" s="29">
        <f>SUM(AB340:AI340)</f>
        <v>1094677.1915085188</v>
      </c>
      <c r="AB340" s="29">
        <f>S340*2</f>
        <v>59982.311863480485</v>
      </c>
      <c r="AC340" s="29">
        <f>T340*2</f>
        <v>59982.311863480485</v>
      </c>
      <c r="AD340" s="29">
        <f>U340*2</f>
        <v>59982.311863480485</v>
      </c>
      <c r="AE340" s="29">
        <f>V340*2</f>
        <v>59982.311863480485</v>
      </c>
      <c r="AF340" s="29">
        <f>W340*2</f>
        <v>59982.311863480485</v>
      </c>
      <c r="AG340" s="29">
        <f>X340*2</f>
        <v>59982.311863480485</v>
      </c>
      <c r="AH340" s="29">
        <f>Y340*2</f>
        <v>349896.8192036362</v>
      </c>
      <c r="AI340" s="26">
        <f>Z340*2</f>
        <v>384886.50112399971</v>
      </c>
      <c r="AJ340" s="25">
        <f>IF(G340="3히트",10,AR340*(1-입력란!$C$29/100))</f>
        <v>28.731215018700002</v>
      </c>
      <c r="AK340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0" s="25">
        <f>입력란!$C$37+IF(입력란!$C$17=1,10,IF(입력란!$C$17=2,25,IF(입력란!$C$17=3,50,0)))</f>
        <v>200</v>
      </c>
      <c r="AM340" s="29">
        <f>SUM(AN340:AP340)</f>
        <v>209820.92449437417</v>
      </c>
      <c r="AN340" s="29">
        <f>(VLOOKUP(C340,$B$4:$AK$7,26,FALSE)+VLOOKUP(C340,$B$8:$AK$11,26,FALSE)*입력란!$C$23)*입력란!$C$38/100</f>
        <v>209820.92449437417</v>
      </c>
      <c r="AO340" s="29"/>
      <c r="AP340" s="29"/>
      <c r="AQ340" s="29"/>
      <c r="AR340" s="28">
        <v>30</v>
      </c>
    </row>
    <row r="341" spans="2:44" ht="13.5" customHeight="1" x14ac:dyDescent="0.3">
      <c r="B341" s="30">
        <v>326</v>
      </c>
      <c r="C341" s="35">
        <v>10</v>
      </c>
      <c r="D341" s="42" t="s">
        <v>385</v>
      </c>
      <c r="E341" s="37" t="s">
        <v>164</v>
      </c>
      <c r="F341" s="39" t="s">
        <v>393</v>
      </c>
      <c r="G341" s="39"/>
      <c r="H341" s="51">
        <f>I341/AJ341</f>
        <v>25119.530793271169</v>
      </c>
      <c r="I341" s="52">
        <f>SUM(J341:Q341)*IF(입력란!C$15=1,1.04,IF(입력란!C$15=2,1.1,IF(입력란!C$15=3,1.2,1)))*IF(입력란!$C$13&lt;&gt;0,0,1)*IF(입력란!$C$17&lt;&gt;0,0.98,1)</f>
        <v>721714.64039032976</v>
      </c>
      <c r="J341" s="29">
        <f>S341*(1+IF($AK341+IF(입력란!$C$9=1,IF(MID(E341,3,1)&lt;&gt;"1",10,0),0)+IF(MID(E341,3,1)="1",20,0)+IF(입력란!$C$19=1,10,0)&gt;100,100,$AK341+IF(입력란!$C$9=1,IF(MID(E341,3,1)&lt;&gt;"1",10,0),0)+IF(MID(E341,3,1)="1",20,0)+IF(입력란!$C$19=1,10,0))/100*($AL341/100-1))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36697.354596118465</v>
      </c>
      <c r="K341" s="29">
        <f>T341*(1+IF($AK341+IF(입력란!$C$9=1,IF(MID(E341,3,1)&lt;&gt;"1",10,0),0)+IF(MID(E341,3,1)="1",20,0)+IF(입력란!$C$19=1,10,0)&gt;100,100,$AK341+IF(입력란!$C$9=1,IF(MID(E341,3,1)&lt;&gt;"1",10,0),0)+IF(MID(E341,3,1)="1",20,0)+IF(입력란!$C$19=1,10,0))/100*($AL341/100-1))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36697.354596118465</v>
      </c>
      <c r="L341" s="29">
        <f>U341*(1+IF($AK341+IF(입력란!$C$9=1,IF(MID(E341,3,1)&lt;&gt;"1",10,0),0)+IF(MID(E341,3,1)="1",20,0)+IF(입력란!$C$19=1,10,0)&gt;100,100,$AK341+IF(입력란!$C$9=1,IF(MID(E341,3,1)&lt;&gt;"1",10,0),0)+IF(MID(E341,3,1)="1",20,0)+IF(입력란!$C$19=1,10,0))/100*($AL341/100-1))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36697.354596118465</v>
      </c>
      <c r="M341" s="29">
        <f>V341*(1+IF($AK341+IF(입력란!$C$9=1,IF(MID(E341,3,1)&lt;&gt;"1",10,0),0)+IF(MID(E341,3,1)="1",20,0)+IF(입력란!$C$19=1,10,0)&gt;100,100,$AK341+IF(입력란!$C$9=1,IF(MID(E341,3,1)&lt;&gt;"1",10,0),0)+IF(MID(E341,3,1)="1",20,0)+IF(입력란!$C$19=1,10,0))/100*($AL341/100-1))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36697.354596118465</v>
      </c>
      <c r="N341" s="38">
        <f>W341*(1+IF($AK341+IF(입력란!$C$9=1,IF(MID(E341,3,1)&lt;&gt;"1",10,0),0)+IF(MID(E341,3,1)="1",20,0)+IF(입력란!$C$19=1,10,0)&gt;100,100,$AK341+IF(입력란!$C$9=1,IF(MID(E341,3,1)&lt;&gt;"1",10,0),0)+IF(MID(E341,3,1)="1",20,0)+IF(입력란!$C$19=1,10,0))/100*($AL341/100-1))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73394.709192236929</v>
      </c>
      <c r="O341" s="38">
        <f>X341*(1+IF($AK341+IF(입력란!$C$9=1,IF(MID(E341,3,1)&lt;&gt;"1",10,0),0)+IF(MID(E341,3,1)="1",20,0)+IF(입력란!$C$19=1,10,0)&gt;100,100,$AK341+IF(입력란!$C$9=1,IF(MID(E341,3,1)&lt;&gt;"1",10,0),0)+IF(MID(E341,3,1)="1",20,0)+IF(입력란!$C$19=1,10,0))/100*($AL341/100-1))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73394.709192236929</v>
      </c>
      <c r="P341" s="38">
        <f>Y341*(1+IF($AK341+IF(입력란!$C$9=1,IF(MID(E341,3,1)&lt;&gt;"1",10,0),0)+IF(MID(E341,3,1)="1",20,0)+IF(입력란!$C$19=1,10,0)&gt;100,100,$AK341+IF(입력란!$C$9=1,IF(MID(E341,3,1)&lt;&gt;"1",10,0),0)+IF(MID(E341,3,1)="1",20,0)+IF(입력란!$C$19=1,10,0))/100*($AL341/100-1))</f>
        <v>428135.8036213821</v>
      </c>
      <c r="Q341" s="34">
        <f>Z341*(1+IF($AK341+IF(입력란!$C$19=1,10,0)&gt;100,100,$AK341+IF(입력란!$C$19=1,10,0))/100*($AL341/100-1))</f>
        <v>0</v>
      </c>
      <c r="R341" s="23">
        <f>SUM(S341:Z341)</f>
        <v>589826.06665755808</v>
      </c>
      <c r="S341" s="29">
        <f>AN341*0.12*IF(MID(E341,3,1)="1",트라이포드!$J$20,트라이포드!$I$20)*(1+입력란!$C$33/100)*IF(입력란!$C$9=1,IF(MID(E341,3,1)&lt;&gt;"1",IF(입력란!$C$14=0,1.05,IF(입력란!$C$14=1,1.05*1.05,IF(입력란!$C$14=2,1.05*1.12,IF(입력란!$C$14=3,1.05*1.25)))),1),1)</f>
        <v>29991.155931740243</v>
      </c>
      <c r="T341" s="29">
        <f>AN341*0.12*IF(MID(E341,3,1)="1",트라이포드!$J$20,트라이포드!$I$20)*(1+입력란!$C$33/100)*IF(입력란!$C$9=1,IF(MID(E341,3,1)&lt;&gt;"1",IF(입력란!$C$14=0,1.05,IF(입력란!$C$14=1,1.05*1.05,IF(입력란!$C$14=2,1.05*1.12,IF(입력란!$C$14=3,1.05*1.25)))),1),1)</f>
        <v>29991.155931740243</v>
      </c>
      <c r="U341" s="29">
        <f>AN341*0.12*IF(MID(E341,3,1)="1",트라이포드!$J$20,트라이포드!$I$20)*(1+입력란!$C$33/100)*IF(입력란!$C$9=1,IF(MID(E341,3,1)&lt;&gt;"1",IF(입력란!$C$14=0,1.05,IF(입력란!$C$14=1,1.05*1.05,IF(입력란!$C$14=2,1.05*1.12,IF(입력란!$C$14=3,1.05*1.25)))),1),1)</f>
        <v>29991.155931740243</v>
      </c>
      <c r="V341" s="29">
        <f>AN341*0.12*IF(MID(E341,1,1)="1",IF(G341="3히트",0,1),1)*IF(MID(E341,3,1)="1",트라이포드!$J$20,트라이포드!$I$20)*(1+입력란!$C$33/100)*IF(입력란!$C$9=1,IF(MID(E341,3,1)&lt;&gt;"1",IF(입력란!$C$14=0,1.05,IF(입력란!$C$14=1,1.05*1.05,IF(입력란!$C$14=2,1.05*1.12,IF(입력란!$C$14=3,1.05*1.25)))),1),1)</f>
        <v>29991.155931740243</v>
      </c>
      <c r="W341" s="29">
        <f>AN341*0.12*IF(MID(E341,1,1)="1",IF(G341="3히트",0,1),1)*IF(MID(E341,3,1)="1",트라이포드!$J$20,트라이포드!$I$20)*IF(MID(E341,5,1)="2",트라이포드!$R$20,트라이포드!$Q$20)*(1+입력란!$C$33/100)*IF(입력란!$C$9=1,IF(MID(E341,3,1)&lt;&gt;"1",IF(입력란!$C$14=0,1.05,IF(입력란!$C$14=1,1.05*1.05,IF(입력란!$C$14=2,1.05*1.12,IF(입력란!$C$14=3,1.05*1.25)))),1),1)</f>
        <v>59982.311863480485</v>
      </c>
      <c r="X341" s="29">
        <f>AN341*0.12*IF(MID(E341,1,1)="1",IF(G341="3히트",0,1),1)*IF(MID(E341,3,1)="1",트라이포드!$J$20,트라이포드!$I$20)*IF(MID(E341,5,1)="2",트라이포드!$R$20,트라이포드!$Q$20)*(1+입력란!$C$33/100)*IF(입력란!$C$9=1,IF(MID(E341,3,1)&lt;&gt;"1",IF(입력란!$C$14=0,1.05,IF(입력란!$C$14=1,1.05*1.05,IF(입력란!$C$14=2,1.05*1.12,IF(입력란!$C$14=3,1.05*1.25)))),1),1)</f>
        <v>59982.311863480485</v>
      </c>
      <c r="Y341" s="38">
        <f>AN341*0.28*IF(MID(E341,1,1)="1",IF(G341="3히트",0,1),1)*IF(MID(E341,3,1)="1",트라이포드!$J$20,트라이포드!$I$20)*IF(MID(E341,3,1)="3",트라이포드!$N$20,트라이포드!$M$20)*IF(MID(E341,5,1)="2",트라이포드!$R$20,트라이포드!$Q$20)*(1+입력란!$C$33/100)*IF(입력란!$C$9=1,IF(MID(E341,3,1)&lt;&gt;"1",IF(입력란!$C$14=0,1.05,IF(입력란!$C$14=1,1.05*1.05,IF(입력란!$C$14=2,1.05*1.12,IF(입력란!$C$14=3,1.05*1.25)))),1),1)</f>
        <v>349896.8192036362</v>
      </c>
      <c r="Z341" s="26">
        <f>(AN341*IF(MID(E341,5,1)="1",0.004*IF(G341="3히트",3,7)*5,0)+IF(MID(E341,5,1)="1",IF(G341="3히트",0,AN341*트라이포드!$P$20*IF(MID(E341,3,1)="1",트라이포드!$J$20,트라이포드!$I$20)),0)+IF(MID(E341,5,1)="1",IF(G341="3히트",0,AN341*0.03),0))*(1+입력란!$C$33/100)</f>
        <v>0</v>
      </c>
      <c r="AA341" s="29">
        <f>SUM(AB341:AI341)</f>
        <v>1179652.1333151162</v>
      </c>
      <c r="AB341" s="29">
        <f>S341*2</f>
        <v>59982.311863480485</v>
      </c>
      <c r="AC341" s="29">
        <f>T341*2</f>
        <v>59982.311863480485</v>
      </c>
      <c r="AD341" s="29">
        <f>U341*2</f>
        <v>59982.311863480485</v>
      </c>
      <c r="AE341" s="29">
        <f>V341*2</f>
        <v>59982.311863480485</v>
      </c>
      <c r="AF341" s="29">
        <f>W341*2</f>
        <v>119964.62372696097</v>
      </c>
      <c r="AG341" s="29">
        <f>X341*2</f>
        <v>119964.62372696097</v>
      </c>
      <c r="AH341" s="29">
        <f>Y341*2</f>
        <v>699793.6384072724</v>
      </c>
      <c r="AI341" s="26">
        <f>Z341*2</f>
        <v>0</v>
      </c>
      <c r="AJ341" s="25">
        <f>IF(G341="3히트",10,AR341*(1-입력란!$C$29/100))</f>
        <v>28.731215018700002</v>
      </c>
      <c r="AK341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1" s="25">
        <f>입력란!$C$37+IF(입력란!$C$17=1,10,IF(입력란!$C$17=2,25,IF(입력란!$C$17=3,50,0)))</f>
        <v>200</v>
      </c>
      <c r="AM341" s="29">
        <f>SUM(AN341:AP341)</f>
        <v>209820.92449437417</v>
      </c>
      <c r="AN341" s="29">
        <f>(VLOOKUP(C341,$B$4:$AK$7,26,FALSE)+VLOOKUP(C341,$B$8:$AK$11,26,FALSE)*입력란!$C$23)*입력란!$C$38/100</f>
        <v>209820.92449437417</v>
      </c>
      <c r="AO341" s="29"/>
      <c r="AP341" s="29"/>
      <c r="AQ341" s="29"/>
      <c r="AR341" s="28">
        <v>30</v>
      </c>
    </row>
    <row r="342" spans="2:44" ht="13.5" customHeight="1" x14ac:dyDescent="0.3">
      <c r="B342" s="30">
        <v>327</v>
      </c>
      <c r="C342" s="35">
        <v>10</v>
      </c>
      <c r="D342" s="42" t="s">
        <v>385</v>
      </c>
      <c r="E342" s="37" t="s">
        <v>367</v>
      </c>
      <c r="F342" s="39"/>
      <c r="G342" s="39" t="s">
        <v>389</v>
      </c>
      <c r="H342" s="51">
        <f>I342/AJ342</f>
        <v>11009.206378835539</v>
      </c>
      <c r="I342" s="52">
        <f>SUM(J342:Q342)*IF(입력란!C$15=1,1.04,IF(입력란!C$15=2,1.1,IF(입력란!C$15=3,1.2,1)))*IF(입력란!$C$13&lt;&gt;0,0,1)*IF(입력란!$C$17&lt;&gt;0,0.98,1)</f>
        <v>110092.06378835539</v>
      </c>
      <c r="J342" s="29">
        <f>S342*(1+IF($AK342+IF(입력란!$C$9=1,IF(MID(E342,3,1)&lt;&gt;"1",10,0),0)+IF(MID(E342,3,1)="1",20,0)+IF(입력란!$C$19=1,10,0)&gt;100,100,$AK342+IF(입력란!$C$9=1,IF(MID(E342,3,1)&lt;&gt;"1",10,0),0)+IF(MID(E342,3,1)="1",20,0)+IF(입력란!$C$19=1,10,0))/100*($AL342/100-1))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36697.354596118465</v>
      </c>
      <c r="K342" s="29">
        <f>T342*(1+IF($AK342+IF(입력란!$C$9=1,IF(MID(E342,3,1)&lt;&gt;"1",10,0),0)+IF(MID(E342,3,1)="1",20,0)+IF(입력란!$C$19=1,10,0)&gt;100,100,$AK342+IF(입력란!$C$9=1,IF(MID(E342,3,1)&lt;&gt;"1",10,0),0)+IF(MID(E342,3,1)="1",20,0)+IF(입력란!$C$19=1,10,0))/100*($AL342/100-1))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36697.354596118465</v>
      </c>
      <c r="L342" s="29">
        <f>U342*(1+IF($AK342+IF(입력란!$C$9=1,IF(MID(E342,3,1)&lt;&gt;"1",10,0),0)+IF(MID(E342,3,1)="1",20,0)+IF(입력란!$C$19=1,10,0)&gt;100,100,$AK342+IF(입력란!$C$9=1,IF(MID(E342,3,1)&lt;&gt;"1",10,0),0)+IF(MID(E342,3,1)="1",20,0)+IF(입력란!$C$19=1,10,0))/100*($AL342/100-1))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36697.354596118465</v>
      </c>
      <c r="M342" s="29">
        <f>V342*(1+IF($AK342+IF(입력란!$C$9=1,IF(MID(E342,3,1)&lt;&gt;"1",10,0),0)+IF(MID(E342,3,1)="1",20,0)+IF(입력란!$C$19=1,10,0)&gt;100,100,$AK342+IF(입력란!$C$9=1,IF(MID(E342,3,1)&lt;&gt;"1",10,0),0)+IF(MID(E342,3,1)="1",20,0)+IF(입력란!$C$19=1,10,0))/100*($AL342/100-1))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0</v>
      </c>
      <c r="N342" s="38">
        <f>W342*(1+IF($AK342+IF(입력란!$C$9=1,IF(MID(E342,3,1)&lt;&gt;"1",10,0),0)+IF(MID(E342,3,1)="1",20,0)+IF(입력란!$C$19=1,10,0)&gt;100,100,$AK342+IF(입력란!$C$9=1,IF(MID(E342,3,1)&lt;&gt;"1",10,0),0)+IF(MID(E342,3,1)="1",20,0)+IF(입력란!$C$19=1,10,0))/100*($AL342/100-1))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0</v>
      </c>
      <c r="O342" s="38">
        <f>X342*(1+IF($AK342+IF(입력란!$C$9=1,IF(MID(E342,3,1)&lt;&gt;"1",10,0),0)+IF(MID(E342,3,1)="1",20,0)+IF(입력란!$C$19=1,10,0)&gt;100,100,$AK342+IF(입력란!$C$9=1,IF(MID(E342,3,1)&lt;&gt;"1",10,0),0)+IF(MID(E342,3,1)="1",20,0)+IF(입력란!$C$19=1,10,0))/100*($AL342/100-1))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0</v>
      </c>
      <c r="P342" s="38">
        <f>Y342*(1+IF($AK342+IF(입력란!$C$9=1,IF(MID(E342,3,1)&lt;&gt;"1",10,0),0)+IF(MID(E342,3,1)="1",20,0)+IF(입력란!$C$19=1,10,0)&gt;100,100,$AK342+IF(입력란!$C$9=1,IF(MID(E342,3,1)&lt;&gt;"1",10,0),0)+IF(MID(E342,3,1)="1",20,0)+IF(입력란!$C$19=1,10,0))/100*($AL342/100-1))</f>
        <v>0</v>
      </c>
      <c r="Q342" s="34">
        <f>Z342*(1+IF($AK342+IF(입력란!$C$19=1,10,0)&gt;100,100,$AK342+IF(입력란!$C$19=1,10,0))/100*($AL342/100-1))</f>
        <v>0</v>
      </c>
      <c r="R342" s="23">
        <f>SUM(S342:Z342)</f>
        <v>89973.467795220728</v>
      </c>
      <c r="S342" s="29">
        <f>AN342*0.12*IF(MID(E342,3,1)="1",트라이포드!$J$20,트라이포드!$I$20)*(1+입력란!$C$33/100)*IF(입력란!$C$9=1,IF(MID(E342,3,1)&lt;&gt;"1",IF(입력란!$C$14=0,1.05,IF(입력란!$C$14=1,1.05*1.05,IF(입력란!$C$14=2,1.05*1.12,IF(입력란!$C$14=3,1.05*1.25)))),1),1)</f>
        <v>29991.155931740243</v>
      </c>
      <c r="T342" s="29">
        <f>AN342*0.12*IF(MID(E342,3,1)="1",트라이포드!$J$20,트라이포드!$I$20)*(1+입력란!$C$33/100)*IF(입력란!$C$9=1,IF(MID(E342,3,1)&lt;&gt;"1",IF(입력란!$C$14=0,1.05,IF(입력란!$C$14=1,1.05*1.05,IF(입력란!$C$14=2,1.05*1.12,IF(입력란!$C$14=3,1.05*1.25)))),1),1)</f>
        <v>29991.155931740243</v>
      </c>
      <c r="U342" s="29">
        <f>AN342*0.12*IF(MID(E342,3,1)="1",트라이포드!$J$20,트라이포드!$I$20)*(1+입력란!$C$33/100)*IF(입력란!$C$9=1,IF(MID(E342,3,1)&lt;&gt;"1",IF(입력란!$C$14=0,1.05,IF(입력란!$C$14=1,1.05*1.05,IF(입력란!$C$14=2,1.05*1.12,IF(입력란!$C$14=3,1.05*1.25)))),1),1)</f>
        <v>29991.155931740243</v>
      </c>
      <c r="V342" s="29">
        <f>AN342*0.12*IF(MID(E342,1,1)="1",IF(G342="3히트",0,1),1)*IF(MID(E342,3,1)="1",트라이포드!$J$20,트라이포드!$I$20)*(1+입력란!$C$33/100)*IF(입력란!$C$9=1,IF(MID(E342,3,1)&lt;&gt;"1",IF(입력란!$C$14=0,1.05,IF(입력란!$C$14=1,1.05*1.05,IF(입력란!$C$14=2,1.05*1.12,IF(입력란!$C$14=3,1.05*1.25)))),1),1)</f>
        <v>0</v>
      </c>
      <c r="W342" s="29">
        <f>AN342*0.12*IF(MID(E342,1,1)="1",IF(G342="3히트",0,1),1)*IF(MID(E342,3,1)="1",트라이포드!$J$20,트라이포드!$I$20)*IF(MID(E342,5,1)="2",트라이포드!$R$20,트라이포드!$Q$20)*(1+입력란!$C$33/100)*IF(입력란!$C$9=1,IF(MID(E342,3,1)&lt;&gt;"1",IF(입력란!$C$14=0,1.05,IF(입력란!$C$14=1,1.05*1.05,IF(입력란!$C$14=2,1.05*1.12,IF(입력란!$C$14=3,1.05*1.25)))),1),1)</f>
        <v>0</v>
      </c>
      <c r="X342" s="29">
        <f>AN342*0.12*IF(MID(E342,1,1)="1",IF(G342="3히트",0,1),1)*IF(MID(E342,3,1)="1",트라이포드!$J$20,트라이포드!$I$20)*IF(MID(E342,5,1)="2",트라이포드!$R$20,트라이포드!$Q$20)*(1+입력란!$C$33/100)*IF(입력란!$C$9=1,IF(MID(E342,3,1)&lt;&gt;"1",IF(입력란!$C$14=0,1.05,IF(입력란!$C$14=1,1.05*1.05,IF(입력란!$C$14=2,1.05*1.12,IF(입력란!$C$14=3,1.05*1.25)))),1),1)</f>
        <v>0</v>
      </c>
      <c r="Y342" s="38">
        <f>AN342*0.28*IF(MID(E342,1,1)="1",IF(G342="3히트",0,1),1)*IF(MID(E342,3,1)="1",트라이포드!$J$20,트라이포드!$I$20)*IF(MID(E342,3,1)="3",트라이포드!$N$20,트라이포드!$M$20)*IF(MID(E342,5,1)="2",트라이포드!$R$20,트라이포드!$Q$20)*(1+입력란!$C$33/100)*IF(입력란!$C$9=1,IF(MID(E342,3,1)&lt;&gt;"1",IF(입력란!$C$14=0,1.05,IF(입력란!$C$14=1,1.05*1.05,IF(입력란!$C$14=2,1.05*1.12,IF(입력란!$C$14=3,1.05*1.25)))),1),1)</f>
        <v>0</v>
      </c>
      <c r="Z342" s="26">
        <f>(AN342*IF(MID(E342,5,1)="1",0.004*IF(G342="3히트",3,7)*5,0)+IF(MID(E342,5,1)="1",IF(G342="3히트",0,AN342*트라이포드!$P$20*IF(MID(E342,3,1)="1",트라이포드!$J$20,트라이포드!$I$20)),0)+IF(MID(E342,5,1)="1",IF(G342="3히트",0,AN342*0.03),0))*(1+입력란!$C$33/100)</f>
        <v>0</v>
      </c>
      <c r="AA342" s="29">
        <f>SUM(AB342:AI342)</f>
        <v>179946.93559044146</v>
      </c>
      <c r="AB342" s="29">
        <f>S342*2</f>
        <v>59982.311863480485</v>
      </c>
      <c r="AC342" s="29">
        <f>T342*2</f>
        <v>59982.311863480485</v>
      </c>
      <c r="AD342" s="29">
        <f>U342*2</f>
        <v>59982.311863480485</v>
      </c>
      <c r="AE342" s="29">
        <f>V342*2</f>
        <v>0</v>
      </c>
      <c r="AF342" s="29">
        <f>W342*2</f>
        <v>0</v>
      </c>
      <c r="AG342" s="29">
        <f>X342*2</f>
        <v>0</v>
      </c>
      <c r="AH342" s="29">
        <f>Y342*2</f>
        <v>0</v>
      </c>
      <c r="AI342" s="26">
        <f>Z342*2</f>
        <v>0</v>
      </c>
      <c r="AJ342" s="25">
        <f>IF(G342="3히트",10,AR342*(1-입력란!$C$29/100))</f>
        <v>10</v>
      </c>
      <c r="AK342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2" s="25">
        <f>입력란!$C$37+IF(입력란!$C$17=1,10,IF(입력란!$C$17=2,25,IF(입력란!$C$17=3,50,0)))</f>
        <v>200</v>
      </c>
      <c r="AM342" s="29">
        <f>SUM(AN342:AP342)</f>
        <v>209820.92449437417</v>
      </c>
      <c r="AN342" s="29">
        <f>(VLOOKUP(C342,$B$4:$AK$7,26,FALSE)+VLOOKUP(C342,$B$8:$AK$11,26,FALSE)*입력란!$C$23)*입력란!$C$38/100</f>
        <v>209820.92449437417</v>
      </c>
      <c r="AO342" s="29"/>
      <c r="AP342" s="29"/>
      <c r="AQ342" s="29"/>
      <c r="AR342" s="28">
        <v>30</v>
      </c>
    </row>
    <row r="343" spans="2:44" ht="13.5" customHeight="1" x14ac:dyDescent="0.3">
      <c r="B343" s="30">
        <v>328</v>
      </c>
      <c r="C343" s="35">
        <v>10</v>
      </c>
      <c r="D343" s="42" t="s">
        <v>385</v>
      </c>
      <c r="E343" s="37" t="s">
        <v>313</v>
      </c>
      <c r="F343" s="39"/>
      <c r="G343" s="39" t="s">
        <v>389</v>
      </c>
      <c r="H343" s="51">
        <f>I343/AJ343</f>
        <v>14089.54330821395</v>
      </c>
      <c r="I343" s="52">
        <f>SUM(J343:Q343)*IF(입력란!C$15=1,1.04,IF(입력란!C$15=2,1.1,IF(입력란!C$15=3,1.2,1)))*IF(입력란!$C$13&lt;&gt;0,0,1)*IF(입력란!$C$17&lt;&gt;0,0.98,1)</f>
        <v>140895.4330821395</v>
      </c>
      <c r="J343" s="29">
        <f>S343*(1+IF($AK343+IF(입력란!$C$9=1,IF(MID(E343,3,1)&lt;&gt;"1",10,0),0)+IF(MID(E343,3,1)="1",20,0)+IF(입력란!$C$19=1,10,0)&gt;100,100,$AK343+IF(입력란!$C$9=1,IF(MID(E343,3,1)&lt;&gt;"1",10,0),0)+IF(MID(E343,3,1)="1",20,0)+IF(입력란!$C$19=1,10,0))/100*($AL343/100-1))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46965.144360713166</v>
      </c>
      <c r="K343" s="29">
        <f>T343*(1+IF($AK343+IF(입력란!$C$9=1,IF(MID(E343,3,1)&lt;&gt;"1",10,0),0)+IF(MID(E343,3,1)="1",20,0)+IF(입력란!$C$19=1,10,0)&gt;100,100,$AK343+IF(입력란!$C$9=1,IF(MID(E343,3,1)&lt;&gt;"1",10,0),0)+IF(MID(E343,3,1)="1",20,0)+IF(입력란!$C$19=1,10,0))/100*($AL343/100-1))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46965.144360713166</v>
      </c>
      <c r="L343" s="29">
        <f>U343*(1+IF($AK343+IF(입력란!$C$9=1,IF(MID(E343,3,1)&lt;&gt;"1",10,0),0)+IF(MID(E343,3,1)="1",20,0)+IF(입력란!$C$19=1,10,0)&gt;100,100,$AK343+IF(입력란!$C$9=1,IF(MID(E343,3,1)&lt;&gt;"1",10,0),0)+IF(MID(E343,3,1)="1",20,0)+IF(입력란!$C$19=1,10,0))/100*($AL343/100-1))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46965.144360713166</v>
      </c>
      <c r="M343" s="29">
        <f>V343*(1+IF($AK343+IF(입력란!$C$9=1,IF(MID(E343,3,1)&lt;&gt;"1",10,0),0)+IF(MID(E343,3,1)="1",20,0)+IF(입력란!$C$19=1,10,0)&gt;100,100,$AK343+IF(입력란!$C$9=1,IF(MID(E343,3,1)&lt;&gt;"1",10,0),0)+IF(MID(E343,3,1)="1",20,0)+IF(입력란!$C$19=1,10,0))/100*($AL343/100-1))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0</v>
      </c>
      <c r="N343" s="38">
        <f>W343*(1+IF($AK343+IF(입력란!$C$9=1,IF(MID(E343,3,1)&lt;&gt;"1",10,0),0)+IF(MID(E343,3,1)="1",20,0)+IF(입력란!$C$19=1,10,0)&gt;100,100,$AK343+IF(입력란!$C$9=1,IF(MID(E343,3,1)&lt;&gt;"1",10,0),0)+IF(MID(E343,3,1)="1",20,0)+IF(입력란!$C$19=1,10,0))/100*($AL343/100-1))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0</v>
      </c>
      <c r="O343" s="38">
        <f>X343*(1+IF($AK343+IF(입력란!$C$9=1,IF(MID(E343,3,1)&lt;&gt;"1",10,0),0)+IF(MID(E343,3,1)="1",20,0)+IF(입력란!$C$19=1,10,0)&gt;100,100,$AK343+IF(입력란!$C$9=1,IF(MID(E343,3,1)&lt;&gt;"1",10,0),0)+IF(MID(E343,3,1)="1",20,0)+IF(입력란!$C$19=1,10,0))/100*($AL343/100-1))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0</v>
      </c>
      <c r="P343" s="38">
        <f>Y343*(1+IF($AK343+IF(입력란!$C$9=1,IF(MID(E343,3,1)&lt;&gt;"1",10,0),0)+IF(MID(E343,3,1)="1",20,0)+IF(입력란!$C$19=1,10,0)&gt;100,100,$AK343+IF(입력란!$C$9=1,IF(MID(E343,3,1)&lt;&gt;"1",10,0),0)+IF(MID(E343,3,1)="1",20,0)+IF(입력란!$C$19=1,10,0))/100*($AL343/100-1))</f>
        <v>0</v>
      </c>
      <c r="Q343" s="34">
        <f>Z343*(1+IF($AK343+IF(입력란!$C$19=1,10,0)&gt;100,100,$AK343+IF(입력란!$C$19=1,10,0))/100*($AL343/100-1))</f>
        <v>0</v>
      </c>
      <c r="R343" s="23">
        <f>SUM(S343:Z343)</f>
        <v>98970.814574742806</v>
      </c>
      <c r="S343" s="29">
        <f>AN343*0.12*IF(MID(E343,3,1)="1",트라이포드!$J$20,트라이포드!$I$20)*(1+입력란!$C$33/100)*IF(입력란!$C$9=1,IF(MID(E343,3,1)&lt;&gt;"1",IF(입력란!$C$14=0,1.05,IF(입력란!$C$14=1,1.05*1.05,IF(입력란!$C$14=2,1.05*1.12,IF(입력란!$C$14=3,1.05*1.25)))),1),1)</f>
        <v>32990.271524914271</v>
      </c>
      <c r="T343" s="29">
        <f>AN343*0.12*IF(MID(E343,3,1)="1",트라이포드!$J$20,트라이포드!$I$20)*(1+입력란!$C$33/100)*IF(입력란!$C$9=1,IF(MID(E343,3,1)&lt;&gt;"1",IF(입력란!$C$14=0,1.05,IF(입력란!$C$14=1,1.05*1.05,IF(입력란!$C$14=2,1.05*1.12,IF(입력란!$C$14=3,1.05*1.25)))),1),1)</f>
        <v>32990.271524914271</v>
      </c>
      <c r="U343" s="29">
        <f>AN343*0.12*IF(MID(E343,3,1)="1",트라이포드!$J$20,트라이포드!$I$20)*(1+입력란!$C$33/100)*IF(입력란!$C$9=1,IF(MID(E343,3,1)&lt;&gt;"1",IF(입력란!$C$14=0,1.05,IF(입력란!$C$14=1,1.05*1.05,IF(입력란!$C$14=2,1.05*1.12,IF(입력란!$C$14=3,1.05*1.25)))),1),1)</f>
        <v>32990.271524914271</v>
      </c>
      <c r="V343" s="29">
        <f>AN343*0.12*IF(MID(E343,1,1)="1",IF(G343="3히트",0,1),1)*IF(MID(E343,3,1)="1",트라이포드!$J$20,트라이포드!$I$20)*(1+입력란!$C$33/100)*IF(입력란!$C$9=1,IF(MID(E343,3,1)&lt;&gt;"1",IF(입력란!$C$14=0,1.05,IF(입력란!$C$14=1,1.05*1.05,IF(입력란!$C$14=2,1.05*1.12,IF(입력란!$C$14=3,1.05*1.25)))),1),1)</f>
        <v>0</v>
      </c>
      <c r="W343" s="29">
        <f>AN343*0.12*IF(MID(E343,1,1)="1",IF(G343="3히트",0,1),1)*IF(MID(E343,3,1)="1",트라이포드!$J$20,트라이포드!$I$20)*IF(MID(E343,5,1)="2",트라이포드!$R$20,트라이포드!$Q$20)*(1+입력란!$C$33/100)*IF(입력란!$C$9=1,IF(MID(E343,3,1)&lt;&gt;"1",IF(입력란!$C$14=0,1.05,IF(입력란!$C$14=1,1.05*1.05,IF(입력란!$C$14=2,1.05*1.12,IF(입력란!$C$14=3,1.05*1.25)))),1),1)</f>
        <v>0</v>
      </c>
      <c r="X343" s="29">
        <f>AN343*0.12*IF(MID(E343,1,1)="1",IF(G343="3히트",0,1),1)*IF(MID(E343,3,1)="1",트라이포드!$J$20,트라이포드!$I$20)*IF(MID(E343,5,1)="2",트라이포드!$R$20,트라이포드!$Q$20)*(1+입력란!$C$33/100)*IF(입력란!$C$9=1,IF(MID(E343,3,1)&lt;&gt;"1",IF(입력란!$C$14=0,1.05,IF(입력란!$C$14=1,1.05*1.05,IF(입력란!$C$14=2,1.05*1.12,IF(입력란!$C$14=3,1.05*1.25)))),1),1)</f>
        <v>0</v>
      </c>
      <c r="Y343" s="38">
        <f>AN343*0.28*IF(MID(E343,1,1)="1",IF(G343="3히트",0,1),1)*IF(MID(E343,3,1)="1",트라이포드!$J$20,트라이포드!$I$20)*IF(MID(E343,3,1)="3",트라이포드!$N$20,트라이포드!$M$20)*IF(MID(E343,5,1)="2",트라이포드!$R$20,트라이포드!$Q$20)*(1+입력란!$C$33/100)*IF(입력란!$C$9=1,IF(MID(E343,3,1)&lt;&gt;"1",IF(입력란!$C$14=0,1.05,IF(입력란!$C$14=1,1.05*1.05,IF(입력란!$C$14=2,1.05*1.12,IF(입력란!$C$14=3,1.05*1.25)))),1),1)</f>
        <v>0</v>
      </c>
      <c r="Z343" s="26">
        <f>(AN343*IF(MID(E343,5,1)="1",0.004*IF(G343="3히트",3,7)*5,0)+IF(MID(E343,5,1)="1",IF(G343="3히트",0,AN343*트라이포드!$P$20*IF(MID(E343,3,1)="1",트라이포드!$J$20,트라이포드!$I$20)),0)+IF(MID(E343,5,1)="1",IF(G343="3히트",0,AN343*0.03),0))*(1+입력란!$C$33/100)</f>
        <v>0</v>
      </c>
      <c r="AA343" s="29">
        <f>SUM(AB343:AI343)</f>
        <v>197941.62914948561</v>
      </c>
      <c r="AB343" s="29">
        <f>S343*2</f>
        <v>65980.543049828542</v>
      </c>
      <c r="AC343" s="29">
        <f>T343*2</f>
        <v>65980.543049828542</v>
      </c>
      <c r="AD343" s="29">
        <f>U343*2</f>
        <v>65980.543049828542</v>
      </c>
      <c r="AE343" s="29">
        <f>V343*2</f>
        <v>0</v>
      </c>
      <c r="AF343" s="29">
        <f>W343*2</f>
        <v>0</v>
      </c>
      <c r="AG343" s="29">
        <f>X343*2</f>
        <v>0</v>
      </c>
      <c r="AH343" s="29">
        <f>Y343*2</f>
        <v>0</v>
      </c>
      <c r="AI343" s="26">
        <f>Z343*2</f>
        <v>0</v>
      </c>
      <c r="AJ343" s="25">
        <f>IF(G343="3히트",10,AR343*(1-입력란!$C$29/100))</f>
        <v>10</v>
      </c>
      <c r="AK343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3" s="25">
        <f>입력란!$C$37+IF(입력란!$C$17=1,10,IF(입력란!$C$17=2,25,IF(입력란!$C$17=3,50,0)))</f>
        <v>200</v>
      </c>
      <c r="AM343" s="29">
        <f>SUM(AN343:AP343)</f>
        <v>209820.92449437417</v>
      </c>
      <c r="AN343" s="29">
        <f>(VLOOKUP(C343,$B$4:$AK$7,26,FALSE)+VLOOKUP(C343,$B$8:$AK$11,26,FALSE)*입력란!$C$23)*입력란!$C$38/100</f>
        <v>209820.92449437417</v>
      </c>
      <c r="AO343" s="29"/>
      <c r="AP343" s="29"/>
      <c r="AQ343" s="29"/>
      <c r="AR343" s="28">
        <v>30</v>
      </c>
    </row>
    <row r="344" spans="2:44" ht="13.5" customHeight="1" x14ac:dyDescent="0.3">
      <c r="B344" s="30">
        <v>329</v>
      </c>
      <c r="C344" s="35">
        <v>10</v>
      </c>
      <c r="D344" s="42" t="s">
        <v>385</v>
      </c>
      <c r="E344" s="37" t="s">
        <v>315</v>
      </c>
      <c r="F344" s="39"/>
      <c r="G344" s="39" t="s">
        <v>389</v>
      </c>
      <c r="H344" s="51">
        <f>I344/AJ344</f>
        <v>11009.206378835539</v>
      </c>
      <c r="I344" s="52">
        <f>SUM(J344:Q344)*IF(입력란!C$15=1,1.04,IF(입력란!C$15=2,1.1,IF(입력란!C$15=3,1.2,1)))*IF(입력란!$C$13&lt;&gt;0,0,1)*IF(입력란!$C$17&lt;&gt;0,0.98,1)</f>
        <v>110092.06378835539</v>
      </c>
      <c r="J344" s="29">
        <f>S344*(1+IF($AK344+IF(입력란!$C$9=1,IF(MID(E344,3,1)&lt;&gt;"1",10,0),0)+IF(MID(E344,3,1)="1",20,0)+IF(입력란!$C$19=1,10,0)&gt;100,100,$AK344+IF(입력란!$C$9=1,IF(MID(E344,3,1)&lt;&gt;"1",10,0),0)+IF(MID(E344,3,1)="1",20,0)+IF(입력란!$C$19=1,10,0))/100*($AL344/100-1))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36697.354596118465</v>
      </c>
      <c r="K344" s="29">
        <f>T344*(1+IF($AK344+IF(입력란!$C$9=1,IF(MID(E344,3,1)&lt;&gt;"1",10,0),0)+IF(MID(E344,3,1)="1",20,0)+IF(입력란!$C$19=1,10,0)&gt;100,100,$AK344+IF(입력란!$C$9=1,IF(MID(E344,3,1)&lt;&gt;"1",10,0),0)+IF(MID(E344,3,1)="1",20,0)+IF(입력란!$C$19=1,10,0))/100*($AL344/100-1))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36697.354596118465</v>
      </c>
      <c r="L344" s="29">
        <f>U344*(1+IF($AK344+IF(입력란!$C$9=1,IF(MID(E344,3,1)&lt;&gt;"1",10,0),0)+IF(MID(E344,3,1)="1",20,0)+IF(입력란!$C$19=1,10,0)&gt;100,100,$AK344+IF(입력란!$C$9=1,IF(MID(E344,3,1)&lt;&gt;"1",10,0),0)+IF(MID(E344,3,1)="1",20,0)+IF(입력란!$C$19=1,10,0))/100*($AL344/100-1))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36697.354596118465</v>
      </c>
      <c r="M344" s="29">
        <f>V344*(1+IF($AK344+IF(입력란!$C$9=1,IF(MID(E344,3,1)&lt;&gt;"1",10,0),0)+IF(MID(E344,3,1)="1",20,0)+IF(입력란!$C$19=1,10,0)&gt;100,100,$AK344+IF(입력란!$C$9=1,IF(MID(E344,3,1)&lt;&gt;"1",10,0),0)+IF(MID(E344,3,1)="1",20,0)+IF(입력란!$C$19=1,10,0))/100*($AL344/100-1))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0</v>
      </c>
      <c r="N344" s="38">
        <f>W344*(1+IF($AK344+IF(입력란!$C$9=1,IF(MID(E344,3,1)&lt;&gt;"1",10,0),0)+IF(MID(E344,3,1)="1",20,0)+IF(입력란!$C$19=1,10,0)&gt;100,100,$AK344+IF(입력란!$C$9=1,IF(MID(E344,3,1)&lt;&gt;"1",10,0),0)+IF(MID(E344,3,1)="1",20,0)+IF(입력란!$C$19=1,10,0))/100*($AL344/100-1))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0</v>
      </c>
      <c r="O344" s="38">
        <f>X344*(1+IF($AK344+IF(입력란!$C$9=1,IF(MID(E344,3,1)&lt;&gt;"1",10,0),0)+IF(MID(E344,3,1)="1",20,0)+IF(입력란!$C$19=1,10,0)&gt;100,100,$AK344+IF(입력란!$C$9=1,IF(MID(E344,3,1)&lt;&gt;"1",10,0),0)+IF(MID(E344,3,1)="1",20,0)+IF(입력란!$C$19=1,10,0))/100*($AL344/100-1))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0</v>
      </c>
      <c r="P344" s="38">
        <f>Y344*(1+IF($AK344+IF(입력란!$C$9=1,IF(MID(E344,3,1)&lt;&gt;"1",10,0),0)+IF(MID(E344,3,1)="1",20,0)+IF(입력란!$C$19=1,10,0)&gt;100,100,$AK344+IF(입력란!$C$9=1,IF(MID(E344,3,1)&lt;&gt;"1",10,0),0)+IF(MID(E344,3,1)="1",20,0)+IF(입력란!$C$19=1,10,0))/100*($AL344/100-1))</f>
        <v>0</v>
      </c>
      <c r="Q344" s="34">
        <f>Z344*(1+IF($AK344+IF(입력란!$C$19=1,10,0)&gt;100,100,$AK344+IF(입력란!$C$19=1,10,0))/100*($AL344/100-1))</f>
        <v>0</v>
      </c>
      <c r="R344" s="23">
        <f>SUM(S344:Z344)</f>
        <v>89973.467795220728</v>
      </c>
      <c r="S344" s="29">
        <f>AN344*0.12*IF(MID(E344,3,1)="1",트라이포드!$J$20,트라이포드!$I$20)*(1+입력란!$C$33/100)*IF(입력란!$C$9=1,IF(MID(E344,3,1)&lt;&gt;"1",IF(입력란!$C$14=0,1.05,IF(입력란!$C$14=1,1.05*1.05,IF(입력란!$C$14=2,1.05*1.12,IF(입력란!$C$14=3,1.05*1.25)))),1),1)</f>
        <v>29991.155931740243</v>
      </c>
      <c r="T344" s="29">
        <f>AN344*0.12*IF(MID(E344,3,1)="1",트라이포드!$J$20,트라이포드!$I$20)*(1+입력란!$C$33/100)*IF(입력란!$C$9=1,IF(MID(E344,3,1)&lt;&gt;"1",IF(입력란!$C$14=0,1.05,IF(입력란!$C$14=1,1.05*1.05,IF(입력란!$C$14=2,1.05*1.12,IF(입력란!$C$14=3,1.05*1.25)))),1),1)</f>
        <v>29991.155931740243</v>
      </c>
      <c r="U344" s="29">
        <f>AN344*0.12*IF(MID(E344,3,1)="1",트라이포드!$J$20,트라이포드!$I$20)*(1+입력란!$C$33/100)*IF(입력란!$C$9=1,IF(MID(E344,3,1)&lt;&gt;"1",IF(입력란!$C$14=0,1.05,IF(입력란!$C$14=1,1.05*1.05,IF(입력란!$C$14=2,1.05*1.12,IF(입력란!$C$14=3,1.05*1.25)))),1),1)</f>
        <v>29991.155931740243</v>
      </c>
      <c r="V344" s="29">
        <f>AN344*0.12*IF(MID(E344,1,1)="1",IF(G344="3히트",0,1),1)*IF(MID(E344,3,1)="1",트라이포드!$J$20,트라이포드!$I$20)*(1+입력란!$C$33/100)*IF(입력란!$C$9=1,IF(MID(E344,3,1)&lt;&gt;"1",IF(입력란!$C$14=0,1.05,IF(입력란!$C$14=1,1.05*1.05,IF(입력란!$C$14=2,1.05*1.12,IF(입력란!$C$14=3,1.05*1.25)))),1),1)</f>
        <v>0</v>
      </c>
      <c r="W344" s="29">
        <f>AN344*0.12*IF(MID(E344,1,1)="1",IF(G344="3히트",0,1),1)*IF(MID(E344,3,1)="1",트라이포드!$J$20,트라이포드!$I$20)*IF(MID(E344,5,1)="2",트라이포드!$R$20,트라이포드!$Q$20)*(1+입력란!$C$33/100)*IF(입력란!$C$9=1,IF(MID(E344,3,1)&lt;&gt;"1",IF(입력란!$C$14=0,1.05,IF(입력란!$C$14=1,1.05*1.05,IF(입력란!$C$14=2,1.05*1.12,IF(입력란!$C$14=3,1.05*1.25)))),1),1)</f>
        <v>0</v>
      </c>
      <c r="X344" s="29">
        <f>AN344*0.12*IF(MID(E344,1,1)="1",IF(G344="3히트",0,1),1)*IF(MID(E344,3,1)="1",트라이포드!$J$20,트라이포드!$I$20)*IF(MID(E344,5,1)="2",트라이포드!$R$20,트라이포드!$Q$20)*(1+입력란!$C$33/100)*IF(입력란!$C$9=1,IF(MID(E344,3,1)&lt;&gt;"1",IF(입력란!$C$14=0,1.05,IF(입력란!$C$14=1,1.05*1.05,IF(입력란!$C$14=2,1.05*1.12,IF(입력란!$C$14=3,1.05*1.25)))),1),1)</f>
        <v>0</v>
      </c>
      <c r="Y344" s="38">
        <f>AN344*0.28*IF(MID(E344,1,1)="1",IF(G344="3히트",0,1),1)*IF(MID(E344,3,1)="1",트라이포드!$J$20,트라이포드!$I$20)*IF(MID(E344,3,1)="3",트라이포드!$N$20,트라이포드!$M$20)*IF(MID(E344,5,1)="2",트라이포드!$R$20,트라이포드!$Q$20)*(1+입력란!$C$33/100)*IF(입력란!$C$9=1,IF(MID(E344,3,1)&lt;&gt;"1",IF(입력란!$C$14=0,1.05,IF(입력란!$C$14=1,1.05*1.05,IF(입력란!$C$14=2,1.05*1.12,IF(입력란!$C$14=3,1.05*1.25)))),1),1)</f>
        <v>0</v>
      </c>
      <c r="Z344" s="26">
        <f>(AN344*IF(MID(E344,5,1)="1",0.004*IF(G344="3히트",3,7)*5,0)+IF(MID(E344,5,1)="1",IF(G344="3히트",0,AN344*트라이포드!$P$20*IF(MID(E344,3,1)="1",트라이포드!$J$20,트라이포드!$I$20)),0)+IF(MID(E344,5,1)="1",IF(G344="3히트",0,AN344*0.03),0))*(1+입력란!$C$33/100)</f>
        <v>0</v>
      </c>
      <c r="AA344" s="29">
        <f>SUM(AB344:AI344)</f>
        <v>179946.93559044146</v>
      </c>
      <c r="AB344" s="29">
        <f>S344*2</f>
        <v>59982.311863480485</v>
      </c>
      <c r="AC344" s="29">
        <f>T344*2</f>
        <v>59982.311863480485</v>
      </c>
      <c r="AD344" s="29">
        <f>U344*2</f>
        <v>59982.311863480485</v>
      </c>
      <c r="AE344" s="29">
        <f>V344*2</f>
        <v>0</v>
      </c>
      <c r="AF344" s="29">
        <f>W344*2</f>
        <v>0</v>
      </c>
      <c r="AG344" s="29">
        <f>X344*2</f>
        <v>0</v>
      </c>
      <c r="AH344" s="29">
        <f>Y344*2</f>
        <v>0</v>
      </c>
      <c r="AI344" s="26">
        <f>Z344*2</f>
        <v>0</v>
      </c>
      <c r="AJ344" s="25">
        <f>IF(G344="3히트",10,AR344*(1-입력란!$C$29/100))</f>
        <v>10</v>
      </c>
      <c r="AK344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4" s="25">
        <f>입력란!$C$37+IF(입력란!$C$17=1,10,IF(입력란!$C$17=2,25,IF(입력란!$C$17=3,50,0)))</f>
        <v>200</v>
      </c>
      <c r="AM344" s="29">
        <f>SUM(AN344:AP344)</f>
        <v>209820.92449437417</v>
      </c>
      <c r="AN344" s="29">
        <f>(VLOOKUP(C344,$B$4:$AK$7,26,FALSE)+VLOOKUP(C344,$B$8:$AK$11,26,FALSE)*입력란!$C$23)*입력란!$C$38/100</f>
        <v>209820.92449437417</v>
      </c>
      <c r="AO344" s="29"/>
      <c r="AP344" s="29"/>
      <c r="AQ344" s="29"/>
      <c r="AR344" s="28">
        <v>30</v>
      </c>
    </row>
    <row r="345" spans="2:44" ht="13.5" customHeight="1" x14ac:dyDescent="0.3">
      <c r="B345" s="30">
        <v>330</v>
      </c>
      <c r="C345" s="35">
        <v>10</v>
      </c>
      <c r="D345" s="42" t="s">
        <v>385</v>
      </c>
      <c r="E345" s="37" t="s">
        <v>368</v>
      </c>
      <c r="F345" s="39" t="s">
        <v>392</v>
      </c>
      <c r="G345" s="39" t="s">
        <v>389</v>
      </c>
      <c r="H345" s="51">
        <f>I345/AJ345</f>
        <v>15924.411038019873</v>
      </c>
      <c r="I345" s="52">
        <f>SUM(J345:Q345)*IF(입력란!C$15=1,1.04,IF(입력란!C$15=2,1.1,IF(입력란!C$15=3,1.2,1)))*IF(입력란!$C$13&lt;&gt;0,0,1)*IF(입력란!$C$17&lt;&gt;0,0.98,1)</f>
        <v>159244.11038019872</v>
      </c>
      <c r="J345" s="29">
        <f>S345*(1+IF($AK345+IF(입력란!$C$9=1,IF(MID(E345,3,1)&lt;&gt;"1",10,0),0)+IF(MID(E345,3,1)="1",20,0)+IF(입력란!$C$19=1,10,0)&gt;100,100,$AK345+IF(입력란!$C$9=1,IF(MID(E345,3,1)&lt;&gt;"1",10,0),0)+IF(MID(E345,3,1)="1",20,0)+IF(입력란!$C$19=1,10,0))/100*($AL345/100-1))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46965.144360713166</v>
      </c>
      <c r="K345" s="29">
        <f>T345*(1+IF($AK345+IF(입력란!$C$9=1,IF(MID(E345,3,1)&lt;&gt;"1",10,0),0)+IF(MID(E345,3,1)="1",20,0)+IF(입력란!$C$19=1,10,0)&gt;100,100,$AK345+IF(입력란!$C$9=1,IF(MID(E345,3,1)&lt;&gt;"1",10,0),0)+IF(MID(E345,3,1)="1",20,0)+IF(입력란!$C$19=1,10,0))/100*($AL345/100-1))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46965.144360713166</v>
      </c>
      <c r="L345" s="29">
        <f>U345*(1+IF($AK345+IF(입력란!$C$9=1,IF(MID(E345,3,1)&lt;&gt;"1",10,0),0)+IF(MID(E345,3,1)="1",20,0)+IF(입력란!$C$19=1,10,0)&gt;100,100,$AK345+IF(입력란!$C$9=1,IF(MID(E345,3,1)&lt;&gt;"1",10,0),0)+IF(MID(E345,3,1)="1",20,0)+IF(입력란!$C$19=1,10,0))/100*($AL345/100-1))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46965.144360713166</v>
      </c>
      <c r="M345" s="29">
        <f>V345*(1+IF($AK345+IF(입력란!$C$9=1,IF(MID(E345,3,1)&lt;&gt;"1",10,0),0)+IF(MID(E345,3,1)="1",20,0)+IF(입력란!$C$19=1,10,0)&gt;100,100,$AK345+IF(입력란!$C$9=1,IF(MID(E345,3,1)&lt;&gt;"1",10,0),0)+IF(MID(E345,3,1)="1",20,0)+IF(입력란!$C$19=1,10,0))/100*($AL345/100-1))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0</v>
      </c>
      <c r="N345" s="38">
        <f>W345*(1+IF($AK345+IF(입력란!$C$9=1,IF(MID(E345,3,1)&lt;&gt;"1",10,0),0)+IF(MID(E345,3,1)="1",20,0)+IF(입력란!$C$19=1,10,0)&gt;100,100,$AK345+IF(입력란!$C$9=1,IF(MID(E345,3,1)&lt;&gt;"1",10,0),0)+IF(MID(E345,3,1)="1",20,0)+IF(입력란!$C$19=1,10,0))/100*($AL345/100-1))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0</v>
      </c>
      <c r="O345" s="38">
        <f>X345*(1+IF($AK345+IF(입력란!$C$9=1,IF(MID(E345,3,1)&lt;&gt;"1",10,0),0)+IF(MID(E345,3,1)="1",20,0)+IF(입력란!$C$19=1,10,0)&gt;100,100,$AK345+IF(입력란!$C$9=1,IF(MID(E345,3,1)&lt;&gt;"1",10,0),0)+IF(MID(E345,3,1)="1",20,0)+IF(입력란!$C$19=1,10,0))/100*($AL345/100-1))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0</v>
      </c>
      <c r="P345" s="38">
        <f>Y345*(1+IF($AK345+IF(입력란!$C$9=1,IF(MID(E345,3,1)&lt;&gt;"1",10,0),0)+IF(MID(E345,3,1)="1",20,0)+IF(입력란!$C$19=1,10,0)&gt;100,100,$AK345+IF(입력란!$C$9=1,IF(MID(E345,3,1)&lt;&gt;"1",10,0),0)+IF(MID(E345,3,1)="1",20,0)+IF(입력란!$C$19=1,10,0))/100*($AL345/100-1))</f>
        <v>0</v>
      </c>
      <c r="Q345" s="34">
        <f>Z345*(1+IF($AK345+IF(입력란!$C$19=1,10,0)&gt;100,100,$AK345+IF(입력란!$C$19=1,10,0))/100*($AL345/100-1))</f>
        <v>18348.677298059232</v>
      </c>
      <c r="R345" s="23">
        <f>SUM(S345:Z345)</f>
        <v>113966.39254061293</v>
      </c>
      <c r="S345" s="29">
        <f>AN345*0.12*IF(MID(E345,3,1)="1",트라이포드!$J$20,트라이포드!$I$20)*(1+입력란!$C$33/100)*IF(입력란!$C$9=1,IF(MID(E345,3,1)&lt;&gt;"1",IF(입력란!$C$14=0,1.05,IF(입력란!$C$14=1,1.05*1.05,IF(입력란!$C$14=2,1.05*1.12,IF(입력란!$C$14=3,1.05*1.25)))),1),1)</f>
        <v>32990.271524914271</v>
      </c>
      <c r="T345" s="29">
        <f>AN345*0.12*IF(MID(E345,3,1)="1",트라이포드!$J$20,트라이포드!$I$20)*(1+입력란!$C$33/100)*IF(입력란!$C$9=1,IF(MID(E345,3,1)&lt;&gt;"1",IF(입력란!$C$14=0,1.05,IF(입력란!$C$14=1,1.05*1.05,IF(입력란!$C$14=2,1.05*1.12,IF(입력란!$C$14=3,1.05*1.25)))),1),1)</f>
        <v>32990.271524914271</v>
      </c>
      <c r="U345" s="29">
        <f>AN345*0.12*IF(MID(E345,3,1)="1",트라이포드!$J$20,트라이포드!$I$20)*(1+입력란!$C$33/100)*IF(입력란!$C$9=1,IF(MID(E345,3,1)&lt;&gt;"1",IF(입력란!$C$14=0,1.05,IF(입력란!$C$14=1,1.05*1.05,IF(입력란!$C$14=2,1.05*1.12,IF(입력란!$C$14=3,1.05*1.25)))),1),1)</f>
        <v>32990.271524914271</v>
      </c>
      <c r="V345" s="29">
        <f>AN345*0.12*IF(MID(E345,1,1)="1",IF(G345="3히트",0,1),1)*IF(MID(E345,3,1)="1",트라이포드!$J$20,트라이포드!$I$20)*(1+입력란!$C$33/100)*IF(입력란!$C$9=1,IF(MID(E345,3,1)&lt;&gt;"1",IF(입력란!$C$14=0,1.05,IF(입력란!$C$14=1,1.05*1.05,IF(입력란!$C$14=2,1.05*1.12,IF(입력란!$C$14=3,1.05*1.25)))),1),1)</f>
        <v>0</v>
      </c>
      <c r="W345" s="29">
        <f>AN345*0.12*IF(MID(E345,1,1)="1",IF(G345="3히트",0,1),1)*IF(MID(E345,3,1)="1",트라이포드!$J$20,트라이포드!$I$20)*IF(MID(E345,5,1)="2",트라이포드!$R$20,트라이포드!$Q$20)*(1+입력란!$C$33/100)*IF(입력란!$C$9=1,IF(MID(E345,3,1)&lt;&gt;"1",IF(입력란!$C$14=0,1.05,IF(입력란!$C$14=1,1.05*1.05,IF(입력란!$C$14=2,1.05*1.12,IF(입력란!$C$14=3,1.05*1.25)))),1),1)</f>
        <v>0</v>
      </c>
      <c r="X345" s="29">
        <f>AN345*0.12*IF(MID(E345,1,1)="1",IF(G345="3히트",0,1),1)*IF(MID(E345,3,1)="1",트라이포드!$J$20,트라이포드!$I$20)*IF(MID(E345,5,1)="2",트라이포드!$R$20,트라이포드!$Q$20)*(1+입력란!$C$33/100)*IF(입력란!$C$9=1,IF(MID(E345,3,1)&lt;&gt;"1",IF(입력란!$C$14=0,1.05,IF(입력란!$C$14=1,1.05*1.05,IF(입력란!$C$14=2,1.05*1.12,IF(입력란!$C$14=3,1.05*1.25)))),1),1)</f>
        <v>0</v>
      </c>
      <c r="Y345" s="38">
        <f>AN345*0.28*IF(MID(E345,1,1)="1",IF(G345="3히트",0,1),1)*IF(MID(E345,3,1)="1",트라이포드!$J$20,트라이포드!$I$20)*IF(MID(E345,3,1)="3",트라이포드!$N$20,트라이포드!$M$20)*IF(MID(E345,5,1)="2",트라이포드!$R$20,트라이포드!$Q$20)*(1+입력란!$C$33/100)*IF(입력란!$C$9=1,IF(MID(E345,3,1)&lt;&gt;"1",IF(입력란!$C$14=0,1.05,IF(입력란!$C$14=1,1.05*1.05,IF(입력란!$C$14=2,1.05*1.12,IF(입력란!$C$14=3,1.05*1.25)))),1),1)</f>
        <v>0</v>
      </c>
      <c r="Z345" s="26">
        <f>(AN345*IF(MID(E345,5,1)="1",0.004*IF(G345="3히트",3,7)*5,0)+IF(MID(E345,5,1)="1",IF(G345="3히트",0,AN345*트라이포드!$P$20*IF(MID(E345,3,1)="1",트라이포드!$J$20,트라이포드!$I$20)),0)+IF(MID(E345,5,1)="1",IF(G345="3히트",0,AN345*0.03),0))*(1+입력란!$C$33/100)</f>
        <v>14995.577965870121</v>
      </c>
      <c r="AA345" s="29">
        <f>SUM(AB345:AI345)</f>
        <v>227932.78508122585</v>
      </c>
      <c r="AB345" s="29">
        <f>S345*2</f>
        <v>65980.543049828542</v>
      </c>
      <c r="AC345" s="29">
        <f>T345*2</f>
        <v>65980.543049828542</v>
      </c>
      <c r="AD345" s="29">
        <f>U345*2</f>
        <v>65980.543049828542</v>
      </c>
      <c r="AE345" s="29">
        <f>V345*2</f>
        <v>0</v>
      </c>
      <c r="AF345" s="29">
        <f>W345*2</f>
        <v>0</v>
      </c>
      <c r="AG345" s="29">
        <f>X345*2</f>
        <v>0</v>
      </c>
      <c r="AH345" s="29">
        <f>Y345*2</f>
        <v>0</v>
      </c>
      <c r="AI345" s="26">
        <f>Z345*2</f>
        <v>29991.155931740243</v>
      </c>
      <c r="AJ345" s="25">
        <f>IF(G345="3히트",10,AR345*(1-입력란!$C$29/100))</f>
        <v>10</v>
      </c>
      <c r="AK345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5" s="25">
        <f>입력란!$C$37+IF(입력란!$C$17=1,10,IF(입력란!$C$17=2,25,IF(입력란!$C$17=3,50,0)))</f>
        <v>200</v>
      </c>
      <c r="AM345" s="29">
        <f>SUM(AN345:AP345)</f>
        <v>209820.92449437417</v>
      </c>
      <c r="AN345" s="29">
        <f>(VLOOKUP(C345,$B$4:$AK$7,26,FALSE)+VLOOKUP(C345,$B$8:$AK$11,26,FALSE)*입력란!$C$23)*입력란!$C$38/100</f>
        <v>209820.92449437417</v>
      </c>
      <c r="AO345" s="29"/>
      <c r="AP345" s="29"/>
      <c r="AQ345" s="29"/>
      <c r="AR345" s="28">
        <v>30</v>
      </c>
    </row>
    <row r="346" spans="2:44" ht="13.5" customHeight="1" x14ac:dyDescent="0.3">
      <c r="B346" s="30">
        <v>331</v>
      </c>
      <c r="C346" s="35">
        <v>10</v>
      </c>
      <c r="D346" s="42" t="s">
        <v>385</v>
      </c>
      <c r="E346" s="37" t="s">
        <v>162</v>
      </c>
      <c r="F346" s="39" t="s">
        <v>393</v>
      </c>
      <c r="G346" s="39" t="s">
        <v>389</v>
      </c>
      <c r="H346" s="51">
        <f>I346/AJ346</f>
        <v>14089.54330821395</v>
      </c>
      <c r="I346" s="52">
        <f>SUM(J346:Q346)*IF(입력란!C$15=1,1.04,IF(입력란!C$15=2,1.1,IF(입력란!C$15=3,1.2,1)))*IF(입력란!$C$13&lt;&gt;0,0,1)*IF(입력란!$C$17&lt;&gt;0,0.98,1)</f>
        <v>140895.4330821395</v>
      </c>
      <c r="J346" s="29">
        <f>S346*(1+IF($AK346+IF(입력란!$C$9=1,IF(MID(E346,3,1)&lt;&gt;"1",10,0),0)+IF(MID(E346,3,1)="1",20,0)+IF(입력란!$C$19=1,10,0)&gt;100,100,$AK346+IF(입력란!$C$9=1,IF(MID(E346,3,1)&lt;&gt;"1",10,0),0)+IF(MID(E346,3,1)="1",20,0)+IF(입력란!$C$19=1,10,0))/100*($AL346/100-1))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46965.144360713166</v>
      </c>
      <c r="K346" s="29">
        <f>T346*(1+IF($AK346+IF(입력란!$C$9=1,IF(MID(E346,3,1)&lt;&gt;"1",10,0),0)+IF(MID(E346,3,1)="1",20,0)+IF(입력란!$C$19=1,10,0)&gt;100,100,$AK346+IF(입력란!$C$9=1,IF(MID(E346,3,1)&lt;&gt;"1",10,0),0)+IF(MID(E346,3,1)="1",20,0)+IF(입력란!$C$19=1,10,0))/100*($AL346/100-1))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46965.144360713166</v>
      </c>
      <c r="L346" s="29">
        <f>U346*(1+IF($AK346+IF(입력란!$C$9=1,IF(MID(E346,3,1)&lt;&gt;"1",10,0),0)+IF(MID(E346,3,1)="1",20,0)+IF(입력란!$C$19=1,10,0)&gt;100,100,$AK346+IF(입력란!$C$9=1,IF(MID(E346,3,1)&lt;&gt;"1",10,0),0)+IF(MID(E346,3,1)="1",20,0)+IF(입력란!$C$19=1,10,0))/100*($AL346/100-1))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46965.144360713166</v>
      </c>
      <c r="M346" s="29">
        <f>V346*(1+IF($AK346+IF(입력란!$C$9=1,IF(MID(E346,3,1)&lt;&gt;"1",10,0),0)+IF(MID(E346,3,1)="1",20,0)+IF(입력란!$C$19=1,10,0)&gt;100,100,$AK346+IF(입력란!$C$9=1,IF(MID(E346,3,1)&lt;&gt;"1",10,0),0)+IF(MID(E346,3,1)="1",20,0)+IF(입력란!$C$19=1,10,0))/100*($AL346/100-1))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0</v>
      </c>
      <c r="N346" s="38">
        <f>W346*(1+IF($AK346+IF(입력란!$C$9=1,IF(MID(E346,3,1)&lt;&gt;"1",10,0),0)+IF(MID(E346,3,1)="1",20,0)+IF(입력란!$C$19=1,10,0)&gt;100,100,$AK346+IF(입력란!$C$9=1,IF(MID(E346,3,1)&lt;&gt;"1",10,0),0)+IF(MID(E346,3,1)="1",20,0)+IF(입력란!$C$19=1,10,0))/100*($AL346/100-1))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0</v>
      </c>
      <c r="O346" s="38">
        <f>X346*(1+IF($AK346+IF(입력란!$C$9=1,IF(MID(E346,3,1)&lt;&gt;"1",10,0),0)+IF(MID(E346,3,1)="1",20,0)+IF(입력란!$C$19=1,10,0)&gt;100,100,$AK346+IF(입력란!$C$9=1,IF(MID(E346,3,1)&lt;&gt;"1",10,0),0)+IF(MID(E346,3,1)="1",20,0)+IF(입력란!$C$19=1,10,0))/100*($AL346/100-1))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0</v>
      </c>
      <c r="P346" s="38">
        <f>Y346*(1+IF($AK346+IF(입력란!$C$9=1,IF(MID(E346,3,1)&lt;&gt;"1",10,0),0)+IF(MID(E346,3,1)="1",20,0)+IF(입력란!$C$19=1,10,0)&gt;100,100,$AK346+IF(입력란!$C$9=1,IF(MID(E346,3,1)&lt;&gt;"1",10,0),0)+IF(MID(E346,3,1)="1",20,0)+IF(입력란!$C$19=1,10,0))/100*($AL346/100-1))</f>
        <v>0</v>
      </c>
      <c r="Q346" s="34">
        <f>Z346*(1+IF($AK346+IF(입력란!$C$19=1,10,0)&gt;100,100,$AK346+IF(입력란!$C$19=1,10,0))/100*($AL346/100-1))</f>
        <v>0</v>
      </c>
      <c r="R346" s="23">
        <f>SUM(S346:Z346)</f>
        <v>98970.814574742806</v>
      </c>
      <c r="S346" s="29">
        <f>AN346*0.12*IF(MID(E346,3,1)="1",트라이포드!$J$20,트라이포드!$I$20)*(1+입력란!$C$33/100)*IF(입력란!$C$9=1,IF(MID(E346,3,1)&lt;&gt;"1",IF(입력란!$C$14=0,1.05,IF(입력란!$C$14=1,1.05*1.05,IF(입력란!$C$14=2,1.05*1.12,IF(입력란!$C$14=3,1.05*1.25)))),1),1)</f>
        <v>32990.271524914271</v>
      </c>
      <c r="T346" s="29">
        <f>AN346*0.12*IF(MID(E346,3,1)="1",트라이포드!$J$20,트라이포드!$I$20)*(1+입력란!$C$33/100)*IF(입력란!$C$9=1,IF(MID(E346,3,1)&lt;&gt;"1",IF(입력란!$C$14=0,1.05,IF(입력란!$C$14=1,1.05*1.05,IF(입력란!$C$14=2,1.05*1.12,IF(입력란!$C$14=3,1.05*1.25)))),1),1)</f>
        <v>32990.271524914271</v>
      </c>
      <c r="U346" s="29">
        <f>AN346*0.12*IF(MID(E346,3,1)="1",트라이포드!$J$20,트라이포드!$I$20)*(1+입력란!$C$33/100)*IF(입력란!$C$9=1,IF(MID(E346,3,1)&lt;&gt;"1",IF(입력란!$C$14=0,1.05,IF(입력란!$C$14=1,1.05*1.05,IF(입력란!$C$14=2,1.05*1.12,IF(입력란!$C$14=3,1.05*1.25)))),1),1)</f>
        <v>32990.271524914271</v>
      </c>
      <c r="V346" s="29">
        <f>AN346*0.12*IF(MID(E346,1,1)="1",IF(G346="3히트",0,1),1)*IF(MID(E346,3,1)="1",트라이포드!$J$20,트라이포드!$I$20)*(1+입력란!$C$33/100)*IF(입력란!$C$9=1,IF(MID(E346,3,1)&lt;&gt;"1",IF(입력란!$C$14=0,1.05,IF(입력란!$C$14=1,1.05*1.05,IF(입력란!$C$14=2,1.05*1.12,IF(입력란!$C$14=3,1.05*1.25)))),1),1)</f>
        <v>0</v>
      </c>
      <c r="W346" s="29">
        <f>AN346*0.12*IF(MID(E346,1,1)="1",IF(G346="3히트",0,1),1)*IF(MID(E346,3,1)="1",트라이포드!$J$20,트라이포드!$I$20)*IF(MID(E346,5,1)="2",트라이포드!$R$20,트라이포드!$Q$20)*(1+입력란!$C$33/100)*IF(입력란!$C$9=1,IF(MID(E346,3,1)&lt;&gt;"1",IF(입력란!$C$14=0,1.05,IF(입력란!$C$14=1,1.05*1.05,IF(입력란!$C$14=2,1.05*1.12,IF(입력란!$C$14=3,1.05*1.25)))),1),1)</f>
        <v>0</v>
      </c>
      <c r="X346" s="29">
        <f>AN346*0.12*IF(MID(E346,1,1)="1",IF(G346="3히트",0,1),1)*IF(MID(E346,3,1)="1",트라이포드!$J$20,트라이포드!$I$20)*IF(MID(E346,5,1)="2",트라이포드!$R$20,트라이포드!$Q$20)*(1+입력란!$C$33/100)*IF(입력란!$C$9=1,IF(MID(E346,3,1)&lt;&gt;"1",IF(입력란!$C$14=0,1.05,IF(입력란!$C$14=1,1.05*1.05,IF(입력란!$C$14=2,1.05*1.12,IF(입력란!$C$14=3,1.05*1.25)))),1),1)</f>
        <v>0</v>
      </c>
      <c r="Y346" s="38">
        <f>AN346*0.28*IF(MID(E346,1,1)="1",IF(G346="3히트",0,1),1)*IF(MID(E346,3,1)="1",트라이포드!$J$20,트라이포드!$I$20)*IF(MID(E346,3,1)="3",트라이포드!$N$20,트라이포드!$M$20)*IF(MID(E346,5,1)="2",트라이포드!$R$20,트라이포드!$Q$20)*(1+입력란!$C$33/100)*IF(입력란!$C$9=1,IF(MID(E346,3,1)&lt;&gt;"1",IF(입력란!$C$14=0,1.05,IF(입력란!$C$14=1,1.05*1.05,IF(입력란!$C$14=2,1.05*1.12,IF(입력란!$C$14=3,1.05*1.25)))),1),1)</f>
        <v>0</v>
      </c>
      <c r="Z346" s="26">
        <f>(AN346*IF(MID(E346,5,1)="1",0.004*IF(G346="3히트",3,7)*5,0)+IF(MID(E346,5,1)="1",IF(G346="3히트",0,AN346*트라이포드!$P$20*IF(MID(E346,3,1)="1",트라이포드!$J$20,트라이포드!$I$20)),0)+IF(MID(E346,5,1)="1",IF(G346="3히트",0,AN346*0.03),0))*(1+입력란!$C$33/100)</f>
        <v>0</v>
      </c>
      <c r="AA346" s="29">
        <f>SUM(AB346:AI346)</f>
        <v>197941.62914948561</v>
      </c>
      <c r="AB346" s="29">
        <f>S346*2</f>
        <v>65980.543049828542</v>
      </c>
      <c r="AC346" s="29">
        <f>T346*2</f>
        <v>65980.543049828542</v>
      </c>
      <c r="AD346" s="29">
        <f>U346*2</f>
        <v>65980.543049828542</v>
      </c>
      <c r="AE346" s="29">
        <f>V346*2</f>
        <v>0</v>
      </c>
      <c r="AF346" s="29">
        <f>W346*2</f>
        <v>0</v>
      </c>
      <c r="AG346" s="29">
        <f>X346*2</f>
        <v>0</v>
      </c>
      <c r="AH346" s="29">
        <f>Y346*2</f>
        <v>0</v>
      </c>
      <c r="AI346" s="26">
        <f>Z346*2</f>
        <v>0</v>
      </c>
      <c r="AJ346" s="25">
        <f>IF(G346="3히트",10,AR346*(1-입력란!$C$29/100))</f>
        <v>10</v>
      </c>
      <c r="AK346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6" s="25">
        <f>입력란!$C$37+IF(입력란!$C$17=1,10,IF(입력란!$C$17=2,25,IF(입력란!$C$17=3,50,0)))</f>
        <v>200</v>
      </c>
      <c r="AM346" s="29">
        <f>SUM(AN346:AP346)</f>
        <v>209820.92449437417</v>
      </c>
      <c r="AN346" s="29">
        <f>(VLOOKUP(C346,$B$4:$AK$7,26,FALSE)+VLOOKUP(C346,$B$8:$AK$11,26,FALSE)*입력란!$C$23)*입력란!$C$38/100</f>
        <v>209820.92449437417</v>
      </c>
      <c r="AO346" s="29"/>
      <c r="AP346" s="29"/>
      <c r="AQ346" s="29"/>
      <c r="AR346" s="28">
        <v>30</v>
      </c>
    </row>
    <row r="347" spans="2:44" ht="13.5" customHeight="1" x14ac:dyDescent="0.3">
      <c r="B347" s="30">
        <v>332</v>
      </c>
      <c r="C347" s="35">
        <v>10</v>
      </c>
      <c r="D347" s="42" t="s">
        <v>385</v>
      </c>
      <c r="E347" s="37" t="s">
        <v>369</v>
      </c>
      <c r="F347" s="39" t="s">
        <v>392</v>
      </c>
      <c r="G347" s="39" t="s">
        <v>389</v>
      </c>
      <c r="H347" s="51">
        <f>I347/AJ347</f>
        <v>12844.074108641462</v>
      </c>
      <c r="I347" s="52">
        <f>SUM(J347:Q347)*IF(입력란!C$15=1,1.04,IF(입력란!C$15=2,1.1,IF(입력란!C$15=3,1.2,1)))*IF(입력란!$C$13&lt;&gt;0,0,1)*IF(입력란!$C$17&lt;&gt;0,0.98,1)</f>
        <v>128440.74108641462</v>
      </c>
      <c r="J347" s="29">
        <f>S347*(1+IF($AK347+IF(입력란!$C$9=1,IF(MID(E347,3,1)&lt;&gt;"1",10,0),0)+IF(MID(E347,3,1)="1",20,0)+IF(입력란!$C$19=1,10,0)&gt;100,100,$AK347+IF(입력란!$C$9=1,IF(MID(E347,3,1)&lt;&gt;"1",10,0),0)+IF(MID(E347,3,1)="1",20,0)+IF(입력란!$C$19=1,10,0))/100*($AL347/100-1))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36697.354596118465</v>
      </c>
      <c r="K347" s="29">
        <f>T347*(1+IF($AK347+IF(입력란!$C$9=1,IF(MID(E347,3,1)&lt;&gt;"1",10,0),0)+IF(MID(E347,3,1)="1",20,0)+IF(입력란!$C$19=1,10,0)&gt;100,100,$AK347+IF(입력란!$C$9=1,IF(MID(E347,3,1)&lt;&gt;"1",10,0),0)+IF(MID(E347,3,1)="1",20,0)+IF(입력란!$C$19=1,10,0))/100*($AL347/100-1))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36697.354596118465</v>
      </c>
      <c r="L347" s="29">
        <f>U347*(1+IF($AK347+IF(입력란!$C$9=1,IF(MID(E347,3,1)&lt;&gt;"1",10,0),0)+IF(MID(E347,3,1)="1",20,0)+IF(입력란!$C$19=1,10,0)&gt;100,100,$AK347+IF(입력란!$C$9=1,IF(MID(E347,3,1)&lt;&gt;"1",10,0),0)+IF(MID(E347,3,1)="1",20,0)+IF(입력란!$C$19=1,10,0))/100*($AL347/100-1))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36697.354596118465</v>
      </c>
      <c r="M347" s="29">
        <f>V347*(1+IF($AK347+IF(입력란!$C$9=1,IF(MID(E347,3,1)&lt;&gt;"1",10,0),0)+IF(MID(E347,3,1)="1",20,0)+IF(입력란!$C$19=1,10,0)&gt;100,100,$AK347+IF(입력란!$C$9=1,IF(MID(E347,3,1)&lt;&gt;"1",10,0),0)+IF(MID(E347,3,1)="1",20,0)+IF(입력란!$C$19=1,10,0))/100*($AL347/100-1))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0</v>
      </c>
      <c r="N347" s="38">
        <f>W347*(1+IF($AK347+IF(입력란!$C$9=1,IF(MID(E347,3,1)&lt;&gt;"1",10,0),0)+IF(MID(E347,3,1)="1",20,0)+IF(입력란!$C$19=1,10,0)&gt;100,100,$AK347+IF(입력란!$C$9=1,IF(MID(E347,3,1)&lt;&gt;"1",10,0),0)+IF(MID(E347,3,1)="1",20,0)+IF(입력란!$C$19=1,10,0))/100*($AL347/100-1))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0</v>
      </c>
      <c r="O347" s="38">
        <f>X347*(1+IF($AK347+IF(입력란!$C$9=1,IF(MID(E347,3,1)&lt;&gt;"1",10,0),0)+IF(MID(E347,3,1)="1",20,0)+IF(입력란!$C$19=1,10,0)&gt;100,100,$AK347+IF(입력란!$C$9=1,IF(MID(E347,3,1)&lt;&gt;"1",10,0),0)+IF(MID(E347,3,1)="1",20,0)+IF(입력란!$C$19=1,10,0))/100*($AL347/100-1))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0</v>
      </c>
      <c r="P347" s="38">
        <f>Y347*(1+IF($AK347+IF(입력란!$C$9=1,IF(MID(E347,3,1)&lt;&gt;"1",10,0),0)+IF(MID(E347,3,1)="1",20,0)+IF(입력란!$C$19=1,10,0)&gt;100,100,$AK347+IF(입력란!$C$9=1,IF(MID(E347,3,1)&lt;&gt;"1",10,0),0)+IF(MID(E347,3,1)="1",20,0)+IF(입력란!$C$19=1,10,0))/100*($AL347/100-1))</f>
        <v>0</v>
      </c>
      <c r="Q347" s="34">
        <f>Z347*(1+IF($AK347+IF(입력란!$C$19=1,10,0)&gt;100,100,$AK347+IF(입력란!$C$19=1,10,0))/100*($AL347/100-1))</f>
        <v>18348.677298059232</v>
      </c>
      <c r="R347" s="23">
        <f>SUM(S347:Z347)</f>
        <v>104969.04576109085</v>
      </c>
      <c r="S347" s="29">
        <f>AN347*0.12*IF(MID(E347,3,1)="1",트라이포드!$J$20,트라이포드!$I$20)*(1+입력란!$C$33/100)*IF(입력란!$C$9=1,IF(MID(E347,3,1)&lt;&gt;"1",IF(입력란!$C$14=0,1.05,IF(입력란!$C$14=1,1.05*1.05,IF(입력란!$C$14=2,1.05*1.12,IF(입력란!$C$14=3,1.05*1.25)))),1),1)</f>
        <v>29991.155931740243</v>
      </c>
      <c r="T347" s="29">
        <f>AN347*0.12*IF(MID(E347,3,1)="1",트라이포드!$J$20,트라이포드!$I$20)*(1+입력란!$C$33/100)*IF(입력란!$C$9=1,IF(MID(E347,3,1)&lt;&gt;"1",IF(입력란!$C$14=0,1.05,IF(입력란!$C$14=1,1.05*1.05,IF(입력란!$C$14=2,1.05*1.12,IF(입력란!$C$14=3,1.05*1.25)))),1),1)</f>
        <v>29991.155931740243</v>
      </c>
      <c r="U347" s="29">
        <f>AN347*0.12*IF(MID(E347,3,1)="1",트라이포드!$J$20,트라이포드!$I$20)*(1+입력란!$C$33/100)*IF(입력란!$C$9=1,IF(MID(E347,3,1)&lt;&gt;"1",IF(입력란!$C$14=0,1.05,IF(입력란!$C$14=1,1.05*1.05,IF(입력란!$C$14=2,1.05*1.12,IF(입력란!$C$14=3,1.05*1.25)))),1),1)</f>
        <v>29991.155931740243</v>
      </c>
      <c r="V347" s="29">
        <f>AN347*0.12*IF(MID(E347,1,1)="1",IF(G347="3히트",0,1),1)*IF(MID(E347,3,1)="1",트라이포드!$J$20,트라이포드!$I$20)*(1+입력란!$C$33/100)*IF(입력란!$C$9=1,IF(MID(E347,3,1)&lt;&gt;"1",IF(입력란!$C$14=0,1.05,IF(입력란!$C$14=1,1.05*1.05,IF(입력란!$C$14=2,1.05*1.12,IF(입력란!$C$14=3,1.05*1.25)))),1),1)</f>
        <v>0</v>
      </c>
      <c r="W347" s="29">
        <f>AN347*0.12*IF(MID(E347,1,1)="1",IF(G347="3히트",0,1),1)*IF(MID(E347,3,1)="1",트라이포드!$J$20,트라이포드!$I$20)*IF(MID(E347,5,1)="2",트라이포드!$R$20,트라이포드!$Q$20)*(1+입력란!$C$33/100)*IF(입력란!$C$9=1,IF(MID(E347,3,1)&lt;&gt;"1",IF(입력란!$C$14=0,1.05,IF(입력란!$C$14=1,1.05*1.05,IF(입력란!$C$14=2,1.05*1.12,IF(입력란!$C$14=3,1.05*1.25)))),1),1)</f>
        <v>0</v>
      </c>
      <c r="X347" s="29">
        <f>AN347*0.12*IF(MID(E347,1,1)="1",IF(G347="3히트",0,1),1)*IF(MID(E347,3,1)="1",트라이포드!$J$20,트라이포드!$I$20)*IF(MID(E347,5,1)="2",트라이포드!$R$20,트라이포드!$Q$20)*(1+입력란!$C$33/100)*IF(입력란!$C$9=1,IF(MID(E347,3,1)&lt;&gt;"1",IF(입력란!$C$14=0,1.05,IF(입력란!$C$14=1,1.05*1.05,IF(입력란!$C$14=2,1.05*1.12,IF(입력란!$C$14=3,1.05*1.25)))),1),1)</f>
        <v>0</v>
      </c>
      <c r="Y347" s="38">
        <f>AN347*0.28*IF(MID(E347,1,1)="1",IF(G347="3히트",0,1),1)*IF(MID(E347,3,1)="1",트라이포드!$J$20,트라이포드!$I$20)*IF(MID(E347,3,1)="3",트라이포드!$N$20,트라이포드!$M$20)*IF(MID(E347,5,1)="2",트라이포드!$R$20,트라이포드!$Q$20)*(1+입력란!$C$33/100)*IF(입력란!$C$9=1,IF(MID(E347,3,1)&lt;&gt;"1",IF(입력란!$C$14=0,1.05,IF(입력란!$C$14=1,1.05*1.05,IF(입력란!$C$14=2,1.05*1.12,IF(입력란!$C$14=3,1.05*1.25)))),1),1)</f>
        <v>0</v>
      </c>
      <c r="Z347" s="26">
        <f>(AN347*IF(MID(E347,5,1)="1",0.004*IF(G347="3히트",3,7)*5,0)+IF(MID(E347,5,1)="1",IF(G347="3히트",0,AN347*트라이포드!$P$20*IF(MID(E347,3,1)="1",트라이포드!$J$20,트라이포드!$I$20)),0)+IF(MID(E347,5,1)="1",IF(G347="3히트",0,AN347*0.03),0))*(1+입력란!$C$33/100)</f>
        <v>14995.577965870121</v>
      </c>
      <c r="AA347" s="29">
        <f>SUM(AB347:AI347)</f>
        <v>209938.0915221817</v>
      </c>
      <c r="AB347" s="29">
        <f>S347*2</f>
        <v>59982.311863480485</v>
      </c>
      <c r="AC347" s="29">
        <f>T347*2</f>
        <v>59982.311863480485</v>
      </c>
      <c r="AD347" s="29">
        <f>U347*2</f>
        <v>59982.311863480485</v>
      </c>
      <c r="AE347" s="29">
        <f>V347*2</f>
        <v>0</v>
      </c>
      <c r="AF347" s="29">
        <f>W347*2</f>
        <v>0</v>
      </c>
      <c r="AG347" s="29">
        <f>X347*2</f>
        <v>0</v>
      </c>
      <c r="AH347" s="29">
        <f>Y347*2</f>
        <v>0</v>
      </c>
      <c r="AI347" s="26">
        <f>Z347*2</f>
        <v>29991.155931740243</v>
      </c>
      <c r="AJ347" s="25">
        <f>IF(G347="3히트",10,AR347*(1-입력란!$C$29/100))</f>
        <v>10</v>
      </c>
      <c r="AK347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7" s="25">
        <f>입력란!$C$37+IF(입력란!$C$17=1,10,IF(입력란!$C$17=2,25,IF(입력란!$C$17=3,50,0)))</f>
        <v>200</v>
      </c>
      <c r="AM347" s="29">
        <f>SUM(AN347:AP347)</f>
        <v>209820.92449437417</v>
      </c>
      <c r="AN347" s="29">
        <f>(VLOOKUP(C347,$B$4:$AK$7,26,FALSE)+VLOOKUP(C347,$B$8:$AK$11,26,FALSE)*입력란!$C$23)*입력란!$C$38/100</f>
        <v>209820.92449437417</v>
      </c>
      <c r="AO347" s="29"/>
      <c r="AP347" s="29"/>
      <c r="AQ347" s="29"/>
      <c r="AR347" s="28">
        <v>30</v>
      </c>
    </row>
    <row r="348" spans="2:44" ht="13.5" customHeight="1" x14ac:dyDescent="0.3">
      <c r="B348" s="30">
        <v>333</v>
      </c>
      <c r="C348" s="35">
        <v>10</v>
      </c>
      <c r="D348" s="42" t="s">
        <v>385</v>
      </c>
      <c r="E348" s="37" t="s">
        <v>164</v>
      </c>
      <c r="F348" s="39" t="s">
        <v>393</v>
      </c>
      <c r="G348" s="39" t="s">
        <v>389</v>
      </c>
      <c r="H348" s="51">
        <f>I348/AJ348</f>
        <v>11009.206378835539</v>
      </c>
      <c r="I348" s="52">
        <f>SUM(J348:Q348)*IF(입력란!C$15=1,1.04,IF(입력란!C$15=2,1.1,IF(입력란!C$15=3,1.2,1)))*IF(입력란!$C$13&lt;&gt;0,0,1)*IF(입력란!$C$17&lt;&gt;0,0.98,1)</f>
        <v>110092.06378835539</v>
      </c>
      <c r="J348" s="29">
        <f>S348*(1+IF($AK348+IF(입력란!$C$9=1,IF(MID(E348,3,1)&lt;&gt;"1",10,0),0)+IF(MID(E348,3,1)="1",20,0)+IF(입력란!$C$19=1,10,0)&gt;100,100,$AK348+IF(입력란!$C$9=1,IF(MID(E348,3,1)&lt;&gt;"1",10,0),0)+IF(MID(E348,3,1)="1",20,0)+IF(입력란!$C$19=1,10,0))/100*($AL348/100-1))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36697.354596118465</v>
      </c>
      <c r="K348" s="29">
        <f>T348*(1+IF($AK348+IF(입력란!$C$9=1,IF(MID(E348,3,1)&lt;&gt;"1",10,0),0)+IF(MID(E348,3,1)="1",20,0)+IF(입력란!$C$19=1,10,0)&gt;100,100,$AK348+IF(입력란!$C$9=1,IF(MID(E348,3,1)&lt;&gt;"1",10,0),0)+IF(MID(E348,3,1)="1",20,0)+IF(입력란!$C$19=1,10,0))/100*($AL348/100-1))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36697.354596118465</v>
      </c>
      <c r="L348" s="29">
        <f>U348*(1+IF($AK348+IF(입력란!$C$9=1,IF(MID(E348,3,1)&lt;&gt;"1",10,0),0)+IF(MID(E348,3,1)="1",20,0)+IF(입력란!$C$19=1,10,0)&gt;100,100,$AK348+IF(입력란!$C$9=1,IF(MID(E348,3,1)&lt;&gt;"1",10,0),0)+IF(MID(E348,3,1)="1",20,0)+IF(입력란!$C$19=1,10,0))/100*($AL348/100-1))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36697.354596118465</v>
      </c>
      <c r="M348" s="29">
        <f>V348*(1+IF($AK348+IF(입력란!$C$9=1,IF(MID(E348,3,1)&lt;&gt;"1",10,0),0)+IF(MID(E348,3,1)="1",20,0)+IF(입력란!$C$19=1,10,0)&gt;100,100,$AK348+IF(입력란!$C$9=1,IF(MID(E348,3,1)&lt;&gt;"1",10,0),0)+IF(MID(E348,3,1)="1",20,0)+IF(입력란!$C$19=1,10,0))/100*($AL348/100-1))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0</v>
      </c>
      <c r="N348" s="38">
        <f>W348*(1+IF($AK348+IF(입력란!$C$9=1,IF(MID(E348,3,1)&lt;&gt;"1",10,0),0)+IF(MID(E348,3,1)="1",20,0)+IF(입력란!$C$19=1,10,0)&gt;100,100,$AK348+IF(입력란!$C$9=1,IF(MID(E348,3,1)&lt;&gt;"1",10,0),0)+IF(MID(E348,3,1)="1",20,0)+IF(입력란!$C$19=1,10,0))/100*($AL348/100-1))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0</v>
      </c>
      <c r="O348" s="38">
        <f>X348*(1+IF($AK348+IF(입력란!$C$9=1,IF(MID(E348,3,1)&lt;&gt;"1",10,0),0)+IF(MID(E348,3,1)="1",20,0)+IF(입력란!$C$19=1,10,0)&gt;100,100,$AK348+IF(입력란!$C$9=1,IF(MID(E348,3,1)&lt;&gt;"1",10,0),0)+IF(MID(E348,3,1)="1",20,0)+IF(입력란!$C$19=1,10,0))/100*($AL348/100-1))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0</v>
      </c>
      <c r="P348" s="38">
        <f>Y348*(1+IF($AK348+IF(입력란!$C$9=1,IF(MID(E348,3,1)&lt;&gt;"1",10,0),0)+IF(MID(E348,3,1)="1",20,0)+IF(입력란!$C$19=1,10,0)&gt;100,100,$AK348+IF(입력란!$C$9=1,IF(MID(E348,3,1)&lt;&gt;"1",10,0),0)+IF(MID(E348,3,1)="1",20,0)+IF(입력란!$C$19=1,10,0))/100*($AL348/100-1))</f>
        <v>0</v>
      </c>
      <c r="Q348" s="34">
        <f>Z348*(1+IF($AK348+IF(입력란!$C$19=1,10,0)&gt;100,100,$AK348+IF(입력란!$C$19=1,10,0))/100*($AL348/100-1))</f>
        <v>0</v>
      </c>
      <c r="R348" s="23">
        <f>SUM(S348:Z348)</f>
        <v>89973.467795220728</v>
      </c>
      <c r="S348" s="29">
        <f>AN348*0.12*IF(MID(E348,3,1)="1",트라이포드!$J$20,트라이포드!$I$20)*(1+입력란!$C$33/100)*IF(입력란!$C$9=1,IF(MID(E348,3,1)&lt;&gt;"1",IF(입력란!$C$14=0,1.05,IF(입력란!$C$14=1,1.05*1.05,IF(입력란!$C$14=2,1.05*1.12,IF(입력란!$C$14=3,1.05*1.25)))),1),1)</f>
        <v>29991.155931740243</v>
      </c>
      <c r="T348" s="29">
        <f>AN348*0.12*IF(MID(E348,3,1)="1",트라이포드!$J$20,트라이포드!$I$20)*(1+입력란!$C$33/100)*IF(입력란!$C$9=1,IF(MID(E348,3,1)&lt;&gt;"1",IF(입력란!$C$14=0,1.05,IF(입력란!$C$14=1,1.05*1.05,IF(입력란!$C$14=2,1.05*1.12,IF(입력란!$C$14=3,1.05*1.25)))),1),1)</f>
        <v>29991.155931740243</v>
      </c>
      <c r="U348" s="29">
        <f>AN348*0.12*IF(MID(E348,3,1)="1",트라이포드!$J$20,트라이포드!$I$20)*(1+입력란!$C$33/100)*IF(입력란!$C$9=1,IF(MID(E348,3,1)&lt;&gt;"1",IF(입력란!$C$14=0,1.05,IF(입력란!$C$14=1,1.05*1.05,IF(입력란!$C$14=2,1.05*1.12,IF(입력란!$C$14=3,1.05*1.25)))),1),1)</f>
        <v>29991.155931740243</v>
      </c>
      <c r="V348" s="29">
        <f>AN348*0.12*IF(MID(E348,1,1)="1",IF(G348="3히트",0,1),1)*IF(MID(E348,3,1)="1",트라이포드!$J$20,트라이포드!$I$20)*(1+입력란!$C$33/100)*IF(입력란!$C$9=1,IF(MID(E348,3,1)&lt;&gt;"1",IF(입력란!$C$14=0,1.05,IF(입력란!$C$14=1,1.05*1.05,IF(입력란!$C$14=2,1.05*1.12,IF(입력란!$C$14=3,1.05*1.25)))),1),1)</f>
        <v>0</v>
      </c>
      <c r="W348" s="29">
        <f>AN348*0.12*IF(MID(E348,1,1)="1",IF(G348="3히트",0,1),1)*IF(MID(E348,3,1)="1",트라이포드!$J$20,트라이포드!$I$20)*IF(MID(E348,5,1)="2",트라이포드!$R$20,트라이포드!$Q$20)*(1+입력란!$C$33/100)*IF(입력란!$C$9=1,IF(MID(E348,3,1)&lt;&gt;"1",IF(입력란!$C$14=0,1.05,IF(입력란!$C$14=1,1.05*1.05,IF(입력란!$C$14=2,1.05*1.12,IF(입력란!$C$14=3,1.05*1.25)))),1),1)</f>
        <v>0</v>
      </c>
      <c r="X348" s="29">
        <f>AN348*0.12*IF(MID(E348,1,1)="1",IF(G348="3히트",0,1),1)*IF(MID(E348,3,1)="1",트라이포드!$J$20,트라이포드!$I$20)*IF(MID(E348,5,1)="2",트라이포드!$R$20,트라이포드!$Q$20)*(1+입력란!$C$33/100)*IF(입력란!$C$9=1,IF(MID(E348,3,1)&lt;&gt;"1",IF(입력란!$C$14=0,1.05,IF(입력란!$C$14=1,1.05*1.05,IF(입력란!$C$14=2,1.05*1.12,IF(입력란!$C$14=3,1.05*1.25)))),1),1)</f>
        <v>0</v>
      </c>
      <c r="Y348" s="38">
        <f>AN348*0.28*IF(MID(E348,1,1)="1",IF(G348="3히트",0,1),1)*IF(MID(E348,3,1)="1",트라이포드!$J$20,트라이포드!$I$20)*IF(MID(E348,3,1)="3",트라이포드!$N$20,트라이포드!$M$20)*IF(MID(E348,5,1)="2",트라이포드!$R$20,트라이포드!$Q$20)*(1+입력란!$C$33/100)*IF(입력란!$C$9=1,IF(MID(E348,3,1)&lt;&gt;"1",IF(입력란!$C$14=0,1.05,IF(입력란!$C$14=1,1.05*1.05,IF(입력란!$C$14=2,1.05*1.12,IF(입력란!$C$14=3,1.05*1.25)))),1),1)</f>
        <v>0</v>
      </c>
      <c r="Z348" s="26">
        <f>(AN348*IF(MID(E348,5,1)="1",0.004*IF(G348="3히트",3,7)*5,0)+IF(MID(E348,5,1)="1",IF(G348="3히트",0,AN348*트라이포드!$P$20*IF(MID(E348,3,1)="1",트라이포드!$J$20,트라이포드!$I$20)),0)+IF(MID(E348,5,1)="1",IF(G348="3히트",0,AN348*0.03),0))*(1+입력란!$C$33/100)</f>
        <v>0</v>
      </c>
      <c r="AA348" s="29">
        <f>SUM(AB348:AI348)</f>
        <v>179946.93559044146</v>
      </c>
      <c r="AB348" s="29">
        <f>S348*2</f>
        <v>59982.311863480485</v>
      </c>
      <c r="AC348" s="29">
        <f>T348*2</f>
        <v>59982.311863480485</v>
      </c>
      <c r="AD348" s="29">
        <f>U348*2</f>
        <v>59982.311863480485</v>
      </c>
      <c r="AE348" s="29">
        <f>V348*2</f>
        <v>0</v>
      </c>
      <c r="AF348" s="29">
        <f>W348*2</f>
        <v>0</v>
      </c>
      <c r="AG348" s="29">
        <f>X348*2</f>
        <v>0</v>
      </c>
      <c r="AH348" s="29">
        <f>Y348*2</f>
        <v>0</v>
      </c>
      <c r="AI348" s="26">
        <f>Z348*2</f>
        <v>0</v>
      </c>
      <c r="AJ348" s="25">
        <f>IF(G348="3히트",10,AR348*(1-입력란!$C$29/100))</f>
        <v>10</v>
      </c>
      <c r="AK348" s="25">
        <f>IF((입력란!$C$27+IF(입력란!$C$12=0,0,IF(입력란!$C$12=1,15,IF(입력란!$C$12=2,20,IF(입력란!$C$12=3,25,0)))))&gt;100,100,입력란!$C$27+IF(입력란!$C$12=0,0,IF(입력란!$C$12=1,15,IF(입력란!$C$12=2,20,IF(입력란!$C$12=3,25,0)))))</f>
        <v>22.360587500000001</v>
      </c>
      <c r="AL348" s="25">
        <f>입력란!$C$37+IF(입력란!$C$17=1,10,IF(입력란!$C$17=2,25,IF(입력란!$C$17=3,50,0)))</f>
        <v>200</v>
      </c>
      <c r="AM348" s="29">
        <f>SUM(AN348:AP348)</f>
        <v>209820.92449437417</v>
      </c>
      <c r="AN348" s="29">
        <f>(VLOOKUP(C348,$B$4:$AK$7,26,FALSE)+VLOOKUP(C348,$B$8:$AK$11,26,FALSE)*입력란!$C$23)*입력란!$C$38/100</f>
        <v>209820.92449437417</v>
      </c>
      <c r="AO348" s="29"/>
      <c r="AP348" s="29"/>
      <c r="AQ348" s="29"/>
      <c r="AR348" s="28">
        <v>30</v>
      </c>
    </row>
    <row r="349" spans="2:44" ht="13.5" customHeight="1" x14ac:dyDescent="0.3">
      <c r="B349" s="30">
        <v>334</v>
      </c>
      <c r="C349" s="35">
        <v>1</v>
      </c>
      <c r="D349" s="43" t="s">
        <v>194</v>
      </c>
      <c r="E349" s="37" t="s">
        <v>195</v>
      </c>
      <c r="F349" s="39"/>
      <c r="G349" s="39"/>
      <c r="H349" s="80">
        <f>I349/AJ349</f>
        <v>8682.6428017467733</v>
      </c>
      <c r="I349" s="52">
        <f>SUM(J349:Q349)*IF(입력란!C$15=1,1.04,IF(입력란!C$15=2,1.1,IF(입력란!C$15=3,1.2,1)))*IF(입력란!$C$17&lt;&gt;0,0.98,1)*IF(입력란!$C$12=1,IF(G349="생명50%이하",1.2,1.1),1)*IF(입력란!$C$12=2,IF(G349="생명50%이하",1.3,1.1),1)*IF(입력란!$C$12=3,IF(G349="생명50%이하",1.4,1.1),1)</f>
        <v>224516.58954079892</v>
      </c>
      <c r="J349" s="29">
        <f>S349*(1+IF($AK349+IF(입력란!$C$19=1,10,0)+IF(MID(E349,3,1)="3",IF(G349="생명50%이하",트라이포드!$N$21,트라이포드!$M$21),0)&gt;100,100,$AK349+IF(입력란!$C$19=1,10,0)+IF(MID(E349,3,1)="3",IF(G349="생명50%이하",트라이포드!$N$21,트라이포드!$M$21),0))/100*($AL349/100-1))</f>
        <v>179598.04374589626</v>
      </c>
      <c r="K349" s="29">
        <f>T349*(1+IF($AK349+IF(입력란!$C$19=1,10,0)&gt;100,100,$AK349+IF(입력란!$C$19=1,10,0))/100*($AL349/100-1))</f>
        <v>44918.545794902668</v>
      </c>
      <c r="L349" s="29"/>
      <c r="M349" s="29"/>
      <c r="N349" s="38"/>
      <c r="O349" s="38"/>
      <c r="P349" s="38"/>
      <c r="Q349" s="34">
        <f>Z349*(1+IF($AK349+IF(입력란!$C$19=1,10,0)&gt;100,100,$AK349+IF(입력란!$C$19=1,10,0))/100*($AL349/100-1))</f>
        <v>0</v>
      </c>
      <c r="R349" s="23">
        <f>SUM(S349:Z349)</f>
        <v>183487.66880577369</v>
      </c>
      <c r="S349" s="29">
        <f>AN349*IF(MID(E349,3,1)="1",트라이포드!$J$21,트라이포드!$I$21)*IF(MID(E349,5,1)="2",트라이포드!$R$21,트라이포드!$Q$21)*(1+입력란!$C$34/100)</f>
        <v>146777.68995338981</v>
      </c>
      <c r="T349" s="29">
        <f>AO349*3*IF(MID(E349,5,1)="1",트라이포드!$P$21,트라이포드!$O$21)*(1+입력란!$C$34/100)</f>
        <v>36709.978852383872</v>
      </c>
      <c r="U349" s="29"/>
      <c r="V349" s="29"/>
      <c r="W349" s="29"/>
      <c r="X349" s="29"/>
      <c r="Y349" s="29"/>
      <c r="Z349" s="26">
        <f>(AN349+AO349*3)*IF(MID(E349,1,1)="2",트라이포드!$F$21,트라이포드!$E$21)*(1+입력란!$C$34/100)</f>
        <v>0</v>
      </c>
      <c r="AA349" s="29">
        <f>SUM(AB349:AI349)</f>
        <v>366975.33761154738</v>
      </c>
      <c r="AB349" s="29">
        <f>S349*2</f>
        <v>293555.37990677962</v>
      </c>
      <c r="AC349" s="29">
        <f>T349*2</f>
        <v>73419.957704767745</v>
      </c>
      <c r="AD349" s="29"/>
      <c r="AE349" s="29"/>
      <c r="AF349" s="38"/>
      <c r="AG349" s="38"/>
      <c r="AH349" s="38"/>
      <c r="AI349" s="26">
        <f>Z349*2</f>
        <v>0</v>
      </c>
      <c r="AJ349" s="29">
        <f>AR349*(1-입력란!$C$29/100)</f>
        <v>25.858093516830003</v>
      </c>
      <c r="AK34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49" s="25">
        <f>입력란!$C$37+IF(입력란!$C$17=1,10,IF(입력란!$C$17=2,25,IF(입력란!$C$17=3,50,0)))</f>
        <v>200</v>
      </c>
      <c r="AM349" s="29">
        <f>SUM(AN349:AP349)</f>
        <v>120596.2191522799</v>
      </c>
      <c r="AN349" s="29">
        <f>(VLOOKUP(C349,$B$4:$AK$7,27,FALSE)+VLOOKUP(C349,$B$8:$AK$11,27,FALSE)*입력란!$C$23)*입력란!$C$38/100</f>
        <v>111315.95678035039</v>
      </c>
      <c r="AO349" s="29">
        <f>(VLOOKUP(C349,$B$4:$AK$7,28,FALSE)+VLOOKUP(C349,$B$8:$AK$11,28,FALSE)*입력란!$C$23)*입력란!$C$38/100</f>
        <v>9280.2623719295134</v>
      </c>
      <c r="AP349" s="38"/>
      <c r="AQ349" s="38"/>
      <c r="AR349" s="22">
        <v>27</v>
      </c>
    </row>
    <row r="350" spans="2:44" ht="13.5" customHeight="1" x14ac:dyDescent="0.3">
      <c r="B350" s="30">
        <v>335</v>
      </c>
      <c r="C350" s="35">
        <v>4</v>
      </c>
      <c r="D350" s="43" t="s">
        <v>194</v>
      </c>
      <c r="E350" s="37" t="s">
        <v>196</v>
      </c>
      <c r="F350" s="39"/>
      <c r="G350" s="39"/>
      <c r="H350" s="80">
        <f>I350/AJ350</f>
        <v>8718.4323996609</v>
      </c>
      <c r="I350" s="52">
        <f>SUM(J350:Q350)*IF(입력란!C$15=1,1.04,IF(입력란!C$15=2,1.1,IF(입력란!C$15=3,1.2,1)))*IF(입력란!$C$17&lt;&gt;0,0.98,1)*IF(입력란!$C$12=1,IF(G350="생명50%이하",1.2,1.1),1)*IF(입력란!$C$12=2,IF(G350="생명50%이하",1.3,1.1),1)*IF(입력란!$C$12=3,IF(G350="생명50%이하",1.4,1.1),1)</f>
        <v>225442.04031059216</v>
      </c>
      <c r="J350" s="29">
        <f>S350*(1+IF($AK350+IF(입력란!$C$19=1,10,0)+IF(MID(E350,3,1)="3",IF(G350="생명50%이하",트라이포드!$N$21,트라이포드!$M$21),0)&gt;100,100,$AK350+IF(입력란!$C$19=1,10,0)+IF(MID(E350,3,1)="3",IF(G350="생명50%이하",트라이포드!$N$21,트라이포드!$M$21),0))/100*($AL350/100-1))</f>
        <v>180339.56601541679</v>
      </c>
      <c r="K350" s="29">
        <f>T350*(1+IF($AK350+IF(입력란!$C$19=1,10,0)&gt;100,100,$AK350+IF(입력란!$C$19=1,10,0))/100*($AL350/100-1))</f>
        <v>45102.474295175372</v>
      </c>
      <c r="L350" s="29"/>
      <c r="M350" s="29"/>
      <c r="N350" s="38"/>
      <c r="O350" s="38"/>
      <c r="P350" s="38"/>
      <c r="Q350" s="34">
        <f>Z350*(1+IF($AK350+IF(입력란!$C$19=1,10,0)&gt;100,100,$AK350+IF(입력란!$C$19=1,10,0))/100*($AL350/100-1))</f>
        <v>0</v>
      </c>
      <c r="R350" s="23">
        <f>SUM(S350:Z350)</f>
        <v>184243.99957265012</v>
      </c>
      <c r="S350" s="29">
        <f>AN350*IF(MID(E350,3,1)="1",트라이포드!$J$21,트라이포드!$I$21)*IF(MID(E350,5,1)="2",트라이포드!$R$21,트라이포드!$Q$21)*(1+입력란!$C$34/100)</f>
        <v>147383.7039360544</v>
      </c>
      <c r="T350" s="29">
        <f>AO350*3*IF(MID(E350,5,1)="1",트라이포드!$P$21,트라이포드!$O$21)*(1+입력란!$C$34/100)</f>
        <v>36860.295636595707</v>
      </c>
      <c r="U350" s="29"/>
      <c r="V350" s="29"/>
      <c r="W350" s="29"/>
      <c r="X350" s="29"/>
      <c r="Y350" s="29"/>
      <c r="Z350" s="26">
        <f>(AN350+AO350*3)*IF(MID(E350,1,1)="2",트라이포드!$F$21,트라이포드!$E$21)*(1+입력란!$C$34/100)</f>
        <v>0</v>
      </c>
      <c r="AA350" s="29">
        <f>SUM(AB350:AI350)</f>
        <v>368487.99914530024</v>
      </c>
      <c r="AB350" s="29">
        <f>S350*2</f>
        <v>294767.4078721088</v>
      </c>
      <c r="AC350" s="29">
        <f>T350*2</f>
        <v>73720.591273191414</v>
      </c>
      <c r="AD350" s="29"/>
      <c r="AE350" s="29"/>
      <c r="AF350" s="38"/>
      <c r="AG350" s="38"/>
      <c r="AH350" s="38"/>
      <c r="AI350" s="26">
        <f>Z350*2</f>
        <v>0</v>
      </c>
      <c r="AJ350" s="29">
        <f>AR350*(1-입력란!$C$29/100)</f>
        <v>25.858093516830003</v>
      </c>
      <c r="AK35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0" s="25">
        <f>입력란!$C$37+IF(입력란!$C$17=1,10,IF(입력란!$C$17=2,25,IF(입력란!$C$17=3,50,0)))</f>
        <v>200</v>
      </c>
      <c r="AM350" s="29">
        <f>SUM(AN350:AP350)</f>
        <v>121093.8191522799</v>
      </c>
      <c r="AN350" s="29">
        <f>(VLOOKUP(C350,$B$4:$AK$7,27,FALSE)+VLOOKUP(C350,$B$8:$AK$11,27,FALSE)*입력란!$C$23)*입력란!$C$38/100</f>
        <v>111775.55678035039</v>
      </c>
      <c r="AO350" s="29">
        <f>(VLOOKUP(C350,$B$4:$AK$7,28,FALSE)+VLOOKUP(C350,$B$8:$AK$11,28,FALSE)*입력란!$C$23)*입력란!$C$38/100</f>
        <v>9318.2623719295134</v>
      </c>
      <c r="AP350" s="38"/>
      <c r="AQ350" s="38"/>
      <c r="AR350" s="22">
        <v>27</v>
      </c>
    </row>
    <row r="351" spans="2:44" ht="13.5" customHeight="1" x14ac:dyDescent="0.3">
      <c r="B351" s="30">
        <v>336</v>
      </c>
      <c r="C351" s="35">
        <v>4</v>
      </c>
      <c r="D351" s="43" t="s">
        <v>194</v>
      </c>
      <c r="E351" s="37" t="s">
        <v>200</v>
      </c>
      <c r="F351" s="39"/>
      <c r="G351" s="39"/>
      <c r="H351" s="80">
        <f>I351/AJ351</f>
        <v>10462.118879593081</v>
      </c>
      <c r="I351" s="52">
        <f>SUM(J351:Q351)*IF(입력란!C$15=1,1.04,IF(입력란!C$15=2,1.1,IF(입력란!C$15=3,1.2,1)))*IF(입력란!$C$17&lt;&gt;0,0.98,1)*IF(입력란!$C$12=1,IF(G351="생명50%이하",1.2,1.1),1)*IF(입력란!$C$12=2,IF(G351="생명50%이하",1.3,1.1),1)*IF(입력란!$C$12=3,IF(G351="생명50%이하",1.4,1.1),1)</f>
        <v>270530.44837271061</v>
      </c>
      <c r="J351" s="29">
        <f>S351*(1+IF($AK351+IF(입력란!$C$19=1,10,0)+IF(MID(E351,3,1)="3",IF(G351="생명50%이하",트라이포드!$N$21,트라이포드!$M$21),0)&gt;100,100,$AK351+IF(입력란!$C$19=1,10,0)+IF(MID(E351,3,1)="3",IF(G351="생명50%이하",트라이포드!$N$21,트라이포드!$M$21),0))/100*($AL351/100-1))</f>
        <v>180339.56601541679</v>
      </c>
      <c r="K351" s="29">
        <f>T351*(1+IF($AK351+IF(입력란!$C$19=1,10,0)&gt;100,100,$AK351+IF(입력란!$C$19=1,10,0))/100*($AL351/100-1))</f>
        <v>45102.474295175372</v>
      </c>
      <c r="L351" s="29"/>
      <c r="M351" s="29"/>
      <c r="N351" s="38"/>
      <c r="O351" s="38"/>
      <c r="P351" s="38"/>
      <c r="Q351" s="34">
        <f>Z351*(1+IF($AK351+IF(입력란!$C$19=1,10,0)&gt;100,100,$AK351+IF(입력란!$C$19=1,10,0))/100*($AL351/100-1))</f>
        <v>45088.408062118433</v>
      </c>
      <c r="R351" s="23">
        <f>SUM(S351:Z351)</f>
        <v>221092.79948718013</v>
      </c>
      <c r="S351" s="29">
        <f>AN351*IF(MID(E351,3,1)="1",트라이포드!$J$21,트라이포드!$I$21)*IF(MID(E351,5,1)="2",트라이포드!$R$21,트라이포드!$Q$21)*(1+입력란!$C$34/100)</f>
        <v>147383.7039360544</v>
      </c>
      <c r="T351" s="29">
        <f>AO351*3*IF(MID(E351,5,1)="1",트라이포드!$P$21,트라이포드!$O$21)*(1+입력란!$C$34/100)</f>
        <v>36860.295636595707</v>
      </c>
      <c r="U351" s="29"/>
      <c r="V351" s="29"/>
      <c r="W351" s="29"/>
      <c r="X351" s="29"/>
      <c r="Y351" s="29"/>
      <c r="Z351" s="26">
        <f>(AN351+AO351*3)*IF(MID(E351,1,1)="2",트라이포드!$F$21,트라이포드!$E$21)*(1+입력란!$C$34/100)</f>
        <v>36848.79991453002</v>
      </c>
      <c r="AA351" s="29">
        <f>SUM(AB351:AI351)</f>
        <v>442185.59897436027</v>
      </c>
      <c r="AB351" s="29">
        <f>S351*2</f>
        <v>294767.4078721088</v>
      </c>
      <c r="AC351" s="29">
        <f>T351*2</f>
        <v>73720.591273191414</v>
      </c>
      <c r="AD351" s="29"/>
      <c r="AE351" s="29"/>
      <c r="AF351" s="38"/>
      <c r="AG351" s="38"/>
      <c r="AH351" s="38"/>
      <c r="AI351" s="26">
        <f>Z351*2</f>
        <v>73697.59982906004</v>
      </c>
      <c r="AJ351" s="29">
        <f>AR351*(1-입력란!$C$29/100)</f>
        <v>25.858093516830003</v>
      </c>
      <c r="AK35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1" s="25">
        <f>입력란!$C$37+IF(입력란!$C$17=1,10,IF(입력란!$C$17=2,25,IF(입력란!$C$17=3,50,0)))</f>
        <v>200</v>
      </c>
      <c r="AM351" s="29">
        <f>SUM(AN351:AP351)</f>
        <v>121093.8191522799</v>
      </c>
      <c r="AN351" s="29">
        <f>(VLOOKUP(C351,$B$4:$AK$7,27,FALSE)+VLOOKUP(C351,$B$8:$AK$11,27,FALSE)*입력란!$C$23)*입력란!$C$38/100</f>
        <v>111775.55678035039</v>
      </c>
      <c r="AO351" s="29">
        <f>(VLOOKUP(C351,$B$4:$AK$7,28,FALSE)+VLOOKUP(C351,$B$8:$AK$11,28,FALSE)*입력란!$C$23)*입력란!$C$38/100</f>
        <v>9318.2623719295134</v>
      </c>
      <c r="AP351" s="38"/>
      <c r="AQ351" s="38"/>
      <c r="AR351" s="22">
        <v>27</v>
      </c>
    </row>
    <row r="352" spans="2:44" ht="13.5" customHeight="1" x14ac:dyDescent="0.3">
      <c r="B352" s="30">
        <v>337</v>
      </c>
      <c r="C352" s="35">
        <v>7</v>
      </c>
      <c r="D352" s="43" t="s">
        <v>194</v>
      </c>
      <c r="E352" s="37" t="s">
        <v>196</v>
      </c>
      <c r="F352" s="39"/>
      <c r="G352" s="39"/>
      <c r="H352" s="80">
        <f>I352/AJ352</f>
        <v>8735.1541783237062</v>
      </c>
      <c r="I352" s="52">
        <f>SUM(J352:Q352)*IF(입력란!C$15=1,1.04,IF(입력란!C$15=2,1.1,IF(입력란!C$15=3,1.2,1)))*IF(입력란!$C$17&lt;&gt;0,0.98,1)*IF(입력란!$C$12=1,IF(G352="생명50%이하",1.2,1.1),1)*IF(입력란!$C$12=2,IF(G352="생명50%이하",1.3,1.1),1)*IF(입력란!$C$12=3,IF(G352="생명50%이하",1.4,1.1),1)</f>
        <v>225874.43362702275</v>
      </c>
      <c r="J352" s="29">
        <f>S352*(1+IF($AK352+IF(입력란!$C$19=1,10,0)+IF(MID(E352,3,1)="3",IF(G352="생명50%이하",트라이포드!$N$21,트라이포드!$M$21),0)&gt;100,100,$AK352+IF(입력란!$C$19=1,10,0)+IF(MID(E352,3,1)="3",IF(G352="생명50%이하",트라이포드!$N$21,트라이포드!$M$21),0))/100*($AL352/100-1))</f>
        <v>180684.8353054024</v>
      </c>
      <c r="K352" s="29">
        <f>T352*(1+IF($AK352+IF(입력란!$C$19=1,10,0)&gt;100,100,$AK352+IF(입력란!$C$19=1,10,0))/100*($AL352/100-1))</f>
        <v>45189.598321620346</v>
      </c>
      <c r="L352" s="29"/>
      <c r="M352" s="29"/>
      <c r="N352" s="38"/>
      <c r="O352" s="38"/>
      <c r="P352" s="38"/>
      <c r="Q352" s="34">
        <f>Z352*(1+IF($AK352+IF(입력란!$C$19=1,10,0)&gt;100,100,$AK352+IF(입력란!$C$19=1,10,0))/100*($AL352/100-1))</f>
        <v>0</v>
      </c>
      <c r="R352" s="23">
        <f>SUM(S352:Z352)</f>
        <v>184597.37587237617</v>
      </c>
      <c r="S352" s="29">
        <f>AN352*IF(MID(E352,3,1)="1",트라이포드!$J$21,트라이포드!$I$21)*IF(MID(E352,5,1)="2",트라이포드!$R$21,트라이포드!$Q$21)*(1+입력란!$C$34/100)</f>
        <v>147665.87754852223</v>
      </c>
      <c r="T352" s="29">
        <f>AO352*3*IF(MID(E352,5,1)="1",트라이포드!$P$21,트라이포드!$O$21)*(1+입력란!$C$34/100)</f>
        <v>36931.49832385395</v>
      </c>
      <c r="U352" s="29"/>
      <c r="V352" s="29"/>
      <c r="W352" s="29"/>
      <c r="X352" s="29"/>
      <c r="Y352" s="29"/>
      <c r="Z352" s="26">
        <f>(AN352+AO352*3)*IF(MID(E352,1,1)="2",트라이포드!$F$21,트라이포드!$E$21)*(1+입력란!$C$34/100)</f>
        <v>0</v>
      </c>
      <c r="AA352" s="29">
        <f>SUM(AB352:AI352)</f>
        <v>369194.75174475234</v>
      </c>
      <c r="AB352" s="29">
        <f>S352*2</f>
        <v>295331.75509704446</v>
      </c>
      <c r="AC352" s="29">
        <f>T352*2</f>
        <v>73862.9966477079</v>
      </c>
      <c r="AD352" s="29"/>
      <c r="AE352" s="29"/>
      <c r="AF352" s="38"/>
      <c r="AG352" s="38"/>
      <c r="AH352" s="38"/>
      <c r="AI352" s="26">
        <f>Z352*2</f>
        <v>0</v>
      </c>
      <c r="AJ352" s="29">
        <f>AR352*(1-입력란!$C$29/100)</f>
        <v>25.858093516830003</v>
      </c>
      <c r="AK35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2" s="25">
        <f>입력란!$C$37+IF(입력란!$C$17=1,10,IF(입력란!$C$17=2,25,IF(입력란!$C$17=3,50,0)))</f>
        <v>200</v>
      </c>
      <c r="AM352" s="29">
        <f>SUM(AN352:AP352)</f>
        <v>121325.8191522799</v>
      </c>
      <c r="AN352" s="29">
        <f>(VLOOKUP(C352,$B$4:$AK$7,27,FALSE)+VLOOKUP(C352,$B$8:$AK$11,27,FALSE)*입력란!$C$23)*입력란!$C$38/100</f>
        <v>111989.55678035039</v>
      </c>
      <c r="AO352" s="29">
        <f>(VLOOKUP(C352,$B$4:$AK$7,28,FALSE)+VLOOKUP(C352,$B$8:$AK$11,28,FALSE)*입력란!$C$23)*입력란!$C$38/100</f>
        <v>9336.2623719295134</v>
      </c>
      <c r="AP352" s="38"/>
      <c r="AQ352" s="38"/>
      <c r="AR352" s="22">
        <v>27</v>
      </c>
    </row>
    <row r="353" spans="2:44" ht="13.5" customHeight="1" x14ac:dyDescent="0.3">
      <c r="B353" s="30">
        <v>338</v>
      </c>
      <c r="C353" s="35">
        <v>7</v>
      </c>
      <c r="D353" s="43" t="s">
        <v>194</v>
      </c>
      <c r="E353" s="37" t="s">
        <v>198</v>
      </c>
      <c r="F353" s="39"/>
      <c r="G353" s="39"/>
      <c r="H353" s="80">
        <f>I353/AJ353</f>
        <v>10482.042780027869</v>
      </c>
      <c r="I353" s="52">
        <f>SUM(J353:Q353)*IF(입력란!C$15=1,1.04,IF(입력란!C$15=2,1.1,IF(입력란!C$15=3,1.2,1)))*IF(입력란!$C$17&lt;&gt;0,0.98,1)*IF(입력란!$C$12=1,IF(G353="생명50%이하",1.2,1.1),1)*IF(입력란!$C$12=2,IF(G353="생명50%이하",1.3,1.1),1)*IF(입력란!$C$12=3,IF(G353="생명50%이하",1.4,1.1),1)</f>
        <v>271045.64245337335</v>
      </c>
      <c r="J353" s="29">
        <f>S353*(1+IF($AK353+IF(입력란!$C$19=1,10,0)+IF(MID(E353,3,1)="3",IF(G353="생명50%이하",트라이포드!$N$21,트라이포드!$M$21),0)&gt;100,100,$AK353+IF(입력란!$C$19=1,10,0)+IF(MID(E353,3,1)="3",IF(G353="생명50%이하",트라이포드!$N$21,트라이포드!$M$21),0))/100*($AL353/100-1))</f>
        <v>225856.04413175301</v>
      </c>
      <c r="K353" s="29">
        <f>T353*(1+IF($AK353+IF(입력란!$C$19=1,10,0)&gt;100,100,$AK353+IF(입력란!$C$19=1,10,0))/100*($AL353/100-1))</f>
        <v>45189.598321620346</v>
      </c>
      <c r="L353" s="29"/>
      <c r="M353" s="29"/>
      <c r="N353" s="38"/>
      <c r="O353" s="38"/>
      <c r="P353" s="38"/>
      <c r="Q353" s="34">
        <f>Z353*(1+IF($AK353+IF(입력란!$C$19=1,10,0)&gt;100,100,$AK353+IF(입력란!$C$19=1,10,0))/100*($AL353/100-1))</f>
        <v>0</v>
      </c>
      <c r="R353" s="23">
        <f>SUM(S353:Z353)</f>
        <v>221513.84525950672</v>
      </c>
      <c r="S353" s="29">
        <f>AN353*IF(MID(E353,3,1)="1",트라이포드!$J$21,트라이포드!$I$21)*IF(MID(E353,5,1)="2",트라이포드!$R$21,트라이포드!$Q$21)*(1+입력란!$C$34/100)</f>
        <v>184582.34693565278</v>
      </c>
      <c r="T353" s="29">
        <f>AO353*3*IF(MID(E353,5,1)="1",트라이포드!$P$21,트라이포드!$O$21)*(1+입력란!$C$34/100)</f>
        <v>36931.49832385395</v>
      </c>
      <c r="U353" s="29"/>
      <c r="V353" s="29"/>
      <c r="W353" s="29"/>
      <c r="X353" s="29"/>
      <c r="Y353" s="29"/>
      <c r="Z353" s="26">
        <f>(AN353+AO353*3)*IF(MID(E353,1,1)="2",트라이포드!$F$21,트라이포드!$E$21)*(1+입력란!$C$34/100)</f>
        <v>0</v>
      </c>
      <c r="AA353" s="29">
        <f>SUM(AB353:AI353)</f>
        <v>443027.69051901344</v>
      </c>
      <c r="AB353" s="29">
        <f>S353*2</f>
        <v>369164.69387130556</v>
      </c>
      <c r="AC353" s="29">
        <f>T353*2</f>
        <v>73862.9966477079</v>
      </c>
      <c r="AD353" s="29"/>
      <c r="AE353" s="29"/>
      <c r="AF353" s="38"/>
      <c r="AG353" s="38"/>
      <c r="AH353" s="38"/>
      <c r="AI353" s="26">
        <f>Z353*2</f>
        <v>0</v>
      </c>
      <c r="AJ353" s="29">
        <f>AR353*(1-입력란!$C$29/100)</f>
        <v>25.858093516830003</v>
      </c>
      <c r="AK35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3" s="25">
        <f>입력란!$C$37+IF(입력란!$C$17=1,10,IF(입력란!$C$17=2,25,IF(입력란!$C$17=3,50,0)))</f>
        <v>200</v>
      </c>
      <c r="AM353" s="29">
        <f>SUM(AN353:AP353)</f>
        <v>121325.8191522799</v>
      </c>
      <c r="AN353" s="29">
        <f>(VLOOKUP(C353,$B$4:$AK$7,27,FALSE)+VLOOKUP(C353,$B$8:$AK$11,27,FALSE)*입력란!$C$23)*입력란!$C$38/100</f>
        <v>111989.55678035039</v>
      </c>
      <c r="AO353" s="29">
        <f>(VLOOKUP(C353,$B$4:$AK$7,28,FALSE)+VLOOKUP(C353,$B$8:$AK$11,28,FALSE)*입력란!$C$23)*입력란!$C$38/100</f>
        <v>9336.2623719295134</v>
      </c>
      <c r="AP353" s="38"/>
      <c r="AQ353" s="38"/>
      <c r="AR353" s="22">
        <v>27</v>
      </c>
    </row>
    <row r="354" spans="2:44" ht="13.5" customHeight="1" x14ac:dyDescent="0.3">
      <c r="B354" s="30">
        <v>339</v>
      </c>
      <c r="C354" s="35">
        <v>7</v>
      </c>
      <c r="D354" s="43" t="s">
        <v>194</v>
      </c>
      <c r="E354" s="37" t="s">
        <v>199</v>
      </c>
      <c r="F354" s="39"/>
      <c r="G354" s="39"/>
      <c r="H354" s="80">
        <f>I354/AJ354</f>
        <v>8735.1541783237062</v>
      </c>
      <c r="I354" s="52">
        <f>SUM(J354:Q354)*IF(입력란!C$15=1,1.04,IF(입력란!C$15=2,1.1,IF(입력란!C$15=3,1.2,1)))*IF(입력란!$C$17&lt;&gt;0,0.98,1)*IF(입력란!$C$12=1,IF(G354="생명50%이하",1.2,1.1),1)*IF(입력란!$C$12=2,IF(G354="생명50%이하",1.3,1.1),1)*IF(입력란!$C$12=3,IF(G354="생명50%이하",1.4,1.1),1)</f>
        <v>225874.43362702275</v>
      </c>
      <c r="J354" s="29">
        <f>S354*(1+IF($AK354+IF(입력란!$C$19=1,10,0)+IF(MID(E354,3,1)="3",IF(G354="생명50%이하",트라이포드!$N$21,트라이포드!$M$21),0)&gt;100,100,$AK354+IF(입력란!$C$19=1,10,0)+IF(MID(E354,3,1)="3",IF(G354="생명50%이하",트라이포드!$N$21,트라이포드!$M$21),0))/100*($AL354/100-1))</f>
        <v>180684.8353054024</v>
      </c>
      <c r="K354" s="29">
        <f>T354*(1+IF($AK354+IF(입력란!$C$19=1,10,0)&gt;100,100,$AK354+IF(입력란!$C$19=1,10,0))/100*($AL354/100-1))</f>
        <v>45189.598321620346</v>
      </c>
      <c r="L354" s="29"/>
      <c r="M354" s="29"/>
      <c r="N354" s="38"/>
      <c r="O354" s="38"/>
      <c r="P354" s="38"/>
      <c r="Q354" s="34">
        <f>Z354*(1+IF($AK354+IF(입력란!$C$19=1,10,0)&gt;100,100,$AK354+IF(입력란!$C$19=1,10,0))/100*($AL354/100-1))</f>
        <v>0</v>
      </c>
      <c r="R354" s="23">
        <f>SUM(S354:Z354)</f>
        <v>184597.37587237617</v>
      </c>
      <c r="S354" s="29">
        <f>AN354*IF(MID(E354,3,1)="1",트라이포드!$J$21,트라이포드!$I$21)*IF(MID(E354,5,1)="2",트라이포드!$R$21,트라이포드!$Q$21)*(1+입력란!$C$34/100)</f>
        <v>147665.87754852223</v>
      </c>
      <c r="T354" s="29">
        <f>AO354*3*IF(MID(E354,5,1)="1",트라이포드!$P$21,트라이포드!$O$21)*(1+입력란!$C$34/100)</f>
        <v>36931.49832385395</v>
      </c>
      <c r="U354" s="29"/>
      <c r="V354" s="29"/>
      <c r="W354" s="29"/>
      <c r="X354" s="29"/>
      <c r="Y354" s="29"/>
      <c r="Z354" s="26">
        <f>(AN354+AO354*3)*IF(MID(E354,1,1)="2",트라이포드!$F$21,트라이포드!$E$21)*(1+입력란!$C$34/100)</f>
        <v>0</v>
      </c>
      <c r="AA354" s="29">
        <f>SUM(AB354:AI354)</f>
        <v>369194.75174475234</v>
      </c>
      <c r="AB354" s="29">
        <f>S354*2</f>
        <v>295331.75509704446</v>
      </c>
      <c r="AC354" s="29">
        <f>T354*2</f>
        <v>73862.9966477079</v>
      </c>
      <c r="AD354" s="29"/>
      <c r="AE354" s="29"/>
      <c r="AF354" s="38"/>
      <c r="AG354" s="38"/>
      <c r="AH354" s="38"/>
      <c r="AI354" s="26">
        <f>Z354*2</f>
        <v>0</v>
      </c>
      <c r="AJ354" s="29">
        <f>AR354*(1-입력란!$C$29/100)</f>
        <v>25.858093516830003</v>
      </c>
      <c r="AK35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4" s="25">
        <f>입력란!$C$37+IF(입력란!$C$17=1,10,IF(입력란!$C$17=2,25,IF(입력란!$C$17=3,50,0)))</f>
        <v>200</v>
      </c>
      <c r="AM354" s="29">
        <f>SUM(AN354:AP354)</f>
        <v>121325.8191522799</v>
      </c>
      <c r="AN354" s="29">
        <f>(VLOOKUP(C354,$B$4:$AK$7,27,FALSE)+VLOOKUP(C354,$B$8:$AK$11,27,FALSE)*입력란!$C$23)*입력란!$C$38/100</f>
        <v>111989.55678035039</v>
      </c>
      <c r="AO354" s="29">
        <f>(VLOOKUP(C354,$B$4:$AK$7,28,FALSE)+VLOOKUP(C354,$B$8:$AK$11,28,FALSE)*입력란!$C$23)*입력란!$C$38/100</f>
        <v>9336.2623719295134</v>
      </c>
      <c r="AP354" s="38"/>
      <c r="AQ354" s="38"/>
      <c r="AR354" s="22">
        <v>27</v>
      </c>
    </row>
    <row r="355" spans="2:44" ht="13.5" customHeight="1" x14ac:dyDescent="0.3">
      <c r="B355" s="30">
        <v>340</v>
      </c>
      <c r="C355" s="35">
        <v>7</v>
      </c>
      <c r="D355" s="43" t="s">
        <v>194</v>
      </c>
      <c r="E355" s="37" t="s">
        <v>201</v>
      </c>
      <c r="F355" s="39"/>
      <c r="G355" s="39"/>
      <c r="H355" s="80">
        <f>I355/AJ355</f>
        <v>12229.07361569261</v>
      </c>
      <c r="I355" s="52">
        <f>SUM(J355:Q355)*IF(입력란!C$15=1,1.04,IF(입력란!C$15=2,1.1,IF(입력란!C$15=3,1.2,1)))*IF(입력란!$C$17&lt;&gt;0,0.98,1)*IF(입력란!$C$12=1,IF(G355="생명50%이하",1.2,1.1),1)*IF(입력란!$C$12=2,IF(G355="생명50%이하",1.3,1.1),1)*IF(입력란!$C$12=3,IF(G355="생명50%이하",1.4,1.1),1)</f>
        <v>316220.52917877794</v>
      </c>
      <c r="J355" s="29">
        <f>S355*(1+IF($AK355+IF(입력란!$C$19=1,10,0)+IF(MID(E355,3,1)="3",IF(G355="생명50%이하",트라이포드!$N$21,트라이포드!$M$21),0)&gt;100,100,$AK355+IF(입력란!$C$19=1,10,0)+IF(MID(E355,3,1)="3",IF(G355="생명50%이하",트라이포드!$N$21,트라이포드!$M$21),0))/100*($AL355/100-1))</f>
        <v>225856.04413175301</v>
      </c>
      <c r="K355" s="29">
        <f>T355*(1+IF($AK355+IF(입력란!$C$19=1,10,0)&gt;100,100,$AK355+IF(입력란!$C$19=1,10,0))/100*($AL355/100-1))</f>
        <v>45189.598321620346</v>
      </c>
      <c r="L355" s="29"/>
      <c r="M355" s="29"/>
      <c r="N355" s="38"/>
      <c r="O355" s="38"/>
      <c r="P355" s="38"/>
      <c r="Q355" s="34">
        <f>Z355*(1+IF($AK355+IF(입력란!$C$19=1,10,0)&gt;100,100,$AK355+IF(입력란!$C$19=1,10,0))/100*($AL355/100-1))</f>
        <v>45174.886725404562</v>
      </c>
      <c r="R355" s="23">
        <f>SUM(S355:Z355)</f>
        <v>258433.32043398195</v>
      </c>
      <c r="S355" s="29">
        <f>AN355*IF(MID(E355,3,1)="1",트라이포드!$J$21,트라이포드!$I$21)*IF(MID(E355,5,1)="2",트라이포드!$R$21,트라이포드!$Q$21)*(1+입력란!$C$34/100)</f>
        <v>184582.34693565278</v>
      </c>
      <c r="T355" s="29">
        <f>AO355*3*IF(MID(E355,5,1)="1",트라이포드!$P$21,트라이포드!$O$21)*(1+입력란!$C$34/100)</f>
        <v>36931.49832385395</v>
      </c>
      <c r="U355" s="29"/>
      <c r="V355" s="29"/>
      <c r="W355" s="29"/>
      <c r="X355" s="29"/>
      <c r="Y355" s="29"/>
      <c r="Z355" s="26">
        <f>(AN355+AO355*3)*IF(MID(E355,1,1)="2",트라이포드!$F$21,트라이포드!$E$21)*(1+입력란!$C$34/100)</f>
        <v>36919.475174475243</v>
      </c>
      <c r="AA355" s="29">
        <f>SUM(AB355:AI355)</f>
        <v>516866.6408679639</v>
      </c>
      <c r="AB355" s="29">
        <f>S355*2</f>
        <v>369164.69387130556</v>
      </c>
      <c r="AC355" s="29">
        <f>T355*2</f>
        <v>73862.9966477079</v>
      </c>
      <c r="AD355" s="29"/>
      <c r="AE355" s="29"/>
      <c r="AF355" s="38"/>
      <c r="AG355" s="38"/>
      <c r="AH355" s="38"/>
      <c r="AI355" s="26">
        <f>Z355*2</f>
        <v>73838.950348950486</v>
      </c>
      <c r="AJ355" s="29">
        <f>AR355*(1-입력란!$C$29/100)</f>
        <v>25.858093516830003</v>
      </c>
      <c r="AK35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5" s="25">
        <f>입력란!$C$37+IF(입력란!$C$17=1,10,IF(입력란!$C$17=2,25,IF(입력란!$C$17=3,50,0)))</f>
        <v>200</v>
      </c>
      <c r="AM355" s="29">
        <f>SUM(AN355:AP355)</f>
        <v>121325.8191522799</v>
      </c>
      <c r="AN355" s="29">
        <f>(VLOOKUP(C355,$B$4:$AK$7,27,FALSE)+VLOOKUP(C355,$B$8:$AK$11,27,FALSE)*입력란!$C$23)*입력란!$C$38/100</f>
        <v>111989.55678035039</v>
      </c>
      <c r="AO355" s="29">
        <f>(VLOOKUP(C355,$B$4:$AK$7,28,FALSE)+VLOOKUP(C355,$B$8:$AK$11,28,FALSE)*입력란!$C$23)*입력란!$C$38/100</f>
        <v>9336.2623719295134</v>
      </c>
      <c r="AP355" s="38"/>
      <c r="AQ355" s="38"/>
      <c r="AR355" s="22">
        <v>27</v>
      </c>
    </row>
    <row r="356" spans="2:44" ht="13.5" customHeight="1" x14ac:dyDescent="0.3">
      <c r="B356" s="30">
        <v>341</v>
      </c>
      <c r="C356" s="35">
        <v>7</v>
      </c>
      <c r="D356" s="43" t="s">
        <v>194</v>
      </c>
      <c r="E356" s="37" t="s">
        <v>202</v>
      </c>
      <c r="F356" s="39"/>
      <c r="G356" s="39"/>
      <c r="H356" s="80">
        <f>I356/AJ356</f>
        <v>10482.185013988448</v>
      </c>
      <c r="I356" s="52">
        <f>SUM(J356:Q356)*IF(입력란!C$15=1,1.04,IF(입력란!C$15=2,1.1,IF(입력란!C$15=3,1.2,1)))*IF(입력란!$C$17&lt;&gt;0,0.98,1)*IF(입력란!$C$12=1,IF(G356="생명50%이하",1.2,1.1),1)*IF(입력란!$C$12=2,IF(G356="생명50%이하",1.3,1.1),1)*IF(입력란!$C$12=3,IF(G356="생명50%이하",1.4,1.1),1)</f>
        <v>271049.32035242731</v>
      </c>
      <c r="J356" s="29">
        <f>S356*(1+IF($AK356+IF(입력란!$C$19=1,10,0)+IF(MID(E356,3,1)="3",IF(G356="생명50%이하",트라이포드!$N$21,트라이포드!$M$21),0)&gt;100,100,$AK356+IF(입력란!$C$19=1,10,0)+IF(MID(E356,3,1)="3",IF(G356="생명50%이하",트라이포드!$N$21,트라이포드!$M$21),0))/100*($AL356/100-1))</f>
        <v>180684.8353054024</v>
      </c>
      <c r="K356" s="29">
        <f>T356*(1+IF($AK356+IF(입력란!$C$19=1,10,0)&gt;100,100,$AK356+IF(입력란!$C$19=1,10,0))/100*($AL356/100-1))</f>
        <v>45189.598321620346</v>
      </c>
      <c r="L356" s="29"/>
      <c r="M356" s="29"/>
      <c r="N356" s="38"/>
      <c r="O356" s="38"/>
      <c r="P356" s="38"/>
      <c r="Q356" s="34">
        <f>Z356*(1+IF($AK356+IF(입력란!$C$19=1,10,0)&gt;100,100,$AK356+IF(입력란!$C$19=1,10,0))/100*($AL356/100-1))</f>
        <v>45174.886725404562</v>
      </c>
      <c r="R356" s="23">
        <f>SUM(S356:Z356)</f>
        <v>221516.85104685143</v>
      </c>
      <c r="S356" s="29">
        <f>AN356*IF(MID(E356,3,1)="1",트라이포드!$J$21,트라이포드!$I$21)*IF(MID(E356,5,1)="2",트라이포드!$R$21,트라이포드!$Q$21)*(1+입력란!$C$34/100)</f>
        <v>147665.87754852223</v>
      </c>
      <c r="T356" s="29">
        <f>AO356*3*IF(MID(E356,5,1)="1",트라이포드!$P$21,트라이포드!$O$21)*(1+입력란!$C$34/100)</f>
        <v>36931.49832385395</v>
      </c>
      <c r="U356" s="29"/>
      <c r="V356" s="29"/>
      <c r="W356" s="29"/>
      <c r="X356" s="29"/>
      <c r="Y356" s="29"/>
      <c r="Z356" s="26">
        <f>(AN356+AO356*3)*IF(MID(E356,1,1)="2",트라이포드!$F$21,트라이포드!$E$21)*(1+입력란!$C$34/100)</f>
        <v>36919.475174475243</v>
      </c>
      <c r="AA356" s="29">
        <f>SUM(AB356:AI356)</f>
        <v>443033.70209370286</v>
      </c>
      <c r="AB356" s="29">
        <f>S356*2</f>
        <v>295331.75509704446</v>
      </c>
      <c r="AC356" s="29">
        <f>T356*2</f>
        <v>73862.9966477079</v>
      </c>
      <c r="AD356" s="29"/>
      <c r="AE356" s="29"/>
      <c r="AF356" s="38"/>
      <c r="AG356" s="38"/>
      <c r="AH356" s="38"/>
      <c r="AI356" s="26">
        <f>Z356*2</f>
        <v>73838.950348950486</v>
      </c>
      <c r="AJ356" s="29">
        <f>AR356*(1-입력란!$C$29/100)</f>
        <v>25.858093516830003</v>
      </c>
      <c r="AK35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6" s="25">
        <f>입력란!$C$37+IF(입력란!$C$17=1,10,IF(입력란!$C$17=2,25,IF(입력란!$C$17=3,50,0)))</f>
        <v>200</v>
      </c>
      <c r="AM356" s="29">
        <f>SUM(AN356:AP356)</f>
        <v>121325.8191522799</v>
      </c>
      <c r="AN356" s="29">
        <f>(VLOOKUP(C356,$B$4:$AK$7,27,FALSE)+VLOOKUP(C356,$B$8:$AK$11,27,FALSE)*입력란!$C$23)*입력란!$C$38/100</f>
        <v>111989.55678035039</v>
      </c>
      <c r="AO356" s="29">
        <f>(VLOOKUP(C356,$B$4:$AK$7,28,FALSE)+VLOOKUP(C356,$B$8:$AK$11,28,FALSE)*입력란!$C$23)*입력란!$C$38/100</f>
        <v>9336.2623719295134</v>
      </c>
      <c r="AP356" s="38"/>
      <c r="AQ356" s="38"/>
      <c r="AR356" s="22">
        <v>27</v>
      </c>
    </row>
    <row r="357" spans="2:44" ht="13.5" customHeight="1" x14ac:dyDescent="0.3">
      <c r="B357" s="30">
        <v>342</v>
      </c>
      <c r="C357" s="35">
        <v>10</v>
      </c>
      <c r="D357" s="43" t="s">
        <v>194</v>
      </c>
      <c r="E357" s="37" t="s">
        <v>196</v>
      </c>
      <c r="F357" s="39"/>
      <c r="G357" s="39"/>
      <c r="H357" s="80">
        <f>I357/AJ357</f>
        <v>8745.8361503650231</v>
      </c>
      <c r="I357" s="52">
        <f>SUM(J357:Q357)*IF(입력란!C$15=1,1.04,IF(입력란!C$15=2,1.1,IF(입력란!C$15=3,1.2,1)))*IF(입력란!$C$17&lt;&gt;0,0.98,1)*IF(입력란!$C$12=1,IF(G357="생명50%이하",1.2,1.1),1)*IF(입력란!$C$12=2,IF(G357="생명50%이하",1.3,1.1),1)*IF(입력란!$C$12=3,IF(G357="생명50%이하",1.4,1.1),1)</f>
        <v>226150.64905901128</v>
      </c>
      <c r="J357" s="29">
        <f>S357*(1+IF($AK357+IF(입력란!$C$19=1,10,0)+IF(MID(E357,3,1)="3",IF(G357="생명50%이하",트라이포드!$N$21,트라이포드!$M$21),0)&gt;100,100,$AK357+IF(입력란!$C$19=1,10,0)+IF(MID(E357,3,1)="3",IF(G357="생명50%이하",트라이포드!$N$21,트라이포드!$M$21),0))/100*($AL357/100-1))</f>
        <v>180904.90414257083</v>
      </c>
      <c r="K357" s="29">
        <f>T357*(1+IF($AK357+IF(입력란!$C$19=1,10,0)&gt;100,100,$AK357+IF(입력란!$C$19=1,10,0))/100*($AL357/100-1))</f>
        <v>45245.744916440446</v>
      </c>
      <c r="L357" s="29"/>
      <c r="M357" s="29"/>
      <c r="N357" s="38"/>
      <c r="O357" s="38"/>
      <c r="P357" s="38"/>
      <c r="Q357" s="34">
        <f>Z357*(1+IF($AK357+IF(입력란!$C$19=1,10,0)&gt;100,100,$AK357+IF(입력란!$C$19=1,10,0))/100*($AL357/100-1))</f>
        <v>0</v>
      </c>
      <c r="R357" s="23">
        <f>SUM(S357:Z357)</f>
        <v>184823.11476235045</v>
      </c>
      <c r="S357" s="29">
        <f>AN357*IF(MID(E357,3,1)="1",트라이포드!$J$21,트라이포드!$I$21)*IF(MID(E357,5,1)="2",트라이포드!$R$21,트라이포드!$Q$21)*(1+입력란!$C$34/100)</f>
        <v>147845.73026226342</v>
      </c>
      <c r="T357" s="29">
        <f>AO357*3*IF(MID(E357,5,1)="1",트라이포드!$P$21,트라이포드!$O$21)*(1+입력란!$C$34/100)</f>
        <v>36977.384500087042</v>
      </c>
      <c r="U357" s="29"/>
      <c r="V357" s="29"/>
      <c r="W357" s="29"/>
      <c r="X357" s="29"/>
      <c r="Y357" s="29"/>
      <c r="Z357" s="26">
        <f>(AN357+AO357*3)*IF(MID(E357,1,1)="2",트라이포드!$F$21,트라이포드!$E$21)*(1+입력란!$C$34/100)</f>
        <v>0</v>
      </c>
      <c r="AA357" s="29">
        <f>SUM(AB357:AI357)</f>
        <v>369646.2295247009</v>
      </c>
      <c r="AB357" s="29">
        <f>S357*2</f>
        <v>295691.46052452683</v>
      </c>
      <c r="AC357" s="29">
        <f>T357*2</f>
        <v>73954.769000174085</v>
      </c>
      <c r="AD357" s="29"/>
      <c r="AE357" s="29"/>
      <c r="AF357" s="38"/>
      <c r="AG357" s="38"/>
      <c r="AH357" s="38"/>
      <c r="AI357" s="26">
        <f>Z357*2</f>
        <v>0</v>
      </c>
      <c r="AJ357" s="29">
        <f>AR357*(1-입력란!$C$29/100)</f>
        <v>25.858093516830003</v>
      </c>
      <c r="AK35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7" s="25">
        <f>입력란!$C$37+IF(입력란!$C$17=1,10,IF(입력란!$C$17=2,25,IF(입력란!$C$17=3,50,0)))</f>
        <v>200</v>
      </c>
      <c r="AM357" s="29">
        <f>SUM(AN357:AP357)</f>
        <v>121473.8191522799</v>
      </c>
      <c r="AN357" s="29">
        <f>(VLOOKUP(C357,$B$4:$AK$7,27,FALSE)+VLOOKUP(C357,$B$8:$AK$11,27,FALSE)*입력란!$C$23)*입력란!$C$38/100</f>
        <v>112125.95678035039</v>
      </c>
      <c r="AO357" s="29">
        <f>(VLOOKUP(C357,$B$4:$AK$7,28,FALSE)+VLOOKUP(C357,$B$8:$AK$11,28,FALSE)*입력란!$C$23)*입력란!$C$38/100</f>
        <v>9347.8623719295138</v>
      </c>
      <c r="AP357" s="38"/>
      <c r="AQ357" s="38"/>
      <c r="AR357" s="22">
        <v>27</v>
      </c>
    </row>
    <row r="358" spans="2:44" ht="13.5" customHeight="1" x14ac:dyDescent="0.3">
      <c r="B358" s="30">
        <v>343</v>
      </c>
      <c r="C358" s="35">
        <v>10</v>
      </c>
      <c r="D358" s="43" t="s">
        <v>194</v>
      </c>
      <c r="E358" s="37" t="s">
        <v>203</v>
      </c>
      <c r="F358" s="39"/>
      <c r="G358" s="39"/>
      <c r="H358" s="80">
        <f>I358/AJ358</f>
        <v>12245.378364255756</v>
      </c>
      <c r="I358" s="52">
        <f>SUM(J358:Q358)*IF(입력란!C$15=1,1.04,IF(입력란!C$15=2,1.1,IF(입력란!C$15=3,1.2,1)))*IF(입력란!$C$17&lt;&gt;0,0.98,1)*IF(입력란!$C$12=1,IF(G358="생명50%이하",1.2,1.1),1)*IF(입력란!$C$12=2,IF(G358="생명50%이하",1.3,1.1),1)*IF(입력란!$C$12=3,IF(G358="생명50%이하",1.4,1.1),1)</f>
        <v>316642.13889189216</v>
      </c>
      <c r="J358" s="29">
        <f>S358*(1+IF($AK358+IF(입력란!$C$19=1,10,0)+IF(MID(E358,3,1)="3",IF(G358="생명50%이하",트라이포드!$N$21,트라이포드!$M$21),0)&gt;100,100,$AK358+IF(입력란!$C$19=1,10,0)+IF(MID(E358,3,1)="3",IF(G358="생명50%이하",트라이포드!$N$21,트라이포드!$M$21),0))/100*($AL358/100-1))</f>
        <v>180904.90414257083</v>
      </c>
      <c r="K358" s="29">
        <f>T358*(1+IF($AK358+IF(입력란!$C$19=1,10,0)&gt;100,100,$AK358+IF(입력란!$C$19=1,10,0))/100*($AL358/100-1))</f>
        <v>135737.23474932133</v>
      </c>
      <c r="L358" s="29"/>
      <c r="M358" s="29"/>
      <c r="N358" s="38"/>
      <c r="O358" s="38"/>
      <c r="P358" s="38"/>
      <c r="Q358" s="34">
        <f>Z358*(1+IF($AK358+IF(입력란!$C$19=1,10,0)&gt;100,100,$AK358+IF(입력란!$C$19=1,10,0))/100*($AL358/100-1))</f>
        <v>0</v>
      </c>
      <c r="R358" s="23">
        <f>SUM(S358:Z358)</f>
        <v>258777.88376252452</v>
      </c>
      <c r="S358" s="29">
        <f>AN358*IF(MID(E358,3,1)="1",트라이포드!$J$21,트라이포드!$I$21)*IF(MID(E358,5,1)="2",트라이포드!$R$21,트라이포드!$Q$21)*(1+입력란!$C$34/100)</f>
        <v>147845.73026226342</v>
      </c>
      <c r="T358" s="29">
        <f>AO358*3*IF(MID(E358,5,1)="1",트라이포드!$P$21,트라이포드!$O$21)*(1+입력란!$C$34/100)</f>
        <v>110932.15350026112</v>
      </c>
      <c r="U358" s="29"/>
      <c r="V358" s="29"/>
      <c r="W358" s="29"/>
      <c r="X358" s="29"/>
      <c r="Y358" s="29"/>
      <c r="Z358" s="26">
        <f>(AN358+AO358*3)*IF(MID(E358,1,1)="2",트라이포드!$F$21,트라이포드!$E$21)*(1+입력란!$C$34/100)</f>
        <v>0</v>
      </c>
      <c r="AA358" s="29">
        <f>SUM(AB358:AI358)</f>
        <v>517555.76752504904</v>
      </c>
      <c r="AB358" s="29">
        <f>S358*2</f>
        <v>295691.46052452683</v>
      </c>
      <c r="AC358" s="29">
        <f>T358*2</f>
        <v>221864.30700052224</v>
      </c>
      <c r="AD358" s="29"/>
      <c r="AE358" s="29"/>
      <c r="AF358" s="38"/>
      <c r="AG358" s="38"/>
      <c r="AH358" s="38"/>
      <c r="AI358" s="26">
        <f>Z358*2</f>
        <v>0</v>
      </c>
      <c r="AJ358" s="29">
        <f>AR358*(1-입력란!$C$29/100)</f>
        <v>25.858093516830003</v>
      </c>
      <c r="AK35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8" s="25">
        <f>입력란!$C$37+IF(입력란!$C$17=1,10,IF(입력란!$C$17=2,25,IF(입력란!$C$17=3,50,0)))</f>
        <v>200</v>
      </c>
      <c r="AM358" s="29">
        <f>SUM(AN358:AP358)</f>
        <v>121473.8191522799</v>
      </c>
      <c r="AN358" s="29">
        <f>(VLOOKUP(C358,$B$4:$AK$7,27,FALSE)+VLOOKUP(C358,$B$8:$AK$11,27,FALSE)*입력란!$C$23)*입력란!$C$38/100</f>
        <v>112125.95678035039</v>
      </c>
      <c r="AO358" s="29">
        <f>(VLOOKUP(C358,$B$4:$AK$7,28,FALSE)+VLOOKUP(C358,$B$8:$AK$11,28,FALSE)*입력란!$C$23)*입력란!$C$38/100</f>
        <v>9347.8623719295138</v>
      </c>
      <c r="AP358" s="38"/>
      <c r="AQ358" s="38"/>
      <c r="AR358" s="22">
        <v>27</v>
      </c>
    </row>
    <row r="359" spans="2:44" ht="13.5" customHeight="1" x14ac:dyDescent="0.3">
      <c r="B359" s="30">
        <v>344</v>
      </c>
      <c r="C359" s="35">
        <v>10</v>
      </c>
      <c r="D359" s="43" t="s">
        <v>194</v>
      </c>
      <c r="E359" s="37" t="s">
        <v>204</v>
      </c>
      <c r="F359" s="39"/>
      <c r="G359" s="39"/>
      <c r="H359" s="80">
        <f>I359/AJ359</f>
        <v>10844.655663390919</v>
      </c>
      <c r="I359" s="52">
        <f>SUM(J359:Q359)*IF(입력란!C$15=1,1.04,IF(입력란!C$15=2,1.1,IF(입력란!C$15=3,1.2,1)))*IF(입력란!$C$17&lt;&gt;0,0.98,1)*IF(입력란!$C$12=1,IF(G359="생명50%이하",1.2,1.1),1)*IF(입력란!$C$12=2,IF(G359="생명50%이하",1.3,1.1),1)*IF(입력란!$C$12=3,IF(G359="생명50%이하",1.4,1.1),1)</f>
        <v>280422.1203017825</v>
      </c>
      <c r="J359" s="29">
        <f>S359*(1+IF($AK359+IF(입력란!$C$19=1,10,0)+IF(MID(E359,3,1)="3",IF(G359="생명50%이하",트라이포드!$N$21,트라이포드!$M$21),0)&gt;100,100,$AK359+IF(입력란!$C$19=1,10,0)+IF(MID(E359,3,1)="3",IF(G359="생명50%이하",트라이포드!$N$21,트라이포드!$M$21),0))/100*($AL359/100-1))</f>
        <v>235176.37538534205</v>
      </c>
      <c r="K359" s="29">
        <f>T359*(1+IF($AK359+IF(입력란!$C$19=1,10,0)&gt;100,100,$AK359+IF(입력란!$C$19=1,10,0))/100*($AL359/100-1))</f>
        <v>45245.744916440446</v>
      </c>
      <c r="L359" s="29"/>
      <c r="M359" s="29"/>
      <c r="N359" s="38"/>
      <c r="O359" s="38"/>
      <c r="P359" s="38"/>
      <c r="Q359" s="34">
        <f>Z359*(1+IF($AK359+IF(입력란!$C$19=1,10,0)&gt;100,100,$AK359+IF(입력란!$C$19=1,10,0))/100*($AL359/100-1))</f>
        <v>0</v>
      </c>
      <c r="R359" s="23">
        <f>SUM(S359:Z359)</f>
        <v>229176.83384102947</v>
      </c>
      <c r="S359" s="29">
        <f>AN359*IF(MID(E359,3,1)="1",트라이포드!$J$21,트라이포드!$I$21)*IF(MID(E359,5,1)="2",트라이포드!$R$21,트라이포드!$Q$21)*(1+입력란!$C$34/100)</f>
        <v>192199.44934094243</v>
      </c>
      <c r="T359" s="29">
        <f>AO359*3*IF(MID(E359,5,1)="1",트라이포드!$P$21,트라이포드!$O$21)*(1+입력란!$C$34/100)</f>
        <v>36977.384500087042</v>
      </c>
      <c r="U359" s="29"/>
      <c r="V359" s="29"/>
      <c r="W359" s="29"/>
      <c r="X359" s="29"/>
      <c r="Y359" s="29"/>
      <c r="Z359" s="26">
        <f>(AN359+AO359*3)*IF(MID(E359,1,1)="2",트라이포드!$F$21,트라이포드!$E$21)*(1+입력란!$C$34/100)</f>
        <v>0</v>
      </c>
      <c r="AA359" s="29">
        <f>SUM(AB359:AI359)</f>
        <v>458353.66768205893</v>
      </c>
      <c r="AB359" s="29">
        <f>S359*2</f>
        <v>384398.89868188486</v>
      </c>
      <c r="AC359" s="29">
        <f>T359*2</f>
        <v>73954.769000174085</v>
      </c>
      <c r="AD359" s="29"/>
      <c r="AE359" s="29"/>
      <c r="AF359" s="38"/>
      <c r="AG359" s="38"/>
      <c r="AH359" s="38"/>
      <c r="AI359" s="26">
        <f>Z359*2</f>
        <v>0</v>
      </c>
      <c r="AJ359" s="29">
        <f>AR359*(1-입력란!$C$29/100)</f>
        <v>25.858093516830003</v>
      </c>
      <c r="AK35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59" s="25">
        <f>입력란!$C$37+IF(입력란!$C$17=1,10,IF(입력란!$C$17=2,25,IF(입력란!$C$17=3,50,0)))</f>
        <v>200</v>
      </c>
      <c r="AM359" s="29">
        <f>SUM(AN359:AP359)</f>
        <v>121473.8191522799</v>
      </c>
      <c r="AN359" s="29">
        <f>(VLOOKUP(C359,$B$4:$AK$7,27,FALSE)+VLOOKUP(C359,$B$8:$AK$11,27,FALSE)*입력란!$C$23)*입력란!$C$38/100</f>
        <v>112125.95678035039</v>
      </c>
      <c r="AO359" s="29">
        <f>(VLOOKUP(C359,$B$4:$AK$7,28,FALSE)+VLOOKUP(C359,$B$8:$AK$11,28,FALSE)*입력란!$C$23)*입력란!$C$38/100</f>
        <v>9347.8623719295138</v>
      </c>
      <c r="AP359" s="38"/>
      <c r="AQ359" s="38"/>
      <c r="AR359" s="22">
        <v>27</v>
      </c>
    </row>
    <row r="360" spans="2:44" ht="13.5" customHeight="1" x14ac:dyDescent="0.3">
      <c r="B360" s="30">
        <v>345</v>
      </c>
      <c r="C360" s="35">
        <v>10</v>
      </c>
      <c r="D360" s="43" t="s">
        <v>194</v>
      </c>
      <c r="E360" s="37" t="s">
        <v>205</v>
      </c>
      <c r="F360" s="39"/>
      <c r="G360" s="39"/>
      <c r="H360" s="80">
        <f>I360/AJ360</f>
        <v>13994.54559432876</v>
      </c>
      <c r="I360" s="52">
        <f>SUM(J360:Q360)*IF(입력란!C$15=1,1.04,IF(입력란!C$15=2,1.1,IF(입력란!C$15=3,1.2,1)))*IF(입력란!$C$17&lt;&gt;0,0.98,1)*IF(입력란!$C$12=1,IF(G360="생명50%이하",1.2,1.1),1)*IF(입력란!$C$12=2,IF(G360="생명50%이하",1.3,1.1),1)*IF(입력란!$C$12=3,IF(G360="생명50%이하",1.4,1.1),1)</f>
        <v>361872.2687036944</v>
      </c>
      <c r="J360" s="29">
        <f>S360*(1+IF($AK360+IF(입력란!$C$19=1,10,0)+IF(MID(E360,3,1)="3",IF(G360="생명50%이하",트라이포드!$N$21,트라이포드!$M$21),0)&gt;100,100,$AK360+IF(입력란!$C$19=1,10,0)+IF(MID(E360,3,1)="3",IF(G360="생명50%이하",트라이포드!$N$21,트라이포드!$M$21),0))/100*($AL360/100-1))</f>
        <v>180904.90414257083</v>
      </c>
      <c r="K360" s="29">
        <f>T360*(1+IF($AK360+IF(입력란!$C$19=1,10,0)&gt;100,100,$AK360+IF(입력란!$C$19=1,10,0))/100*($AL360/100-1))</f>
        <v>135737.23474932133</v>
      </c>
      <c r="L360" s="29"/>
      <c r="M360" s="29"/>
      <c r="N360" s="38"/>
      <c r="O360" s="38"/>
      <c r="P360" s="38"/>
      <c r="Q360" s="34">
        <f>Z360*(1+IF($AK360+IF(입력란!$C$19=1,10,0)&gt;100,100,$AK360+IF(입력란!$C$19=1,10,0))/100*($AL360/100-1))</f>
        <v>45230.129811802253</v>
      </c>
      <c r="R360" s="23">
        <f>SUM(S360:Z360)</f>
        <v>295742.50671499461</v>
      </c>
      <c r="S360" s="29">
        <f>AN360*IF(MID(E360,3,1)="1",트라이포드!$J$21,트라이포드!$I$21)*IF(MID(E360,5,1)="2",트라이포드!$R$21,트라이포드!$Q$21)*(1+입력란!$C$34/100)</f>
        <v>147845.73026226342</v>
      </c>
      <c r="T360" s="29">
        <f>AO360*3*IF(MID(E360,5,1)="1",트라이포드!$P$21,트라이포드!$O$21)*(1+입력란!$C$34/100)</f>
        <v>110932.15350026112</v>
      </c>
      <c r="U360" s="29"/>
      <c r="V360" s="29"/>
      <c r="W360" s="29"/>
      <c r="X360" s="29"/>
      <c r="Y360" s="29"/>
      <c r="Z360" s="26">
        <f>(AN360+AO360*3)*IF(MID(E360,1,1)="2",트라이포드!$F$21,트라이포드!$E$21)*(1+입력란!$C$34/100)</f>
        <v>36964.62295247009</v>
      </c>
      <c r="AA360" s="29">
        <f>SUM(AB360:AI360)</f>
        <v>591485.01342998922</v>
      </c>
      <c r="AB360" s="29">
        <f>S360*2</f>
        <v>295691.46052452683</v>
      </c>
      <c r="AC360" s="29">
        <f>T360*2</f>
        <v>221864.30700052224</v>
      </c>
      <c r="AD360" s="29"/>
      <c r="AE360" s="29"/>
      <c r="AF360" s="38"/>
      <c r="AG360" s="38"/>
      <c r="AH360" s="38"/>
      <c r="AI360" s="26">
        <f>Z360*2</f>
        <v>73929.24590494018</v>
      </c>
      <c r="AJ360" s="29">
        <f>AR360*(1-입력란!$C$29/100)</f>
        <v>25.858093516830003</v>
      </c>
      <c r="AK36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0" s="25">
        <f>입력란!$C$37+IF(입력란!$C$17=1,10,IF(입력란!$C$17=2,25,IF(입력란!$C$17=3,50,0)))</f>
        <v>200</v>
      </c>
      <c r="AM360" s="29">
        <f>SUM(AN360:AP360)</f>
        <v>121473.8191522799</v>
      </c>
      <c r="AN360" s="29">
        <f>(VLOOKUP(C360,$B$4:$AK$7,27,FALSE)+VLOOKUP(C360,$B$8:$AK$11,27,FALSE)*입력란!$C$23)*입력란!$C$38/100</f>
        <v>112125.95678035039</v>
      </c>
      <c r="AO360" s="29">
        <f>(VLOOKUP(C360,$B$4:$AK$7,28,FALSE)+VLOOKUP(C360,$B$8:$AK$11,28,FALSE)*입력란!$C$23)*입력란!$C$38/100</f>
        <v>9347.8623719295138</v>
      </c>
      <c r="AP360" s="38"/>
      <c r="AQ360" s="38"/>
      <c r="AR360" s="22">
        <v>27</v>
      </c>
    </row>
    <row r="361" spans="2:44" ht="13.5" customHeight="1" x14ac:dyDescent="0.3">
      <c r="B361" s="30">
        <v>346</v>
      </c>
      <c r="C361" s="35">
        <v>10</v>
      </c>
      <c r="D361" s="43" t="s">
        <v>194</v>
      </c>
      <c r="E361" s="37" t="s">
        <v>206</v>
      </c>
      <c r="F361" s="39"/>
      <c r="G361" s="39"/>
      <c r="H361" s="80">
        <f>I361/AJ361</f>
        <v>12593.822893463923</v>
      </c>
      <c r="I361" s="52">
        <f>SUM(J361:Q361)*IF(입력란!C$15=1,1.04,IF(입력란!C$15=2,1.1,IF(입력란!C$15=3,1.2,1)))*IF(입력란!$C$17&lt;&gt;0,0.98,1)*IF(입력란!$C$12=1,IF(G361="생명50%이하",1.2,1.1),1)*IF(입력란!$C$12=2,IF(G361="생명50%이하",1.3,1.1),1)*IF(입력란!$C$12=3,IF(G361="생명50%이하",1.4,1.1),1)</f>
        <v>325652.25011358474</v>
      </c>
      <c r="J361" s="29">
        <f>S361*(1+IF($AK361+IF(입력란!$C$19=1,10,0)+IF(MID(E361,3,1)="3",IF(G361="생명50%이하",트라이포드!$N$21,트라이포드!$M$21),0)&gt;100,100,$AK361+IF(입력란!$C$19=1,10,0)+IF(MID(E361,3,1)="3",IF(G361="생명50%이하",트라이포드!$N$21,트라이포드!$M$21),0))/100*($AL361/100-1))</f>
        <v>235176.37538534205</v>
      </c>
      <c r="K361" s="29">
        <f>T361*(1+IF($AK361+IF(입력란!$C$19=1,10,0)&gt;100,100,$AK361+IF(입력란!$C$19=1,10,0))/100*($AL361/100-1))</f>
        <v>45245.744916440446</v>
      </c>
      <c r="L361" s="29"/>
      <c r="M361" s="29"/>
      <c r="N361" s="38"/>
      <c r="O361" s="38"/>
      <c r="P361" s="38"/>
      <c r="Q361" s="34">
        <f>Z361*(1+IF($AK361+IF(입력란!$C$19=1,10,0)&gt;100,100,$AK361+IF(입력란!$C$19=1,10,0))/100*($AL361/100-1))</f>
        <v>45230.129811802253</v>
      </c>
      <c r="R361" s="23">
        <f>SUM(S361:Z361)</f>
        <v>266141.45679349953</v>
      </c>
      <c r="S361" s="29">
        <f>AN361*IF(MID(E361,3,1)="1",트라이포드!$J$21,트라이포드!$I$21)*IF(MID(E361,5,1)="2",트라이포드!$R$21,트라이포드!$Q$21)*(1+입력란!$C$34/100)</f>
        <v>192199.44934094243</v>
      </c>
      <c r="T361" s="29">
        <f>AO361*3*IF(MID(E361,5,1)="1",트라이포드!$P$21,트라이포드!$O$21)*(1+입력란!$C$34/100)</f>
        <v>36977.384500087042</v>
      </c>
      <c r="U361" s="29"/>
      <c r="V361" s="29"/>
      <c r="W361" s="29"/>
      <c r="X361" s="29"/>
      <c r="Y361" s="29"/>
      <c r="Z361" s="26">
        <f>(AN361+AO361*3)*IF(MID(E361,1,1)="2",트라이포드!$F$21,트라이포드!$E$21)*(1+입력란!$C$34/100)</f>
        <v>36964.62295247009</v>
      </c>
      <c r="AA361" s="29">
        <f>SUM(AB361:AI361)</f>
        <v>532282.91358699906</v>
      </c>
      <c r="AB361" s="29">
        <f>S361*2</f>
        <v>384398.89868188486</v>
      </c>
      <c r="AC361" s="29">
        <f>T361*2</f>
        <v>73954.769000174085</v>
      </c>
      <c r="AD361" s="29"/>
      <c r="AE361" s="29"/>
      <c r="AF361" s="38"/>
      <c r="AG361" s="38"/>
      <c r="AH361" s="38"/>
      <c r="AI361" s="26">
        <f>Z361*2</f>
        <v>73929.24590494018</v>
      </c>
      <c r="AJ361" s="29">
        <f>AR361*(1-입력란!$C$29/100)</f>
        <v>25.858093516830003</v>
      </c>
      <c r="AK36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1" s="25">
        <f>입력란!$C$37+IF(입력란!$C$17=1,10,IF(입력란!$C$17=2,25,IF(입력란!$C$17=3,50,0)))</f>
        <v>200</v>
      </c>
      <c r="AM361" s="29">
        <f>SUM(AN361:AP361)</f>
        <v>121473.8191522799</v>
      </c>
      <c r="AN361" s="29">
        <f>(VLOOKUP(C361,$B$4:$AK$7,27,FALSE)+VLOOKUP(C361,$B$8:$AK$11,27,FALSE)*입력란!$C$23)*입력란!$C$38/100</f>
        <v>112125.95678035039</v>
      </c>
      <c r="AO361" s="29">
        <f>(VLOOKUP(C361,$B$4:$AK$7,28,FALSE)+VLOOKUP(C361,$B$8:$AK$11,28,FALSE)*입력란!$C$23)*입력란!$C$38/100</f>
        <v>9347.8623719295138</v>
      </c>
      <c r="AP361" s="38"/>
      <c r="AQ361" s="38"/>
      <c r="AR361" s="22">
        <v>27</v>
      </c>
    </row>
    <row r="362" spans="2:44" ht="13.5" customHeight="1" x14ac:dyDescent="0.3">
      <c r="B362" s="30">
        <v>347</v>
      </c>
      <c r="C362" s="35">
        <v>10</v>
      </c>
      <c r="D362" s="43" t="s">
        <v>194</v>
      </c>
      <c r="E362" s="37" t="s">
        <v>207</v>
      </c>
      <c r="F362" s="39"/>
      <c r="G362" s="39"/>
      <c r="H362" s="80">
        <f>I362/AJ362</f>
        <v>15743.561855183672</v>
      </c>
      <c r="I362" s="52">
        <f>SUM(J362:Q362)*IF(입력란!C$15=1,1.04,IF(입력란!C$15=2,1.1,IF(입력란!C$15=3,1.2,1)))*IF(입력란!$C$17&lt;&gt;0,0.98,1)*IF(입력란!$C$12=1,IF(G362="생명50%이하",1.2,1.1),1)*IF(입력란!$C$12=2,IF(G362="생명50%이하",1.3,1.1),1)*IF(입력란!$C$12=3,IF(G362="생명50%이하",1.4,1.1),1)</f>
        <v>407098.49473933707</v>
      </c>
      <c r="J362" s="29">
        <f>S362*(1+IF($AK362+IF(입력란!$C$19=1,10,0)+IF(MID(E362,3,1)="3",IF(G362="생명50%이하",트라이포드!$N$21,트라이포드!$M$21),0)&gt;100,100,$AK362+IF(입력란!$C$19=1,10,0)+IF(MID(E362,3,1)="3",IF(G362="생명50%이하",트라이포드!$N$21,트라이포드!$M$21),0))/100*($AL362/100-1))</f>
        <v>226131.1301782135</v>
      </c>
      <c r="K362" s="29">
        <f>T362*(1+IF($AK362+IF(입력란!$C$19=1,10,0)&gt;100,100,$AK362+IF(입력란!$C$19=1,10,0))/100*($AL362/100-1))</f>
        <v>135737.23474932133</v>
      </c>
      <c r="L362" s="29"/>
      <c r="M362" s="29"/>
      <c r="N362" s="38"/>
      <c r="O362" s="38"/>
      <c r="P362" s="38"/>
      <c r="Q362" s="34">
        <f>Z362*(1+IF($AK362+IF(입력란!$C$19=1,10,0)&gt;100,100,$AK362+IF(입력란!$C$19=1,10,0))/100*($AL362/100-1))</f>
        <v>45230.129811802253</v>
      </c>
      <c r="R362" s="23">
        <f>SUM(S362:Z362)</f>
        <v>332703.93928056047</v>
      </c>
      <c r="S362" s="29">
        <f>AN362*IF(MID(E362,3,1)="1",트라이포드!$J$21,트라이포드!$I$21)*IF(MID(E362,5,1)="2",트라이포드!$R$21,트라이포드!$Q$21)*(1+입력란!$C$34/100)</f>
        <v>184807.16282782925</v>
      </c>
      <c r="T362" s="29">
        <f>AO362*3*IF(MID(E362,5,1)="1",트라이포드!$P$21,트라이포드!$O$21)*(1+입력란!$C$34/100)</f>
        <v>110932.15350026112</v>
      </c>
      <c r="U362" s="29"/>
      <c r="V362" s="29"/>
      <c r="W362" s="29"/>
      <c r="X362" s="29"/>
      <c r="Y362" s="29"/>
      <c r="Z362" s="26">
        <f>(AN362+AO362*3)*IF(MID(E362,1,1)="2",트라이포드!$F$21,트라이포드!$E$21)*(1+입력란!$C$34/100)</f>
        <v>36964.62295247009</v>
      </c>
      <c r="AA362" s="29">
        <f>SUM(AB362:AI362)</f>
        <v>665407.87856112095</v>
      </c>
      <c r="AB362" s="29">
        <f>S362*2</f>
        <v>369614.3256556585</v>
      </c>
      <c r="AC362" s="29">
        <f>T362*2</f>
        <v>221864.30700052224</v>
      </c>
      <c r="AD362" s="29"/>
      <c r="AE362" s="29"/>
      <c r="AF362" s="38"/>
      <c r="AG362" s="38"/>
      <c r="AH362" s="38"/>
      <c r="AI362" s="26">
        <f>Z362*2</f>
        <v>73929.24590494018</v>
      </c>
      <c r="AJ362" s="29">
        <f>AR362*(1-입력란!$C$29/100)</f>
        <v>25.858093516830003</v>
      </c>
      <c r="AK36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2" s="25">
        <f>입력란!$C$37+IF(입력란!$C$17=1,10,IF(입력란!$C$17=2,25,IF(입력란!$C$17=3,50,0)))</f>
        <v>200</v>
      </c>
      <c r="AM362" s="29">
        <f>SUM(AN362:AP362)</f>
        <v>121473.8191522799</v>
      </c>
      <c r="AN362" s="29">
        <f>(VLOOKUP(C362,$B$4:$AK$7,27,FALSE)+VLOOKUP(C362,$B$8:$AK$11,27,FALSE)*입력란!$C$23)*입력란!$C$38/100</f>
        <v>112125.95678035039</v>
      </c>
      <c r="AO362" s="29">
        <f>(VLOOKUP(C362,$B$4:$AK$7,28,FALSE)+VLOOKUP(C362,$B$8:$AK$11,28,FALSE)*입력란!$C$23)*입력란!$C$38/100</f>
        <v>9347.8623719295138</v>
      </c>
      <c r="AP362" s="38"/>
      <c r="AQ362" s="38"/>
      <c r="AR362" s="22">
        <v>27</v>
      </c>
    </row>
    <row r="363" spans="2:44" ht="13.5" customHeight="1" x14ac:dyDescent="0.3">
      <c r="B363" s="30">
        <v>348</v>
      </c>
      <c r="C363" s="35">
        <v>10</v>
      </c>
      <c r="D363" s="43" t="s">
        <v>194</v>
      </c>
      <c r="E363" s="37" t="s">
        <v>208</v>
      </c>
      <c r="F363" s="39"/>
      <c r="G363" s="39"/>
      <c r="H363" s="80">
        <f>I363/AJ363</f>
        <v>14867.544032575312</v>
      </c>
      <c r="I363" s="52">
        <f>SUM(J363:Q363)*IF(입력란!C$15=1,1.04,IF(입력란!C$15=2,1.1,IF(입력란!C$15=3,1.2,1)))*IF(입력란!$C$17&lt;&gt;0,0.98,1)*IF(입력란!$C$12=1,IF(G363="생명50%이하",1.2,1.1),1)*IF(입력란!$C$12=2,IF(G363="생명50%이하",1.3,1.1),1)*IF(입력란!$C$12=3,IF(G363="생명50%이하",1.4,1.1),1)</f>
        <v>384446.34395992028</v>
      </c>
      <c r="J363" s="29">
        <f>S363*(1+IF($AK363+IF(입력란!$C$19=1,10,0)+IF(MID(E363,3,1)="3",IF(G363="생명50%이하",트라이포드!$N$21,트라이포드!$M$21),0)&gt;100,100,$AK363+IF(입력란!$C$19=1,10,0)+IF(MID(E363,3,1)="3",IF(G363="생명50%이하",트라이포드!$N$21,트라이포드!$M$21),0))/100*($AL363/100-1))</f>
        <v>293970.46923167759</v>
      </c>
      <c r="K363" s="29">
        <f>T363*(1+IF($AK363+IF(입력란!$C$19=1,10,0)&gt;100,100,$AK363+IF(입력란!$C$19=1,10,0))/100*($AL363/100-1))</f>
        <v>45245.744916440446</v>
      </c>
      <c r="L363" s="29"/>
      <c r="M363" s="29"/>
      <c r="N363" s="38"/>
      <c r="O363" s="38"/>
      <c r="P363" s="38"/>
      <c r="Q363" s="34">
        <f>Z363*(1+IF($AK363+IF(입력란!$C$19=1,10,0)&gt;100,100,$AK363+IF(입력란!$C$19=1,10,0))/100*($AL363/100-1))</f>
        <v>45230.129811802253</v>
      </c>
      <c r="R363" s="23">
        <f>SUM(S363:Z363)</f>
        <v>314191.31912873517</v>
      </c>
      <c r="S363" s="29">
        <f>AN363*IF(MID(E363,3,1)="1",트라이포드!$J$21,트라이포드!$I$21)*IF(MID(E363,5,1)="2",트라이포드!$R$21,트라이포드!$Q$21)*(1+입력란!$C$34/100)</f>
        <v>240249.31167617804</v>
      </c>
      <c r="T363" s="29">
        <f>AO363*3*IF(MID(E363,5,1)="1",트라이포드!$P$21,트라이포드!$O$21)*(1+입력란!$C$34/100)</f>
        <v>36977.384500087042</v>
      </c>
      <c r="U363" s="29"/>
      <c r="V363" s="29"/>
      <c r="W363" s="29"/>
      <c r="X363" s="29"/>
      <c r="Y363" s="29"/>
      <c r="Z363" s="26">
        <f>(AN363+AO363*3)*IF(MID(E363,1,1)="2",트라이포드!$F$21,트라이포드!$E$21)*(1+입력란!$C$34/100)</f>
        <v>36964.62295247009</v>
      </c>
      <c r="AA363" s="29">
        <f>SUM(AB363:AI363)</f>
        <v>628382.63825747033</v>
      </c>
      <c r="AB363" s="29">
        <f>S363*2</f>
        <v>480498.62335235608</v>
      </c>
      <c r="AC363" s="29">
        <f>T363*2</f>
        <v>73954.769000174085</v>
      </c>
      <c r="AD363" s="29"/>
      <c r="AE363" s="29"/>
      <c r="AF363" s="38"/>
      <c r="AG363" s="38"/>
      <c r="AH363" s="38"/>
      <c r="AI363" s="26">
        <f>Z363*2</f>
        <v>73929.24590494018</v>
      </c>
      <c r="AJ363" s="29">
        <f>AR363*(1-입력란!$C$29/100)</f>
        <v>25.858093516830003</v>
      </c>
      <c r="AK36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3" s="25">
        <f>입력란!$C$37+IF(입력란!$C$17=1,10,IF(입력란!$C$17=2,25,IF(입력란!$C$17=3,50,0)))</f>
        <v>200</v>
      </c>
      <c r="AM363" s="29">
        <f>SUM(AN363:AP363)</f>
        <v>121473.8191522799</v>
      </c>
      <c r="AN363" s="29">
        <f>(VLOOKUP(C363,$B$4:$AK$7,27,FALSE)+VLOOKUP(C363,$B$8:$AK$11,27,FALSE)*입력란!$C$23)*입력란!$C$38/100</f>
        <v>112125.95678035039</v>
      </c>
      <c r="AO363" s="29">
        <f>(VLOOKUP(C363,$B$4:$AK$7,28,FALSE)+VLOOKUP(C363,$B$8:$AK$11,28,FALSE)*입력란!$C$23)*입력란!$C$38/100</f>
        <v>9347.8623719295138</v>
      </c>
      <c r="AP363" s="38"/>
      <c r="AQ363" s="38"/>
      <c r="AR363" s="22">
        <v>27</v>
      </c>
    </row>
    <row r="364" spans="2:44" ht="13.5" customHeight="1" x14ac:dyDescent="0.3">
      <c r="B364" s="30">
        <v>349</v>
      </c>
      <c r="C364" s="35">
        <v>10</v>
      </c>
      <c r="D364" s="43" t="s">
        <v>194</v>
      </c>
      <c r="E364" s="37" t="s">
        <v>209</v>
      </c>
      <c r="F364" s="39"/>
      <c r="G364" s="39"/>
      <c r="H364" s="80">
        <f>I364/AJ364</f>
        <v>13994.54559432876</v>
      </c>
      <c r="I364" s="52">
        <f>SUM(J364:Q364)*IF(입력란!C$15=1,1.04,IF(입력란!C$15=2,1.1,IF(입력란!C$15=3,1.2,1)))*IF(입력란!$C$17&lt;&gt;0,0.98,1)*IF(입력란!$C$12=1,IF(G364="생명50%이하",1.2,1.1),1)*IF(입력란!$C$12=2,IF(G364="생명50%이하",1.3,1.1),1)*IF(입력란!$C$12=3,IF(G364="생명50%이하",1.4,1.1),1)</f>
        <v>361872.2687036944</v>
      </c>
      <c r="J364" s="29">
        <f>S364*(1+IF($AK364+IF(입력란!$C$19=1,10,0)+IF(MID(E364,3,1)="3",IF(G364="생명50%이하",트라이포드!$N$21,트라이포드!$M$21),0)&gt;100,100,$AK364+IF(입력란!$C$19=1,10,0)+IF(MID(E364,3,1)="3",IF(G364="생명50%이하",트라이포드!$N$21,트라이포드!$M$21),0))/100*($AL364/100-1))</f>
        <v>180904.90414257083</v>
      </c>
      <c r="K364" s="29">
        <f>T364*(1+IF($AK364+IF(입력란!$C$19=1,10,0)&gt;100,100,$AK364+IF(입력란!$C$19=1,10,0))/100*($AL364/100-1))</f>
        <v>135737.23474932133</v>
      </c>
      <c r="L364" s="29"/>
      <c r="M364" s="29"/>
      <c r="N364" s="38"/>
      <c r="O364" s="38"/>
      <c r="P364" s="38"/>
      <c r="Q364" s="34">
        <f>Z364*(1+IF($AK364+IF(입력란!$C$19=1,10,0)&gt;100,100,$AK364+IF(입력란!$C$19=1,10,0))/100*($AL364/100-1))</f>
        <v>45230.129811802253</v>
      </c>
      <c r="R364" s="23">
        <f>SUM(S364:Z364)</f>
        <v>295742.50671499461</v>
      </c>
      <c r="S364" s="29">
        <f>AN364*IF(MID(E364,3,1)="1",트라이포드!$J$21,트라이포드!$I$21)*IF(MID(E364,5,1)="2",트라이포드!$R$21,트라이포드!$Q$21)*(1+입력란!$C$34/100)</f>
        <v>147845.73026226342</v>
      </c>
      <c r="T364" s="29">
        <f>AO364*3*IF(MID(E364,5,1)="1",트라이포드!$P$21,트라이포드!$O$21)*(1+입력란!$C$34/100)</f>
        <v>110932.15350026112</v>
      </c>
      <c r="U364" s="29"/>
      <c r="V364" s="29"/>
      <c r="W364" s="29"/>
      <c r="X364" s="29"/>
      <c r="Y364" s="29"/>
      <c r="Z364" s="26">
        <f>(AN364+AO364*3)*IF(MID(E364,1,1)="2",트라이포드!$F$21,트라이포드!$E$21)*(1+입력란!$C$34/100)</f>
        <v>36964.62295247009</v>
      </c>
      <c r="AA364" s="29">
        <f>SUM(AB364:AI364)</f>
        <v>591485.01342998922</v>
      </c>
      <c r="AB364" s="29">
        <f>S364*2</f>
        <v>295691.46052452683</v>
      </c>
      <c r="AC364" s="29">
        <f>T364*2</f>
        <v>221864.30700052224</v>
      </c>
      <c r="AD364" s="29"/>
      <c r="AE364" s="29"/>
      <c r="AF364" s="38"/>
      <c r="AG364" s="38"/>
      <c r="AH364" s="38"/>
      <c r="AI364" s="26">
        <f>Z364*2</f>
        <v>73929.24590494018</v>
      </c>
      <c r="AJ364" s="29">
        <f>AR364*(1-입력란!$C$29/100)</f>
        <v>25.858093516830003</v>
      </c>
      <c r="AK36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4" s="25">
        <f>입력란!$C$37+IF(입력란!$C$17=1,10,IF(입력란!$C$17=2,25,IF(입력란!$C$17=3,50,0)))</f>
        <v>200</v>
      </c>
      <c r="AM364" s="29">
        <f>SUM(AN364:AP364)</f>
        <v>121473.8191522799</v>
      </c>
      <c r="AN364" s="29">
        <f>(VLOOKUP(C364,$B$4:$AK$7,27,FALSE)+VLOOKUP(C364,$B$8:$AK$11,27,FALSE)*입력란!$C$23)*입력란!$C$38/100</f>
        <v>112125.95678035039</v>
      </c>
      <c r="AO364" s="29">
        <f>(VLOOKUP(C364,$B$4:$AK$7,28,FALSE)+VLOOKUP(C364,$B$8:$AK$11,28,FALSE)*입력란!$C$23)*입력란!$C$38/100</f>
        <v>9347.8623719295138</v>
      </c>
      <c r="AP364" s="38"/>
      <c r="AQ364" s="38"/>
      <c r="AR364" s="22">
        <v>27</v>
      </c>
    </row>
    <row r="365" spans="2:44" ht="13.5" customHeight="1" x14ac:dyDescent="0.3">
      <c r="B365" s="30">
        <v>350</v>
      </c>
      <c r="C365" s="35">
        <v>10</v>
      </c>
      <c r="D365" s="43" t="s">
        <v>194</v>
      </c>
      <c r="E365" s="37" t="s">
        <v>210</v>
      </c>
      <c r="F365" s="39"/>
      <c r="G365" s="39"/>
      <c r="H365" s="80">
        <f>I365/AJ365</f>
        <v>12593.822893463923</v>
      </c>
      <c r="I365" s="52">
        <f>SUM(J365:Q365)*IF(입력란!C$15=1,1.04,IF(입력란!C$15=2,1.1,IF(입력란!C$15=3,1.2,1)))*IF(입력란!$C$17&lt;&gt;0,0.98,1)*IF(입력란!$C$12=1,IF(G365="생명50%이하",1.2,1.1),1)*IF(입력란!$C$12=2,IF(G365="생명50%이하",1.3,1.1),1)*IF(입력란!$C$12=3,IF(G365="생명50%이하",1.4,1.1),1)</f>
        <v>325652.25011358474</v>
      </c>
      <c r="J365" s="29">
        <f>S365*(1+IF($AK365+IF(입력란!$C$19=1,10,0)+IF(MID(E365,3,1)="3",IF(G365="생명50%이하",트라이포드!$N$21,트라이포드!$M$21),0)&gt;100,100,$AK365+IF(입력란!$C$19=1,10,0)+IF(MID(E365,3,1)="3",IF(G365="생명50%이하",트라이포드!$N$21,트라이포드!$M$21),0))/100*($AL365/100-1))</f>
        <v>235176.37538534205</v>
      </c>
      <c r="K365" s="29">
        <f>T365*(1+IF($AK365+IF(입력란!$C$19=1,10,0)&gt;100,100,$AK365+IF(입력란!$C$19=1,10,0))/100*($AL365/100-1))</f>
        <v>45245.744916440446</v>
      </c>
      <c r="L365" s="29"/>
      <c r="M365" s="29"/>
      <c r="N365" s="38"/>
      <c r="O365" s="38"/>
      <c r="P365" s="38"/>
      <c r="Q365" s="34">
        <f>Z365*(1+IF($AK365+IF(입력란!$C$19=1,10,0)&gt;100,100,$AK365+IF(입력란!$C$19=1,10,0))/100*($AL365/100-1))</f>
        <v>45230.129811802253</v>
      </c>
      <c r="R365" s="23">
        <f>SUM(S365:Z365)</f>
        <v>266141.45679349953</v>
      </c>
      <c r="S365" s="29">
        <f>AN365*IF(MID(E365,3,1)="1",트라이포드!$J$21,트라이포드!$I$21)*IF(MID(E365,5,1)="2",트라이포드!$R$21,트라이포드!$Q$21)*(1+입력란!$C$34/100)</f>
        <v>192199.44934094243</v>
      </c>
      <c r="T365" s="29">
        <f>AO365*3*IF(MID(E365,5,1)="1",트라이포드!$P$21,트라이포드!$O$21)*(1+입력란!$C$34/100)</f>
        <v>36977.384500087042</v>
      </c>
      <c r="U365" s="29"/>
      <c r="V365" s="29"/>
      <c r="W365" s="29"/>
      <c r="X365" s="29"/>
      <c r="Y365" s="29"/>
      <c r="Z365" s="26">
        <f>(AN365+AO365*3)*IF(MID(E365,1,1)="2",트라이포드!$F$21,트라이포드!$E$21)*(1+입력란!$C$34/100)</f>
        <v>36964.62295247009</v>
      </c>
      <c r="AA365" s="29">
        <f>SUM(AB365:AI365)</f>
        <v>532282.91358699906</v>
      </c>
      <c r="AB365" s="29">
        <f>S365*2</f>
        <v>384398.89868188486</v>
      </c>
      <c r="AC365" s="29">
        <f>T365*2</f>
        <v>73954.769000174085</v>
      </c>
      <c r="AD365" s="29"/>
      <c r="AE365" s="29"/>
      <c r="AF365" s="38"/>
      <c r="AG365" s="38"/>
      <c r="AH365" s="38"/>
      <c r="AI365" s="26">
        <f>Z365*2</f>
        <v>73929.24590494018</v>
      </c>
      <c r="AJ365" s="29">
        <f>AR365*(1-입력란!$C$29/100)</f>
        <v>25.858093516830003</v>
      </c>
      <c r="AK36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5" s="25">
        <f>입력란!$C$37+IF(입력란!$C$17=1,10,IF(입력란!$C$17=2,25,IF(입력란!$C$17=3,50,0)))</f>
        <v>200</v>
      </c>
      <c r="AM365" s="29">
        <f>SUM(AN365:AP365)</f>
        <v>121473.8191522799</v>
      </c>
      <c r="AN365" s="29">
        <f>(VLOOKUP(C365,$B$4:$AK$7,27,FALSE)+VLOOKUP(C365,$B$8:$AK$11,27,FALSE)*입력란!$C$23)*입력란!$C$38/100</f>
        <v>112125.95678035039</v>
      </c>
      <c r="AO365" s="29">
        <f>(VLOOKUP(C365,$B$4:$AK$7,28,FALSE)+VLOOKUP(C365,$B$8:$AK$11,28,FALSE)*입력란!$C$23)*입력란!$C$38/100</f>
        <v>9347.8623719295138</v>
      </c>
      <c r="AP365" s="38"/>
      <c r="AQ365" s="38"/>
      <c r="AR365" s="22">
        <v>27</v>
      </c>
    </row>
    <row r="366" spans="2:44" ht="13.5" customHeight="1" x14ac:dyDescent="0.3">
      <c r="B366" s="30">
        <v>351</v>
      </c>
      <c r="C366" s="35">
        <v>1</v>
      </c>
      <c r="D366" s="43" t="s">
        <v>194</v>
      </c>
      <c r="E366" s="37" t="s">
        <v>57</v>
      </c>
      <c r="F366" s="39"/>
      <c r="G366" s="39" t="s">
        <v>403</v>
      </c>
      <c r="H366" s="80">
        <f>I366/AJ366</f>
        <v>8682.6428017467733</v>
      </c>
      <c r="I366" s="52">
        <f>SUM(J366:Q366)*IF(입력란!C$15=1,1.04,IF(입력란!C$15=2,1.1,IF(입력란!C$15=3,1.2,1)))*IF(입력란!$C$17&lt;&gt;0,0.98,1)*IF(입력란!$C$12=1,IF(G366="생명50%이하",1.2,1.1),1)*IF(입력란!$C$12=2,IF(G366="생명50%이하",1.3,1.1),1)*IF(입력란!$C$12=3,IF(G366="생명50%이하",1.4,1.1),1)</f>
        <v>224516.58954079892</v>
      </c>
      <c r="J366" s="29">
        <f>S366*(1+IF($AK366+IF(입력란!$C$19=1,10,0)+IF(MID(E366,3,1)="3",IF(G366="생명50%이하",트라이포드!$N$21,트라이포드!$M$21),0)&gt;100,100,$AK366+IF(입력란!$C$19=1,10,0)+IF(MID(E366,3,1)="3",IF(G366="생명50%이하",트라이포드!$N$21,트라이포드!$M$21),0))/100*($AL366/100-1))</f>
        <v>179598.04374589626</v>
      </c>
      <c r="K366" s="29">
        <f>T366*(1+IF($AK366+IF(입력란!$C$19=1,10,0)&gt;100,100,$AK366+IF(입력란!$C$19=1,10,0))/100*($AL366/100-1))</f>
        <v>44918.545794902668</v>
      </c>
      <c r="L366" s="29"/>
      <c r="M366" s="29"/>
      <c r="N366" s="38"/>
      <c r="O366" s="38"/>
      <c r="P366" s="38"/>
      <c r="Q366" s="34">
        <f>Z366*(1+IF($AK366+IF(입력란!$C$19=1,10,0)&gt;100,100,$AK366+IF(입력란!$C$19=1,10,0))/100*($AL366/100-1))</f>
        <v>0</v>
      </c>
      <c r="R366" s="23">
        <f>SUM(S366:Z366)</f>
        <v>183487.66880577369</v>
      </c>
      <c r="S366" s="29">
        <f>AN366*IF(MID(E366,3,1)="1",트라이포드!$J$21,트라이포드!$I$21)*IF(MID(E366,5,1)="2",트라이포드!$R$21,트라이포드!$Q$21)*(1+입력란!$C$34/100)</f>
        <v>146777.68995338981</v>
      </c>
      <c r="T366" s="29">
        <f>AO366*3*IF(MID(E366,5,1)="1",트라이포드!$P$21,트라이포드!$O$21)*(1+입력란!$C$34/100)</f>
        <v>36709.978852383872</v>
      </c>
      <c r="U366" s="29"/>
      <c r="V366" s="29"/>
      <c r="W366" s="29"/>
      <c r="X366" s="29"/>
      <c r="Y366" s="29"/>
      <c r="Z366" s="26">
        <f>(AN366+AO366*3)*IF(MID(E366,1,1)="2",트라이포드!$F$21,트라이포드!$E$21)*(1+입력란!$C$34/100)</f>
        <v>0</v>
      </c>
      <c r="AA366" s="29">
        <f>SUM(AB366:AI366)</f>
        <v>366975.33761154738</v>
      </c>
      <c r="AB366" s="29">
        <f>S366*2</f>
        <v>293555.37990677962</v>
      </c>
      <c r="AC366" s="29">
        <f>T366*2</f>
        <v>73419.957704767745</v>
      </c>
      <c r="AD366" s="29"/>
      <c r="AE366" s="29"/>
      <c r="AF366" s="38"/>
      <c r="AG366" s="38"/>
      <c r="AH366" s="38"/>
      <c r="AI366" s="26">
        <f>Z366*2</f>
        <v>0</v>
      </c>
      <c r="AJ366" s="29">
        <f>AR366*(1-입력란!$C$29/100)</f>
        <v>25.858093516830003</v>
      </c>
      <c r="AK36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6" s="25">
        <f>입력란!$C$37+IF(입력란!$C$17=1,10,IF(입력란!$C$17=2,25,IF(입력란!$C$17=3,50,0)))</f>
        <v>200</v>
      </c>
      <c r="AM366" s="29">
        <f>SUM(AN366:AP366)</f>
        <v>120596.2191522799</v>
      </c>
      <c r="AN366" s="29">
        <f>(VLOOKUP(C366,$B$4:$AK$7,27,FALSE)+VLOOKUP(C366,$B$8:$AK$11,27,FALSE)*입력란!$C$23)*입력란!$C$38/100</f>
        <v>111315.95678035039</v>
      </c>
      <c r="AO366" s="29">
        <f>(VLOOKUP(C366,$B$4:$AK$7,28,FALSE)+VLOOKUP(C366,$B$8:$AK$11,28,FALSE)*입력란!$C$23)*입력란!$C$38/100</f>
        <v>9280.2623719295134</v>
      </c>
      <c r="AP366" s="38"/>
      <c r="AQ366" s="38"/>
      <c r="AR366" s="22">
        <v>27</v>
      </c>
    </row>
    <row r="367" spans="2:44" ht="13.5" customHeight="1" x14ac:dyDescent="0.3">
      <c r="B367" s="30">
        <v>352</v>
      </c>
      <c r="C367" s="35">
        <v>4</v>
      </c>
      <c r="D367" s="43" t="s">
        <v>194</v>
      </c>
      <c r="E367" s="37" t="s">
        <v>57</v>
      </c>
      <c r="F367" s="39"/>
      <c r="G367" s="39" t="s">
        <v>403</v>
      </c>
      <c r="H367" s="80">
        <f>I367/AJ367</f>
        <v>8718.4323996609</v>
      </c>
      <c r="I367" s="52">
        <f>SUM(J367:Q367)*IF(입력란!C$15=1,1.04,IF(입력란!C$15=2,1.1,IF(입력란!C$15=3,1.2,1)))*IF(입력란!$C$17&lt;&gt;0,0.98,1)*IF(입력란!$C$12=1,IF(G367="생명50%이하",1.2,1.1),1)*IF(입력란!$C$12=2,IF(G367="생명50%이하",1.3,1.1),1)*IF(입력란!$C$12=3,IF(G367="생명50%이하",1.4,1.1),1)</f>
        <v>225442.04031059216</v>
      </c>
      <c r="J367" s="29">
        <f>S367*(1+IF($AK367+IF(입력란!$C$19=1,10,0)+IF(MID(E367,3,1)="3",IF(G367="생명50%이하",트라이포드!$N$21,트라이포드!$M$21),0)&gt;100,100,$AK367+IF(입력란!$C$19=1,10,0)+IF(MID(E367,3,1)="3",IF(G367="생명50%이하",트라이포드!$N$21,트라이포드!$M$21),0))/100*($AL367/100-1))</f>
        <v>180339.56601541679</v>
      </c>
      <c r="K367" s="29">
        <f>T367*(1+IF($AK367+IF(입력란!$C$19=1,10,0)&gt;100,100,$AK367+IF(입력란!$C$19=1,10,0))/100*($AL367/100-1))</f>
        <v>45102.474295175372</v>
      </c>
      <c r="L367" s="29"/>
      <c r="M367" s="29"/>
      <c r="N367" s="38"/>
      <c r="O367" s="38"/>
      <c r="P367" s="38"/>
      <c r="Q367" s="34">
        <f>Z367*(1+IF($AK367+IF(입력란!$C$19=1,10,0)&gt;100,100,$AK367+IF(입력란!$C$19=1,10,0))/100*($AL367/100-1))</f>
        <v>0</v>
      </c>
      <c r="R367" s="23">
        <f>SUM(S367:Z367)</f>
        <v>184243.99957265012</v>
      </c>
      <c r="S367" s="29">
        <f>AN367*IF(MID(E367,3,1)="1",트라이포드!$J$21,트라이포드!$I$21)*IF(MID(E367,5,1)="2",트라이포드!$R$21,트라이포드!$Q$21)*(1+입력란!$C$34/100)</f>
        <v>147383.7039360544</v>
      </c>
      <c r="T367" s="29">
        <f>AO367*3*IF(MID(E367,5,1)="1",트라이포드!$P$21,트라이포드!$O$21)*(1+입력란!$C$34/100)</f>
        <v>36860.295636595707</v>
      </c>
      <c r="U367" s="29"/>
      <c r="V367" s="29"/>
      <c r="W367" s="29"/>
      <c r="X367" s="29"/>
      <c r="Y367" s="29"/>
      <c r="Z367" s="26">
        <f>(AN367+AO367*3)*IF(MID(E367,1,1)="2",트라이포드!$F$21,트라이포드!$E$21)*(1+입력란!$C$34/100)</f>
        <v>0</v>
      </c>
      <c r="AA367" s="29">
        <f>SUM(AB367:AI367)</f>
        <v>368487.99914530024</v>
      </c>
      <c r="AB367" s="29">
        <f>S367*2</f>
        <v>294767.4078721088</v>
      </c>
      <c r="AC367" s="29">
        <f>T367*2</f>
        <v>73720.591273191414</v>
      </c>
      <c r="AD367" s="29"/>
      <c r="AE367" s="29"/>
      <c r="AF367" s="38"/>
      <c r="AG367" s="38"/>
      <c r="AH367" s="38"/>
      <c r="AI367" s="26">
        <f>Z367*2</f>
        <v>0</v>
      </c>
      <c r="AJ367" s="29">
        <f>AR367*(1-입력란!$C$29/100)</f>
        <v>25.858093516830003</v>
      </c>
      <c r="AK36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7" s="25">
        <f>입력란!$C$37+IF(입력란!$C$17=1,10,IF(입력란!$C$17=2,25,IF(입력란!$C$17=3,50,0)))</f>
        <v>200</v>
      </c>
      <c r="AM367" s="29">
        <f>SUM(AN367:AP367)</f>
        <v>121093.8191522799</v>
      </c>
      <c r="AN367" s="29">
        <f>(VLOOKUP(C367,$B$4:$AK$7,27,FALSE)+VLOOKUP(C367,$B$8:$AK$11,27,FALSE)*입력란!$C$23)*입력란!$C$38/100</f>
        <v>111775.55678035039</v>
      </c>
      <c r="AO367" s="29">
        <f>(VLOOKUP(C367,$B$4:$AK$7,28,FALSE)+VLOOKUP(C367,$B$8:$AK$11,28,FALSE)*입력란!$C$23)*입력란!$C$38/100</f>
        <v>9318.2623719295134</v>
      </c>
      <c r="AP367" s="38"/>
      <c r="AQ367" s="38"/>
      <c r="AR367" s="22">
        <v>27</v>
      </c>
    </row>
    <row r="368" spans="2:44" ht="13.5" customHeight="1" x14ac:dyDescent="0.3">
      <c r="B368" s="30">
        <v>353</v>
      </c>
      <c r="C368" s="35">
        <v>4</v>
      </c>
      <c r="D368" s="43" t="s">
        <v>194</v>
      </c>
      <c r="E368" s="37" t="s">
        <v>58</v>
      </c>
      <c r="F368" s="39"/>
      <c r="G368" s="39" t="s">
        <v>403</v>
      </c>
      <c r="H368" s="80">
        <f>I368/AJ368</f>
        <v>10462.118879593081</v>
      </c>
      <c r="I368" s="52">
        <f>SUM(J368:Q368)*IF(입력란!C$15=1,1.04,IF(입력란!C$15=2,1.1,IF(입력란!C$15=3,1.2,1)))*IF(입력란!$C$17&lt;&gt;0,0.98,1)*IF(입력란!$C$12=1,IF(G368="생명50%이하",1.2,1.1),1)*IF(입력란!$C$12=2,IF(G368="생명50%이하",1.3,1.1),1)*IF(입력란!$C$12=3,IF(G368="생명50%이하",1.4,1.1),1)</f>
        <v>270530.44837271061</v>
      </c>
      <c r="J368" s="29">
        <f>S368*(1+IF($AK368+IF(입력란!$C$19=1,10,0)+IF(MID(E368,3,1)="3",IF(G368="생명50%이하",트라이포드!$N$21,트라이포드!$M$21),0)&gt;100,100,$AK368+IF(입력란!$C$19=1,10,0)+IF(MID(E368,3,1)="3",IF(G368="생명50%이하",트라이포드!$N$21,트라이포드!$M$21),0))/100*($AL368/100-1))</f>
        <v>180339.56601541679</v>
      </c>
      <c r="K368" s="29">
        <f>T368*(1+IF($AK368+IF(입력란!$C$19=1,10,0)&gt;100,100,$AK368+IF(입력란!$C$19=1,10,0))/100*($AL368/100-1))</f>
        <v>45102.474295175372</v>
      </c>
      <c r="L368" s="29"/>
      <c r="M368" s="29"/>
      <c r="N368" s="38"/>
      <c r="O368" s="38"/>
      <c r="P368" s="38"/>
      <c r="Q368" s="34">
        <f>Z368*(1+IF($AK368+IF(입력란!$C$19=1,10,0)&gt;100,100,$AK368+IF(입력란!$C$19=1,10,0))/100*($AL368/100-1))</f>
        <v>45088.408062118433</v>
      </c>
      <c r="R368" s="23">
        <f>SUM(S368:Z368)</f>
        <v>221092.79948718013</v>
      </c>
      <c r="S368" s="29">
        <f>AN368*IF(MID(E368,3,1)="1",트라이포드!$J$21,트라이포드!$I$21)*IF(MID(E368,5,1)="2",트라이포드!$R$21,트라이포드!$Q$21)*(1+입력란!$C$34/100)</f>
        <v>147383.7039360544</v>
      </c>
      <c r="T368" s="29">
        <f>AO368*3*IF(MID(E368,5,1)="1",트라이포드!$P$21,트라이포드!$O$21)*(1+입력란!$C$34/100)</f>
        <v>36860.295636595707</v>
      </c>
      <c r="U368" s="29"/>
      <c r="V368" s="29"/>
      <c r="W368" s="29"/>
      <c r="X368" s="29"/>
      <c r="Y368" s="29"/>
      <c r="Z368" s="26">
        <f>(AN368+AO368*3)*IF(MID(E368,1,1)="2",트라이포드!$F$21,트라이포드!$E$21)*(1+입력란!$C$34/100)</f>
        <v>36848.79991453002</v>
      </c>
      <c r="AA368" s="29">
        <f>SUM(AB368:AI368)</f>
        <v>442185.59897436027</v>
      </c>
      <c r="AB368" s="29">
        <f>S368*2</f>
        <v>294767.4078721088</v>
      </c>
      <c r="AC368" s="29">
        <f>T368*2</f>
        <v>73720.591273191414</v>
      </c>
      <c r="AD368" s="29"/>
      <c r="AE368" s="29"/>
      <c r="AF368" s="38"/>
      <c r="AG368" s="38"/>
      <c r="AH368" s="38"/>
      <c r="AI368" s="26">
        <f>Z368*2</f>
        <v>73697.59982906004</v>
      </c>
      <c r="AJ368" s="29">
        <f>AR368*(1-입력란!$C$29/100)</f>
        <v>25.858093516830003</v>
      </c>
      <c r="AK36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8" s="25">
        <f>입력란!$C$37+IF(입력란!$C$17=1,10,IF(입력란!$C$17=2,25,IF(입력란!$C$17=3,50,0)))</f>
        <v>200</v>
      </c>
      <c r="AM368" s="29">
        <f>SUM(AN368:AP368)</f>
        <v>121093.8191522799</v>
      </c>
      <c r="AN368" s="29">
        <f>(VLOOKUP(C368,$B$4:$AK$7,27,FALSE)+VLOOKUP(C368,$B$8:$AK$11,27,FALSE)*입력란!$C$23)*입력란!$C$38/100</f>
        <v>111775.55678035039</v>
      </c>
      <c r="AO368" s="29">
        <f>(VLOOKUP(C368,$B$4:$AK$7,28,FALSE)+VLOOKUP(C368,$B$8:$AK$11,28,FALSE)*입력란!$C$23)*입력란!$C$38/100</f>
        <v>9318.2623719295134</v>
      </c>
      <c r="AP368" s="38"/>
      <c r="AQ368" s="38"/>
      <c r="AR368" s="22">
        <v>27</v>
      </c>
    </row>
    <row r="369" spans="2:44" ht="13.5" customHeight="1" x14ac:dyDescent="0.3">
      <c r="B369" s="30">
        <v>354</v>
      </c>
      <c r="C369" s="35">
        <v>7</v>
      </c>
      <c r="D369" s="43" t="s">
        <v>194</v>
      </c>
      <c r="E369" s="37" t="s">
        <v>57</v>
      </c>
      <c r="F369" s="39"/>
      <c r="G369" s="39" t="s">
        <v>403</v>
      </c>
      <c r="H369" s="80">
        <f>I369/AJ369</f>
        <v>8735.1541783237062</v>
      </c>
      <c r="I369" s="52">
        <f>SUM(J369:Q369)*IF(입력란!C$15=1,1.04,IF(입력란!C$15=2,1.1,IF(입력란!C$15=3,1.2,1)))*IF(입력란!$C$17&lt;&gt;0,0.98,1)*IF(입력란!$C$12=1,IF(G369="생명50%이하",1.2,1.1),1)*IF(입력란!$C$12=2,IF(G369="생명50%이하",1.3,1.1),1)*IF(입력란!$C$12=3,IF(G369="생명50%이하",1.4,1.1),1)</f>
        <v>225874.43362702275</v>
      </c>
      <c r="J369" s="29">
        <f>S369*(1+IF($AK369+IF(입력란!$C$19=1,10,0)+IF(MID(E369,3,1)="3",IF(G369="생명50%이하",트라이포드!$N$21,트라이포드!$M$21),0)&gt;100,100,$AK369+IF(입력란!$C$19=1,10,0)+IF(MID(E369,3,1)="3",IF(G369="생명50%이하",트라이포드!$N$21,트라이포드!$M$21),0))/100*($AL369/100-1))</f>
        <v>180684.8353054024</v>
      </c>
      <c r="K369" s="29">
        <f>T369*(1+IF($AK369+IF(입력란!$C$19=1,10,0)&gt;100,100,$AK369+IF(입력란!$C$19=1,10,0))/100*($AL369/100-1))</f>
        <v>45189.598321620346</v>
      </c>
      <c r="L369" s="29"/>
      <c r="M369" s="29"/>
      <c r="N369" s="38"/>
      <c r="O369" s="38"/>
      <c r="P369" s="38"/>
      <c r="Q369" s="34">
        <f>Z369*(1+IF($AK369+IF(입력란!$C$19=1,10,0)&gt;100,100,$AK369+IF(입력란!$C$19=1,10,0))/100*($AL369/100-1))</f>
        <v>0</v>
      </c>
      <c r="R369" s="23">
        <f>SUM(S369:Z369)</f>
        <v>184597.37587237617</v>
      </c>
      <c r="S369" s="29">
        <f>AN369*IF(MID(E369,3,1)="1",트라이포드!$J$21,트라이포드!$I$21)*IF(MID(E369,5,1)="2",트라이포드!$R$21,트라이포드!$Q$21)*(1+입력란!$C$34/100)</f>
        <v>147665.87754852223</v>
      </c>
      <c r="T369" s="29">
        <f>AO369*3*IF(MID(E369,5,1)="1",트라이포드!$P$21,트라이포드!$O$21)*(1+입력란!$C$34/100)</f>
        <v>36931.49832385395</v>
      </c>
      <c r="U369" s="29"/>
      <c r="V369" s="29"/>
      <c r="W369" s="29"/>
      <c r="X369" s="29"/>
      <c r="Y369" s="29"/>
      <c r="Z369" s="26">
        <f>(AN369+AO369*3)*IF(MID(E369,1,1)="2",트라이포드!$F$21,트라이포드!$E$21)*(1+입력란!$C$34/100)</f>
        <v>0</v>
      </c>
      <c r="AA369" s="29">
        <f>SUM(AB369:AI369)</f>
        <v>369194.75174475234</v>
      </c>
      <c r="AB369" s="29">
        <f>S369*2</f>
        <v>295331.75509704446</v>
      </c>
      <c r="AC369" s="29">
        <f>T369*2</f>
        <v>73862.9966477079</v>
      </c>
      <c r="AD369" s="29"/>
      <c r="AE369" s="29"/>
      <c r="AF369" s="38"/>
      <c r="AG369" s="38"/>
      <c r="AH369" s="38"/>
      <c r="AI369" s="26">
        <f>Z369*2</f>
        <v>0</v>
      </c>
      <c r="AJ369" s="29">
        <f>AR369*(1-입력란!$C$29/100)</f>
        <v>25.858093516830003</v>
      </c>
      <c r="AK36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69" s="25">
        <f>입력란!$C$37+IF(입력란!$C$17=1,10,IF(입력란!$C$17=2,25,IF(입력란!$C$17=3,50,0)))</f>
        <v>200</v>
      </c>
      <c r="AM369" s="29">
        <f>SUM(AN369:AP369)</f>
        <v>121325.8191522799</v>
      </c>
      <c r="AN369" s="29">
        <f>(VLOOKUP(C369,$B$4:$AK$7,27,FALSE)+VLOOKUP(C369,$B$8:$AK$11,27,FALSE)*입력란!$C$23)*입력란!$C$38/100</f>
        <v>111989.55678035039</v>
      </c>
      <c r="AO369" s="29">
        <f>(VLOOKUP(C369,$B$4:$AK$7,28,FALSE)+VLOOKUP(C369,$B$8:$AK$11,28,FALSE)*입력란!$C$23)*입력란!$C$38/100</f>
        <v>9336.2623719295134</v>
      </c>
      <c r="AP369" s="38"/>
      <c r="AQ369" s="38"/>
      <c r="AR369" s="22">
        <v>27</v>
      </c>
    </row>
    <row r="370" spans="2:44" ht="13.5" customHeight="1" x14ac:dyDescent="0.3">
      <c r="B370" s="30">
        <v>355</v>
      </c>
      <c r="C370" s="35">
        <v>7</v>
      </c>
      <c r="D370" s="43" t="s">
        <v>194</v>
      </c>
      <c r="E370" s="37" t="s">
        <v>77</v>
      </c>
      <c r="F370" s="39"/>
      <c r="G370" s="39" t="s">
        <v>403</v>
      </c>
      <c r="H370" s="80">
        <f>I370/AJ370</f>
        <v>10482.042780027869</v>
      </c>
      <c r="I370" s="52">
        <f>SUM(J370:Q370)*IF(입력란!C$15=1,1.04,IF(입력란!C$15=2,1.1,IF(입력란!C$15=3,1.2,1)))*IF(입력란!$C$17&lt;&gt;0,0.98,1)*IF(입력란!$C$12=1,IF(G370="생명50%이하",1.2,1.1),1)*IF(입력란!$C$12=2,IF(G370="생명50%이하",1.3,1.1),1)*IF(입력란!$C$12=3,IF(G370="생명50%이하",1.4,1.1),1)</f>
        <v>271045.64245337335</v>
      </c>
      <c r="J370" s="29">
        <f>S370*(1+IF($AK370+IF(입력란!$C$19=1,10,0)+IF(MID(E370,3,1)="3",IF(G370="생명50%이하",트라이포드!$N$21,트라이포드!$M$21),0)&gt;100,100,$AK370+IF(입력란!$C$19=1,10,0)+IF(MID(E370,3,1)="3",IF(G370="생명50%이하",트라이포드!$N$21,트라이포드!$M$21),0))/100*($AL370/100-1))</f>
        <v>225856.04413175301</v>
      </c>
      <c r="K370" s="29">
        <f>T370*(1+IF($AK370+IF(입력란!$C$19=1,10,0)&gt;100,100,$AK370+IF(입력란!$C$19=1,10,0))/100*($AL370/100-1))</f>
        <v>45189.598321620346</v>
      </c>
      <c r="L370" s="29"/>
      <c r="M370" s="29"/>
      <c r="N370" s="38"/>
      <c r="O370" s="38"/>
      <c r="P370" s="38"/>
      <c r="Q370" s="34">
        <f>Z370*(1+IF($AK370+IF(입력란!$C$19=1,10,0)&gt;100,100,$AK370+IF(입력란!$C$19=1,10,0))/100*($AL370/100-1))</f>
        <v>0</v>
      </c>
      <c r="R370" s="23">
        <f>SUM(S370:Z370)</f>
        <v>221513.84525950672</v>
      </c>
      <c r="S370" s="29">
        <f>AN370*IF(MID(E370,3,1)="1",트라이포드!$J$21,트라이포드!$I$21)*IF(MID(E370,5,1)="2",트라이포드!$R$21,트라이포드!$Q$21)*(1+입력란!$C$34/100)</f>
        <v>184582.34693565278</v>
      </c>
      <c r="T370" s="29">
        <f>AO370*3*IF(MID(E370,5,1)="1",트라이포드!$P$21,트라이포드!$O$21)*(1+입력란!$C$34/100)</f>
        <v>36931.49832385395</v>
      </c>
      <c r="U370" s="29"/>
      <c r="V370" s="29"/>
      <c r="W370" s="29"/>
      <c r="X370" s="29"/>
      <c r="Y370" s="29"/>
      <c r="Z370" s="26">
        <f>(AN370+AO370*3)*IF(MID(E370,1,1)="2",트라이포드!$F$21,트라이포드!$E$21)*(1+입력란!$C$34/100)</f>
        <v>0</v>
      </c>
      <c r="AA370" s="29">
        <f>SUM(AB370:AI370)</f>
        <v>443027.69051901344</v>
      </c>
      <c r="AB370" s="29">
        <f>S370*2</f>
        <v>369164.69387130556</v>
      </c>
      <c r="AC370" s="29">
        <f>T370*2</f>
        <v>73862.9966477079</v>
      </c>
      <c r="AD370" s="29"/>
      <c r="AE370" s="29"/>
      <c r="AF370" s="38"/>
      <c r="AG370" s="38"/>
      <c r="AH370" s="38"/>
      <c r="AI370" s="26">
        <f>Z370*2</f>
        <v>0</v>
      </c>
      <c r="AJ370" s="29">
        <f>AR370*(1-입력란!$C$29/100)</f>
        <v>25.858093516830003</v>
      </c>
      <c r="AK37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0" s="25">
        <f>입력란!$C$37+IF(입력란!$C$17=1,10,IF(입력란!$C$17=2,25,IF(입력란!$C$17=3,50,0)))</f>
        <v>200</v>
      </c>
      <c r="AM370" s="29">
        <f>SUM(AN370:AP370)</f>
        <v>121325.8191522799</v>
      </c>
      <c r="AN370" s="29">
        <f>(VLOOKUP(C370,$B$4:$AK$7,27,FALSE)+VLOOKUP(C370,$B$8:$AK$11,27,FALSE)*입력란!$C$23)*입력란!$C$38/100</f>
        <v>111989.55678035039</v>
      </c>
      <c r="AO370" s="29">
        <f>(VLOOKUP(C370,$B$4:$AK$7,28,FALSE)+VLOOKUP(C370,$B$8:$AK$11,28,FALSE)*입력란!$C$23)*입력란!$C$38/100</f>
        <v>9336.2623719295134</v>
      </c>
      <c r="AP370" s="38"/>
      <c r="AQ370" s="38"/>
      <c r="AR370" s="22">
        <v>27</v>
      </c>
    </row>
    <row r="371" spans="2:44" ht="13.5" customHeight="1" x14ac:dyDescent="0.3">
      <c r="B371" s="30">
        <v>356</v>
      </c>
      <c r="C371" s="35">
        <v>7</v>
      </c>
      <c r="D371" s="43" t="s">
        <v>194</v>
      </c>
      <c r="E371" s="37" t="s">
        <v>60</v>
      </c>
      <c r="F371" s="39"/>
      <c r="G371" s="39" t="s">
        <v>403</v>
      </c>
      <c r="H371" s="80">
        <f>I371/AJ371</f>
        <v>12161.529230739981</v>
      </c>
      <c r="I371" s="52">
        <f>SUM(J371:Q371)*IF(입력란!C$15=1,1.04,IF(입력란!C$15=2,1.1,IF(입력란!C$15=3,1.2,1)))*IF(입력란!$C$17&lt;&gt;0,0.98,1)*IF(입력란!$C$12=1,IF(G371="생명50%이하",1.2,1.1),1)*IF(입력란!$C$12=2,IF(G371="생명50%이하",1.3,1.1),1)*IF(입력란!$C$12=3,IF(G371="생명50%이하",1.4,1.1),1)</f>
        <v>314473.96015613608</v>
      </c>
      <c r="J371" s="29">
        <f>S371*(1+IF($AK371+IF(입력란!$C$19=1,10,0)+IF(MID(E371,3,1)="3",IF(G371="생명50%이하",트라이포드!$N$21,트라이포드!$M$21),0)&gt;100,100,$AK371+IF(입력란!$C$19=1,10,0)+IF(MID(E371,3,1)="3",IF(G371="생명50%이하",트라이포드!$N$21,트라이포드!$M$21),0))/100*($AL371/100-1))</f>
        <v>269284.36183451576</v>
      </c>
      <c r="K371" s="29">
        <f>T371*(1+IF($AK371+IF(입력란!$C$19=1,10,0)&gt;100,100,$AK371+IF(입력란!$C$19=1,10,0))/100*($AL371/100-1))</f>
        <v>45189.598321620346</v>
      </c>
      <c r="L371" s="29"/>
      <c r="M371" s="29"/>
      <c r="N371" s="38"/>
      <c r="O371" s="38"/>
      <c r="P371" s="38"/>
      <c r="Q371" s="34">
        <f>Z371*(1+IF($AK371+IF(입력란!$C$19=1,10,0)&gt;100,100,$AK371+IF(입력란!$C$19=1,10,0))/100*($AL371/100-1))</f>
        <v>0</v>
      </c>
      <c r="R371" s="23">
        <f>SUM(S371:Z371)</f>
        <v>184597.37587237617</v>
      </c>
      <c r="S371" s="29">
        <f>AN371*IF(MID(E371,3,1)="1",트라이포드!$J$21,트라이포드!$I$21)*IF(MID(E371,5,1)="2",트라이포드!$R$21,트라이포드!$Q$21)*(1+입력란!$C$34/100)</f>
        <v>147665.87754852223</v>
      </c>
      <c r="T371" s="29">
        <f>AO371*3*IF(MID(E371,5,1)="1",트라이포드!$P$21,트라이포드!$O$21)*(1+입력란!$C$34/100)</f>
        <v>36931.49832385395</v>
      </c>
      <c r="U371" s="29"/>
      <c r="V371" s="29"/>
      <c r="W371" s="29"/>
      <c r="X371" s="29"/>
      <c r="Y371" s="29"/>
      <c r="Z371" s="26">
        <f>(AN371+AO371*3)*IF(MID(E371,1,1)="2",트라이포드!$F$21,트라이포드!$E$21)*(1+입력란!$C$34/100)</f>
        <v>0</v>
      </c>
      <c r="AA371" s="29">
        <f>SUM(AB371:AI371)</f>
        <v>369194.75174475234</v>
      </c>
      <c r="AB371" s="29">
        <f>S371*2</f>
        <v>295331.75509704446</v>
      </c>
      <c r="AC371" s="29">
        <f>T371*2</f>
        <v>73862.9966477079</v>
      </c>
      <c r="AD371" s="29"/>
      <c r="AE371" s="29"/>
      <c r="AF371" s="38"/>
      <c r="AG371" s="38"/>
      <c r="AH371" s="38"/>
      <c r="AI371" s="26">
        <f>Z371*2</f>
        <v>0</v>
      </c>
      <c r="AJ371" s="29">
        <f>AR371*(1-입력란!$C$29/100)</f>
        <v>25.858093516830003</v>
      </c>
      <c r="AK37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1" s="25">
        <f>입력란!$C$37+IF(입력란!$C$17=1,10,IF(입력란!$C$17=2,25,IF(입력란!$C$17=3,50,0)))</f>
        <v>200</v>
      </c>
      <c r="AM371" s="29">
        <f>SUM(AN371:AP371)</f>
        <v>121325.8191522799</v>
      </c>
      <c r="AN371" s="29">
        <f>(VLOOKUP(C371,$B$4:$AK$7,27,FALSE)+VLOOKUP(C371,$B$8:$AK$11,27,FALSE)*입력란!$C$23)*입력란!$C$38/100</f>
        <v>111989.55678035039</v>
      </c>
      <c r="AO371" s="29">
        <f>(VLOOKUP(C371,$B$4:$AK$7,28,FALSE)+VLOOKUP(C371,$B$8:$AK$11,28,FALSE)*입력란!$C$23)*입력란!$C$38/100</f>
        <v>9336.2623719295134</v>
      </c>
      <c r="AP371" s="38"/>
      <c r="AQ371" s="38"/>
      <c r="AR371" s="22">
        <v>27</v>
      </c>
    </row>
    <row r="372" spans="2:44" ht="13.5" customHeight="1" x14ac:dyDescent="0.3">
      <c r="B372" s="30">
        <v>357</v>
      </c>
      <c r="C372" s="35">
        <v>7</v>
      </c>
      <c r="D372" s="43" t="s">
        <v>194</v>
      </c>
      <c r="E372" s="37" t="s">
        <v>184</v>
      </c>
      <c r="F372" s="39"/>
      <c r="G372" s="39" t="s">
        <v>403</v>
      </c>
      <c r="H372" s="80">
        <f>I372/AJ372</f>
        <v>12229.07361569261</v>
      </c>
      <c r="I372" s="52">
        <f>SUM(J372:Q372)*IF(입력란!C$15=1,1.04,IF(입력란!C$15=2,1.1,IF(입력란!C$15=3,1.2,1)))*IF(입력란!$C$17&lt;&gt;0,0.98,1)*IF(입력란!$C$12=1,IF(G372="생명50%이하",1.2,1.1),1)*IF(입력란!$C$12=2,IF(G372="생명50%이하",1.3,1.1),1)*IF(입력란!$C$12=3,IF(G372="생명50%이하",1.4,1.1),1)</f>
        <v>316220.52917877794</v>
      </c>
      <c r="J372" s="29">
        <f>S372*(1+IF($AK372+IF(입력란!$C$19=1,10,0)+IF(MID(E372,3,1)="3",IF(G372="생명50%이하",트라이포드!$N$21,트라이포드!$M$21),0)&gt;100,100,$AK372+IF(입력란!$C$19=1,10,0)+IF(MID(E372,3,1)="3",IF(G372="생명50%이하",트라이포드!$N$21,트라이포드!$M$21),0))/100*($AL372/100-1))</f>
        <v>225856.04413175301</v>
      </c>
      <c r="K372" s="29">
        <f>T372*(1+IF($AK372+IF(입력란!$C$19=1,10,0)&gt;100,100,$AK372+IF(입력란!$C$19=1,10,0))/100*($AL372/100-1))</f>
        <v>45189.598321620346</v>
      </c>
      <c r="L372" s="29"/>
      <c r="M372" s="29"/>
      <c r="N372" s="38"/>
      <c r="O372" s="38"/>
      <c r="P372" s="38"/>
      <c r="Q372" s="34">
        <f>Z372*(1+IF($AK372+IF(입력란!$C$19=1,10,0)&gt;100,100,$AK372+IF(입력란!$C$19=1,10,0))/100*($AL372/100-1))</f>
        <v>45174.886725404562</v>
      </c>
      <c r="R372" s="23">
        <f>SUM(S372:Z372)</f>
        <v>258433.32043398195</v>
      </c>
      <c r="S372" s="29">
        <f>AN372*IF(MID(E372,3,1)="1",트라이포드!$J$21,트라이포드!$I$21)*IF(MID(E372,5,1)="2",트라이포드!$R$21,트라이포드!$Q$21)*(1+입력란!$C$34/100)</f>
        <v>184582.34693565278</v>
      </c>
      <c r="T372" s="29">
        <f>AO372*3*IF(MID(E372,5,1)="1",트라이포드!$P$21,트라이포드!$O$21)*(1+입력란!$C$34/100)</f>
        <v>36931.49832385395</v>
      </c>
      <c r="U372" s="29"/>
      <c r="V372" s="29"/>
      <c r="W372" s="29"/>
      <c r="X372" s="29"/>
      <c r="Y372" s="29"/>
      <c r="Z372" s="26">
        <f>(AN372+AO372*3)*IF(MID(E372,1,1)="2",트라이포드!$F$21,트라이포드!$E$21)*(1+입력란!$C$34/100)</f>
        <v>36919.475174475243</v>
      </c>
      <c r="AA372" s="29">
        <f>SUM(AB372:AI372)</f>
        <v>516866.6408679639</v>
      </c>
      <c r="AB372" s="29">
        <f>S372*2</f>
        <v>369164.69387130556</v>
      </c>
      <c r="AC372" s="29">
        <f>T372*2</f>
        <v>73862.9966477079</v>
      </c>
      <c r="AD372" s="29"/>
      <c r="AE372" s="29"/>
      <c r="AF372" s="38"/>
      <c r="AG372" s="38"/>
      <c r="AH372" s="38"/>
      <c r="AI372" s="26">
        <f>Z372*2</f>
        <v>73838.950348950486</v>
      </c>
      <c r="AJ372" s="29">
        <f>AR372*(1-입력란!$C$29/100)</f>
        <v>25.858093516830003</v>
      </c>
      <c r="AK37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2" s="25">
        <f>입력란!$C$37+IF(입력란!$C$17=1,10,IF(입력란!$C$17=2,25,IF(입력란!$C$17=3,50,0)))</f>
        <v>200</v>
      </c>
      <c r="AM372" s="29">
        <f>SUM(AN372:AP372)</f>
        <v>121325.8191522799</v>
      </c>
      <c r="AN372" s="29">
        <f>(VLOOKUP(C372,$B$4:$AK$7,27,FALSE)+VLOOKUP(C372,$B$8:$AK$11,27,FALSE)*입력란!$C$23)*입력란!$C$38/100</f>
        <v>111989.55678035039</v>
      </c>
      <c r="AO372" s="29">
        <f>(VLOOKUP(C372,$B$4:$AK$7,28,FALSE)+VLOOKUP(C372,$B$8:$AK$11,28,FALSE)*입력란!$C$23)*입력란!$C$38/100</f>
        <v>9336.2623719295134</v>
      </c>
      <c r="AP372" s="38"/>
      <c r="AQ372" s="38"/>
      <c r="AR372" s="22">
        <v>27</v>
      </c>
    </row>
    <row r="373" spans="2:44" ht="13.5" customHeight="1" x14ac:dyDescent="0.3">
      <c r="B373" s="30">
        <v>358</v>
      </c>
      <c r="C373" s="35">
        <v>7</v>
      </c>
      <c r="D373" s="43" t="s">
        <v>194</v>
      </c>
      <c r="E373" s="37" t="s">
        <v>62</v>
      </c>
      <c r="F373" s="39"/>
      <c r="G373" s="39" t="s">
        <v>403</v>
      </c>
      <c r="H373" s="80">
        <f>I373/AJ373</f>
        <v>13908.560066404722</v>
      </c>
      <c r="I373" s="52">
        <f>SUM(J373:Q373)*IF(입력란!C$15=1,1.04,IF(입력란!C$15=2,1.1,IF(입력란!C$15=3,1.2,1)))*IF(입력란!$C$17&lt;&gt;0,0.98,1)*IF(입력란!$C$12=1,IF(G373="생명50%이하",1.2,1.1),1)*IF(입력란!$C$12=2,IF(G373="생명50%이하",1.3,1.1),1)*IF(입력란!$C$12=3,IF(G373="생명50%이하",1.4,1.1),1)</f>
        <v>359648.84688154061</v>
      </c>
      <c r="J373" s="29">
        <f>S373*(1+IF($AK373+IF(입력란!$C$19=1,10,0)+IF(MID(E373,3,1)="3",IF(G373="생명50%이하",트라이포드!$N$21,트라이포드!$M$21),0)&gt;100,100,$AK373+IF(입력란!$C$19=1,10,0)+IF(MID(E373,3,1)="3",IF(G373="생명50%이하",트라이포드!$N$21,트라이포드!$M$21),0))/100*($AL373/100-1))</f>
        <v>269284.36183451576</v>
      </c>
      <c r="K373" s="29">
        <f>T373*(1+IF($AK373+IF(입력란!$C$19=1,10,0)&gt;100,100,$AK373+IF(입력란!$C$19=1,10,0))/100*($AL373/100-1))</f>
        <v>45189.598321620346</v>
      </c>
      <c r="L373" s="29"/>
      <c r="M373" s="29"/>
      <c r="N373" s="38"/>
      <c r="O373" s="38"/>
      <c r="P373" s="38"/>
      <c r="Q373" s="34">
        <f>Z373*(1+IF($AK373+IF(입력란!$C$19=1,10,0)&gt;100,100,$AK373+IF(입력란!$C$19=1,10,0))/100*($AL373/100-1))</f>
        <v>45174.886725404562</v>
      </c>
      <c r="R373" s="23">
        <f>SUM(S373:Z373)</f>
        <v>221516.85104685143</v>
      </c>
      <c r="S373" s="29">
        <f>AN373*IF(MID(E373,3,1)="1",트라이포드!$J$21,트라이포드!$I$21)*IF(MID(E373,5,1)="2",트라이포드!$R$21,트라이포드!$Q$21)*(1+입력란!$C$34/100)</f>
        <v>147665.87754852223</v>
      </c>
      <c r="T373" s="29">
        <f>AO373*3*IF(MID(E373,5,1)="1",트라이포드!$P$21,트라이포드!$O$21)*(1+입력란!$C$34/100)</f>
        <v>36931.49832385395</v>
      </c>
      <c r="U373" s="29"/>
      <c r="V373" s="29"/>
      <c r="W373" s="29"/>
      <c r="X373" s="29"/>
      <c r="Y373" s="29"/>
      <c r="Z373" s="26">
        <f>(AN373+AO373*3)*IF(MID(E373,1,1)="2",트라이포드!$F$21,트라이포드!$E$21)*(1+입력란!$C$34/100)</f>
        <v>36919.475174475243</v>
      </c>
      <c r="AA373" s="29">
        <f>SUM(AB373:AI373)</f>
        <v>443033.70209370286</v>
      </c>
      <c r="AB373" s="29">
        <f>S373*2</f>
        <v>295331.75509704446</v>
      </c>
      <c r="AC373" s="29">
        <f>T373*2</f>
        <v>73862.9966477079</v>
      </c>
      <c r="AD373" s="29"/>
      <c r="AE373" s="29"/>
      <c r="AF373" s="38"/>
      <c r="AG373" s="38"/>
      <c r="AH373" s="38"/>
      <c r="AI373" s="26">
        <f>Z373*2</f>
        <v>73838.950348950486</v>
      </c>
      <c r="AJ373" s="29">
        <f>AR373*(1-입력란!$C$29/100)</f>
        <v>25.858093516830003</v>
      </c>
      <c r="AK37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3" s="25">
        <f>입력란!$C$37+IF(입력란!$C$17=1,10,IF(입력란!$C$17=2,25,IF(입력란!$C$17=3,50,0)))</f>
        <v>200</v>
      </c>
      <c r="AM373" s="29">
        <f>SUM(AN373:AP373)</f>
        <v>121325.8191522799</v>
      </c>
      <c r="AN373" s="29">
        <f>(VLOOKUP(C373,$B$4:$AK$7,27,FALSE)+VLOOKUP(C373,$B$8:$AK$11,27,FALSE)*입력란!$C$23)*입력란!$C$38/100</f>
        <v>111989.55678035039</v>
      </c>
      <c r="AO373" s="29">
        <f>(VLOOKUP(C373,$B$4:$AK$7,28,FALSE)+VLOOKUP(C373,$B$8:$AK$11,28,FALSE)*입력란!$C$23)*입력란!$C$38/100</f>
        <v>9336.2623719295134</v>
      </c>
      <c r="AP373" s="38"/>
      <c r="AQ373" s="38"/>
      <c r="AR373" s="22">
        <v>27</v>
      </c>
    </row>
    <row r="374" spans="2:44" ht="13.5" customHeight="1" x14ac:dyDescent="0.3">
      <c r="B374" s="30">
        <v>359</v>
      </c>
      <c r="C374" s="35">
        <v>10</v>
      </c>
      <c r="D374" s="43" t="s">
        <v>194</v>
      </c>
      <c r="E374" s="37" t="s">
        <v>57</v>
      </c>
      <c r="F374" s="39"/>
      <c r="G374" s="39" t="s">
        <v>403</v>
      </c>
      <c r="H374" s="80">
        <f>I374/AJ374</f>
        <v>8745.8361503650231</v>
      </c>
      <c r="I374" s="52">
        <f>SUM(J374:Q374)*IF(입력란!C$15=1,1.04,IF(입력란!C$15=2,1.1,IF(입력란!C$15=3,1.2,1)))*IF(입력란!$C$17&lt;&gt;0,0.98,1)*IF(입력란!$C$12=1,IF(G374="생명50%이하",1.2,1.1),1)*IF(입력란!$C$12=2,IF(G374="생명50%이하",1.3,1.1),1)*IF(입력란!$C$12=3,IF(G374="생명50%이하",1.4,1.1),1)</f>
        <v>226150.64905901128</v>
      </c>
      <c r="J374" s="29">
        <f>S374*(1+IF($AK374+IF(입력란!$C$19=1,10,0)+IF(MID(E374,3,1)="3",IF(G374="생명50%이하",트라이포드!$N$21,트라이포드!$M$21),0)&gt;100,100,$AK374+IF(입력란!$C$19=1,10,0)+IF(MID(E374,3,1)="3",IF(G374="생명50%이하",트라이포드!$N$21,트라이포드!$M$21),0))/100*($AL374/100-1))</f>
        <v>180904.90414257083</v>
      </c>
      <c r="K374" s="29">
        <f>T374*(1+IF($AK374+IF(입력란!$C$19=1,10,0)&gt;100,100,$AK374+IF(입력란!$C$19=1,10,0))/100*($AL374/100-1))</f>
        <v>45245.744916440446</v>
      </c>
      <c r="L374" s="29"/>
      <c r="M374" s="29"/>
      <c r="N374" s="38"/>
      <c r="O374" s="38"/>
      <c r="P374" s="38"/>
      <c r="Q374" s="34">
        <f>Z374*(1+IF($AK374+IF(입력란!$C$19=1,10,0)&gt;100,100,$AK374+IF(입력란!$C$19=1,10,0))/100*($AL374/100-1))</f>
        <v>0</v>
      </c>
      <c r="R374" s="23">
        <f>SUM(S374:Z374)</f>
        <v>184823.11476235045</v>
      </c>
      <c r="S374" s="29">
        <f>AN374*IF(MID(E374,3,1)="1",트라이포드!$J$21,트라이포드!$I$21)*IF(MID(E374,5,1)="2",트라이포드!$R$21,트라이포드!$Q$21)*(1+입력란!$C$34/100)</f>
        <v>147845.73026226342</v>
      </c>
      <c r="T374" s="29">
        <f>AO374*3*IF(MID(E374,5,1)="1",트라이포드!$P$21,트라이포드!$O$21)*(1+입력란!$C$34/100)</f>
        <v>36977.384500087042</v>
      </c>
      <c r="U374" s="29"/>
      <c r="V374" s="29"/>
      <c r="W374" s="29"/>
      <c r="X374" s="29"/>
      <c r="Y374" s="29"/>
      <c r="Z374" s="26">
        <f>(AN374+AO374*3)*IF(MID(E374,1,1)="2",트라이포드!$F$21,트라이포드!$E$21)*(1+입력란!$C$34/100)</f>
        <v>0</v>
      </c>
      <c r="AA374" s="29">
        <f>SUM(AB374:AI374)</f>
        <v>369646.2295247009</v>
      </c>
      <c r="AB374" s="29">
        <f>S374*2</f>
        <v>295691.46052452683</v>
      </c>
      <c r="AC374" s="29">
        <f>T374*2</f>
        <v>73954.769000174085</v>
      </c>
      <c r="AD374" s="29"/>
      <c r="AE374" s="29"/>
      <c r="AF374" s="38"/>
      <c r="AG374" s="38"/>
      <c r="AH374" s="38"/>
      <c r="AI374" s="26">
        <f>Z374*2</f>
        <v>0</v>
      </c>
      <c r="AJ374" s="29">
        <f>AR374*(1-입력란!$C$29/100)</f>
        <v>25.858093516830003</v>
      </c>
      <c r="AK37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4" s="25">
        <f>입력란!$C$37+IF(입력란!$C$17=1,10,IF(입력란!$C$17=2,25,IF(입력란!$C$17=3,50,0)))</f>
        <v>200</v>
      </c>
      <c r="AM374" s="29">
        <f>SUM(AN374:AP374)</f>
        <v>121473.8191522799</v>
      </c>
      <c r="AN374" s="29">
        <f>(VLOOKUP(C374,$B$4:$AK$7,27,FALSE)+VLOOKUP(C374,$B$8:$AK$11,27,FALSE)*입력란!$C$23)*입력란!$C$38/100</f>
        <v>112125.95678035039</v>
      </c>
      <c r="AO374" s="29">
        <f>(VLOOKUP(C374,$B$4:$AK$7,28,FALSE)+VLOOKUP(C374,$B$8:$AK$11,28,FALSE)*입력란!$C$23)*입력란!$C$38/100</f>
        <v>9347.8623719295138</v>
      </c>
      <c r="AP374" s="38"/>
      <c r="AQ374" s="38"/>
      <c r="AR374" s="22">
        <v>27</v>
      </c>
    </row>
    <row r="375" spans="2:44" ht="13.5" customHeight="1" x14ac:dyDescent="0.3">
      <c r="B375" s="30">
        <v>360</v>
      </c>
      <c r="C375" s="35">
        <v>10</v>
      </c>
      <c r="D375" s="43" t="s">
        <v>194</v>
      </c>
      <c r="E375" s="37" t="s">
        <v>203</v>
      </c>
      <c r="F375" s="39"/>
      <c r="G375" s="39" t="s">
        <v>403</v>
      </c>
      <c r="H375" s="80">
        <f>I375/AJ375</f>
        <v>12245.378364255756</v>
      </c>
      <c r="I375" s="52">
        <f>SUM(J375:Q375)*IF(입력란!C$15=1,1.04,IF(입력란!C$15=2,1.1,IF(입력란!C$15=3,1.2,1)))*IF(입력란!$C$17&lt;&gt;0,0.98,1)*IF(입력란!$C$12=1,IF(G375="생명50%이하",1.2,1.1),1)*IF(입력란!$C$12=2,IF(G375="생명50%이하",1.3,1.1),1)*IF(입력란!$C$12=3,IF(G375="생명50%이하",1.4,1.1),1)</f>
        <v>316642.13889189216</v>
      </c>
      <c r="J375" s="29">
        <f>S375*(1+IF($AK375+IF(입력란!$C$19=1,10,0)+IF(MID(E375,3,1)="3",IF(G375="생명50%이하",트라이포드!$N$21,트라이포드!$M$21),0)&gt;100,100,$AK375+IF(입력란!$C$19=1,10,0)+IF(MID(E375,3,1)="3",IF(G375="생명50%이하",트라이포드!$N$21,트라이포드!$M$21),0))/100*($AL375/100-1))</f>
        <v>180904.90414257083</v>
      </c>
      <c r="K375" s="29">
        <f>T375*(1+IF($AK375+IF(입력란!$C$19=1,10,0)&gt;100,100,$AK375+IF(입력란!$C$19=1,10,0))/100*($AL375/100-1))</f>
        <v>135737.23474932133</v>
      </c>
      <c r="L375" s="29"/>
      <c r="M375" s="29"/>
      <c r="N375" s="38"/>
      <c r="O375" s="38"/>
      <c r="P375" s="38"/>
      <c r="Q375" s="34">
        <f>Z375*(1+IF($AK375+IF(입력란!$C$19=1,10,0)&gt;100,100,$AK375+IF(입력란!$C$19=1,10,0))/100*($AL375/100-1))</f>
        <v>0</v>
      </c>
      <c r="R375" s="23">
        <f>SUM(S375:Z375)</f>
        <v>258777.88376252452</v>
      </c>
      <c r="S375" s="29">
        <f>AN375*IF(MID(E375,3,1)="1",트라이포드!$J$21,트라이포드!$I$21)*IF(MID(E375,5,1)="2",트라이포드!$R$21,트라이포드!$Q$21)*(1+입력란!$C$34/100)</f>
        <v>147845.73026226342</v>
      </c>
      <c r="T375" s="29">
        <f>AO375*3*IF(MID(E375,5,1)="1",트라이포드!$P$21,트라이포드!$O$21)*(1+입력란!$C$34/100)</f>
        <v>110932.15350026112</v>
      </c>
      <c r="U375" s="29"/>
      <c r="V375" s="29"/>
      <c r="W375" s="29"/>
      <c r="X375" s="29"/>
      <c r="Y375" s="29"/>
      <c r="Z375" s="26">
        <f>(AN375+AO375*3)*IF(MID(E375,1,1)="2",트라이포드!$F$21,트라이포드!$E$21)*(1+입력란!$C$34/100)</f>
        <v>0</v>
      </c>
      <c r="AA375" s="29">
        <f>SUM(AB375:AI375)</f>
        <v>517555.76752504904</v>
      </c>
      <c r="AB375" s="29">
        <f>S375*2</f>
        <v>295691.46052452683</v>
      </c>
      <c r="AC375" s="29">
        <f>T375*2</f>
        <v>221864.30700052224</v>
      </c>
      <c r="AD375" s="29"/>
      <c r="AE375" s="29"/>
      <c r="AF375" s="38"/>
      <c r="AG375" s="38"/>
      <c r="AH375" s="38"/>
      <c r="AI375" s="26">
        <f>Z375*2</f>
        <v>0</v>
      </c>
      <c r="AJ375" s="29">
        <f>AR375*(1-입력란!$C$29/100)</f>
        <v>25.858093516830003</v>
      </c>
      <c r="AK37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5" s="25">
        <f>입력란!$C$37+IF(입력란!$C$17=1,10,IF(입력란!$C$17=2,25,IF(입력란!$C$17=3,50,0)))</f>
        <v>200</v>
      </c>
      <c r="AM375" s="29">
        <f>SUM(AN375:AP375)</f>
        <v>121473.8191522799</v>
      </c>
      <c r="AN375" s="29">
        <f>(VLOOKUP(C375,$B$4:$AK$7,27,FALSE)+VLOOKUP(C375,$B$8:$AK$11,27,FALSE)*입력란!$C$23)*입력란!$C$38/100</f>
        <v>112125.95678035039</v>
      </c>
      <c r="AO375" s="29">
        <f>(VLOOKUP(C375,$B$4:$AK$7,28,FALSE)+VLOOKUP(C375,$B$8:$AK$11,28,FALSE)*입력란!$C$23)*입력란!$C$38/100</f>
        <v>9347.8623719295138</v>
      </c>
      <c r="AP375" s="38"/>
      <c r="AQ375" s="38"/>
      <c r="AR375" s="22">
        <v>27</v>
      </c>
    </row>
    <row r="376" spans="2:44" ht="13.5" customHeight="1" x14ac:dyDescent="0.3">
      <c r="B376" s="30">
        <v>361</v>
      </c>
      <c r="C376" s="35">
        <v>10</v>
      </c>
      <c r="D376" s="43" t="s">
        <v>194</v>
      </c>
      <c r="E376" s="37" t="s">
        <v>169</v>
      </c>
      <c r="F376" s="39"/>
      <c r="G376" s="39" t="s">
        <v>403</v>
      </c>
      <c r="H376" s="80">
        <f>I376/AJ376</f>
        <v>10844.655663390919</v>
      </c>
      <c r="I376" s="52">
        <f>SUM(J376:Q376)*IF(입력란!C$15=1,1.04,IF(입력란!C$15=2,1.1,IF(입력란!C$15=3,1.2,1)))*IF(입력란!$C$17&lt;&gt;0,0.98,1)*IF(입력란!$C$12=1,IF(G376="생명50%이하",1.2,1.1),1)*IF(입력란!$C$12=2,IF(G376="생명50%이하",1.3,1.1),1)*IF(입력란!$C$12=3,IF(G376="생명50%이하",1.4,1.1),1)</f>
        <v>280422.1203017825</v>
      </c>
      <c r="J376" s="29">
        <f>S376*(1+IF($AK376+IF(입력란!$C$19=1,10,0)+IF(MID(E376,3,1)="3",IF(G376="생명50%이하",트라이포드!$N$21,트라이포드!$M$21),0)&gt;100,100,$AK376+IF(입력란!$C$19=1,10,0)+IF(MID(E376,3,1)="3",IF(G376="생명50%이하",트라이포드!$N$21,트라이포드!$M$21),0))/100*($AL376/100-1))</f>
        <v>235176.37538534205</v>
      </c>
      <c r="K376" s="29">
        <f>T376*(1+IF($AK376+IF(입력란!$C$19=1,10,0)&gt;100,100,$AK376+IF(입력란!$C$19=1,10,0))/100*($AL376/100-1))</f>
        <v>45245.744916440446</v>
      </c>
      <c r="L376" s="29"/>
      <c r="M376" s="29"/>
      <c r="N376" s="38"/>
      <c r="O376" s="38"/>
      <c r="P376" s="38"/>
      <c r="Q376" s="34">
        <f>Z376*(1+IF($AK376+IF(입력란!$C$19=1,10,0)&gt;100,100,$AK376+IF(입력란!$C$19=1,10,0))/100*($AL376/100-1))</f>
        <v>0</v>
      </c>
      <c r="R376" s="23">
        <f>SUM(S376:Z376)</f>
        <v>229176.83384102947</v>
      </c>
      <c r="S376" s="29">
        <f>AN376*IF(MID(E376,3,1)="1",트라이포드!$J$21,트라이포드!$I$21)*IF(MID(E376,5,1)="2",트라이포드!$R$21,트라이포드!$Q$21)*(1+입력란!$C$34/100)</f>
        <v>192199.44934094243</v>
      </c>
      <c r="T376" s="29">
        <f>AO376*3*IF(MID(E376,5,1)="1",트라이포드!$P$21,트라이포드!$O$21)*(1+입력란!$C$34/100)</f>
        <v>36977.384500087042</v>
      </c>
      <c r="U376" s="29"/>
      <c r="V376" s="29"/>
      <c r="W376" s="29"/>
      <c r="X376" s="29"/>
      <c r="Y376" s="29"/>
      <c r="Z376" s="26">
        <f>(AN376+AO376*3)*IF(MID(E376,1,1)="2",트라이포드!$F$21,트라이포드!$E$21)*(1+입력란!$C$34/100)</f>
        <v>0</v>
      </c>
      <c r="AA376" s="29">
        <f>SUM(AB376:AI376)</f>
        <v>458353.66768205893</v>
      </c>
      <c r="AB376" s="29">
        <f>S376*2</f>
        <v>384398.89868188486</v>
      </c>
      <c r="AC376" s="29">
        <f>T376*2</f>
        <v>73954.769000174085</v>
      </c>
      <c r="AD376" s="29"/>
      <c r="AE376" s="29"/>
      <c r="AF376" s="38"/>
      <c r="AG376" s="38"/>
      <c r="AH376" s="38"/>
      <c r="AI376" s="26">
        <f>Z376*2</f>
        <v>0</v>
      </c>
      <c r="AJ376" s="29">
        <f>AR376*(1-입력란!$C$29/100)</f>
        <v>25.858093516830003</v>
      </c>
      <c r="AK37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6" s="25">
        <f>입력란!$C$37+IF(입력란!$C$17=1,10,IF(입력란!$C$17=2,25,IF(입력란!$C$17=3,50,0)))</f>
        <v>200</v>
      </c>
      <c r="AM376" s="29">
        <f>SUM(AN376:AP376)</f>
        <v>121473.8191522799</v>
      </c>
      <c r="AN376" s="29">
        <f>(VLOOKUP(C376,$B$4:$AK$7,27,FALSE)+VLOOKUP(C376,$B$8:$AK$11,27,FALSE)*입력란!$C$23)*입력란!$C$38/100</f>
        <v>112125.95678035039</v>
      </c>
      <c r="AO376" s="29">
        <f>(VLOOKUP(C376,$B$4:$AK$7,28,FALSE)+VLOOKUP(C376,$B$8:$AK$11,28,FALSE)*입력란!$C$23)*입력란!$C$38/100</f>
        <v>9347.8623719295138</v>
      </c>
      <c r="AP376" s="38"/>
      <c r="AQ376" s="38"/>
      <c r="AR376" s="22">
        <v>27</v>
      </c>
    </row>
    <row r="377" spans="2:44" ht="13.5" customHeight="1" x14ac:dyDescent="0.3">
      <c r="B377" s="30">
        <v>362</v>
      </c>
      <c r="C377" s="35">
        <v>10</v>
      </c>
      <c r="D377" s="43" t="s">
        <v>194</v>
      </c>
      <c r="E377" s="37" t="s">
        <v>205</v>
      </c>
      <c r="F377" s="39"/>
      <c r="G377" s="39" t="s">
        <v>403</v>
      </c>
      <c r="H377" s="80">
        <f>I377/AJ377</f>
        <v>13994.54559432876</v>
      </c>
      <c r="I377" s="52">
        <f>SUM(J377:Q377)*IF(입력란!C$15=1,1.04,IF(입력란!C$15=2,1.1,IF(입력란!C$15=3,1.2,1)))*IF(입력란!$C$17&lt;&gt;0,0.98,1)*IF(입력란!$C$12=1,IF(G377="생명50%이하",1.2,1.1),1)*IF(입력란!$C$12=2,IF(G377="생명50%이하",1.3,1.1),1)*IF(입력란!$C$12=3,IF(G377="생명50%이하",1.4,1.1),1)</f>
        <v>361872.2687036944</v>
      </c>
      <c r="J377" s="29">
        <f>S377*(1+IF($AK377+IF(입력란!$C$19=1,10,0)+IF(MID(E377,3,1)="3",IF(G377="생명50%이하",트라이포드!$N$21,트라이포드!$M$21),0)&gt;100,100,$AK377+IF(입력란!$C$19=1,10,0)+IF(MID(E377,3,1)="3",IF(G377="생명50%이하",트라이포드!$N$21,트라이포드!$M$21),0))/100*($AL377/100-1))</f>
        <v>180904.90414257083</v>
      </c>
      <c r="K377" s="29">
        <f>T377*(1+IF($AK377+IF(입력란!$C$19=1,10,0)&gt;100,100,$AK377+IF(입력란!$C$19=1,10,0))/100*($AL377/100-1))</f>
        <v>135737.23474932133</v>
      </c>
      <c r="L377" s="29"/>
      <c r="M377" s="29"/>
      <c r="N377" s="38"/>
      <c r="O377" s="38"/>
      <c r="P377" s="38"/>
      <c r="Q377" s="34">
        <f>Z377*(1+IF($AK377+IF(입력란!$C$19=1,10,0)&gt;100,100,$AK377+IF(입력란!$C$19=1,10,0))/100*($AL377/100-1))</f>
        <v>45230.129811802253</v>
      </c>
      <c r="R377" s="23">
        <f>SUM(S377:Z377)</f>
        <v>295742.50671499461</v>
      </c>
      <c r="S377" s="29">
        <f>AN377*IF(MID(E377,3,1)="1",트라이포드!$J$21,트라이포드!$I$21)*IF(MID(E377,5,1)="2",트라이포드!$R$21,트라이포드!$Q$21)*(1+입력란!$C$34/100)</f>
        <v>147845.73026226342</v>
      </c>
      <c r="T377" s="29">
        <f>AO377*3*IF(MID(E377,5,1)="1",트라이포드!$P$21,트라이포드!$O$21)*(1+입력란!$C$34/100)</f>
        <v>110932.15350026112</v>
      </c>
      <c r="U377" s="29"/>
      <c r="V377" s="29"/>
      <c r="W377" s="29"/>
      <c r="X377" s="29"/>
      <c r="Y377" s="29"/>
      <c r="Z377" s="26">
        <f>(AN377+AO377*3)*IF(MID(E377,1,1)="2",트라이포드!$F$21,트라이포드!$E$21)*(1+입력란!$C$34/100)</f>
        <v>36964.62295247009</v>
      </c>
      <c r="AA377" s="29">
        <f>SUM(AB377:AI377)</f>
        <v>591485.01342998922</v>
      </c>
      <c r="AB377" s="29">
        <f>S377*2</f>
        <v>295691.46052452683</v>
      </c>
      <c r="AC377" s="29">
        <f>T377*2</f>
        <v>221864.30700052224</v>
      </c>
      <c r="AD377" s="29"/>
      <c r="AE377" s="29"/>
      <c r="AF377" s="38"/>
      <c r="AG377" s="38"/>
      <c r="AH377" s="38"/>
      <c r="AI377" s="26">
        <f>Z377*2</f>
        <v>73929.24590494018</v>
      </c>
      <c r="AJ377" s="29">
        <f>AR377*(1-입력란!$C$29/100)</f>
        <v>25.858093516830003</v>
      </c>
      <c r="AK37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7" s="25">
        <f>입력란!$C$37+IF(입력란!$C$17=1,10,IF(입력란!$C$17=2,25,IF(입력란!$C$17=3,50,0)))</f>
        <v>200</v>
      </c>
      <c r="AM377" s="29">
        <f>SUM(AN377:AP377)</f>
        <v>121473.8191522799</v>
      </c>
      <c r="AN377" s="29">
        <f>(VLOOKUP(C377,$B$4:$AK$7,27,FALSE)+VLOOKUP(C377,$B$8:$AK$11,27,FALSE)*입력란!$C$23)*입력란!$C$38/100</f>
        <v>112125.95678035039</v>
      </c>
      <c r="AO377" s="29">
        <f>(VLOOKUP(C377,$B$4:$AK$7,28,FALSE)+VLOOKUP(C377,$B$8:$AK$11,28,FALSE)*입력란!$C$23)*입력란!$C$38/100</f>
        <v>9347.8623719295138</v>
      </c>
      <c r="AP377" s="38"/>
      <c r="AQ377" s="38"/>
      <c r="AR377" s="22">
        <v>27</v>
      </c>
    </row>
    <row r="378" spans="2:44" ht="13.5" customHeight="1" x14ac:dyDescent="0.3">
      <c r="B378" s="30">
        <v>363</v>
      </c>
      <c r="C378" s="35">
        <v>10</v>
      </c>
      <c r="D378" s="43" t="s">
        <v>194</v>
      </c>
      <c r="E378" s="37" t="s">
        <v>206</v>
      </c>
      <c r="F378" s="39"/>
      <c r="G378" s="39" t="s">
        <v>403</v>
      </c>
      <c r="H378" s="80">
        <f>I378/AJ378</f>
        <v>12593.822893463923</v>
      </c>
      <c r="I378" s="52">
        <f>SUM(J378:Q378)*IF(입력란!C$15=1,1.04,IF(입력란!C$15=2,1.1,IF(입력란!C$15=3,1.2,1)))*IF(입력란!$C$17&lt;&gt;0,0.98,1)*IF(입력란!$C$12=1,IF(G378="생명50%이하",1.2,1.1),1)*IF(입력란!$C$12=2,IF(G378="생명50%이하",1.3,1.1),1)*IF(입력란!$C$12=3,IF(G378="생명50%이하",1.4,1.1),1)</f>
        <v>325652.25011358474</v>
      </c>
      <c r="J378" s="29">
        <f>S378*(1+IF($AK378+IF(입력란!$C$19=1,10,0)+IF(MID(E378,3,1)="3",IF(G378="생명50%이하",트라이포드!$N$21,트라이포드!$M$21),0)&gt;100,100,$AK378+IF(입력란!$C$19=1,10,0)+IF(MID(E378,3,1)="3",IF(G378="생명50%이하",트라이포드!$N$21,트라이포드!$M$21),0))/100*($AL378/100-1))</f>
        <v>235176.37538534205</v>
      </c>
      <c r="K378" s="29">
        <f>T378*(1+IF($AK378+IF(입력란!$C$19=1,10,0)&gt;100,100,$AK378+IF(입력란!$C$19=1,10,0))/100*($AL378/100-1))</f>
        <v>45245.744916440446</v>
      </c>
      <c r="L378" s="29"/>
      <c r="M378" s="29"/>
      <c r="N378" s="38"/>
      <c r="O378" s="38"/>
      <c r="P378" s="38"/>
      <c r="Q378" s="34">
        <f>Z378*(1+IF($AK378+IF(입력란!$C$19=1,10,0)&gt;100,100,$AK378+IF(입력란!$C$19=1,10,0))/100*($AL378/100-1))</f>
        <v>45230.129811802253</v>
      </c>
      <c r="R378" s="23">
        <f>SUM(S378:Z378)</f>
        <v>266141.45679349953</v>
      </c>
      <c r="S378" s="29">
        <f>AN378*IF(MID(E378,3,1)="1",트라이포드!$J$21,트라이포드!$I$21)*IF(MID(E378,5,1)="2",트라이포드!$R$21,트라이포드!$Q$21)*(1+입력란!$C$34/100)</f>
        <v>192199.44934094243</v>
      </c>
      <c r="T378" s="29">
        <f>AO378*3*IF(MID(E378,5,1)="1",트라이포드!$P$21,트라이포드!$O$21)*(1+입력란!$C$34/100)</f>
        <v>36977.384500087042</v>
      </c>
      <c r="U378" s="29"/>
      <c r="V378" s="29"/>
      <c r="W378" s="29"/>
      <c r="X378" s="29"/>
      <c r="Y378" s="29"/>
      <c r="Z378" s="26">
        <f>(AN378+AO378*3)*IF(MID(E378,1,1)="2",트라이포드!$F$21,트라이포드!$E$21)*(1+입력란!$C$34/100)</f>
        <v>36964.62295247009</v>
      </c>
      <c r="AA378" s="29">
        <f>SUM(AB378:AI378)</f>
        <v>532282.91358699906</v>
      </c>
      <c r="AB378" s="29">
        <f>S378*2</f>
        <v>384398.89868188486</v>
      </c>
      <c r="AC378" s="29">
        <f>T378*2</f>
        <v>73954.769000174085</v>
      </c>
      <c r="AD378" s="29"/>
      <c r="AE378" s="29"/>
      <c r="AF378" s="38"/>
      <c r="AG378" s="38"/>
      <c r="AH378" s="38"/>
      <c r="AI378" s="26">
        <f>Z378*2</f>
        <v>73929.24590494018</v>
      </c>
      <c r="AJ378" s="29">
        <f>AR378*(1-입력란!$C$29/100)</f>
        <v>25.858093516830003</v>
      </c>
      <c r="AK37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8" s="25">
        <f>입력란!$C$37+IF(입력란!$C$17=1,10,IF(입력란!$C$17=2,25,IF(입력란!$C$17=3,50,0)))</f>
        <v>200</v>
      </c>
      <c r="AM378" s="29">
        <f>SUM(AN378:AP378)</f>
        <v>121473.8191522799</v>
      </c>
      <c r="AN378" s="29">
        <f>(VLOOKUP(C378,$B$4:$AK$7,27,FALSE)+VLOOKUP(C378,$B$8:$AK$11,27,FALSE)*입력란!$C$23)*입력란!$C$38/100</f>
        <v>112125.95678035039</v>
      </c>
      <c r="AO378" s="29">
        <f>(VLOOKUP(C378,$B$4:$AK$7,28,FALSE)+VLOOKUP(C378,$B$8:$AK$11,28,FALSE)*입력란!$C$23)*입력란!$C$38/100</f>
        <v>9347.8623719295138</v>
      </c>
      <c r="AP378" s="38"/>
      <c r="AQ378" s="38"/>
      <c r="AR378" s="22">
        <v>27</v>
      </c>
    </row>
    <row r="379" spans="2:44" ht="13.5" customHeight="1" x14ac:dyDescent="0.3">
      <c r="B379" s="30">
        <v>364</v>
      </c>
      <c r="C379" s="35">
        <v>10</v>
      </c>
      <c r="D379" s="43" t="s">
        <v>194</v>
      </c>
      <c r="E379" s="37" t="s">
        <v>186</v>
      </c>
      <c r="F379" s="39"/>
      <c r="G379" s="39" t="s">
        <v>403</v>
      </c>
      <c r="H379" s="80">
        <f>I379/AJ379</f>
        <v>15743.561855183672</v>
      </c>
      <c r="I379" s="52">
        <f>SUM(J379:Q379)*IF(입력란!C$15=1,1.04,IF(입력란!C$15=2,1.1,IF(입력란!C$15=3,1.2,1)))*IF(입력란!$C$17&lt;&gt;0,0.98,1)*IF(입력란!$C$12=1,IF(G379="생명50%이하",1.2,1.1),1)*IF(입력란!$C$12=2,IF(G379="생명50%이하",1.3,1.1),1)*IF(입력란!$C$12=3,IF(G379="생명50%이하",1.4,1.1),1)</f>
        <v>407098.49473933707</v>
      </c>
      <c r="J379" s="29">
        <f>S379*(1+IF($AK379+IF(입력란!$C$19=1,10,0)+IF(MID(E379,3,1)="3",IF(G379="생명50%이하",트라이포드!$N$21,트라이포드!$M$21),0)&gt;100,100,$AK379+IF(입력란!$C$19=1,10,0)+IF(MID(E379,3,1)="3",IF(G379="생명50%이하",트라이포드!$N$21,트라이포드!$M$21),0))/100*($AL379/100-1))</f>
        <v>226131.1301782135</v>
      </c>
      <c r="K379" s="29">
        <f>T379*(1+IF($AK379+IF(입력란!$C$19=1,10,0)&gt;100,100,$AK379+IF(입력란!$C$19=1,10,0))/100*($AL379/100-1))</f>
        <v>135737.23474932133</v>
      </c>
      <c r="L379" s="29"/>
      <c r="M379" s="29"/>
      <c r="N379" s="38"/>
      <c r="O379" s="38"/>
      <c r="P379" s="38"/>
      <c r="Q379" s="34">
        <f>Z379*(1+IF($AK379+IF(입력란!$C$19=1,10,0)&gt;100,100,$AK379+IF(입력란!$C$19=1,10,0))/100*($AL379/100-1))</f>
        <v>45230.129811802253</v>
      </c>
      <c r="R379" s="23">
        <f>SUM(S379:Z379)</f>
        <v>332703.93928056047</v>
      </c>
      <c r="S379" s="29">
        <f>AN379*IF(MID(E379,3,1)="1",트라이포드!$J$21,트라이포드!$I$21)*IF(MID(E379,5,1)="2",트라이포드!$R$21,트라이포드!$Q$21)*(1+입력란!$C$34/100)</f>
        <v>184807.16282782925</v>
      </c>
      <c r="T379" s="29">
        <f>AO379*3*IF(MID(E379,5,1)="1",트라이포드!$P$21,트라이포드!$O$21)*(1+입력란!$C$34/100)</f>
        <v>110932.15350026112</v>
      </c>
      <c r="U379" s="29"/>
      <c r="V379" s="29"/>
      <c r="W379" s="29"/>
      <c r="X379" s="29"/>
      <c r="Y379" s="29"/>
      <c r="Z379" s="26">
        <f>(AN379+AO379*3)*IF(MID(E379,1,1)="2",트라이포드!$F$21,트라이포드!$E$21)*(1+입력란!$C$34/100)</f>
        <v>36964.62295247009</v>
      </c>
      <c r="AA379" s="29">
        <f>SUM(AB379:AI379)</f>
        <v>665407.87856112095</v>
      </c>
      <c r="AB379" s="29">
        <f>S379*2</f>
        <v>369614.3256556585</v>
      </c>
      <c r="AC379" s="29">
        <f>T379*2</f>
        <v>221864.30700052224</v>
      </c>
      <c r="AD379" s="29"/>
      <c r="AE379" s="29"/>
      <c r="AF379" s="38"/>
      <c r="AG379" s="38"/>
      <c r="AH379" s="38"/>
      <c r="AI379" s="26">
        <f>Z379*2</f>
        <v>73929.24590494018</v>
      </c>
      <c r="AJ379" s="29">
        <f>AR379*(1-입력란!$C$29/100)</f>
        <v>25.858093516830003</v>
      </c>
      <c r="AK37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79" s="25">
        <f>입력란!$C$37+IF(입력란!$C$17=1,10,IF(입력란!$C$17=2,25,IF(입력란!$C$17=3,50,0)))</f>
        <v>200</v>
      </c>
      <c r="AM379" s="29">
        <f>SUM(AN379:AP379)</f>
        <v>121473.8191522799</v>
      </c>
      <c r="AN379" s="29">
        <f>(VLOOKUP(C379,$B$4:$AK$7,27,FALSE)+VLOOKUP(C379,$B$8:$AK$11,27,FALSE)*입력란!$C$23)*입력란!$C$38/100</f>
        <v>112125.95678035039</v>
      </c>
      <c r="AO379" s="29">
        <f>(VLOOKUP(C379,$B$4:$AK$7,28,FALSE)+VLOOKUP(C379,$B$8:$AK$11,28,FALSE)*입력란!$C$23)*입력란!$C$38/100</f>
        <v>9347.8623719295138</v>
      </c>
      <c r="AP379" s="38"/>
      <c r="AQ379" s="38"/>
      <c r="AR379" s="22">
        <v>27</v>
      </c>
    </row>
    <row r="380" spans="2:44" ht="13.5" customHeight="1" x14ac:dyDescent="0.3">
      <c r="B380" s="30">
        <v>365</v>
      </c>
      <c r="C380" s="35">
        <v>10</v>
      </c>
      <c r="D380" s="43" t="s">
        <v>194</v>
      </c>
      <c r="E380" s="37" t="s">
        <v>187</v>
      </c>
      <c r="F380" s="39"/>
      <c r="G380" s="39" t="s">
        <v>403</v>
      </c>
      <c r="H380" s="80">
        <f>I380/AJ380</f>
        <v>14867.544032575312</v>
      </c>
      <c r="I380" s="52">
        <f>SUM(J380:Q380)*IF(입력란!C$15=1,1.04,IF(입력란!C$15=2,1.1,IF(입력란!C$15=3,1.2,1)))*IF(입력란!$C$17&lt;&gt;0,0.98,1)*IF(입력란!$C$12=1,IF(G380="생명50%이하",1.2,1.1),1)*IF(입력란!$C$12=2,IF(G380="생명50%이하",1.3,1.1),1)*IF(입력란!$C$12=3,IF(G380="생명50%이하",1.4,1.1),1)</f>
        <v>384446.34395992028</v>
      </c>
      <c r="J380" s="29">
        <f>S380*(1+IF($AK380+IF(입력란!$C$19=1,10,0)+IF(MID(E380,3,1)="3",IF(G380="생명50%이하",트라이포드!$N$21,트라이포드!$M$21),0)&gt;100,100,$AK380+IF(입력란!$C$19=1,10,0)+IF(MID(E380,3,1)="3",IF(G380="생명50%이하",트라이포드!$N$21,트라이포드!$M$21),0))/100*($AL380/100-1))</f>
        <v>293970.46923167759</v>
      </c>
      <c r="K380" s="29">
        <f>T380*(1+IF($AK380+IF(입력란!$C$19=1,10,0)&gt;100,100,$AK380+IF(입력란!$C$19=1,10,0))/100*($AL380/100-1))</f>
        <v>45245.744916440446</v>
      </c>
      <c r="L380" s="29"/>
      <c r="M380" s="29"/>
      <c r="N380" s="38"/>
      <c r="O380" s="38"/>
      <c r="P380" s="38"/>
      <c r="Q380" s="34">
        <f>Z380*(1+IF($AK380+IF(입력란!$C$19=1,10,0)&gt;100,100,$AK380+IF(입력란!$C$19=1,10,0))/100*($AL380/100-1))</f>
        <v>45230.129811802253</v>
      </c>
      <c r="R380" s="23">
        <f>SUM(S380:Z380)</f>
        <v>314191.31912873517</v>
      </c>
      <c r="S380" s="29">
        <f>AN380*IF(MID(E380,3,1)="1",트라이포드!$J$21,트라이포드!$I$21)*IF(MID(E380,5,1)="2",트라이포드!$R$21,트라이포드!$Q$21)*(1+입력란!$C$34/100)</f>
        <v>240249.31167617804</v>
      </c>
      <c r="T380" s="29">
        <f>AO380*3*IF(MID(E380,5,1)="1",트라이포드!$P$21,트라이포드!$O$21)*(1+입력란!$C$34/100)</f>
        <v>36977.384500087042</v>
      </c>
      <c r="U380" s="29"/>
      <c r="V380" s="29"/>
      <c r="W380" s="29"/>
      <c r="X380" s="29"/>
      <c r="Y380" s="29"/>
      <c r="Z380" s="26">
        <f>(AN380+AO380*3)*IF(MID(E380,1,1)="2",트라이포드!$F$21,트라이포드!$E$21)*(1+입력란!$C$34/100)</f>
        <v>36964.62295247009</v>
      </c>
      <c r="AA380" s="29">
        <f>SUM(AB380:AI380)</f>
        <v>628382.63825747033</v>
      </c>
      <c r="AB380" s="29">
        <f>S380*2</f>
        <v>480498.62335235608</v>
      </c>
      <c r="AC380" s="29">
        <f>T380*2</f>
        <v>73954.769000174085</v>
      </c>
      <c r="AD380" s="29"/>
      <c r="AE380" s="29"/>
      <c r="AF380" s="38"/>
      <c r="AG380" s="38"/>
      <c r="AH380" s="38"/>
      <c r="AI380" s="26">
        <f>Z380*2</f>
        <v>73929.24590494018</v>
      </c>
      <c r="AJ380" s="29">
        <f>AR380*(1-입력란!$C$29/100)</f>
        <v>25.858093516830003</v>
      </c>
      <c r="AK38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80" s="25">
        <f>입력란!$C$37+IF(입력란!$C$17=1,10,IF(입력란!$C$17=2,25,IF(입력란!$C$17=3,50,0)))</f>
        <v>200</v>
      </c>
      <c r="AM380" s="29">
        <f>SUM(AN380:AP380)</f>
        <v>121473.8191522799</v>
      </c>
      <c r="AN380" s="29">
        <f>(VLOOKUP(C380,$B$4:$AK$7,27,FALSE)+VLOOKUP(C380,$B$8:$AK$11,27,FALSE)*입력란!$C$23)*입력란!$C$38/100</f>
        <v>112125.95678035039</v>
      </c>
      <c r="AO380" s="29">
        <f>(VLOOKUP(C380,$B$4:$AK$7,28,FALSE)+VLOOKUP(C380,$B$8:$AK$11,28,FALSE)*입력란!$C$23)*입력란!$C$38/100</f>
        <v>9347.8623719295138</v>
      </c>
      <c r="AP380" s="38"/>
      <c r="AQ380" s="38"/>
      <c r="AR380" s="22">
        <v>27</v>
      </c>
    </row>
    <row r="381" spans="2:44" ht="13.5" customHeight="1" x14ac:dyDescent="0.3">
      <c r="B381" s="30">
        <v>366</v>
      </c>
      <c r="C381" s="35">
        <v>10</v>
      </c>
      <c r="D381" s="43" t="s">
        <v>194</v>
      </c>
      <c r="E381" s="37" t="s">
        <v>84</v>
      </c>
      <c r="F381" s="39"/>
      <c r="G381" s="39" t="s">
        <v>403</v>
      </c>
      <c r="H381" s="80">
        <f>I381/AJ381</f>
        <v>17425.093871200832</v>
      </c>
      <c r="I381" s="52">
        <f>SUM(J381:Q381)*IF(입력란!C$15=1,1.04,IF(입력란!C$15=2,1.1,IF(입력란!C$15=3,1.2,1)))*IF(입력란!$C$17&lt;&gt;0,0.98,1)*IF(입력란!$C$12=1,IF(G381="생명50%이하",1.2,1.1),1)*IF(입력란!$C$12=2,IF(G381="생명50%이하",1.3,1.1),1)*IF(입력란!$C$12=3,IF(G381="생명50%이하",1.4,1.1),1)</f>
        <v>450579.70686105249</v>
      </c>
      <c r="J381" s="29">
        <f>S381*(1+IF($AK381+IF(입력란!$C$19=1,10,0)+IF(MID(E381,3,1)="3",IF(G381="생명50%이하",트라이포드!$N$21,트라이포드!$M$21),0)&gt;100,100,$AK381+IF(입력란!$C$19=1,10,0)+IF(MID(E381,3,1)="3",IF(G381="생명50%이하",트라이포드!$N$21,트라이포드!$M$21),0))/100*($AL381/100-1))</f>
        <v>269612.34229992889</v>
      </c>
      <c r="K381" s="29">
        <f>T381*(1+IF($AK381+IF(입력란!$C$19=1,10,0)&gt;100,100,$AK381+IF(입력란!$C$19=1,10,0))/100*($AL381/100-1))</f>
        <v>135737.23474932133</v>
      </c>
      <c r="L381" s="29"/>
      <c r="M381" s="29"/>
      <c r="N381" s="38"/>
      <c r="O381" s="38"/>
      <c r="P381" s="38"/>
      <c r="Q381" s="34">
        <f>Z381*(1+IF($AK381+IF(입력란!$C$19=1,10,0)&gt;100,100,$AK381+IF(입력란!$C$19=1,10,0))/100*($AL381/100-1))</f>
        <v>45230.129811802253</v>
      </c>
      <c r="R381" s="23">
        <f>SUM(S381:Z381)</f>
        <v>295742.50671499461</v>
      </c>
      <c r="S381" s="29">
        <f>AN381*IF(MID(E381,3,1)="1",트라이포드!$J$21,트라이포드!$I$21)*IF(MID(E381,5,1)="2",트라이포드!$R$21,트라이포드!$Q$21)*(1+입력란!$C$34/100)</f>
        <v>147845.73026226342</v>
      </c>
      <c r="T381" s="29">
        <f>AO381*3*IF(MID(E381,5,1)="1",트라이포드!$P$21,트라이포드!$O$21)*(1+입력란!$C$34/100)</f>
        <v>110932.15350026112</v>
      </c>
      <c r="U381" s="29"/>
      <c r="V381" s="29"/>
      <c r="W381" s="29"/>
      <c r="X381" s="29"/>
      <c r="Y381" s="29"/>
      <c r="Z381" s="26">
        <f>(AN381+AO381*3)*IF(MID(E381,1,1)="2",트라이포드!$F$21,트라이포드!$E$21)*(1+입력란!$C$34/100)</f>
        <v>36964.62295247009</v>
      </c>
      <c r="AA381" s="29">
        <f>SUM(AB381:AI381)</f>
        <v>591485.01342998922</v>
      </c>
      <c r="AB381" s="29">
        <f>S381*2</f>
        <v>295691.46052452683</v>
      </c>
      <c r="AC381" s="29">
        <f>T381*2</f>
        <v>221864.30700052224</v>
      </c>
      <c r="AD381" s="29"/>
      <c r="AE381" s="29"/>
      <c r="AF381" s="38"/>
      <c r="AG381" s="38"/>
      <c r="AH381" s="38"/>
      <c r="AI381" s="26">
        <f>Z381*2</f>
        <v>73929.24590494018</v>
      </c>
      <c r="AJ381" s="29">
        <f>AR381*(1-입력란!$C$29/100)</f>
        <v>25.858093516830003</v>
      </c>
      <c r="AK38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81" s="25">
        <f>입력란!$C$37+IF(입력란!$C$17=1,10,IF(입력란!$C$17=2,25,IF(입력란!$C$17=3,50,0)))</f>
        <v>200</v>
      </c>
      <c r="AM381" s="29">
        <f>SUM(AN381:AP381)</f>
        <v>121473.8191522799</v>
      </c>
      <c r="AN381" s="29">
        <f>(VLOOKUP(C381,$B$4:$AK$7,27,FALSE)+VLOOKUP(C381,$B$8:$AK$11,27,FALSE)*입력란!$C$23)*입력란!$C$38/100</f>
        <v>112125.95678035039</v>
      </c>
      <c r="AO381" s="29">
        <f>(VLOOKUP(C381,$B$4:$AK$7,28,FALSE)+VLOOKUP(C381,$B$8:$AK$11,28,FALSE)*입력란!$C$23)*입력란!$C$38/100</f>
        <v>9347.8623719295138</v>
      </c>
      <c r="AP381" s="38"/>
      <c r="AQ381" s="38"/>
      <c r="AR381" s="22">
        <v>27</v>
      </c>
    </row>
    <row r="382" spans="2:44" ht="13.5" customHeight="1" x14ac:dyDescent="0.3">
      <c r="B382" s="30">
        <v>367</v>
      </c>
      <c r="C382" s="35">
        <v>10</v>
      </c>
      <c r="D382" s="43" t="s">
        <v>194</v>
      </c>
      <c r="E382" s="37" t="s">
        <v>85</v>
      </c>
      <c r="F382" s="39"/>
      <c r="G382" s="39" t="s">
        <v>403</v>
      </c>
      <c r="H382" s="80">
        <f>I382/AJ382</f>
        <v>17053.535653397616</v>
      </c>
      <c r="I382" s="52">
        <f>SUM(J382:Q382)*IF(입력란!C$15=1,1.04,IF(입력란!C$15=2,1.1,IF(입력란!C$15=3,1.2,1)))*IF(입력란!$C$17&lt;&gt;0,0.98,1)*IF(입력란!$C$12=1,IF(G382="생명50%이하",1.2,1.1),1)*IF(입력란!$C$12=2,IF(G382="생명50%이하",1.3,1.1),1)*IF(입력란!$C$12=3,IF(G382="생명50%이하",1.4,1.1),1)</f>
        <v>440971.91971815022</v>
      </c>
      <c r="J382" s="29">
        <f>S382*(1+IF($AK382+IF(입력란!$C$19=1,10,0)+IF(MID(E382,3,1)="3",IF(G382="생명50%이하",트라이포드!$N$21,트라이포드!$M$21),0)&gt;100,100,$AK382+IF(입력란!$C$19=1,10,0)+IF(MID(E382,3,1)="3",IF(G382="생명50%이하",트라이포드!$N$21,트라이포드!$M$21),0))/100*($AL382/100-1))</f>
        <v>350496.04498990753</v>
      </c>
      <c r="K382" s="29">
        <f>T382*(1+IF($AK382+IF(입력란!$C$19=1,10,0)&gt;100,100,$AK382+IF(입력란!$C$19=1,10,0))/100*($AL382/100-1))</f>
        <v>45245.744916440446</v>
      </c>
      <c r="L382" s="29"/>
      <c r="M382" s="29"/>
      <c r="N382" s="38"/>
      <c r="O382" s="38"/>
      <c r="P382" s="38"/>
      <c r="Q382" s="34">
        <f>Z382*(1+IF($AK382+IF(입력란!$C$19=1,10,0)&gt;100,100,$AK382+IF(입력란!$C$19=1,10,0))/100*($AL382/100-1))</f>
        <v>45230.129811802253</v>
      </c>
      <c r="R382" s="23">
        <f>SUM(S382:Z382)</f>
        <v>266141.45679349953</v>
      </c>
      <c r="S382" s="29">
        <f>AN382*IF(MID(E382,3,1)="1",트라이포드!$J$21,트라이포드!$I$21)*IF(MID(E382,5,1)="2",트라이포드!$R$21,트라이포드!$Q$21)*(1+입력란!$C$34/100)</f>
        <v>192199.44934094243</v>
      </c>
      <c r="T382" s="29">
        <f>AO382*3*IF(MID(E382,5,1)="1",트라이포드!$P$21,트라이포드!$O$21)*(1+입력란!$C$34/100)</f>
        <v>36977.384500087042</v>
      </c>
      <c r="U382" s="29"/>
      <c r="V382" s="29"/>
      <c r="W382" s="29"/>
      <c r="X382" s="29"/>
      <c r="Y382" s="29"/>
      <c r="Z382" s="26">
        <f>(AN382+AO382*3)*IF(MID(E382,1,1)="2",트라이포드!$F$21,트라이포드!$E$21)*(1+입력란!$C$34/100)</f>
        <v>36964.62295247009</v>
      </c>
      <c r="AA382" s="29">
        <f>SUM(AB382:AI382)</f>
        <v>532282.91358699906</v>
      </c>
      <c r="AB382" s="29">
        <f>S382*2</f>
        <v>384398.89868188486</v>
      </c>
      <c r="AC382" s="29">
        <f>T382*2</f>
        <v>73954.769000174085</v>
      </c>
      <c r="AD382" s="29"/>
      <c r="AE382" s="29"/>
      <c r="AF382" s="38"/>
      <c r="AG382" s="38"/>
      <c r="AH382" s="38"/>
      <c r="AI382" s="26">
        <f>Z382*2</f>
        <v>73929.24590494018</v>
      </c>
      <c r="AJ382" s="29">
        <f>AR382*(1-입력란!$C$29/100)</f>
        <v>25.858093516830003</v>
      </c>
      <c r="AK38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382" s="25">
        <f>입력란!$C$37+IF(입력란!$C$17=1,10,IF(입력란!$C$17=2,25,IF(입력란!$C$17=3,50,0)))</f>
        <v>200</v>
      </c>
      <c r="AM382" s="29">
        <f>SUM(AN382:AP382)</f>
        <v>121473.8191522799</v>
      </c>
      <c r="AN382" s="29">
        <f>(VLOOKUP(C382,$B$4:$AK$7,27,FALSE)+VLOOKUP(C382,$B$8:$AK$11,27,FALSE)*입력란!$C$23)*입력란!$C$38/100</f>
        <v>112125.95678035039</v>
      </c>
      <c r="AO382" s="29">
        <f>(VLOOKUP(C382,$B$4:$AK$7,28,FALSE)+VLOOKUP(C382,$B$8:$AK$11,28,FALSE)*입력란!$C$23)*입력란!$C$38/100</f>
        <v>9347.8623719295138</v>
      </c>
      <c r="AP382" s="38"/>
      <c r="AQ382" s="38"/>
      <c r="AR382" s="22">
        <v>27</v>
      </c>
    </row>
    <row r="383" spans="2:44" ht="13.5" customHeight="1" x14ac:dyDescent="0.3">
      <c r="B383" s="30">
        <v>368</v>
      </c>
      <c r="C383" s="35">
        <v>1</v>
      </c>
      <c r="D383" s="43" t="s">
        <v>194</v>
      </c>
      <c r="E383" s="37" t="s">
        <v>57</v>
      </c>
      <c r="F383" s="39"/>
      <c r="G383" s="39" t="s">
        <v>430</v>
      </c>
      <c r="H383" s="80">
        <f>J383*2/(1+1/(K383/J383))</f>
        <v>8682.6428017467733</v>
      </c>
      <c r="I383" s="80"/>
      <c r="J383" s="29">
        <f t="array" ref="J383">IFERROR(INDEX($H$16:$H$582,MATCH(1,(C383=$C$16:$C$582)*(D383=$D$16:$D$582)*(E383=$E$16:$E$582)*(""=$G$16:$G$582),0)),"값이없음")</f>
        <v>8682.6428017467733</v>
      </c>
      <c r="K383" s="29">
        <f t="array" ref="K383">IFERROR(INDEX($H$16:$H$582,MATCH(1,(C383=$C$16:$C$582)*(D383=$D$16:$D$582)*(E383=$E$16:$E$582)*("생명50%이하"=$G$16:$G$582),0)),"값이없음")</f>
        <v>8682.6428017467733</v>
      </c>
      <c r="L383" s="29"/>
      <c r="M383" s="29"/>
      <c r="N383" s="38"/>
      <c r="O383" s="38"/>
      <c r="P383" s="38"/>
      <c r="Q383" s="34"/>
      <c r="R383" s="23"/>
      <c r="S383" s="29"/>
      <c r="T383" s="29"/>
      <c r="U383" s="29"/>
      <c r="V383" s="29"/>
      <c r="W383" s="29"/>
      <c r="X383" s="29"/>
      <c r="Y383" s="29"/>
      <c r="Z383" s="26"/>
      <c r="AA383" s="29"/>
      <c r="AB383" s="29"/>
      <c r="AC383" s="29"/>
      <c r="AD383" s="29"/>
      <c r="AE383" s="29"/>
      <c r="AF383" s="38"/>
      <c r="AG383" s="38"/>
      <c r="AH383" s="38"/>
      <c r="AI383" s="26"/>
      <c r="AJ383" s="29"/>
      <c r="AK383" s="25"/>
      <c r="AL383" s="25"/>
      <c r="AM383" s="29"/>
      <c r="AN383" s="29"/>
      <c r="AO383" s="29"/>
      <c r="AP383" s="38"/>
      <c r="AQ383" s="38"/>
      <c r="AR383" s="22"/>
    </row>
    <row r="384" spans="2:44" ht="13.5" customHeight="1" x14ac:dyDescent="0.3">
      <c r="B384" s="30">
        <v>369</v>
      </c>
      <c r="C384" s="35">
        <v>4</v>
      </c>
      <c r="D384" s="43" t="s">
        <v>194</v>
      </c>
      <c r="E384" s="37" t="s">
        <v>57</v>
      </c>
      <c r="F384" s="39"/>
      <c r="G384" s="39" t="s">
        <v>430</v>
      </c>
      <c r="H384" s="80">
        <f>J384*2/(1+1/(K384/J384))</f>
        <v>8718.4323996609</v>
      </c>
      <c r="I384" s="80"/>
      <c r="J384" s="29">
        <f t="array" ref="J384">IFERROR(INDEX($H$16:$H$582,MATCH(1,(C384=$C$16:$C$582)*(D384=$D$16:$D$582)*(E384=$E$16:$E$582)*(""=$G$16:$G$582),0)),"값이없음")</f>
        <v>8718.4323996609</v>
      </c>
      <c r="K384" s="29">
        <f t="array" ref="K384">IFERROR(INDEX($H$16:$H$582,MATCH(1,(C384=$C$16:$C$582)*(D384=$D$16:$D$582)*(E384=$E$16:$E$582)*("생명50%이하"=$G$16:$G$582),0)),"값이없음")</f>
        <v>8718.4323996609</v>
      </c>
      <c r="L384" s="29"/>
      <c r="M384" s="29"/>
      <c r="N384" s="38"/>
      <c r="O384" s="38"/>
      <c r="P384" s="38"/>
      <c r="Q384" s="34"/>
      <c r="R384" s="23"/>
      <c r="S384" s="29"/>
      <c r="T384" s="29"/>
      <c r="U384" s="29"/>
      <c r="V384" s="29"/>
      <c r="W384" s="29"/>
      <c r="X384" s="29"/>
      <c r="Y384" s="29"/>
      <c r="Z384" s="26"/>
      <c r="AA384" s="29"/>
      <c r="AB384" s="29"/>
      <c r="AC384" s="29"/>
      <c r="AD384" s="29"/>
      <c r="AE384" s="29"/>
      <c r="AF384" s="38"/>
      <c r="AG384" s="38"/>
      <c r="AH384" s="38"/>
      <c r="AI384" s="26"/>
      <c r="AJ384" s="29"/>
      <c r="AK384" s="25"/>
      <c r="AL384" s="25"/>
      <c r="AM384" s="29"/>
      <c r="AN384" s="29"/>
      <c r="AO384" s="29"/>
      <c r="AP384" s="38"/>
      <c r="AQ384" s="38"/>
      <c r="AR384" s="22"/>
    </row>
    <row r="385" spans="2:44" ht="13.5" customHeight="1" x14ac:dyDescent="0.3">
      <c r="B385" s="30">
        <v>370</v>
      </c>
      <c r="C385" s="35">
        <v>4</v>
      </c>
      <c r="D385" s="43" t="s">
        <v>194</v>
      </c>
      <c r="E385" s="37" t="s">
        <v>58</v>
      </c>
      <c r="F385" s="39"/>
      <c r="G385" s="39" t="s">
        <v>430</v>
      </c>
      <c r="H385" s="80">
        <f>J385*2/(1+1/(K385/J385))</f>
        <v>10462.118879593081</v>
      </c>
      <c r="I385" s="80"/>
      <c r="J385" s="29">
        <f t="array" ref="J385">IFERROR(INDEX($H$16:$H$582,MATCH(1,(C385=$C$16:$C$582)*(D385=$D$16:$D$582)*(E385=$E$16:$E$582)*(""=$G$16:$G$582),0)),"값이없음")</f>
        <v>10462.118879593081</v>
      </c>
      <c r="K385" s="29">
        <f t="array" ref="K385">IFERROR(INDEX($H$16:$H$582,MATCH(1,(C385=$C$16:$C$582)*(D385=$D$16:$D$582)*(E385=$E$16:$E$582)*("생명50%이하"=$G$16:$G$582),0)),"값이없음")</f>
        <v>10462.118879593081</v>
      </c>
      <c r="L385" s="29"/>
      <c r="M385" s="29"/>
      <c r="N385" s="38"/>
      <c r="O385" s="38"/>
      <c r="P385" s="38"/>
      <c r="Q385" s="34"/>
      <c r="R385" s="23"/>
      <c r="S385" s="29"/>
      <c r="T385" s="29"/>
      <c r="U385" s="29"/>
      <c r="V385" s="29"/>
      <c r="W385" s="29"/>
      <c r="X385" s="29"/>
      <c r="Y385" s="29"/>
      <c r="Z385" s="26"/>
      <c r="AA385" s="29"/>
      <c r="AB385" s="29"/>
      <c r="AC385" s="29"/>
      <c r="AD385" s="29"/>
      <c r="AE385" s="29"/>
      <c r="AF385" s="38"/>
      <c r="AG385" s="38"/>
      <c r="AH385" s="38"/>
      <c r="AI385" s="26"/>
      <c r="AJ385" s="29"/>
      <c r="AK385" s="25"/>
      <c r="AL385" s="25"/>
      <c r="AM385" s="29"/>
      <c r="AN385" s="29"/>
      <c r="AO385" s="29"/>
      <c r="AP385" s="38"/>
      <c r="AQ385" s="38"/>
      <c r="AR385" s="22"/>
    </row>
    <row r="386" spans="2:44" ht="13.5" customHeight="1" x14ac:dyDescent="0.3">
      <c r="B386" s="30">
        <v>371</v>
      </c>
      <c r="C386" s="35">
        <v>7</v>
      </c>
      <c r="D386" s="43" t="s">
        <v>194</v>
      </c>
      <c r="E386" s="37" t="s">
        <v>57</v>
      </c>
      <c r="F386" s="39"/>
      <c r="G386" s="39" t="s">
        <v>430</v>
      </c>
      <c r="H386" s="80">
        <f>J386*2/(1+1/(K386/J386))</f>
        <v>8735.1541783237062</v>
      </c>
      <c r="I386" s="80"/>
      <c r="J386" s="29">
        <f t="array" ref="J386">IFERROR(INDEX($H$16:$H$582,MATCH(1,(C386=$C$16:$C$582)*(D386=$D$16:$D$582)*(E386=$E$16:$E$582)*(""=$G$16:$G$582),0)),"값이없음")</f>
        <v>8735.1541783237062</v>
      </c>
      <c r="K386" s="29">
        <f t="array" ref="K386">IFERROR(INDEX($H$16:$H$582,MATCH(1,(C386=$C$16:$C$582)*(D386=$D$16:$D$582)*(E386=$E$16:$E$582)*("생명50%이하"=$G$16:$G$582),0)),"값이없음")</f>
        <v>8735.1541783237062</v>
      </c>
      <c r="L386" s="29"/>
      <c r="M386" s="29"/>
      <c r="N386" s="38"/>
      <c r="O386" s="38"/>
      <c r="P386" s="38"/>
      <c r="Q386" s="34"/>
      <c r="R386" s="23"/>
      <c r="S386" s="29"/>
      <c r="T386" s="29"/>
      <c r="U386" s="29"/>
      <c r="V386" s="29"/>
      <c r="W386" s="29"/>
      <c r="X386" s="29"/>
      <c r="Y386" s="29"/>
      <c r="Z386" s="26"/>
      <c r="AA386" s="29"/>
      <c r="AB386" s="29"/>
      <c r="AC386" s="29"/>
      <c r="AD386" s="29"/>
      <c r="AE386" s="29"/>
      <c r="AF386" s="38"/>
      <c r="AG386" s="38"/>
      <c r="AH386" s="38"/>
      <c r="AI386" s="26"/>
      <c r="AJ386" s="29"/>
      <c r="AK386" s="25"/>
      <c r="AL386" s="25"/>
      <c r="AM386" s="29"/>
      <c r="AN386" s="29"/>
      <c r="AO386" s="29"/>
      <c r="AP386" s="38"/>
      <c r="AQ386" s="38"/>
      <c r="AR386" s="22"/>
    </row>
    <row r="387" spans="2:44" ht="13.5" customHeight="1" x14ac:dyDescent="0.3">
      <c r="B387" s="30">
        <v>372</v>
      </c>
      <c r="C387" s="35">
        <v>7</v>
      </c>
      <c r="D387" s="43" t="s">
        <v>194</v>
      </c>
      <c r="E387" s="37" t="s">
        <v>77</v>
      </c>
      <c r="F387" s="39"/>
      <c r="G387" s="39" t="s">
        <v>430</v>
      </c>
      <c r="H387" s="80">
        <f>J387*2/(1+1/(K387/J387))</f>
        <v>10482.042780027869</v>
      </c>
      <c r="I387" s="80"/>
      <c r="J387" s="29">
        <f t="array" ref="J387">IFERROR(INDEX($H$16:$H$582,MATCH(1,(C387=$C$16:$C$582)*(D387=$D$16:$D$582)*(E387=$E$16:$E$582)*(""=$G$16:$G$582),0)),"값이없음")</f>
        <v>10482.042780027869</v>
      </c>
      <c r="K387" s="29">
        <f t="array" ref="K387">IFERROR(INDEX($H$16:$H$582,MATCH(1,(C387=$C$16:$C$582)*(D387=$D$16:$D$582)*(E387=$E$16:$E$582)*("생명50%이하"=$G$16:$G$582),0)),"값이없음")</f>
        <v>10482.042780027869</v>
      </c>
      <c r="L387" s="29"/>
      <c r="M387" s="29"/>
      <c r="N387" s="38"/>
      <c r="O387" s="38"/>
      <c r="P387" s="38"/>
      <c r="Q387" s="34"/>
      <c r="R387" s="23"/>
      <c r="S387" s="29"/>
      <c r="T387" s="29"/>
      <c r="U387" s="29"/>
      <c r="V387" s="29"/>
      <c r="W387" s="29"/>
      <c r="X387" s="29"/>
      <c r="Y387" s="29"/>
      <c r="Z387" s="26"/>
      <c r="AA387" s="29"/>
      <c r="AB387" s="29"/>
      <c r="AC387" s="29"/>
      <c r="AD387" s="29"/>
      <c r="AE387" s="29"/>
      <c r="AF387" s="38"/>
      <c r="AG387" s="38"/>
      <c r="AH387" s="38"/>
      <c r="AI387" s="26"/>
      <c r="AJ387" s="29"/>
      <c r="AK387" s="25"/>
      <c r="AL387" s="25"/>
      <c r="AM387" s="29"/>
      <c r="AN387" s="29"/>
      <c r="AO387" s="29"/>
      <c r="AP387" s="38"/>
      <c r="AQ387" s="38"/>
      <c r="AR387" s="22"/>
    </row>
    <row r="388" spans="2:44" ht="13.5" customHeight="1" x14ac:dyDescent="0.3">
      <c r="B388" s="30">
        <v>373</v>
      </c>
      <c r="C388" s="35">
        <v>7</v>
      </c>
      <c r="D388" s="43" t="s">
        <v>194</v>
      </c>
      <c r="E388" s="37" t="s">
        <v>60</v>
      </c>
      <c r="F388" s="39"/>
      <c r="G388" s="39" t="s">
        <v>430</v>
      </c>
      <c r="H388" s="80">
        <f>J388*2/(1+1/(K388/J388))</f>
        <v>10167.434783323273</v>
      </c>
      <c r="I388" s="80"/>
      <c r="J388" s="29">
        <f t="array" ref="J388">IFERROR(INDEX($H$16:$H$582,MATCH(1,(C388=$C$16:$C$582)*(D388=$D$16:$D$582)*(E388=$E$16:$E$582)*(""=$G$16:$G$582),0)),"값이없음")</f>
        <v>8735.1541783237062</v>
      </c>
      <c r="K388" s="29">
        <f t="array" ref="K388">IFERROR(INDEX($H$16:$H$582,MATCH(1,(C388=$C$16:$C$582)*(D388=$D$16:$D$582)*(E388=$E$16:$E$582)*("생명50%이하"=$G$16:$G$582),0)),"값이없음")</f>
        <v>12161.529230739981</v>
      </c>
      <c r="L388" s="29"/>
      <c r="M388" s="29"/>
      <c r="N388" s="38"/>
      <c r="O388" s="38"/>
      <c r="P388" s="38"/>
      <c r="Q388" s="34"/>
      <c r="R388" s="23"/>
      <c r="S388" s="29"/>
      <c r="T388" s="29"/>
      <c r="U388" s="29"/>
      <c r="V388" s="29"/>
      <c r="W388" s="29"/>
      <c r="X388" s="29"/>
      <c r="Y388" s="29"/>
      <c r="Z388" s="26"/>
      <c r="AA388" s="29"/>
      <c r="AB388" s="29"/>
      <c r="AC388" s="29"/>
      <c r="AD388" s="29"/>
      <c r="AE388" s="29"/>
      <c r="AF388" s="38"/>
      <c r="AG388" s="38"/>
      <c r="AH388" s="38"/>
      <c r="AI388" s="26"/>
      <c r="AJ388" s="29"/>
      <c r="AK388" s="25"/>
      <c r="AL388" s="25"/>
      <c r="AM388" s="29"/>
      <c r="AN388" s="29"/>
      <c r="AO388" s="29"/>
      <c r="AP388" s="38"/>
      <c r="AQ388" s="38"/>
      <c r="AR388" s="22"/>
    </row>
    <row r="389" spans="2:44" ht="13.5" customHeight="1" x14ac:dyDescent="0.3">
      <c r="B389" s="30">
        <v>374</v>
      </c>
      <c r="C389" s="35">
        <v>7</v>
      </c>
      <c r="D389" s="43" t="s">
        <v>194</v>
      </c>
      <c r="E389" s="37" t="s">
        <v>120</v>
      </c>
      <c r="F389" s="39"/>
      <c r="G389" s="39" t="s">
        <v>430</v>
      </c>
      <c r="H389" s="80">
        <f>J389*2/(1+1/(K389/J389))</f>
        <v>12229.07361569261</v>
      </c>
      <c r="I389" s="80"/>
      <c r="J389" s="29">
        <f t="array" ref="J389">IFERROR(INDEX($H$16:$H$582,MATCH(1,(C389=$C$16:$C$582)*(D389=$D$16:$D$582)*(E389=$E$16:$E$582)*(""=$G$16:$G$582),0)),"값이없음")</f>
        <v>12229.07361569261</v>
      </c>
      <c r="K389" s="29">
        <f t="array" ref="K389">IFERROR(INDEX($H$16:$H$582,MATCH(1,(C389=$C$16:$C$582)*(D389=$D$16:$D$582)*(E389=$E$16:$E$582)*("생명50%이하"=$G$16:$G$582),0)),"값이없음")</f>
        <v>12229.07361569261</v>
      </c>
      <c r="L389" s="29"/>
      <c r="M389" s="29"/>
      <c r="N389" s="38"/>
      <c r="O389" s="38"/>
      <c r="P389" s="38"/>
      <c r="Q389" s="34"/>
      <c r="R389" s="23"/>
      <c r="S389" s="29"/>
      <c r="T389" s="29"/>
      <c r="U389" s="29"/>
      <c r="V389" s="29"/>
      <c r="W389" s="29"/>
      <c r="X389" s="29"/>
      <c r="Y389" s="29"/>
      <c r="Z389" s="26"/>
      <c r="AA389" s="29"/>
      <c r="AB389" s="29"/>
      <c r="AC389" s="29"/>
      <c r="AD389" s="29"/>
      <c r="AE389" s="29"/>
      <c r="AF389" s="38"/>
      <c r="AG389" s="38"/>
      <c r="AH389" s="38"/>
      <c r="AI389" s="26"/>
      <c r="AJ389" s="29"/>
      <c r="AK389" s="25"/>
      <c r="AL389" s="25"/>
      <c r="AM389" s="29"/>
      <c r="AN389" s="29"/>
      <c r="AO389" s="29"/>
      <c r="AP389" s="38"/>
      <c r="AQ389" s="38"/>
      <c r="AR389" s="22"/>
    </row>
    <row r="390" spans="2:44" ht="13.5" customHeight="1" x14ac:dyDescent="0.3">
      <c r="B390" s="30">
        <v>375</v>
      </c>
      <c r="C390" s="35">
        <v>7</v>
      </c>
      <c r="D390" s="43" t="s">
        <v>194</v>
      </c>
      <c r="E390" s="37" t="s">
        <v>62</v>
      </c>
      <c r="F390" s="39"/>
      <c r="G390" s="39" t="s">
        <v>430</v>
      </c>
      <c r="H390" s="80">
        <f>J390*2/(1+1/(K390/J390))</f>
        <v>11954.70654247645</v>
      </c>
      <c r="I390" s="80"/>
      <c r="J390" s="29">
        <f t="array" ref="J390">IFERROR(INDEX($H$16:$H$582,MATCH(1,(C390=$C$16:$C$582)*(D390=$D$16:$D$582)*(E390=$E$16:$E$582)*(""=$G$16:$G$582),0)),"값이없음")</f>
        <v>10482.185013988448</v>
      </c>
      <c r="K390" s="29">
        <f t="array" ref="K390">IFERROR(INDEX($H$16:$H$582,MATCH(1,(C390=$C$16:$C$582)*(D390=$D$16:$D$582)*(E390=$E$16:$E$582)*("생명50%이하"=$G$16:$G$582),0)),"값이없음")</f>
        <v>13908.560066404722</v>
      </c>
      <c r="L390" s="29"/>
      <c r="M390" s="29"/>
      <c r="N390" s="38"/>
      <c r="O390" s="38"/>
      <c r="P390" s="38"/>
      <c r="Q390" s="34"/>
      <c r="R390" s="23"/>
      <c r="S390" s="29"/>
      <c r="T390" s="29"/>
      <c r="U390" s="29"/>
      <c r="V390" s="29"/>
      <c r="W390" s="29"/>
      <c r="X390" s="29"/>
      <c r="Y390" s="29"/>
      <c r="Z390" s="26"/>
      <c r="AA390" s="29"/>
      <c r="AB390" s="29"/>
      <c r="AC390" s="29"/>
      <c r="AD390" s="29"/>
      <c r="AE390" s="29"/>
      <c r="AF390" s="38"/>
      <c r="AG390" s="38"/>
      <c r="AH390" s="38"/>
      <c r="AI390" s="26"/>
      <c r="AJ390" s="29"/>
      <c r="AK390" s="25"/>
      <c r="AL390" s="25"/>
      <c r="AM390" s="29"/>
      <c r="AN390" s="29"/>
      <c r="AO390" s="29"/>
      <c r="AP390" s="38"/>
      <c r="AQ390" s="38"/>
      <c r="AR390" s="22"/>
    </row>
    <row r="391" spans="2:44" ht="13.5" customHeight="1" x14ac:dyDescent="0.3">
      <c r="B391" s="30">
        <v>376</v>
      </c>
      <c r="C391" s="35">
        <v>10</v>
      </c>
      <c r="D391" s="43" t="s">
        <v>194</v>
      </c>
      <c r="E391" s="37" t="s">
        <v>57</v>
      </c>
      <c r="F391" s="39"/>
      <c r="G391" s="39" t="s">
        <v>430</v>
      </c>
      <c r="H391" s="80">
        <f>J391*2/(1+1/(K391/J391))</f>
        <v>8745.8361503650231</v>
      </c>
      <c r="I391" s="80"/>
      <c r="J391" s="29">
        <f t="array" ref="J391">IFERROR(INDEX($H$16:$H$582,MATCH(1,(C391=$C$16:$C$582)*(D391=$D$16:$D$582)*(E391=$E$16:$E$582)*(""=$G$16:$G$582),0)),"값이없음")</f>
        <v>8745.8361503650231</v>
      </c>
      <c r="K391" s="29">
        <f t="array" ref="K391">IFERROR(INDEX($H$16:$H$582,MATCH(1,(C391=$C$16:$C$582)*(D391=$D$16:$D$582)*(E391=$E$16:$E$582)*("생명50%이하"=$G$16:$G$582),0)),"값이없음")</f>
        <v>8745.8361503650231</v>
      </c>
      <c r="L391" s="29"/>
      <c r="M391" s="29"/>
      <c r="N391" s="38"/>
      <c r="O391" s="38"/>
      <c r="P391" s="38"/>
      <c r="Q391" s="34"/>
      <c r="R391" s="23"/>
      <c r="S391" s="29"/>
      <c r="T391" s="29"/>
      <c r="U391" s="29"/>
      <c r="V391" s="29"/>
      <c r="W391" s="29"/>
      <c r="X391" s="29"/>
      <c r="Y391" s="29"/>
      <c r="Z391" s="26"/>
      <c r="AA391" s="29"/>
      <c r="AB391" s="29"/>
      <c r="AC391" s="29"/>
      <c r="AD391" s="29"/>
      <c r="AE391" s="29"/>
      <c r="AF391" s="38"/>
      <c r="AG391" s="38"/>
      <c r="AH391" s="38"/>
      <c r="AI391" s="26"/>
      <c r="AJ391" s="29"/>
      <c r="AK391" s="25"/>
      <c r="AL391" s="25"/>
      <c r="AM391" s="29"/>
      <c r="AN391" s="29"/>
      <c r="AO391" s="29"/>
      <c r="AP391" s="38"/>
      <c r="AQ391" s="38"/>
      <c r="AR391" s="22"/>
    </row>
    <row r="392" spans="2:44" ht="13.5" customHeight="1" x14ac:dyDescent="0.3">
      <c r="B392" s="30">
        <v>377</v>
      </c>
      <c r="C392" s="35">
        <v>10</v>
      </c>
      <c r="D392" s="43" t="s">
        <v>194</v>
      </c>
      <c r="E392" s="37" t="s">
        <v>100</v>
      </c>
      <c r="F392" s="39"/>
      <c r="G392" s="39" t="s">
        <v>430</v>
      </c>
      <c r="H392" s="80">
        <f>J392*2/(1+1/(K392/J392))</f>
        <v>12245.378364255756</v>
      </c>
      <c r="I392" s="80"/>
      <c r="J392" s="29">
        <f t="array" ref="J392">IFERROR(INDEX($H$16:$H$582,MATCH(1,(C392=$C$16:$C$582)*(D392=$D$16:$D$582)*(E392=$E$16:$E$582)*(""=$G$16:$G$582),0)),"값이없음")</f>
        <v>12245.378364255756</v>
      </c>
      <c r="K392" s="29">
        <f t="array" ref="K392">IFERROR(INDEX($H$16:$H$582,MATCH(1,(C392=$C$16:$C$582)*(D392=$D$16:$D$582)*(E392=$E$16:$E$582)*("생명50%이하"=$G$16:$G$582),0)),"값이없음")</f>
        <v>12245.378364255756</v>
      </c>
      <c r="L392" s="29"/>
      <c r="M392" s="29"/>
      <c r="N392" s="38"/>
      <c r="O392" s="38"/>
      <c r="P392" s="38"/>
      <c r="Q392" s="34"/>
      <c r="R392" s="23"/>
      <c r="S392" s="29"/>
      <c r="T392" s="29"/>
      <c r="U392" s="29"/>
      <c r="V392" s="29"/>
      <c r="W392" s="29"/>
      <c r="X392" s="29"/>
      <c r="Y392" s="29"/>
      <c r="Z392" s="26"/>
      <c r="AA392" s="29"/>
      <c r="AB392" s="29"/>
      <c r="AC392" s="29"/>
      <c r="AD392" s="29"/>
      <c r="AE392" s="29"/>
      <c r="AF392" s="38"/>
      <c r="AG392" s="38"/>
      <c r="AH392" s="38"/>
      <c r="AI392" s="26"/>
      <c r="AJ392" s="29"/>
      <c r="AK392" s="25"/>
      <c r="AL392" s="25"/>
      <c r="AM392" s="29"/>
      <c r="AN392" s="29"/>
      <c r="AO392" s="29"/>
      <c r="AP392" s="38"/>
      <c r="AQ392" s="38"/>
      <c r="AR392" s="22"/>
    </row>
    <row r="393" spans="2:44" ht="13.5" customHeight="1" x14ac:dyDescent="0.3">
      <c r="B393" s="30">
        <v>378</v>
      </c>
      <c r="C393" s="35">
        <v>10</v>
      </c>
      <c r="D393" s="43" t="s">
        <v>194</v>
      </c>
      <c r="E393" s="37" t="s">
        <v>101</v>
      </c>
      <c r="F393" s="39"/>
      <c r="G393" s="39" t="s">
        <v>430</v>
      </c>
      <c r="H393" s="80">
        <f>J393*2/(1+1/(K393/J393))</f>
        <v>10844.655663390919</v>
      </c>
      <c r="I393" s="80"/>
      <c r="J393" s="29">
        <f t="array" ref="J393">IFERROR(INDEX($H$16:$H$582,MATCH(1,(C393=$C$16:$C$582)*(D393=$D$16:$D$582)*(E393=$E$16:$E$582)*(""=$G$16:$G$582),0)),"값이없음")</f>
        <v>10844.655663390919</v>
      </c>
      <c r="K393" s="29">
        <f t="array" ref="K393">IFERROR(INDEX($H$16:$H$582,MATCH(1,(C393=$C$16:$C$582)*(D393=$D$16:$D$582)*(E393=$E$16:$E$582)*("생명50%이하"=$G$16:$G$582),0)),"값이없음")</f>
        <v>10844.655663390919</v>
      </c>
      <c r="L393" s="29"/>
      <c r="M393" s="29"/>
      <c r="N393" s="38"/>
      <c r="O393" s="38"/>
      <c r="P393" s="38"/>
      <c r="Q393" s="34"/>
      <c r="R393" s="23"/>
      <c r="S393" s="29"/>
      <c r="T393" s="29"/>
      <c r="U393" s="29"/>
      <c r="V393" s="29"/>
      <c r="W393" s="29"/>
      <c r="X393" s="29"/>
      <c r="Y393" s="29"/>
      <c r="Z393" s="26"/>
      <c r="AA393" s="29"/>
      <c r="AB393" s="29"/>
      <c r="AC393" s="29"/>
      <c r="AD393" s="29"/>
      <c r="AE393" s="29"/>
      <c r="AF393" s="38"/>
      <c r="AG393" s="38"/>
      <c r="AH393" s="38"/>
      <c r="AI393" s="26"/>
      <c r="AJ393" s="29"/>
      <c r="AK393" s="25"/>
      <c r="AL393" s="25"/>
      <c r="AM393" s="29"/>
      <c r="AN393" s="29"/>
      <c r="AO393" s="29"/>
      <c r="AP393" s="38"/>
      <c r="AQ393" s="38"/>
      <c r="AR393" s="22"/>
    </row>
    <row r="394" spans="2:44" ht="13.5" customHeight="1" x14ac:dyDescent="0.3">
      <c r="B394" s="30">
        <v>379</v>
      </c>
      <c r="C394" s="35">
        <v>10</v>
      </c>
      <c r="D394" s="43" t="s">
        <v>194</v>
      </c>
      <c r="E394" s="37" t="s">
        <v>117</v>
      </c>
      <c r="F394" s="39"/>
      <c r="G394" s="39" t="s">
        <v>430</v>
      </c>
      <c r="H394" s="80">
        <f>J394*2/(1+1/(K394/J394))</f>
        <v>13994.54559432876</v>
      </c>
      <c r="I394" s="80"/>
      <c r="J394" s="29">
        <f t="array" ref="J394">IFERROR(INDEX($H$16:$H$582,MATCH(1,(C394=$C$16:$C$582)*(D394=$D$16:$D$582)*(E394=$E$16:$E$582)*(""=$G$16:$G$582),0)),"값이없음")</f>
        <v>13994.54559432876</v>
      </c>
      <c r="K394" s="29">
        <f t="array" ref="K394">IFERROR(INDEX($H$16:$H$582,MATCH(1,(C394=$C$16:$C$582)*(D394=$D$16:$D$582)*(E394=$E$16:$E$582)*("생명50%이하"=$G$16:$G$582),0)),"값이없음")</f>
        <v>13994.54559432876</v>
      </c>
      <c r="L394" s="29"/>
      <c r="M394" s="29"/>
      <c r="N394" s="38"/>
      <c r="O394" s="38"/>
      <c r="P394" s="38"/>
      <c r="Q394" s="34"/>
      <c r="R394" s="23"/>
      <c r="S394" s="29"/>
      <c r="T394" s="29"/>
      <c r="U394" s="29"/>
      <c r="V394" s="29"/>
      <c r="W394" s="29"/>
      <c r="X394" s="29"/>
      <c r="Y394" s="29"/>
      <c r="Z394" s="26"/>
      <c r="AA394" s="29"/>
      <c r="AB394" s="29"/>
      <c r="AC394" s="29"/>
      <c r="AD394" s="29"/>
      <c r="AE394" s="29"/>
      <c r="AF394" s="38"/>
      <c r="AG394" s="38"/>
      <c r="AH394" s="38"/>
      <c r="AI394" s="26"/>
      <c r="AJ394" s="29"/>
      <c r="AK394" s="25"/>
      <c r="AL394" s="25"/>
      <c r="AM394" s="29"/>
      <c r="AN394" s="29"/>
      <c r="AO394" s="29"/>
      <c r="AP394" s="38"/>
      <c r="AQ394" s="38"/>
      <c r="AR394" s="22"/>
    </row>
    <row r="395" spans="2:44" ht="13.5" customHeight="1" x14ac:dyDescent="0.3">
      <c r="B395" s="30">
        <v>380</v>
      </c>
      <c r="C395" s="35">
        <v>10</v>
      </c>
      <c r="D395" s="43" t="s">
        <v>194</v>
      </c>
      <c r="E395" s="37" t="s">
        <v>124</v>
      </c>
      <c r="F395" s="39"/>
      <c r="G395" s="39" t="s">
        <v>430</v>
      </c>
      <c r="H395" s="80">
        <f>J395*2/(1+1/(K395/J395))</f>
        <v>12593.822893463923</v>
      </c>
      <c r="I395" s="80"/>
      <c r="J395" s="29">
        <f t="array" ref="J395">IFERROR(INDEX($H$16:$H$582,MATCH(1,(C395=$C$16:$C$582)*(D395=$D$16:$D$582)*(E395=$E$16:$E$582)*(""=$G$16:$G$582),0)),"값이없음")</f>
        <v>12593.822893463923</v>
      </c>
      <c r="K395" s="29">
        <f t="array" ref="K395">IFERROR(INDEX($H$16:$H$582,MATCH(1,(C395=$C$16:$C$582)*(D395=$D$16:$D$582)*(E395=$E$16:$E$582)*("생명50%이하"=$G$16:$G$582),0)),"값이없음")</f>
        <v>12593.822893463923</v>
      </c>
      <c r="L395" s="29"/>
      <c r="M395" s="29"/>
      <c r="N395" s="38"/>
      <c r="O395" s="38"/>
      <c r="P395" s="38"/>
      <c r="Q395" s="34"/>
      <c r="R395" s="23"/>
      <c r="S395" s="29"/>
      <c r="T395" s="29"/>
      <c r="U395" s="29"/>
      <c r="V395" s="29"/>
      <c r="W395" s="29"/>
      <c r="X395" s="29"/>
      <c r="Y395" s="29"/>
      <c r="Z395" s="26"/>
      <c r="AA395" s="29"/>
      <c r="AB395" s="29"/>
      <c r="AC395" s="29"/>
      <c r="AD395" s="29"/>
      <c r="AE395" s="29"/>
      <c r="AF395" s="38"/>
      <c r="AG395" s="38"/>
      <c r="AH395" s="38"/>
      <c r="AI395" s="26"/>
      <c r="AJ395" s="29"/>
      <c r="AK395" s="25"/>
      <c r="AL395" s="25"/>
      <c r="AM395" s="29"/>
      <c r="AN395" s="29"/>
      <c r="AO395" s="29"/>
      <c r="AP395" s="38"/>
      <c r="AQ395" s="38"/>
      <c r="AR395" s="22"/>
    </row>
    <row r="396" spans="2:44" ht="13.5" customHeight="1" x14ac:dyDescent="0.3">
      <c r="B396" s="30">
        <v>381</v>
      </c>
      <c r="C396" s="35">
        <v>10</v>
      </c>
      <c r="D396" s="43" t="s">
        <v>194</v>
      </c>
      <c r="E396" s="37" t="s">
        <v>125</v>
      </c>
      <c r="F396" s="39"/>
      <c r="G396" s="39" t="s">
        <v>430</v>
      </c>
      <c r="H396" s="80">
        <f>J396*2/(1+1/(K396/J396))</f>
        <v>15743.561855183672</v>
      </c>
      <c r="I396" s="80"/>
      <c r="J396" s="29">
        <f t="array" ref="J396">IFERROR(INDEX($H$16:$H$582,MATCH(1,(C396=$C$16:$C$582)*(D396=$D$16:$D$582)*(E396=$E$16:$E$582)*(""=$G$16:$G$582),0)),"값이없음")</f>
        <v>15743.561855183672</v>
      </c>
      <c r="K396" s="29">
        <f t="array" ref="K396">IFERROR(INDEX($H$16:$H$582,MATCH(1,(C396=$C$16:$C$582)*(D396=$D$16:$D$582)*(E396=$E$16:$E$582)*("생명50%이하"=$G$16:$G$582),0)),"값이없음")</f>
        <v>15743.561855183672</v>
      </c>
      <c r="L396" s="29"/>
      <c r="M396" s="29"/>
      <c r="N396" s="38"/>
      <c r="O396" s="38"/>
      <c r="P396" s="38"/>
      <c r="Q396" s="34"/>
      <c r="R396" s="23"/>
      <c r="S396" s="29"/>
      <c r="T396" s="29"/>
      <c r="U396" s="29"/>
      <c r="V396" s="29"/>
      <c r="W396" s="29"/>
      <c r="X396" s="29"/>
      <c r="Y396" s="29"/>
      <c r="Z396" s="26"/>
      <c r="AA396" s="29"/>
      <c r="AB396" s="29"/>
      <c r="AC396" s="29"/>
      <c r="AD396" s="29"/>
      <c r="AE396" s="29"/>
      <c r="AF396" s="38"/>
      <c r="AG396" s="38"/>
      <c r="AH396" s="38"/>
      <c r="AI396" s="26"/>
      <c r="AJ396" s="29"/>
      <c r="AK396" s="25"/>
      <c r="AL396" s="25"/>
      <c r="AM396" s="29"/>
      <c r="AN396" s="29"/>
      <c r="AO396" s="29"/>
      <c r="AP396" s="38"/>
      <c r="AQ396" s="38"/>
      <c r="AR396" s="22"/>
    </row>
    <row r="397" spans="2:44" ht="13.5" customHeight="1" x14ac:dyDescent="0.3">
      <c r="B397" s="30">
        <v>382</v>
      </c>
      <c r="C397" s="35">
        <v>10</v>
      </c>
      <c r="D397" s="43" t="s">
        <v>194</v>
      </c>
      <c r="E397" s="37" t="s">
        <v>126</v>
      </c>
      <c r="F397" s="39"/>
      <c r="G397" s="39" t="s">
        <v>430</v>
      </c>
      <c r="H397" s="80">
        <f>J397*2/(1+1/(K397/J397))</f>
        <v>14867.544032575312</v>
      </c>
      <c r="I397" s="80"/>
      <c r="J397" s="29">
        <f t="array" ref="J397">IFERROR(INDEX($H$16:$H$582,MATCH(1,(C397=$C$16:$C$582)*(D397=$D$16:$D$582)*(E397=$E$16:$E$582)*(""=$G$16:$G$582),0)),"값이없음")</f>
        <v>14867.544032575312</v>
      </c>
      <c r="K397" s="29">
        <f t="array" ref="K397">IFERROR(INDEX($H$16:$H$582,MATCH(1,(C397=$C$16:$C$582)*(D397=$D$16:$D$582)*(E397=$E$16:$E$582)*("생명50%이하"=$G$16:$G$582),0)),"값이없음")</f>
        <v>14867.544032575312</v>
      </c>
      <c r="L397" s="29"/>
      <c r="M397" s="29"/>
      <c r="N397" s="38"/>
      <c r="O397" s="38"/>
      <c r="P397" s="38"/>
      <c r="Q397" s="34"/>
      <c r="R397" s="23"/>
      <c r="S397" s="29"/>
      <c r="T397" s="29"/>
      <c r="U397" s="29"/>
      <c r="V397" s="29"/>
      <c r="W397" s="29"/>
      <c r="X397" s="29"/>
      <c r="Y397" s="29"/>
      <c r="Z397" s="26"/>
      <c r="AA397" s="29"/>
      <c r="AB397" s="29"/>
      <c r="AC397" s="29"/>
      <c r="AD397" s="29"/>
      <c r="AE397" s="29"/>
      <c r="AF397" s="38"/>
      <c r="AG397" s="38"/>
      <c r="AH397" s="38"/>
      <c r="AI397" s="26"/>
      <c r="AJ397" s="29"/>
      <c r="AK397" s="25"/>
      <c r="AL397" s="25"/>
      <c r="AM397" s="29"/>
      <c r="AN397" s="29"/>
      <c r="AO397" s="29"/>
      <c r="AP397" s="38"/>
      <c r="AQ397" s="38"/>
      <c r="AR397" s="22"/>
    </row>
    <row r="398" spans="2:44" ht="13.5" customHeight="1" x14ac:dyDescent="0.3">
      <c r="B398" s="30">
        <v>383</v>
      </c>
      <c r="C398" s="35">
        <v>10</v>
      </c>
      <c r="D398" s="43" t="s">
        <v>194</v>
      </c>
      <c r="E398" s="37" t="s">
        <v>84</v>
      </c>
      <c r="F398" s="39"/>
      <c r="G398" s="39" t="s">
        <v>430</v>
      </c>
      <c r="H398" s="80">
        <f>J398*2/(1+1/(K398/J398))</f>
        <v>15522.537802097491</v>
      </c>
      <c r="I398" s="80"/>
      <c r="J398" s="29">
        <f t="array" ref="J398">IFERROR(INDEX($H$16:$H$582,MATCH(1,(C398=$C$16:$C$582)*(D398=$D$16:$D$582)*(E398=$E$16:$E$582)*(""=$G$16:$G$582),0)),"값이없음")</f>
        <v>13994.54559432876</v>
      </c>
      <c r="K398" s="29">
        <f t="array" ref="K398">IFERROR(INDEX($H$16:$H$582,MATCH(1,(C398=$C$16:$C$582)*(D398=$D$16:$D$582)*(E398=$E$16:$E$582)*("생명50%이하"=$G$16:$G$582),0)),"값이없음")</f>
        <v>17425.093871200832</v>
      </c>
      <c r="L398" s="29"/>
      <c r="M398" s="29"/>
      <c r="N398" s="38"/>
      <c r="O398" s="38"/>
      <c r="P398" s="38"/>
      <c r="Q398" s="34"/>
      <c r="R398" s="23"/>
      <c r="S398" s="29"/>
      <c r="T398" s="29"/>
      <c r="U398" s="29"/>
      <c r="V398" s="29"/>
      <c r="W398" s="29"/>
      <c r="X398" s="29"/>
      <c r="Y398" s="29"/>
      <c r="Z398" s="26"/>
      <c r="AA398" s="29"/>
      <c r="AB398" s="29"/>
      <c r="AC398" s="29"/>
      <c r="AD398" s="29"/>
      <c r="AE398" s="29"/>
      <c r="AF398" s="38"/>
      <c r="AG398" s="38"/>
      <c r="AH398" s="38"/>
      <c r="AI398" s="26"/>
      <c r="AJ398" s="29"/>
      <c r="AK398" s="25"/>
      <c r="AL398" s="25"/>
      <c r="AM398" s="29"/>
      <c r="AN398" s="29"/>
      <c r="AO398" s="29"/>
      <c r="AP398" s="38"/>
      <c r="AQ398" s="38"/>
      <c r="AR398" s="22"/>
    </row>
    <row r="399" spans="2:44" ht="13.5" customHeight="1" x14ac:dyDescent="0.3">
      <c r="B399" s="30">
        <v>384</v>
      </c>
      <c r="C399" s="35">
        <v>10</v>
      </c>
      <c r="D399" s="43" t="s">
        <v>194</v>
      </c>
      <c r="E399" s="37" t="s">
        <v>85</v>
      </c>
      <c r="F399" s="39"/>
      <c r="G399" s="39" t="s">
        <v>430</v>
      </c>
      <c r="H399" s="80">
        <f>J399*2/(1+1/(K399/J399))</f>
        <v>14488.252461803047</v>
      </c>
      <c r="I399" s="80"/>
      <c r="J399" s="29">
        <f t="array" ref="J399">IFERROR(INDEX($H$16:$H$582,MATCH(1,(C399=$C$16:$C$582)*(D399=$D$16:$D$582)*(E399=$E$16:$E$582)*(""=$G$16:$G$582),0)),"값이없음")</f>
        <v>12593.822893463923</v>
      </c>
      <c r="K399" s="29">
        <f t="array" ref="K399">IFERROR(INDEX($H$16:$H$582,MATCH(1,(C399=$C$16:$C$582)*(D399=$D$16:$D$582)*(E399=$E$16:$E$582)*("생명50%이하"=$G$16:$G$582),0)),"값이없음")</f>
        <v>17053.535653397616</v>
      </c>
      <c r="L399" s="29"/>
      <c r="M399" s="29"/>
      <c r="N399" s="38"/>
      <c r="O399" s="38"/>
      <c r="P399" s="38"/>
      <c r="Q399" s="34"/>
      <c r="R399" s="23"/>
      <c r="S399" s="29"/>
      <c r="T399" s="29"/>
      <c r="U399" s="29"/>
      <c r="V399" s="29"/>
      <c r="W399" s="29"/>
      <c r="X399" s="29"/>
      <c r="Y399" s="29"/>
      <c r="Z399" s="26"/>
      <c r="AA399" s="29"/>
      <c r="AB399" s="29"/>
      <c r="AC399" s="29"/>
      <c r="AD399" s="29"/>
      <c r="AE399" s="29"/>
      <c r="AF399" s="38"/>
      <c r="AG399" s="38"/>
      <c r="AH399" s="38"/>
      <c r="AI399" s="26"/>
      <c r="AJ399" s="29"/>
      <c r="AK399" s="25"/>
      <c r="AL399" s="25"/>
      <c r="AM399" s="29"/>
      <c r="AN399" s="29"/>
      <c r="AO399" s="29"/>
      <c r="AP399" s="38"/>
      <c r="AQ399" s="38"/>
      <c r="AR399" s="22"/>
    </row>
    <row r="400" spans="2:44" ht="13.5" customHeight="1" x14ac:dyDescent="0.3">
      <c r="B400" s="30">
        <v>385</v>
      </c>
      <c r="C400" s="35">
        <v>1</v>
      </c>
      <c r="D400" s="43" t="s">
        <v>211</v>
      </c>
      <c r="E400" s="37" t="s">
        <v>196</v>
      </c>
      <c r="F400" s="39"/>
      <c r="G400" s="39"/>
      <c r="H400" s="80">
        <f>I400/AJ400</f>
        <v>8118.8107711909734</v>
      </c>
      <c r="I400" s="52">
        <f>SUM(J400:Q400)*IF(입력란!C$15=1,1.04,IF(입력란!C$15=2,1.1,IF(입력란!C$15=3,1.2,1)))*IF(입력란!$C$17&lt;&gt;0,0.98,1)*IF(입력란!$C$12=1,IF(G400="생명50%이하",1.2,1.1),1)*IF(입력란!$C$12=2,IF(G400="생명50%이하",1.3,1.1),1)*IF(입력란!$C$12=3,IF(G400="생명50%이하",1.4,1.1),1)</f>
        <v>186610.63837058033</v>
      </c>
      <c r="J400" s="29">
        <f>S400*(1+IF($AK400+IF(입력란!$C$19=1,10,0)+IF(MID(E400,3,1)="1",IF(G400="생명50%이하",트라이포드!$J$22,트라이포드!$I$22),0)&gt;100,100,$AK400+IF(입력란!$C$19=1,10,0)+IF(MID(E400,3,1)="1",IF(G400="생명50%이하",트라이포드!$J$22,트라이포드!$I$22),0))/100*($AL400/100-1))</f>
        <v>186610.63837058033</v>
      </c>
      <c r="K400" s="29">
        <f>T400*(1+IF($AK400+IF(입력란!$C$19=1,10,0)+IF(MID(E400,3,1)="1",IF(G400="생명50%이하",트라이포드!$J$22,트라이포드!$I$22),0)&gt;100,100,$AK400+IF(입력란!$C$19=1,10,0)+IF(MID(E400,3,1)="1",IF(G400="생명50%이하",트라이포드!$J$22,트라이포드!$I$22),0))/100*($AL400/100-1))</f>
        <v>0</v>
      </c>
      <c r="L400" s="29">
        <f>U400*(1+IF($AK400+IF(입력란!$C$19=1,10,0)+IF(MID(E400,3,1)="1",IF(G400="생명50%이하",트라이포드!$J$22,트라이포드!$I$22),0)&gt;100,100,$AK400+IF(입력란!$C$19=1,10,0)+IF(MID(E400,3,1)="1",IF(G400="생명50%이하",트라이포드!$J$22,트라이포드!$I$22),0))/100*($AL400/100-1))</f>
        <v>0</v>
      </c>
      <c r="M400" s="29">
        <f>V400*(1+IF($AK400+IF(입력란!$C$19=1,10,0)+IF(MID(E400,3,1)="1",IF(G400="생명50%이하",트라이포드!$J$22,트라이포드!$I$22),0)&gt;100,100,$AK400+IF(입력란!$C$19=1,10,0)+IF(MID(E400,3,1)="1",IF(G400="생명50%이하",트라이포드!$J$22,트라이포드!$I$22),0))/100*($AL400/100-1))</f>
        <v>0</v>
      </c>
      <c r="N400" s="38"/>
      <c r="O400" s="38"/>
      <c r="P400" s="38"/>
      <c r="Q400" s="34"/>
      <c r="R400" s="23">
        <f>SUM(S400:Z400)</f>
        <v>152508.77932453563</v>
      </c>
      <c r="S400" s="29">
        <f>AN400*IF(MID(E400,3,1)="2",트라이포드!$L$22,트라이포드!$K$22)*IF(MID(E400,5,1)="1",트라이포드!$P$22,트라이포드!$O$22)*(1+입력란!$C$34/100)</f>
        <v>152508.77932453563</v>
      </c>
      <c r="T400" s="29">
        <f>AN400*IF(MID(E400,3,1)="2",트라이포드!$L$22,트라이포드!$K$22)*IF(MID(E400,5,1)="2",트라이포드!$R$22,트라이포드!$F$22)*(1+입력란!$C$34/100)/3</f>
        <v>0</v>
      </c>
      <c r="U400" s="29">
        <f>AN400*IF(MID(E400,3,1)="2",트라이포드!$L$22,트라이포드!$K$22)*IF(MID(E400,5,1)="2",트라이포드!$R$22,트라이포드!$F$22)*(1+입력란!$C$34/100)/3</f>
        <v>0</v>
      </c>
      <c r="V400" s="29">
        <f>AN400*IF(MID(E400,3,1)="2",트라이포드!$L$22,트라이포드!$K$22)*IF(MID(E400,5,1)="2",트라이포드!$R$22,트라이포드!$F$22)*(1+입력란!$C$34/100)/3</f>
        <v>0</v>
      </c>
      <c r="W400" s="29"/>
      <c r="X400" s="29"/>
      <c r="Y400" s="29"/>
      <c r="Z400" s="26"/>
      <c r="AA400" s="29">
        <f>SUM(AB400:AI400)</f>
        <v>305017.55864907126</v>
      </c>
      <c r="AB400" s="29">
        <f>S400*2</f>
        <v>305017.55864907126</v>
      </c>
      <c r="AC400" s="29">
        <f>T400*2</f>
        <v>0</v>
      </c>
      <c r="AD400" s="29">
        <f>U400*2</f>
        <v>0</v>
      </c>
      <c r="AE400" s="29">
        <f>V400*2</f>
        <v>0</v>
      </c>
      <c r="AF400" s="38"/>
      <c r="AG400" s="38"/>
      <c r="AH400" s="38"/>
      <c r="AI400" s="26"/>
      <c r="AJ400" s="29">
        <f>AR400*(1-입력란!$C$29/100)</f>
        <v>22.98497201496</v>
      </c>
      <c r="AK40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0" s="25">
        <f>입력란!$C$37+IF(입력란!$C$17=1,10,IF(입력란!$C$17=2,25,IF(입력란!$C$17=3,50,0)))</f>
        <v>200</v>
      </c>
      <c r="AM400" s="29">
        <f>SUM(AN400:AP400)</f>
        <v>115662.40546029202</v>
      </c>
      <c r="AN400" s="29">
        <f>(VLOOKUP(C400,$B$4:$AK$7,29,FALSE)+VLOOKUP(C400,$B$8:$AK$11,29,FALSE)*입력란!$C$23)*입력란!$C$38/100</f>
        <v>115662.40546029202</v>
      </c>
      <c r="AO400" s="29"/>
      <c r="AP400" s="38"/>
      <c r="AQ400" s="38"/>
      <c r="AR400" s="22">
        <v>24</v>
      </c>
    </row>
    <row r="401" spans="2:44" ht="13.5" customHeight="1" x14ac:dyDescent="0.3">
      <c r="B401" s="30">
        <v>386</v>
      </c>
      <c r="C401" s="39">
        <v>4</v>
      </c>
      <c r="D401" s="43" t="s">
        <v>211</v>
      </c>
      <c r="E401" s="37" t="s">
        <v>196</v>
      </c>
      <c r="F401" s="39"/>
      <c r="G401" s="39"/>
      <c r="H401" s="80">
        <f>I401/AJ401</f>
        <v>8152.3073640086141</v>
      </c>
      <c r="I401" s="52">
        <f>SUM(J401:Q401)*IF(입력란!C$15=1,1.04,IF(입력란!C$15=2,1.1,IF(입력란!C$15=3,1.2,1)))*IF(입력란!$C$17&lt;&gt;0,0.98,1)*IF(입력란!$C$12=1,IF(G401="생명50%이하",1.2,1.1),1)*IF(입력란!$C$12=2,IF(G401="생명50%이하",1.3,1.1),1)*IF(입력란!$C$12=3,IF(G401="생명50%이하",1.4,1.1),1)</f>
        <v>187380.55661909032</v>
      </c>
      <c r="J401" s="29">
        <f>S401*(1+IF($AK401+IF(입력란!$C$19=1,10,0)+IF(MID(E401,3,1)="1",IF(G401="생명50%이하",트라이포드!$J$22,트라이포드!$I$22),0)&gt;100,100,$AK401+IF(입력란!$C$19=1,10,0)+IF(MID(E401,3,1)="1",IF(G401="생명50%이하",트라이포드!$J$22,트라이포드!$I$22),0))/100*($AL401/100-1))</f>
        <v>187380.55661909032</v>
      </c>
      <c r="K401" s="29">
        <f>T401*(1+IF($AK401+IF(입력란!$C$19=1,10,0)+IF(MID(E401,3,1)="1",IF(G401="생명50%이하",트라이포드!$J$22,트라이포드!$I$22),0)&gt;100,100,$AK401+IF(입력란!$C$19=1,10,0)+IF(MID(E401,3,1)="1",IF(G401="생명50%이하",트라이포드!$J$22,트라이포드!$I$22),0))/100*($AL401/100-1))</f>
        <v>0</v>
      </c>
      <c r="L401" s="29">
        <f>U401*(1+IF($AK401+IF(입력란!$C$19=1,10,0)+IF(MID(E401,3,1)="1",IF(G401="생명50%이하",트라이포드!$J$22,트라이포드!$I$22),0)&gt;100,100,$AK401+IF(입력란!$C$19=1,10,0)+IF(MID(E401,3,1)="1",IF(G401="생명50%이하",트라이포드!$J$22,트라이포드!$I$22),0))/100*($AL401/100-1))</f>
        <v>0</v>
      </c>
      <c r="M401" s="29">
        <f>V401*(1+IF($AK401+IF(입력란!$C$19=1,10,0)+IF(MID(E401,3,1)="1",IF(G401="생명50%이하",트라이포드!$J$22,트라이포드!$I$22),0)&gt;100,100,$AK401+IF(입력란!$C$19=1,10,0)+IF(MID(E401,3,1)="1",IF(G401="생명50%이하",트라이포드!$J$22,트라이포드!$I$22),0))/100*($AL401/100-1))</f>
        <v>0</v>
      </c>
      <c r="N401" s="38"/>
      <c r="O401" s="38"/>
      <c r="P401" s="38"/>
      <c r="Q401" s="34"/>
      <c r="R401" s="23">
        <f>SUM(S401:Z401)</f>
        <v>153138.00010897324</v>
      </c>
      <c r="S401" s="29">
        <f>AN401*IF(MID(E401,3,1)="2",트라이포드!$L$22,트라이포드!$K$22)*IF(MID(E401,5,1)="1",트라이포드!$P$22,트라이포드!$O$22)*(1+입력란!$C$34/100)</f>
        <v>153138.00010897324</v>
      </c>
      <c r="T401" s="29">
        <f>AN401*IF(MID(E401,3,1)="2",트라이포드!$L$22,트라이포드!$K$22)*IF(MID(E401,5,1)="2",트라이포드!$R$22,트라이포드!$F$22)*(1+입력란!$C$34/100)/3</f>
        <v>0</v>
      </c>
      <c r="U401" s="29">
        <f>AN401*IF(MID(E401,3,1)="2",트라이포드!$L$22,트라이포드!$K$22)*IF(MID(E401,5,1)="2",트라이포드!$R$22,트라이포드!$F$22)*(1+입력란!$C$34/100)/3</f>
        <v>0</v>
      </c>
      <c r="V401" s="29">
        <f>AN401*IF(MID(E401,3,1)="2",트라이포드!$L$22,트라이포드!$K$22)*IF(MID(E401,5,1)="2",트라이포드!$R$22,트라이포드!$F$22)*(1+입력란!$C$34/100)/3</f>
        <v>0</v>
      </c>
      <c r="W401" s="25"/>
      <c r="X401" s="25"/>
      <c r="Y401" s="25"/>
      <c r="Z401" s="26"/>
      <c r="AA401" s="29">
        <f>SUM(AB401:AI401)</f>
        <v>306276.00021794648</v>
      </c>
      <c r="AB401" s="29">
        <f>S401*2</f>
        <v>306276.00021794648</v>
      </c>
      <c r="AC401" s="29">
        <f>T401*2</f>
        <v>0</v>
      </c>
      <c r="AD401" s="29">
        <f>U401*2</f>
        <v>0</v>
      </c>
      <c r="AE401" s="29">
        <f>V401*2</f>
        <v>0</v>
      </c>
      <c r="AF401" s="38"/>
      <c r="AG401" s="38"/>
      <c r="AH401" s="38"/>
      <c r="AI401" s="24"/>
      <c r="AJ401" s="29">
        <f>AR401*(1-입력란!$C$29/100)</f>
        <v>22.98497201496</v>
      </c>
      <c r="AK40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1" s="25">
        <f>입력란!$C$37+IF(입력란!$C$17=1,10,IF(입력란!$C$17=2,25,IF(입력란!$C$17=3,50,0)))</f>
        <v>200</v>
      </c>
      <c r="AM401" s="25">
        <f>SUM(AN401:AP401)</f>
        <v>116139.60546029202</v>
      </c>
      <c r="AN401" s="29">
        <f>(VLOOKUP(C401,$B$4:$AK$7,29,FALSE)+VLOOKUP(C401,$B$8:$AK$11,29,FALSE)*입력란!$C$23)*입력란!$C$38/100</f>
        <v>116139.60546029202</v>
      </c>
      <c r="AO401" s="38"/>
      <c r="AP401" s="38"/>
      <c r="AQ401" s="38"/>
      <c r="AR401" s="22">
        <v>24</v>
      </c>
    </row>
    <row r="402" spans="2:44" ht="13.5" customHeight="1" x14ac:dyDescent="0.3">
      <c r="B402" s="30">
        <v>387</v>
      </c>
      <c r="C402" s="39">
        <v>7</v>
      </c>
      <c r="D402" s="43" t="s">
        <v>211</v>
      </c>
      <c r="E402" s="37" t="s">
        <v>196</v>
      </c>
      <c r="F402" s="39"/>
      <c r="G402" s="39"/>
      <c r="H402" s="80">
        <f>I402/AJ402</f>
        <v>8167.9185170736682</v>
      </c>
      <c r="I402" s="52">
        <f>SUM(J402:Q402)*IF(입력란!C$15=1,1.04,IF(입력란!C$15=2,1.1,IF(입력란!C$15=3,1.2,1)))*IF(입력란!$C$17&lt;&gt;0,0.98,1)*IF(입력란!$C$12=1,IF(G402="생명50%이하",1.2,1.1),1)*IF(입력란!$C$12=2,IF(G402="생명50%이하",1.3,1.1),1)*IF(입력란!$C$12=3,IF(G402="생명50%이하",1.4,1.1),1)</f>
        <v>187739.37853541184</v>
      </c>
      <c r="J402" s="29">
        <f>S402*(1+IF($AK402+IF(입력란!$C$19=1,10,0)+IF(MID(E402,3,1)="1",IF(G402="생명50%이하",트라이포드!$J$22,트라이포드!$I$22),0)&gt;100,100,$AK402+IF(입력란!$C$19=1,10,0)+IF(MID(E402,3,1)="1",IF(G402="생명50%이하",트라이포드!$J$22,트라이포드!$I$22),0))/100*($AL402/100-1))</f>
        <v>187739.37853541184</v>
      </c>
      <c r="K402" s="29">
        <f>T402*(1+IF($AK402+IF(입력란!$C$19=1,10,0)+IF(MID(E402,3,1)="1",IF(G402="생명50%이하",트라이포드!$J$22,트라이포드!$I$22),0)&gt;100,100,$AK402+IF(입력란!$C$19=1,10,0)+IF(MID(E402,3,1)="1",IF(G402="생명50%이하",트라이포드!$J$22,트라이포드!$I$22),0))/100*($AL402/100-1))</f>
        <v>0</v>
      </c>
      <c r="L402" s="29">
        <f>U402*(1+IF($AK402+IF(입력란!$C$19=1,10,0)+IF(MID(E402,3,1)="1",IF(G402="생명50%이하",트라이포드!$J$22,트라이포드!$I$22),0)&gt;100,100,$AK402+IF(입력란!$C$19=1,10,0)+IF(MID(E402,3,1)="1",IF(G402="생명50%이하",트라이포드!$J$22,트라이포드!$I$22),0))/100*($AL402/100-1))</f>
        <v>0</v>
      </c>
      <c r="M402" s="29">
        <f>V402*(1+IF($AK402+IF(입력란!$C$19=1,10,0)+IF(MID(E402,3,1)="1",IF(G402="생명50%이하",트라이포드!$J$22,트라이포드!$I$22),0)&gt;100,100,$AK402+IF(입력란!$C$19=1,10,0)+IF(MID(E402,3,1)="1",IF(G402="생명50%이하",트라이포드!$J$22,트라이포드!$I$22),0))/100*($AL402/100-1))</f>
        <v>0</v>
      </c>
      <c r="N402" s="38"/>
      <c r="O402" s="38"/>
      <c r="P402" s="38"/>
      <c r="Q402" s="34"/>
      <c r="R402" s="23">
        <f>SUM(S402:Z402)</f>
        <v>153431.24969501462</v>
      </c>
      <c r="S402" s="29">
        <f>AN402*IF(MID(E402,3,1)="2",트라이포드!$L$22,트라이포드!$K$22)*IF(MID(E402,5,1)="1",트라이포드!$P$22,트라이포드!$O$22)*(1+입력란!$C$34/100)</f>
        <v>153431.24969501462</v>
      </c>
      <c r="T402" s="29">
        <f>AN402*IF(MID(E402,3,1)="2",트라이포드!$L$22,트라이포드!$K$22)*IF(MID(E402,5,1)="2",트라이포드!$R$22,트라이포드!$F$22)*(1+입력란!$C$34/100)/3</f>
        <v>0</v>
      </c>
      <c r="U402" s="29">
        <f>AN402*IF(MID(E402,3,1)="2",트라이포드!$L$22,트라이포드!$K$22)*IF(MID(E402,5,1)="2",트라이포드!$R$22,트라이포드!$F$22)*(1+입력란!$C$34/100)/3</f>
        <v>0</v>
      </c>
      <c r="V402" s="29">
        <f>AN402*IF(MID(E402,3,1)="2",트라이포드!$L$22,트라이포드!$K$22)*IF(MID(E402,5,1)="2",트라이포드!$R$22,트라이포드!$F$22)*(1+입력란!$C$34/100)/3</f>
        <v>0</v>
      </c>
      <c r="W402" s="25"/>
      <c r="X402" s="25"/>
      <c r="Y402" s="25"/>
      <c r="Z402" s="26"/>
      <c r="AA402" s="29">
        <f>SUM(AB402:AI402)</f>
        <v>306862.49939002923</v>
      </c>
      <c r="AB402" s="29">
        <f>S402*2</f>
        <v>306862.49939002923</v>
      </c>
      <c r="AC402" s="29">
        <f>T402*2</f>
        <v>0</v>
      </c>
      <c r="AD402" s="29">
        <f>U402*2</f>
        <v>0</v>
      </c>
      <c r="AE402" s="29">
        <f>V402*2</f>
        <v>0</v>
      </c>
      <c r="AF402" s="38"/>
      <c r="AG402" s="38"/>
      <c r="AH402" s="38"/>
      <c r="AI402" s="24"/>
      <c r="AJ402" s="29">
        <f>AR402*(1-입력란!$C$29/100)</f>
        <v>22.98497201496</v>
      </c>
      <c r="AK40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2" s="25">
        <f>입력란!$C$37+IF(입력란!$C$17=1,10,IF(입력란!$C$17=2,25,IF(입력란!$C$17=3,50,0)))</f>
        <v>200</v>
      </c>
      <c r="AM402" s="25">
        <f>SUM(AN402:AP402)</f>
        <v>116362.00546029203</v>
      </c>
      <c r="AN402" s="29">
        <f>(VLOOKUP(C402,$B$4:$AK$7,29,FALSE)+VLOOKUP(C402,$B$8:$AK$11,29,FALSE)*입력란!$C$23)*입력란!$C$38/100</f>
        <v>116362.00546029203</v>
      </c>
      <c r="AO402" s="38"/>
      <c r="AP402" s="38"/>
      <c r="AQ402" s="38"/>
      <c r="AR402" s="22">
        <v>24</v>
      </c>
    </row>
    <row r="403" spans="2:44" ht="13.5" customHeight="1" x14ac:dyDescent="0.3">
      <c r="B403" s="30">
        <v>388</v>
      </c>
      <c r="C403" s="39">
        <v>7</v>
      </c>
      <c r="D403" s="43" t="s">
        <v>211</v>
      </c>
      <c r="E403" s="37" t="s">
        <v>198</v>
      </c>
      <c r="F403" s="39"/>
      <c r="G403" s="39"/>
      <c r="H403" s="80">
        <f>I403/AJ403</f>
        <v>8167.9185170736682</v>
      </c>
      <c r="I403" s="52">
        <f>SUM(J403:Q403)*IF(입력란!C$15=1,1.04,IF(입력란!C$15=2,1.1,IF(입력란!C$15=3,1.2,1)))*IF(입력란!$C$17&lt;&gt;0,0.98,1)*IF(입력란!$C$12=1,IF(G403="생명50%이하",1.2,1.1),1)*IF(입력란!$C$12=2,IF(G403="생명50%이하",1.3,1.1),1)*IF(입력란!$C$12=3,IF(G403="생명50%이하",1.4,1.1),1)</f>
        <v>187739.37853541184</v>
      </c>
      <c r="J403" s="29">
        <f>S403*(1+IF($AK403+IF(입력란!$C$19=1,10,0)+IF(MID(E403,3,1)="1",IF(G403="생명50%이하",트라이포드!$J$22,트라이포드!$I$22),0)&gt;100,100,$AK403+IF(입력란!$C$19=1,10,0)+IF(MID(E403,3,1)="1",IF(G403="생명50%이하",트라이포드!$J$22,트라이포드!$I$22),0))/100*($AL403/100-1))</f>
        <v>187739.37853541184</v>
      </c>
      <c r="K403" s="29">
        <f>T403*(1+IF($AK403+IF(입력란!$C$19=1,10,0)+IF(MID(E403,3,1)="1",IF(G403="생명50%이하",트라이포드!$J$22,트라이포드!$I$22),0)&gt;100,100,$AK403+IF(입력란!$C$19=1,10,0)+IF(MID(E403,3,1)="1",IF(G403="생명50%이하",트라이포드!$J$22,트라이포드!$I$22),0))/100*($AL403/100-1))</f>
        <v>0</v>
      </c>
      <c r="L403" s="29">
        <f>U403*(1+IF($AK403+IF(입력란!$C$19=1,10,0)+IF(MID(E403,3,1)="1",IF(G403="생명50%이하",트라이포드!$J$22,트라이포드!$I$22),0)&gt;100,100,$AK403+IF(입력란!$C$19=1,10,0)+IF(MID(E403,3,1)="1",IF(G403="생명50%이하",트라이포드!$J$22,트라이포드!$I$22),0))/100*($AL403/100-1))</f>
        <v>0</v>
      </c>
      <c r="M403" s="29">
        <f>V403*(1+IF($AK403+IF(입력란!$C$19=1,10,0)+IF(MID(E403,3,1)="1",IF(G403="생명50%이하",트라이포드!$J$22,트라이포드!$I$22),0)&gt;100,100,$AK403+IF(입력란!$C$19=1,10,0)+IF(MID(E403,3,1)="1",IF(G403="생명50%이하",트라이포드!$J$22,트라이포드!$I$22),0))/100*($AL403/100-1))</f>
        <v>0</v>
      </c>
      <c r="N403" s="38"/>
      <c r="O403" s="38"/>
      <c r="P403" s="38"/>
      <c r="Q403" s="34"/>
      <c r="R403" s="23">
        <f>SUM(S403:Z403)</f>
        <v>153431.24969501462</v>
      </c>
      <c r="S403" s="29">
        <f>AN403*IF(MID(E403,3,1)="2",트라이포드!$L$22,트라이포드!$K$22)*IF(MID(E403,5,1)="1",트라이포드!$P$22,트라이포드!$O$22)*(1+입력란!$C$34/100)</f>
        <v>153431.24969501462</v>
      </c>
      <c r="T403" s="29">
        <f>AN403*IF(MID(E403,3,1)="2",트라이포드!$L$22,트라이포드!$K$22)*IF(MID(E403,5,1)="2",트라이포드!$R$22,트라이포드!$F$22)*(1+입력란!$C$34/100)/3</f>
        <v>0</v>
      </c>
      <c r="U403" s="29">
        <f>AN403*IF(MID(E403,3,1)="2",트라이포드!$L$22,트라이포드!$K$22)*IF(MID(E403,5,1)="2",트라이포드!$R$22,트라이포드!$F$22)*(1+입력란!$C$34/100)/3</f>
        <v>0</v>
      </c>
      <c r="V403" s="29">
        <f>AN403*IF(MID(E403,3,1)="2",트라이포드!$L$22,트라이포드!$K$22)*IF(MID(E403,5,1)="2",트라이포드!$R$22,트라이포드!$F$22)*(1+입력란!$C$34/100)/3</f>
        <v>0</v>
      </c>
      <c r="W403" s="25"/>
      <c r="X403" s="25"/>
      <c r="Y403" s="25"/>
      <c r="Z403" s="26"/>
      <c r="AA403" s="29">
        <f>SUM(AB403:AI403)</f>
        <v>306862.49939002923</v>
      </c>
      <c r="AB403" s="29">
        <f>S403*2</f>
        <v>306862.49939002923</v>
      </c>
      <c r="AC403" s="29">
        <f>T403*2</f>
        <v>0</v>
      </c>
      <c r="AD403" s="29">
        <f>U403*2</f>
        <v>0</v>
      </c>
      <c r="AE403" s="29">
        <f>V403*2</f>
        <v>0</v>
      </c>
      <c r="AF403" s="38"/>
      <c r="AG403" s="38"/>
      <c r="AH403" s="38"/>
      <c r="AI403" s="24"/>
      <c r="AJ403" s="29">
        <f>AR403*(1-입력란!$C$29/100)</f>
        <v>22.98497201496</v>
      </c>
      <c r="AK40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3" s="25">
        <f>입력란!$C$37+IF(입력란!$C$17=1,10,IF(입력란!$C$17=2,25,IF(입력란!$C$17=3,50,0)))</f>
        <v>200</v>
      </c>
      <c r="AM403" s="25">
        <f>SUM(AN403:AP403)</f>
        <v>116362.00546029203</v>
      </c>
      <c r="AN403" s="29">
        <f>(VLOOKUP(C403,$B$4:$AK$7,29,FALSE)+VLOOKUP(C403,$B$8:$AK$11,29,FALSE)*입력란!$C$23)*입력란!$C$38/100</f>
        <v>116362.00546029203</v>
      </c>
      <c r="AO403" s="38"/>
      <c r="AP403" s="38"/>
      <c r="AQ403" s="38"/>
      <c r="AR403" s="22">
        <v>24</v>
      </c>
    </row>
    <row r="404" spans="2:44" ht="13.5" customHeight="1" x14ac:dyDescent="0.3">
      <c r="B404" s="30">
        <v>389</v>
      </c>
      <c r="C404" s="39">
        <v>7</v>
      </c>
      <c r="D404" s="43" t="s">
        <v>211</v>
      </c>
      <c r="E404" s="37" t="s">
        <v>197</v>
      </c>
      <c r="F404" s="39" t="s">
        <v>216</v>
      </c>
      <c r="G404" s="39"/>
      <c r="H404" s="80">
        <f>I404/AJ404</f>
        <v>11435.085923903134</v>
      </c>
      <c r="I404" s="52">
        <f>SUM(J404:Q404)*IF(입력란!C$15=1,1.04,IF(입력란!C$15=2,1.1,IF(입력란!C$15=3,1.2,1)))*IF(입력란!$C$17&lt;&gt;0,0.98,1)*IF(입력란!$C$12=1,IF(G404="생명50%이하",1.2,1.1),1)*IF(입력란!$C$12=2,IF(G404="생명50%이하",1.3,1.1),1)*IF(입력란!$C$12=3,IF(G404="생명50%이하",1.4,1.1),1)</f>
        <v>262835.12994957657</v>
      </c>
      <c r="J404" s="29">
        <f>S404*(1+IF($AK404+IF(입력란!$C$19=1,10,0)+IF(MID(E404,3,1)="1",IF(G404="생명50%이하",트라이포드!$J$22,트라이포드!$I$22),0)&gt;100,100,$AK404+IF(입력란!$C$19=1,10,0)+IF(MID(E404,3,1)="1",IF(G404="생명50%이하",트라이포드!$J$22,트라이포드!$I$22),0))/100*($AL404/100-1))</f>
        <v>262835.12994957657</v>
      </c>
      <c r="K404" s="29">
        <f>T404*(1+IF($AK404+IF(입력란!$C$19=1,10,0)+IF(MID(E404,3,1)="1",IF(G404="생명50%이하",트라이포드!$J$22,트라이포드!$I$22),0)&gt;100,100,$AK404+IF(입력란!$C$19=1,10,0)+IF(MID(E404,3,1)="1",IF(G404="생명50%이하",트라이포드!$J$22,트라이포드!$I$22),0))/100*($AL404/100-1))</f>
        <v>0</v>
      </c>
      <c r="L404" s="29">
        <f>U404*(1+IF($AK404+IF(입력란!$C$19=1,10,0)+IF(MID(E404,3,1)="1",IF(G404="생명50%이하",트라이포드!$J$22,트라이포드!$I$22),0)&gt;100,100,$AK404+IF(입력란!$C$19=1,10,0)+IF(MID(E404,3,1)="1",IF(G404="생명50%이하",트라이포드!$J$22,트라이포드!$I$22),0))/100*($AL404/100-1))</f>
        <v>0</v>
      </c>
      <c r="M404" s="29">
        <f>V404*(1+IF($AK404+IF(입력란!$C$19=1,10,0)+IF(MID(E404,3,1)="1",IF(G404="생명50%이하",트라이포드!$J$22,트라이포드!$I$22),0)&gt;100,100,$AK404+IF(입력란!$C$19=1,10,0)+IF(MID(E404,3,1)="1",IF(G404="생명50%이하",트라이포드!$J$22,트라이포드!$I$22),0))/100*($AL404/100-1))</f>
        <v>0</v>
      </c>
      <c r="N404" s="38"/>
      <c r="O404" s="38"/>
      <c r="P404" s="38"/>
      <c r="Q404" s="34"/>
      <c r="R404" s="23">
        <f>SUM(S404:Z404)</f>
        <v>214803.74957302044</v>
      </c>
      <c r="S404" s="29">
        <f>AN404*IF(MID(E404,3,1)="2",트라이포드!$L$22,트라이포드!$K$22)*IF(MID(E404,5,1)="1",트라이포드!$P$22,트라이포드!$O$22)*(1+입력란!$C$34/100)</f>
        <v>214803.74957302044</v>
      </c>
      <c r="T404" s="29">
        <f>AN404*IF(MID(E404,3,1)="2",트라이포드!$L$22,트라이포드!$K$22)*IF(MID(E404,5,1)="2",트라이포드!$R$22,트라이포드!$F$22)*(1+입력란!$C$34/100)/3</f>
        <v>0</v>
      </c>
      <c r="U404" s="29">
        <f>AN404*IF(MID(E404,3,1)="2",트라이포드!$L$22,트라이포드!$K$22)*IF(MID(E404,5,1)="2",트라이포드!$R$22,트라이포드!$F$22)*(1+입력란!$C$34/100)/3</f>
        <v>0</v>
      </c>
      <c r="V404" s="29">
        <f>AN404*IF(MID(E404,3,1)="2",트라이포드!$L$22,트라이포드!$K$22)*IF(MID(E404,5,1)="2",트라이포드!$R$22,트라이포드!$F$22)*(1+입력란!$C$34/100)/3</f>
        <v>0</v>
      </c>
      <c r="W404" s="25"/>
      <c r="X404" s="25"/>
      <c r="Y404" s="25"/>
      <c r="Z404" s="26"/>
      <c r="AA404" s="29">
        <f>SUM(AB404:AI404)</f>
        <v>429607.49914604088</v>
      </c>
      <c r="AB404" s="29">
        <f>S404*2</f>
        <v>429607.49914604088</v>
      </c>
      <c r="AC404" s="29">
        <f>T404*2</f>
        <v>0</v>
      </c>
      <c r="AD404" s="29">
        <f>U404*2</f>
        <v>0</v>
      </c>
      <c r="AE404" s="29">
        <f>V404*2</f>
        <v>0</v>
      </c>
      <c r="AF404" s="38"/>
      <c r="AG404" s="38"/>
      <c r="AH404" s="38"/>
      <c r="AI404" s="24"/>
      <c r="AJ404" s="29">
        <f>AR404*(1-입력란!$C$29/100)</f>
        <v>22.98497201496</v>
      </c>
      <c r="AK40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4" s="25">
        <f>입력란!$C$37+IF(입력란!$C$17=1,10,IF(입력란!$C$17=2,25,IF(입력란!$C$17=3,50,0)))</f>
        <v>200</v>
      </c>
      <c r="AM404" s="25">
        <f>SUM(AN404:AP404)</f>
        <v>116362.00546029203</v>
      </c>
      <c r="AN404" s="29">
        <f>(VLOOKUP(C404,$B$4:$AK$7,29,FALSE)+VLOOKUP(C404,$B$8:$AK$11,29,FALSE)*입력란!$C$23)*입력란!$C$38/100</f>
        <v>116362.00546029203</v>
      </c>
      <c r="AO404" s="38"/>
      <c r="AP404" s="38"/>
      <c r="AQ404" s="38"/>
      <c r="AR404" s="22">
        <v>24</v>
      </c>
    </row>
    <row r="405" spans="2:44" ht="13.5" customHeight="1" x14ac:dyDescent="0.3">
      <c r="B405" s="30">
        <v>390</v>
      </c>
      <c r="C405" s="39">
        <v>10</v>
      </c>
      <c r="D405" s="43" t="s">
        <v>211</v>
      </c>
      <c r="E405" s="37" t="s">
        <v>196</v>
      </c>
      <c r="F405" s="39"/>
      <c r="G405" s="39"/>
      <c r="H405" s="80">
        <f>I405/AJ405</f>
        <v>8177.8860698400222</v>
      </c>
      <c r="I405" s="52">
        <f>SUM(J405:Q405)*IF(입력란!C$15=1,1.04,IF(입력란!C$15=2,1.1,IF(입력란!C$15=3,1.2,1)))*IF(입력란!$C$17&lt;&gt;0,0.98,1)*IF(입력란!$C$12=1,IF(G405="생명50%이하",1.2,1.1),1)*IF(입력란!$C$12=2,IF(G405="생명50%이하",1.3,1.1),1)*IF(입력란!$C$12=3,IF(G405="생명50%이하",1.4,1.1),1)</f>
        <v>187968.48245680414</v>
      </c>
      <c r="J405" s="29">
        <f>S405*(1+IF($AK405+IF(입력란!$C$19=1,10,0)+IF(MID(E405,3,1)="1",IF(G405="생명50%이하",트라이포드!$J$22,트라이포드!$I$22),0)&gt;100,100,$AK405+IF(입력란!$C$19=1,10,0)+IF(MID(E405,3,1)="1",IF(G405="생명50%이하",트라이포드!$J$22,트라이포드!$I$22),0))/100*($AL405/100-1))</f>
        <v>187968.48245680414</v>
      </c>
      <c r="K405" s="29">
        <f>T405*(1+IF($AK405+IF(입력란!$C$19=1,10,0)+IF(MID(E405,3,1)="1",IF(G405="생명50%이하",트라이포드!$J$22,트라이포드!$I$22),0)&gt;100,100,$AK405+IF(입력란!$C$19=1,10,0)+IF(MID(E405,3,1)="1",IF(G405="생명50%이하",트라이포드!$J$22,트라이포드!$I$22),0))/100*($AL405/100-1))</f>
        <v>0</v>
      </c>
      <c r="L405" s="29">
        <f>U405*(1+IF($AK405+IF(입력란!$C$19=1,10,0)+IF(MID(E405,3,1)="1",IF(G405="생명50%이하",트라이포드!$J$22,트라이포드!$I$22),0)&gt;100,100,$AK405+IF(입력란!$C$19=1,10,0)+IF(MID(E405,3,1)="1",IF(G405="생명50%이하",트라이포드!$J$22,트라이포드!$I$22),0))/100*($AL405/100-1))</f>
        <v>0</v>
      </c>
      <c r="M405" s="29">
        <f>V405*(1+IF($AK405+IF(입력란!$C$19=1,10,0)+IF(MID(E405,3,1)="1",IF(G405="생명50%이하",트라이포드!$J$22,트라이포드!$I$22),0)&gt;100,100,$AK405+IF(입력란!$C$19=1,10,0)+IF(MID(E405,3,1)="1",IF(G405="생명50%이하",트라이포드!$J$22,트라이포드!$I$22),0))/100*($AL405/100-1))</f>
        <v>0</v>
      </c>
      <c r="N405" s="38"/>
      <c r="O405" s="38"/>
      <c r="P405" s="38"/>
      <c r="Q405" s="34"/>
      <c r="R405" s="23">
        <f>SUM(S405:Z405)</f>
        <v>153618.48639113811</v>
      </c>
      <c r="S405" s="29">
        <f>AN405*IF(MID(E405,3,1)="2",트라이포드!$L$22,트라이포드!$K$22)*IF(MID(E405,5,1)="1",트라이포드!$P$22,트라이포드!$O$22)*(1+입력란!$C$34/100)</f>
        <v>153618.48639113811</v>
      </c>
      <c r="T405" s="29">
        <f>AN405*IF(MID(E405,3,1)="2",트라이포드!$L$22,트라이포드!$K$22)*IF(MID(E405,5,1)="2",트라이포드!$R$22,트라이포드!$F$22)*(1+입력란!$C$34/100)/3</f>
        <v>0</v>
      </c>
      <c r="U405" s="29">
        <f>AN405*IF(MID(E405,3,1)="2",트라이포드!$L$22,트라이포드!$K$22)*IF(MID(E405,5,1)="2",트라이포드!$R$22,트라이포드!$F$22)*(1+입력란!$C$34/100)/3</f>
        <v>0</v>
      </c>
      <c r="V405" s="29">
        <f>AN405*IF(MID(E405,3,1)="2",트라이포드!$L$22,트라이포드!$K$22)*IF(MID(E405,5,1)="2",트라이포드!$R$22,트라이포드!$F$22)*(1+입력란!$C$34/100)/3</f>
        <v>0</v>
      </c>
      <c r="W405" s="25"/>
      <c r="X405" s="25"/>
      <c r="Y405" s="25"/>
      <c r="Z405" s="26"/>
      <c r="AA405" s="29">
        <f>SUM(AB405:AI405)</f>
        <v>307236.97278227622</v>
      </c>
      <c r="AB405" s="29">
        <f>S405*2</f>
        <v>307236.97278227622</v>
      </c>
      <c r="AC405" s="29">
        <f>T405*2</f>
        <v>0</v>
      </c>
      <c r="AD405" s="29">
        <f>U405*2</f>
        <v>0</v>
      </c>
      <c r="AE405" s="29">
        <f>V405*2</f>
        <v>0</v>
      </c>
      <c r="AF405" s="38"/>
      <c r="AG405" s="38"/>
      <c r="AH405" s="38"/>
      <c r="AI405" s="24"/>
      <c r="AJ405" s="29">
        <f>AR405*(1-입력란!$C$29/100)</f>
        <v>22.98497201496</v>
      </c>
      <c r="AK40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5" s="25">
        <f>입력란!$C$37+IF(입력란!$C$17=1,10,IF(입력란!$C$17=2,25,IF(입력란!$C$17=3,50,0)))</f>
        <v>200</v>
      </c>
      <c r="AM405" s="25">
        <f>SUM(AN405:AP405)</f>
        <v>116504.00546029203</v>
      </c>
      <c r="AN405" s="29">
        <f>(VLOOKUP(C405,$B$4:$AK$7,29,FALSE)+VLOOKUP(C405,$B$8:$AK$11,29,FALSE)*입력란!$C$23)*입력란!$C$38/100</f>
        <v>116504.00546029203</v>
      </c>
      <c r="AO405" s="38"/>
      <c r="AP405" s="38"/>
      <c r="AQ405" s="38"/>
      <c r="AR405" s="22">
        <v>24</v>
      </c>
    </row>
    <row r="406" spans="2:44" ht="13.5" customHeight="1" x14ac:dyDescent="0.3">
      <c r="B406" s="30">
        <v>391</v>
      </c>
      <c r="C406" s="39">
        <v>10</v>
      </c>
      <c r="D406" s="43" t="s">
        <v>211</v>
      </c>
      <c r="E406" s="37" t="s">
        <v>203</v>
      </c>
      <c r="F406" s="39"/>
      <c r="G406" s="39"/>
      <c r="H406" s="80">
        <f>I406/AJ406</f>
        <v>16355.772139680044</v>
      </c>
      <c r="I406" s="52">
        <f>SUM(J406:Q406)*IF(입력란!C$15=1,1.04,IF(입력란!C$15=2,1.1,IF(입력란!C$15=3,1.2,1)))*IF(입력란!$C$17&lt;&gt;0,0.98,1)*IF(입력란!$C$12=1,IF(G406="생명50%이하",1.2,1.1),1)*IF(입력란!$C$12=2,IF(G406="생명50%이하",1.3,1.1),1)*IF(입력란!$C$12=3,IF(G406="생명50%이하",1.4,1.1),1)</f>
        <v>375936.96491360827</v>
      </c>
      <c r="J406" s="29">
        <f>S406*(1+IF($AK406+IF(입력란!$C$19=1,10,0)+IF(MID(E406,3,1)="1",IF(G406="생명50%이하",트라이포드!$J$22,트라이포드!$I$22),0)&gt;100,100,$AK406+IF(입력란!$C$19=1,10,0)+IF(MID(E406,3,1)="1",IF(G406="생명50%이하",트라이포드!$J$22,트라이포드!$I$22),0))/100*($AL406/100-1))</f>
        <v>375936.96491360827</v>
      </c>
      <c r="K406" s="29">
        <f>T406*(1+IF($AK406+IF(입력란!$C$19=1,10,0)+IF(MID(E406,3,1)="1",IF(G406="생명50%이하",트라이포드!$J$22,트라이포드!$I$22),0)&gt;100,100,$AK406+IF(입력란!$C$19=1,10,0)+IF(MID(E406,3,1)="1",IF(G406="생명50%이하",트라이포드!$J$22,트라이포드!$I$22),0))/100*($AL406/100-1))</f>
        <v>0</v>
      </c>
      <c r="L406" s="29">
        <f>U406*(1+IF($AK406+IF(입력란!$C$19=1,10,0)+IF(MID(E406,3,1)="1",IF(G406="생명50%이하",트라이포드!$J$22,트라이포드!$I$22),0)&gt;100,100,$AK406+IF(입력란!$C$19=1,10,0)+IF(MID(E406,3,1)="1",IF(G406="생명50%이하",트라이포드!$J$22,트라이포드!$I$22),0))/100*($AL406/100-1))</f>
        <v>0</v>
      </c>
      <c r="M406" s="29">
        <f>V406*(1+IF($AK406+IF(입력란!$C$19=1,10,0)+IF(MID(E406,3,1)="1",IF(G406="생명50%이하",트라이포드!$J$22,트라이포드!$I$22),0)&gt;100,100,$AK406+IF(입력란!$C$19=1,10,0)+IF(MID(E406,3,1)="1",IF(G406="생명50%이하",트라이포드!$J$22,트라이포드!$I$22),0))/100*($AL406/100-1))</f>
        <v>0</v>
      </c>
      <c r="N406" s="38"/>
      <c r="O406" s="38"/>
      <c r="P406" s="38"/>
      <c r="Q406" s="34"/>
      <c r="R406" s="23">
        <f>SUM(S406:Z406)</f>
        <v>307236.97278227622</v>
      </c>
      <c r="S406" s="29">
        <f>AN406*IF(MID(E406,3,1)="2",트라이포드!$L$22,트라이포드!$K$22)*IF(MID(E406,5,1)="1",트라이포드!$P$22,트라이포드!$O$22)*(1+입력란!$C$34/100)</f>
        <v>307236.97278227622</v>
      </c>
      <c r="T406" s="29">
        <f>AN406*IF(MID(E406,3,1)="2",트라이포드!$L$22,트라이포드!$K$22)*IF(MID(E406,5,1)="2",트라이포드!$R$22,트라이포드!$F$22)*(1+입력란!$C$34/100)/3</f>
        <v>0</v>
      </c>
      <c r="U406" s="29">
        <f>AN406*IF(MID(E406,3,1)="2",트라이포드!$L$22,트라이포드!$K$22)*IF(MID(E406,5,1)="2",트라이포드!$R$22,트라이포드!$F$22)*(1+입력란!$C$34/100)/3</f>
        <v>0</v>
      </c>
      <c r="V406" s="29">
        <f>AN406*IF(MID(E406,3,1)="2",트라이포드!$L$22,트라이포드!$K$22)*IF(MID(E406,5,1)="2",트라이포드!$R$22,트라이포드!$F$22)*(1+입력란!$C$34/100)/3</f>
        <v>0</v>
      </c>
      <c r="W406" s="25"/>
      <c r="X406" s="25"/>
      <c r="Y406" s="25"/>
      <c r="Z406" s="26"/>
      <c r="AA406" s="29">
        <f>SUM(AB406:AI406)</f>
        <v>614473.94556455244</v>
      </c>
      <c r="AB406" s="29">
        <f>S406*2</f>
        <v>614473.94556455244</v>
      </c>
      <c r="AC406" s="29">
        <f>T406*2</f>
        <v>0</v>
      </c>
      <c r="AD406" s="29">
        <f>U406*2</f>
        <v>0</v>
      </c>
      <c r="AE406" s="29">
        <f>V406*2</f>
        <v>0</v>
      </c>
      <c r="AF406" s="38"/>
      <c r="AG406" s="38"/>
      <c r="AH406" s="38"/>
      <c r="AI406" s="24"/>
      <c r="AJ406" s="29">
        <f>AR406*(1-입력란!$C$29/100)</f>
        <v>22.98497201496</v>
      </c>
      <c r="AK40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6" s="25">
        <f>입력란!$C$37+IF(입력란!$C$17=1,10,IF(입력란!$C$17=2,25,IF(입력란!$C$17=3,50,0)))</f>
        <v>200</v>
      </c>
      <c r="AM406" s="25">
        <f>SUM(AN406:AP406)</f>
        <v>116504.00546029203</v>
      </c>
      <c r="AN406" s="29">
        <f>(VLOOKUP(C406,$B$4:$AK$7,29,FALSE)+VLOOKUP(C406,$B$8:$AK$11,29,FALSE)*입력란!$C$23)*입력란!$C$38/100</f>
        <v>116504.00546029203</v>
      </c>
      <c r="AO406" s="38"/>
      <c r="AP406" s="38"/>
      <c r="AQ406" s="38"/>
      <c r="AR406" s="22">
        <v>24</v>
      </c>
    </row>
    <row r="407" spans="2:44" ht="13.5" customHeight="1" x14ac:dyDescent="0.3">
      <c r="B407" s="30">
        <v>392</v>
      </c>
      <c r="C407" s="39">
        <v>10</v>
      </c>
      <c r="D407" s="43" t="s">
        <v>211</v>
      </c>
      <c r="E407" s="37" t="s">
        <v>204</v>
      </c>
      <c r="F407" s="39"/>
      <c r="G407" s="39"/>
      <c r="H407" s="80">
        <f>I407/AJ407</f>
        <v>17991.349353648053</v>
      </c>
      <c r="I407" s="52">
        <f>SUM(J407:Q407)*IF(입력란!C$15=1,1.04,IF(입력란!C$15=2,1.1,IF(입력란!C$15=3,1.2,1)))*IF(입력란!$C$17&lt;&gt;0,0.98,1)*IF(입력란!$C$12=1,IF(G407="생명50%이하",1.2,1.1),1)*IF(입력란!$C$12=2,IF(G407="생명50%이하",1.3,1.1),1)*IF(입력란!$C$12=3,IF(G407="생명50%이하",1.4,1.1),1)</f>
        <v>413530.66140496917</v>
      </c>
      <c r="J407" s="29">
        <f>S407*(1+IF($AK407+IF(입력란!$C$19=1,10,0)+IF(MID(E407,3,1)="1",IF(G407="생명50%이하",트라이포드!$J$22,트라이포드!$I$22),0)&gt;100,100,$AK407+IF(입력란!$C$19=1,10,0)+IF(MID(E407,3,1)="1",IF(G407="생명50%이하",트라이포드!$J$22,트라이포드!$I$22),0))/100*($AL407/100-1))</f>
        <v>187968.48245680414</v>
      </c>
      <c r="K407" s="29">
        <f>T407*(1+IF($AK407+IF(입력란!$C$19=1,10,0)+IF(MID(E407,3,1)="1",IF(G407="생명50%이하",트라이포드!$J$22,트라이포드!$I$22),0)&gt;100,100,$AK407+IF(입력란!$C$19=1,10,0)+IF(MID(E407,3,1)="1",IF(G407="생명50%이하",트라이포드!$J$22,트라이포드!$I$22),0))/100*($AL407/100-1))</f>
        <v>75187.392982721663</v>
      </c>
      <c r="L407" s="29">
        <f>U407*(1+IF($AK407+IF(입력란!$C$19=1,10,0)+IF(MID(E407,3,1)="1",IF(G407="생명50%이하",트라이포드!$J$22,트라이포드!$I$22),0)&gt;100,100,$AK407+IF(입력란!$C$19=1,10,0)+IF(MID(E407,3,1)="1",IF(G407="생명50%이하",트라이포드!$J$22,트라이포드!$I$22),0))/100*($AL407/100-1))</f>
        <v>75187.392982721663</v>
      </c>
      <c r="M407" s="29">
        <f>V407*(1+IF($AK407+IF(입력란!$C$19=1,10,0)+IF(MID(E407,3,1)="1",IF(G407="생명50%이하",트라이포드!$J$22,트라이포드!$I$22),0)&gt;100,100,$AK407+IF(입력란!$C$19=1,10,0)+IF(MID(E407,3,1)="1",IF(G407="생명50%이하",트라이포드!$J$22,트라이포드!$I$22),0))/100*($AL407/100-1))</f>
        <v>75187.392982721663</v>
      </c>
      <c r="N407" s="38"/>
      <c r="O407" s="38"/>
      <c r="P407" s="38"/>
      <c r="Q407" s="34"/>
      <c r="R407" s="23">
        <f>SUM(S407:Z407)</f>
        <v>337960.67006050388</v>
      </c>
      <c r="S407" s="29">
        <f>AN407*IF(MID(E407,3,1)="2",트라이포드!$L$22,트라이포드!$K$22)*IF(MID(E407,5,1)="1",트라이포드!$P$22,트라이포드!$O$22)*(1+입력란!$C$34/100)</f>
        <v>153618.48639113811</v>
      </c>
      <c r="T407" s="29">
        <f>AN407*IF(MID(E407,3,1)="2",트라이포드!$L$22,트라이포드!$K$22)*IF(MID(E407,5,1)="2",트라이포드!$R$22,트라이포드!$F$22)*(1+입력란!$C$34/100)/3</f>
        <v>61447.394556455249</v>
      </c>
      <c r="U407" s="29">
        <f>AN407*IF(MID(E407,3,1)="2",트라이포드!$L$22,트라이포드!$K$22)*IF(MID(E407,5,1)="2",트라이포드!$R$22,트라이포드!$F$22)*(1+입력란!$C$34/100)/3</f>
        <v>61447.394556455249</v>
      </c>
      <c r="V407" s="29">
        <f>AN407*IF(MID(E407,3,1)="2",트라이포드!$L$22,트라이포드!$K$22)*IF(MID(E407,5,1)="2",트라이포드!$R$22,트라이포드!$F$22)*(1+입력란!$C$34/100)/3</f>
        <v>61447.394556455249</v>
      </c>
      <c r="W407" s="25"/>
      <c r="X407" s="25"/>
      <c r="Y407" s="25"/>
      <c r="Z407" s="26"/>
      <c r="AA407" s="29">
        <f>SUM(AB407:AI407)</f>
        <v>675921.34012100776</v>
      </c>
      <c r="AB407" s="29">
        <f>S407*2</f>
        <v>307236.97278227622</v>
      </c>
      <c r="AC407" s="29">
        <f>T407*2</f>
        <v>122894.7891129105</v>
      </c>
      <c r="AD407" s="29">
        <f>U407*2</f>
        <v>122894.7891129105</v>
      </c>
      <c r="AE407" s="29">
        <f>V407*2</f>
        <v>122894.7891129105</v>
      </c>
      <c r="AF407" s="38"/>
      <c r="AG407" s="38"/>
      <c r="AH407" s="38"/>
      <c r="AI407" s="24"/>
      <c r="AJ407" s="29">
        <f>AR407*(1-입력란!$C$29/100)</f>
        <v>22.98497201496</v>
      </c>
      <c r="AK40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7" s="25">
        <f>입력란!$C$37+IF(입력란!$C$17=1,10,IF(입력란!$C$17=2,25,IF(입력란!$C$17=3,50,0)))</f>
        <v>200</v>
      </c>
      <c r="AM407" s="25">
        <f>SUM(AN407:AP407)</f>
        <v>116504.00546029203</v>
      </c>
      <c r="AN407" s="29">
        <f>(VLOOKUP(C407,$B$4:$AK$7,29,FALSE)+VLOOKUP(C407,$B$8:$AK$11,29,FALSE)*입력란!$C$23)*입력란!$C$38/100</f>
        <v>116504.00546029203</v>
      </c>
      <c r="AO407" s="38"/>
      <c r="AP407" s="38"/>
      <c r="AQ407" s="38"/>
      <c r="AR407" s="22">
        <v>24</v>
      </c>
    </row>
    <row r="408" spans="2:44" ht="13.5" customHeight="1" x14ac:dyDescent="0.3">
      <c r="B408" s="30">
        <v>393</v>
      </c>
      <c r="C408" s="39">
        <v>10</v>
      </c>
      <c r="D408" s="43" t="s">
        <v>211</v>
      </c>
      <c r="E408" s="37" t="s">
        <v>212</v>
      </c>
      <c r="F408" s="39"/>
      <c r="G408" s="39"/>
      <c r="H408" s="80">
        <f>I408/AJ408</f>
        <v>16355.772139680044</v>
      </c>
      <c r="I408" s="52">
        <f>SUM(J408:Q408)*IF(입력란!C$15=1,1.04,IF(입력란!C$15=2,1.1,IF(입력란!C$15=3,1.2,1)))*IF(입력란!$C$17&lt;&gt;0,0.98,1)*IF(입력란!$C$12=1,IF(G408="생명50%이하",1.2,1.1),1)*IF(입력란!$C$12=2,IF(G408="생명50%이하",1.3,1.1),1)*IF(입력란!$C$12=3,IF(G408="생명50%이하",1.4,1.1),1)</f>
        <v>375936.96491360827</v>
      </c>
      <c r="J408" s="29">
        <f>S408*(1+IF($AK408+IF(입력란!$C$19=1,10,0)+IF(MID(E408,3,1)="1",IF(G408="생명50%이하",트라이포드!$J$22,트라이포드!$I$22),0)&gt;100,100,$AK408+IF(입력란!$C$19=1,10,0)+IF(MID(E408,3,1)="1",IF(G408="생명50%이하",트라이포드!$J$22,트라이포드!$I$22),0))/100*($AL408/100-1))</f>
        <v>375936.96491360827</v>
      </c>
      <c r="K408" s="29">
        <f>T408*(1+IF($AK408+IF(입력란!$C$19=1,10,0)+IF(MID(E408,3,1)="1",IF(G408="생명50%이하",트라이포드!$J$22,트라이포드!$I$22),0)&gt;100,100,$AK408+IF(입력란!$C$19=1,10,0)+IF(MID(E408,3,1)="1",IF(G408="생명50%이하",트라이포드!$J$22,트라이포드!$I$22),0))/100*($AL408/100-1))</f>
        <v>0</v>
      </c>
      <c r="L408" s="29">
        <f>U408*(1+IF($AK408+IF(입력란!$C$19=1,10,0)+IF(MID(E408,3,1)="1",IF(G408="생명50%이하",트라이포드!$J$22,트라이포드!$I$22),0)&gt;100,100,$AK408+IF(입력란!$C$19=1,10,0)+IF(MID(E408,3,1)="1",IF(G408="생명50%이하",트라이포드!$J$22,트라이포드!$I$22),0))/100*($AL408/100-1))</f>
        <v>0</v>
      </c>
      <c r="M408" s="29">
        <f>V408*(1+IF($AK408+IF(입력란!$C$19=1,10,0)+IF(MID(E408,3,1)="1",IF(G408="생명50%이하",트라이포드!$J$22,트라이포드!$I$22),0)&gt;100,100,$AK408+IF(입력란!$C$19=1,10,0)+IF(MID(E408,3,1)="1",IF(G408="생명50%이하",트라이포드!$J$22,트라이포드!$I$22),0))/100*($AL408/100-1))</f>
        <v>0</v>
      </c>
      <c r="N408" s="38"/>
      <c r="O408" s="38"/>
      <c r="P408" s="38"/>
      <c r="Q408" s="34"/>
      <c r="R408" s="23">
        <f>SUM(S408:Z408)</f>
        <v>307236.97278227622</v>
      </c>
      <c r="S408" s="29">
        <f>AN408*IF(MID(E408,3,1)="2",트라이포드!$L$22,트라이포드!$K$22)*IF(MID(E408,5,1)="1",트라이포드!$P$22,트라이포드!$O$22)*(1+입력란!$C$34/100)</f>
        <v>307236.97278227622</v>
      </c>
      <c r="T408" s="29">
        <f>AN408*IF(MID(E408,3,1)="2",트라이포드!$L$22,트라이포드!$K$22)*IF(MID(E408,5,1)="2",트라이포드!$R$22,트라이포드!$F$22)*(1+입력란!$C$34/100)/3</f>
        <v>0</v>
      </c>
      <c r="U408" s="29">
        <f>AN408*IF(MID(E408,3,1)="2",트라이포드!$L$22,트라이포드!$K$22)*IF(MID(E408,5,1)="2",트라이포드!$R$22,트라이포드!$F$22)*(1+입력란!$C$34/100)/3</f>
        <v>0</v>
      </c>
      <c r="V408" s="29">
        <f>AN408*IF(MID(E408,3,1)="2",트라이포드!$L$22,트라이포드!$K$22)*IF(MID(E408,5,1)="2",트라이포드!$R$22,트라이포드!$F$22)*(1+입력란!$C$34/100)/3</f>
        <v>0</v>
      </c>
      <c r="W408" s="25"/>
      <c r="X408" s="25"/>
      <c r="Y408" s="25"/>
      <c r="Z408" s="26"/>
      <c r="AA408" s="29">
        <f>SUM(AB408:AI408)</f>
        <v>614473.94556455244</v>
      </c>
      <c r="AB408" s="29">
        <f>S408*2</f>
        <v>614473.94556455244</v>
      </c>
      <c r="AC408" s="29">
        <f>T408*2</f>
        <v>0</v>
      </c>
      <c r="AD408" s="29">
        <f>U408*2</f>
        <v>0</v>
      </c>
      <c r="AE408" s="29">
        <f>V408*2</f>
        <v>0</v>
      </c>
      <c r="AF408" s="38"/>
      <c r="AG408" s="38"/>
      <c r="AH408" s="38"/>
      <c r="AI408" s="24"/>
      <c r="AJ408" s="29">
        <f>AR408*(1-입력란!$C$29/100)</f>
        <v>22.98497201496</v>
      </c>
      <c r="AK40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8" s="25">
        <f>입력란!$C$37+IF(입력란!$C$17=1,10,IF(입력란!$C$17=2,25,IF(입력란!$C$17=3,50,0)))</f>
        <v>200</v>
      </c>
      <c r="AM408" s="25">
        <f>SUM(AN408:AP408)</f>
        <v>116504.00546029203</v>
      </c>
      <c r="AN408" s="29">
        <f>(VLOOKUP(C408,$B$4:$AK$7,29,FALSE)+VLOOKUP(C408,$B$8:$AK$11,29,FALSE)*입력란!$C$23)*입력란!$C$38/100</f>
        <v>116504.00546029203</v>
      </c>
      <c r="AO408" s="38"/>
      <c r="AP408" s="38"/>
      <c r="AQ408" s="38"/>
      <c r="AR408" s="22">
        <v>24</v>
      </c>
    </row>
    <row r="409" spans="2:44" ht="13.5" customHeight="1" x14ac:dyDescent="0.3">
      <c r="B409" s="30">
        <v>394</v>
      </c>
      <c r="C409" s="39">
        <v>10</v>
      </c>
      <c r="D409" s="43" t="s">
        <v>211</v>
      </c>
      <c r="E409" s="37" t="s">
        <v>213</v>
      </c>
      <c r="F409" s="39"/>
      <c r="G409" s="39"/>
      <c r="H409" s="80">
        <f>I409/AJ409</f>
        <v>17991.349353648053</v>
      </c>
      <c r="I409" s="52">
        <f>SUM(J409:Q409)*IF(입력란!C$15=1,1.04,IF(입력란!C$15=2,1.1,IF(입력란!C$15=3,1.2,1)))*IF(입력란!$C$17&lt;&gt;0,0.98,1)*IF(입력란!$C$12=1,IF(G409="생명50%이하",1.2,1.1),1)*IF(입력란!$C$12=2,IF(G409="생명50%이하",1.3,1.1),1)*IF(입력란!$C$12=3,IF(G409="생명50%이하",1.4,1.1),1)</f>
        <v>413530.66140496917</v>
      </c>
      <c r="J409" s="29">
        <f>S409*(1+IF($AK409+IF(입력란!$C$19=1,10,0)+IF(MID(E409,3,1)="1",IF(G409="생명50%이하",트라이포드!$J$22,트라이포드!$I$22),0)&gt;100,100,$AK409+IF(입력란!$C$19=1,10,0)+IF(MID(E409,3,1)="1",IF(G409="생명50%이하",트라이포드!$J$22,트라이포드!$I$22),0))/100*($AL409/100-1))</f>
        <v>187968.48245680414</v>
      </c>
      <c r="K409" s="29">
        <f>T409*(1+IF($AK409+IF(입력란!$C$19=1,10,0)+IF(MID(E409,3,1)="1",IF(G409="생명50%이하",트라이포드!$J$22,트라이포드!$I$22),0)&gt;100,100,$AK409+IF(입력란!$C$19=1,10,0)+IF(MID(E409,3,1)="1",IF(G409="생명50%이하",트라이포드!$J$22,트라이포드!$I$22),0))/100*($AL409/100-1))</f>
        <v>75187.392982721663</v>
      </c>
      <c r="L409" s="29">
        <f>U409*(1+IF($AK409+IF(입력란!$C$19=1,10,0)+IF(MID(E409,3,1)="1",IF(G409="생명50%이하",트라이포드!$J$22,트라이포드!$I$22),0)&gt;100,100,$AK409+IF(입력란!$C$19=1,10,0)+IF(MID(E409,3,1)="1",IF(G409="생명50%이하",트라이포드!$J$22,트라이포드!$I$22),0))/100*($AL409/100-1))</f>
        <v>75187.392982721663</v>
      </c>
      <c r="M409" s="29">
        <f>V409*(1+IF($AK409+IF(입력란!$C$19=1,10,0)+IF(MID(E409,3,1)="1",IF(G409="생명50%이하",트라이포드!$J$22,트라이포드!$I$22),0)&gt;100,100,$AK409+IF(입력란!$C$19=1,10,0)+IF(MID(E409,3,1)="1",IF(G409="생명50%이하",트라이포드!$J$22,트라이포드!$I$22),0))/100*($AL409/100-1))</f>
        <v>75187.392982721663</v>
      </c>
      <c r="N409" s="38"/>
      <c r="O409" s="38"/>
      <c r="P409" s="38"/>
      <c r="Q409" s="34"/>
      <c r="R409" s="23">
        <f>SUM(S409:Z409)</f>
        <v>337960.67006050388</v>
      </c>
      <c r="S409" s="29">
        <f>AN409*IF(MID(E409,3,1)="2",트라이포드!$L$22,트라이포드!$K$22)*IF(MID(E409,5,1)="1",트라이포드!$P$22,트라이포드!$O$22)*(1+입력란!$C$34/100)</f>
        <v>153618.48639113811</v>
      </c>
      <c r="T409" s="29">
        <f>AN409*IF(MID(E409,3,1)="2",트라이포드!$L$22,트라이포드!$K$22)*IF(MID(E409,5,1)="2",트라이포드!$R$22,트라이포드!$F$22)*(1+입력란!$C$34/100)/3</f>
        <v>61447.394556455249</v>
      </c>
      <c r="U409" s="29">
        <f>AN409*IF(MID(E409,3,1)="2",트라이포드!$L$22,트라이포드!$K$22)*IF(MID(E409,5,1)="2",트라이포드!$R$22,트라이포드!$F$22)*(1+입력란!$C$34/100)/3</f>
        <v>61447.394556455249</v>
      </c>
      <c r="V409" s="29">
        <f>AN409*IF(MID(E409,3,1)="2",트라이포드!$L$22,트라이포드!$K$22)*IF(MID(E409,5,1)="2",트라이포드!$R$22,트라이포드!$F$22)*(1+입력란!$C$34/100)/3</f>
        <v>61447.394556455249</v>
      </c>
      <c r="W409" s="25"/>
      <c r="X409" s="25"/>
      <c r="Y409" s="25"/>
      <c r="Z409" s="26"/>
      <c r="AA409" s="29">
        <f>SUM(AB409:AI409)</f>
        <v>675921.34012100776</v>
      </c>
      <c r="AB409" s="29">
        <f>S409*2</f>
        <v>307236.97278227622</v>
      </c>
      <c r="AC409" s="29">
        <f>T409*2</f>
        <v>122894.7891129105</v>
      </c>
      <c r="AD409" s="29">
        <f>U409*2</f>
        <v>122894.7891129105</v>
      </c>
      <c r="AE409" s="29">
        <f>V409*2</f>
        <v>122894.7891129105</v>
      </c>
      <c r="AF409" s="38"/>
      <c r="AG409" s="38"/>
      <c r="AH409" s="38"/>
      <c r="AI409" s="24"/>
      <c r="AJ409" s="29">
        <f>AR409*(1-입력란!$C$29/100)</f>
        <v>22.98497201496</v>
      </c>
      <c r="AK40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09" s="25">
        <f>입력란!$C$37+IF(입력란!$C$17=1,10,IF(입력란!$C$17=2,25,IF(입력란!$C$17=3,50,0)))</f>
        <v>200</v>
      </c>
      <c r="AM409" s="25">
        <f>SUM(AN409:AP409)</f>
        <v>116504.00546029203</v>
      </c>
      <c r="AN409" s="29">
        <f>(VLOOKUP(C409,$B$4:$AK$7,29,FALSE)+VLOOKUP(C409,$B$8:$AK$11,29,FALSE)*입력란!$C$23)*입력란!$C$38/100</f>
        <v>116504.00546029203</v>
      </c>
      <c r="AO409" s="38"/>
      <c r="AP409" s="38"/>
      <c r="AQ409" s="38"/>
      <c r="AR409" s="22">
        <v>24</v>
      </c>
    </row>
    <row r="410" spans="2:44" ht="13.5" customHeight="1" x14ac:dyDescent="0.3">
      <c r="B410" s="30">
        <v>395</v>
      </c>
      <c r="C410" s="39">
        <v>10</v>
      </c>
      <c r="D410" s="43" t="s">
        <v>211</v>
      </c>
      <c r="E410" s="37" t="s">
        <v>214</v>
      </c>
      <c r="F410" s="39" t="s">
        <v>216</v>
      </c>
      <c r="G410" s="39"/>
      <c r="H410" s="80">
        <f>I410/AJ410</f>
        <v>22898.080995552064</v>
      </c>
      <c r="I410" s="52">
        <f>SUM(J410:Q410)*IF(입력란!C$15=1,1.04,IF(입력란!C$15=2,1.1,IF(입력란!C$15=3,1.2,1)))*IF(입력란!$C$17&lt;&gt;0,0.98,1)*IF(입력란!$C$12=1,IF(G410="생명50%이하",1.2,1.1),1)*IF(입력란!$C$12=2,IF(G410="생명50%이하",1.3,1.1),1)*IF(입력란!$C$12=3,IF(G410="생명50%이하",1.4,1.1),1)</f>
        <v>526311.75087905163</v>
      </c>
      <c r="J410" s="29">
        <f>S410*(1+IF($AK410+IF(입력란!$C$19=1,10,0)+IF(MID(E410,3,1)="1",IF(G410="생명50%이하",트라이포드!$J$22,트라이포드!$I$22),0)&gt;100,100,$AK410+IF(입력란!$C$19=1,10,0)+IF(MID(E410,3,1)="1",IF(G410="생명50%이하",트라이포드!$J$22,트라이포드!$I$22),0))/100*($AL410/100-1))</f>
        <v>526311.75087905163</v>
      </c>
      <c r="K410" s="29">
        <f>T410*(1+IF($AK410+IF(입력란!$C$19=1,10,0)+IF(MID(E410,3,1)="1",IF(G410="생명50%이하",트라이포드!$J$22,트라이포드!$I$22),0)&gt;100,100,$AK410+IF(입력란!$C$19=1,10,0)+IF(MID(E410,3,1)="1",IF(G410="생명50%이하",트라이포드!$J$22,트라이포드!$I$22),0))/100*($AL410/100-1))</f>
        <v>0</v>
      </c>
      <c r="L410" s="29">
        <f>U410*(1+IF($AK410+IF(입력란!$C$19=1,10,0)+IF(MID(E410,3,1)="1",IF(G410="생명50%이하",트라이포드!$J$22,트라이포드!$I$22),0)&gt;100,100,$AK410+IF(입력란!$C$19=1,10,0)+IF(MID(E410,3,1)="1",IF(G410="생명50%이하",트라이포드!$J$22,트라이포드!$I$22),0))/100*($AL410/100-1))</f>
        <v>0</v>
      </c>
      <c r="M410" s="29">
        <f>V410*(1+IF($AK410+IF(입력란!$C$19=1,10,0)+IF(MID(E410,3,1)="1",IF(G410="생명50%이하",트라이포드!$J$22,트라이포드!$I$22),0)&gt;100,100,$AK410+IF(입력란!$C$19=1,10,0)+IF(MID(E410,3,1)="1",IF(G410="생명50%이하",트라이포드!$J$22,트라이포드!$I$22),0))/100*($AL410/100-1))</f>
        <v>0</v>
      </c>
      <c r="N410" s="38"/>
      <c r="O410" s="38"/>
      <c r="P410" s="38"/>
      <c r="Q410" s="34"/>
      <c r="R410" s="23">
        <f>SUM(S410:Z410)</f>
        <v>430131.76189518673</v>
      </c>
      <c r="S410" s="29">
        <f>AN410*IF(MID(E410,3,1)="2",트라이포드!$L$22,트라이포드!$K$22)*IF(MID(E410,5,1)="1",트라이포드!$P$22,트라이포드!$O$22)*(1+입력란!$C$34/100)</f>
        <v>430131.76189518673</v>
      </c>
      <c r="T410" s="29">
        <f>AN410*IF(MID(E410,3,1)="2",트라이포드!$L$22,트라이포드!$K$22)*IF(MID(E410,5,1)="2",트라이포드!$R$22,트라이포드!$F$22)*(1+입력란!$C$34/100)/3</f>
        <v>0</v>
      </c>
      <c r="U410" s="29">
        <f>AN410*IF(MID(E410,3,1)="2",트라이포드!$L$22,트라이포드!$K$22)*IF(MID(E410,5,1)="2",트라이포드!$R$22,트라이포드!$F$22)*(1+입력란!$C$34/100)/3</f>
        <v>0</v>
      </c>
      <c r="V410" s="29">
        <f>AN410*IF(MID(E410,3,1)="2",트라이포드!$L$22,트라이포드!$K$22)*IF(MID(E410,5,1)="2",트라이포드!$R$22,트라이포드!$F$22)*(1+입력란!$C$34/100)/3</f>
        <v>0</v>
      </c>
      <c r="W410" s="25"/>
      <c r="X410" s="25"/>
      <c r="Y410" s="25"/>
      <c r="Z410" s="26"/>
      <c r="AA410" s="29">
        <f>SUM(AB410:AI410)</f>
        <v>860263.52379037347</v>
      </c>
      <c r="AB410" s="29">
        <f>S410*2</f>
        <v>860263.52379037347</v>
      </c>
      <c r="AC410" s="29">
        <f>T410*2</f>
        <v>0</v>
      </c>
      <c r="AD410" s="29">
        <f>U410*2</f>
        <v>0</v>
      </c>
      <c r="AE410" s="29">
        <f>V410*2</f>
        <v>0</v>
      </c>
      <c r="AF410" s="38"/>
      <c r="AG410" s="38"/>
      <c r="AH410" s="38"/>
      <c r="AI410" s="24"/>
      <c r="AJ410" s="29">
        <f>AR410*(1-입력란!$C$29/100)</f>
        <v>22.98497201496</v>
      </c>
      <c r="AK41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0" s="25">
        <f>입력란!$C$37+IF(입력란!$C$17=1,10,IF(입력란!$C$17=2,25,IF(입력란!$C$17=3,50,0)))</f>
        <v>200</v>
      </c>
      <c r="AM410" s="25">
        <f>SUM(AN410:AP410)</f>
        <v>116504.00546029203</v>
      </c>
      <c r="AN410" s="29">
        <f>(VLOOKUP(C410,$B$4:$AK$7,29,FALSE)+VLOOKUP(C410,$B$8:$AK$11,29,FALSE)*입력란!$C$23)*입력란!$C$38/100</f>
        <v>116504.00546029203</v>
      </c>
      <c r="AO410" s="38"/>
      <c r="AP410" s="38"/>
      <c r="AQ410" s="38"/>
      <c r="AR410" s="22">
        <v>24</v>
      </c>
    </row>
    <row r="411" spans="2:44" ht="13.5" customHeight="1" x14ac:dyDescent="0.3">
      <c r="B411" s="30">
        <v>396</v>
      </c>
      <c r="C411" s="39">
        <v>10</v>
      </c>
      <c r="D411" s="43" t="s">
        <v>211</v>
      </c>
      <c r="E411" s="37" t="s">
        <v>215</v>
      </c>
      <c r="F411" s="39" t="s">
        <v>216</v>
      </c>
      <c r="G411" s="39"/>
      <c r="H411" s="80">
        <f>I411/AJ411</f>
        <v>25187.889095107272</v>
      </c>
      <c r="I411" s="52">
        <f>SUM(J411:Q411)*IF(입력란!C$15=1,1.04,IF(입력란!C$15=2,1.1,IF(입력란!C$15=3,1.2,1)))*IF(입력란!$C$17&lt;&gt;0,0.98,1)*IF(입력란!$C$12=1,IF(G411="생명50%이하",1.2,1.1),1)*IF(입력란!$C$12=2,IF(G411="생명50%이하",1.3,1.1),1)*IF(입력란!$C$12=3,IF(G411="생명50%이하",1.4,1.1),1)</f>
        <v>578942.92596695677</v>
      </c>
      <c r="J411" s="29">
        <f>S411*(1+IF($AK411+IF(입력란!$C$19=1,10,0)+IF(MID(E411,3,1)="1",IF(G411="생명50%이하",트라이포드!$J$22,트라이포드!$I$22),0)&gt;100,100,$AK411+IF(입력란!$C$19=1,10,0)+IF(MID(E411,3,1)="1",IF(G411="생명50%이하",트라이포드!$J$22,트라이포드!$I$22),0))/100*($AL411/100-1))</f>
        <v>263155.87543952581</v>
      </c>
      <c r="K411" s="29">
        <f>T411*(1+IF($AK411+IF(입력란!$C$19=1,10,0)+IF(MID(E411,3,1)="1",IF(G411="생명50%이하",트라이포드!$J$22,트라이포드!$I$22),0)&gt;100,100,$AK411+IF(입력란!$C$19=1,10,0)+IF(MID(E411,3,1)="1",IF(G411="생명50%이하",트라이포드!$J$22,트라이포드!$I$22),0))/100*($AL411/100-1))</f>
        <v>105262.35017581032</v>
      </c>
      <c r="L411" s="29">
        <f>U411*(1+IF($AK411+IF(입력란!$C$19=1,10,0)+IF(MID(E411,3,1)="1",IF(G411="생명50%이하",트라이포드!$J$22,트라이포드!$I$22),0)&gt;100,100,$AK411+IF(입력란!$C$19=1,10,0)+IF(MID(E411,3,1)="1",IF(G411="생명50%이하",트라이포드!$J$22,트라이포드!$I$22),0))/100*($AL411/100-1))</f>
        <v>105262.35017581032</v>
      </c>
      <c r="M411" s="29">
        <f>V411*(1+IF($AK411+IF(입력란!$C$19=1,10,0)+IF(MID(E411,3,1)="1",IF(G411="생명50%이하",트라이포드!$J$22,트라이포드!$I$22),0)&gt;100,100,$AK411+IF(입력란!$C$19=1,10,0)+IF(MID(E411,3,1)="1",IF(G411="생명50%이하",트라이포드!$J$22,트라이포드!$I$22),0))/100*($AL411/100-1))</f>
        <v>105262.35017581032</v>
      </c>
      <c r="N411" s="38"/>
      <c r="O411" s="38"/>
      <c r="P411" s="38"/>
      <c r="Q411" s="34"/>
      <c r="R411" s="23">
        <f>SUM(S411:Z411)</f>
        <v>473144.93808470544</v>
      </c>
      <c r="S411" s="29">
        <f>AN411*IF(MID(E411,3,1)="2",트라이포드!$L$22,트라이포드!$K$22)*IF(MID(E411,5,1)="1",트라이포드!$P$22,트라이포드!$O$22)*(1+입력란!$C$34/100)</f>
        <v>215065.88094759337</v>
      </c>
      <c r="T411" s="29">
        <f>AN411*IF(MID(E411,3,1)="2",트라이포드!$L$22,트라이포드!$K$22)*IF(MID(E411,5,1)="2",트라이포드!$R$22,트라이포드!$F$22)*(1+입력란!$C$34/100)/3</f>
        <v>86026.352379037344</v>
      </c>
      <c r="U411" s="29">
        <f>AN411*IF(MID(E411,3,1)="2",트라이포드!$L$22,트라이포드!$K$22)*IF(MID(E411,5,1)="2",트라이포드!$R$22,트라이포드!$F$22)*(1+입력란!$C$34/100)/3</f>
        <v>86026.352379037344</v>
      </c>
      <c r="V411" s="29">
        <f>AN411*IF(MID(E411,3,1)="2",트라이포드!$L$22,트라이포드!$K$22)*IF(MID(E411,5,1)="2",트라이포드!$R$22,트라이포드!$F$22)*(1+입력란!$C$34/100)/3</f>
        <v>86026.352379037344</v>
      </c>
      <c r="W411" s="25"/>
      <c r="X411" s="25"/>
      <c r="Y411" s="25"/>
      <c r="Z411" s="26"/>
      <c r="AA411" s="29">
        <f>SUM(AB411:AI411)</f>
        <v>946289.87616941088</v>
      </c>
      <c r="AB411" s="29">
        <f>S411*2</f>
        <v>430131.76189518673</v>
      </c>
      <c r="AC411" s="29">
        <f>T411*2</f>
        <v>172052.70475807469</v>
      </c>
      <c r="AD411" s="29">
        <f>U411*2</f>
        <v>172052.70475807469</v>
      </c>
      <c r="AE411" s="29">
        <f>V411*2</f>
        <v>172052.70475807469</v>
      </c>
      <c r="AF411" s="38"/>
      <c r="AG411" s="38"/>
      <c r="AH411" s="38"/>
      <c r="AI411" s="24"/>
      <c r="AJ411" s="29">
        <f>AR411*(1-입력란!$C$29/100)</f>
        <v>22.98497201496</v>
      </c>
      <c r="AK41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1" s="25">
        <f>입력란!$C$37+IF(입력란!$C$17=1,10,IF(입력란!$C$17=2,25,IF(입력란!$C$17=3,50,0)))</f>
        <v>200</v>
      </c>
      <c r="AM411" s="25">
        <f>SUM(AN411:AP411)</f>
        <v>116504.00546029203</v>
      </c>
      <c r="AN411" s="29">
        <f>(VLOOKUP(C411,$B$4:$AK$7,29,FALSE)+VLOOKUP(C411,$B$8:$AK$11,29,FALSE)*입력란!$C$23)*입력란!$C$38/100</f>
        <v>116504.00546029203</v>
      </c>
      <c r="AO411" s="38"/>
      <c r="AP411" s="38"/>
      <c r="AQ411" s="38"/>
      <c r="AR411" s="22">
        <v>24</v>
      </c>
    </row>
    <row r="412" spans="2:44" ht="13.5" customHeight="1" x14ac:dyDescent="0.3">
      <c r="B412" s="30">
        <v>397</v>
      </c>
      <c r="C412" s="35">
        <v>1</v>
      </c>
      <c r="D412" s="43" t="s">
        <v>35</v>
      </c>
      <c r="E412" s="37" t="s">
        <v>57</v>
      </c>
      <c r="F412" s="39"/>
      <c r="G412" s="39" t="s">
        <v>403</v>
      </c>
      <c r="H412" s="80">
        <f>I412/AJ412</f>
        <v>8118.8107711909734</v>
      </c>
      <c r="I412" s="52">
        <f>SUM(J412:Q412)*IF(입력란!C$15=1,1.04,IF(입력란!C$15=2,1.1,IF(입력란!C$15=3,1.2,1)))*IF(입력란!$C$17&lt;&gt;0,0.98,1)*IF(입력란!$C$12=1,IF(G412="생명50%이하",1.2,1.1),1)*IF(입력란!$C$12=2,IF(G412="생명50%이하",1.3,1.1),1)*IF(입력란!$C$12=3,IF(G412="생명50%이하",1.4,1.1),1)</f>
        <v>186610.63837058033</v>
      </c>
      <c r="J412" s="29">
        <f>S412*(1+IF($AK412+IF(입력란!$C$19=1,10,0)+IF(MID(E412,3,1)="1",IF(G412="생명50%이하",트라이포드!$J$22,트라이포드!$I$22),0)&gt;100,100,$AK412+IF(입력란!$C$19=1,10,0)+IF(MID(E412,3,1)="1",IF(G412="생명50%이하",트라이포드!$J$22,트라이포드!$I$22),0))/100*($AL412/100-1))</f>
        <v>186610.63837058033</v>
      </c>
      <c r="K412" s="29">
        <f>T412*(1+IF($AK412+IF(입력란!$C$19=1,10,0)+IF(MID(E412,3,1)="1",IF(G412="생명50%이하",트라이포드!$J$22,트라이포드!$I$22),0)&gt;100,100,$AK412+IF(입력란!$C$19=1,10,0)+IF(MID(E412,3,1)="1",IF(G412="생명50%이하",트라이포드!$J$22,트라이포드!$I$22),0))/100*($AL412/100-1))</f>
        <v>0</v>
      </c>
      <c r="L412" s="29">
        <f>U412*(1+IF($AK412+IF(입력란!$C$19=1,10,0)+IF(MID(E412,3,1)="1",IF(G412="생명50%이하",트라이포드!$J$22,트라이포드!$I$22),0)&gt;100,100,$AK412+IF(입력란!$C$19=1,10,0)+IF(MID(E412,3,1)="1",IF(G412="생명50%이하",트라이포드!$J$22,트라이포드!$I$22),0))/100*($AL412/100-1))</f>
        <v>0</v>
      </c>
      <c r="M412" s="29">
        <f>V412*(1+IF($AK412+IF(입력란!$C$19=1,10,0)+IF(MID(E412,3,1)="1",IF(G412="생명50%이하",트라이포드!$J$22,트라이포드!$I$22),0)&gt;100,100,$AK412+IF(입력란!$C$19=1,10,0)+IF(MID(E412,3,1)="1",IF(G412="생명50%이하",트라이포드!$J$22,트라이포드!$I$22),0))/100*($AL412/100-1))</f>
        <v>0</v>
      </c>
      <c r="N412" s="38"/>
      <c r="O412" s="38"/>
      <c r="P412" s="38"/>
      <c r="Q412" s="34"/>
      <c r="R412" s="23">
        <f>SUM(S412:Z412)</f>
        <v>152508.77932453563</v>
      </c>
      <c r="S412" s="29">
        <f>AN412*IF(MID(E412,3,1)="2",트라이포드!$L$22,트라이포드!$K$22)*IF(MID(E412,5,1)="1",트라이포드!$P$22,트라이포드!$O$22)*(1+입력란!$C$34/100)</f>
        <v>152508.77932453563</v>
      </c>
      <c r="T412" s="29">
        <f>AN412*IF(MID(E412,3,1)="2",트라이포드!$L$22,트라이포드!$K$22)*IF(MID(E412,5,1)="2",트라이포드!$R$22,트라이포드!$F$22)*(1+입력란!$C$34/100)/3</f>
        <v>0</v>
      </c>
      <c r="U412" s="29">
        <f>AN412*IF(MID(E412,3,1)="2",트라이포드!$L$22,트라이포드!$K$22)*IF(MID(E412,5,1)="2",트라이포드!$R$22,트라이포드!$F$22)*(1+입력란!$C$34/100)/3</f>
        <v>0</v>
      </c>
      <c r="V412" s="29">
        <f>AN412*IF(MID(E412,3,1)="2",트라이포드!$L$22,트라이포드!$K$22)*IF(MID(E412,5,1)="2",트라이포드!$R$22,트라이포드!$F$22)*(1+입력란!$C$34/100)/3</f>
        <v>0</v>
      </c>
      <c r="W412" s="29"/>
      <c r="X412" s="29"/>
      <c r="Y412" s="29"/>
      <c r="Z412" s="26"/>
      <c r="AA412" s="29">
        <f>SUM(AB412:AI412)</f>
        <v>305017.55864907126</v>
      </c>
      <c r="AB412" s="29">
        <f>S412*2</f>
        <v>305017.55864907126</v>
      </c>
      <c r="AC412" s="29">
        <f>T412*2</f>
        <v>0</v>
      </c>
      <c r="AD412" s="29">
        <f>U412*2</f>
        <v>0</v>
      </c>
      <c r="AE412" s="29">
        <f>V412*2</f>
        <v>0</v>
      </c>
      <c r="AF412" s="38"/>
      <c r="AG412" s="38"/>
      <c r="AH412" s="38"/>
      <c r="AI412" s="26"/>
      <c r="AJ412" s="29">
        <f>AR412*(1-입력란!$C$29/100)</f>
        <v>22.98497201496</v>
      </c>
      <c r="AK41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2" s="25">
        <f>입력란!$C$37+IF(입력란!$C$17=1,10,IF(입력란!$C$17=2,25,IF(입력란!$C$17=3,50,0)))</f>
        <v>200</v>
      </c>
      <c r="AM412" s="29">
        <f>SUM(AN412:AP412)</f>
        <v>115662.40546029202</v>
      </c>
      <c r="AN412" s="29">
        <f>(VLOOKUP(C412,$B$4:$AK$7,29,FALSE)+VLOOKUP(C412,$B$8:$AK$11,29,FALSE)*입력란!$C$23)*입력란!$C$38/100</f>
        <v>115662.40546029202</v>
      </c>
      <c r="AO412" s="29"/>
      <c r="AP412" s="38"/>
      <c r="AQ412" s="38"/>
      <c r="AR412" s="22">
        <v>24</v>
      </c>
    </row>
    <row r="413" spans="2:44" ht="13.5" customHeight="1" x14ac:dyDescent="0.3">
      <c r="B413" s="30">
        <v>398</v>
      </c>
      <c r="C413" s="39">
        <v>4</v>
      </c>
      <c r="D413" s="43" t="s">
        <v>35</v>
      </c>
      <c r="E413" s="37" t="s">
        <v>57</v>
      </c>
      <c r="F413" s="39"/>
      <c r="G413" s="39" t="s">
        <v>403</v>
      </c>
      <c r="H413" s="80">
        <f>I413/AJ413</f>
        <v>8152.3073640086141</v>
      </c>
      <c r="I413" s="52">
        <f>SUM(J413:Q413)*IF(입력란!C$15=1,1.04,IF(입력란!C$15=2,1.1,IF(입력란!C$15=3,1.2,1)))*IF(입력란!$C$17&lt;&gt;0,0.98,1)*IF(입력란!$C$12=1,IF(G413="생명50%이하",1.2,1.1),1)*IF(입력란!$C$12=2,IF(G413="생명50%이하",1.3,1.1),1)*IF(입력란!$C$12=3,IF(G413="생명50%이하",1.4,1.1),1)</f>
        <v>187380.55661909032</v>
      </c>
      <c r="J413" s="29">
        <f>S413*(1+IF($AK413+IF(입력란!$C$19=1,10,0)+IF(MID(E413,3,1)="1",IF(G413="생명50%이하",트라이포드!$J$22,트라이포드!$I$22),0)&gt;100,100,$AK413+IF(입력란!$C$19=1,10,0)+IF(MID(E413,3,1)="1",IF(G413="생명50%이하",트라이포드!$J$22,트라이포드!$I$22),0))/100*($AL413/100-1))</f>
        <v>187380.55661909032</v>
      </c>
      <c r="K413" s="29">
        <f>T413*(1+IF($AK413+IF(입력란!$C$19=1,10,0)+IF(MID(E413,3,1)="1",IF(G413="생명50%이하",트라이포드!$J$22,트라이포드!$I$22),0)&gt;100,100,$AK413+IF(입력란!$C$19=1,10,0)+IF(MID(E413,3,1)="1",IF(G413="생명50%이하",트라이포드!$J$22,트라이포드!$I$22),0))/100*($AL413/100-1))</f>
        <v>0</v>
      </c>
      <c r="L413" s="29">
        <f>U413*(1+IF($AK413+IF(입력란!$C$19=1,10,0)+IF(MID(E413,3,1)="1",IF(G413="생명50%이하",트라이포드!$J$22,트라이포드!$I$22),0)&gt;100,100,$AK413+IF(입력란!$C$19=1,10,0)+IF(MID(E413,3,1)="1",IF(G413="생명50%이하",트라이포드!$J$22,트라이포드!$I$22),0))/100*($AL413/100-1))</f>
        <v>0</v>
      </c>
      <c r="M413" s="29">
        <f>V413*(1+IF($AK413+IF(입력란!$C$19=1,10,0)+IF(MID(E413,3,1)="1",IF(G413="생명50%이하",트라이포드!$J$22,트라이포드!$I$22),0)&gt;100,100,$AK413+IF(입력란!$C$19=1,10,0)+IF(MID(E413,3,1)="1",IF(G413="생명50%이하",트라이포드!$J$22,트라이포드!$I$22),0))/100*($AL413/100-1))</f>
        <v>0</v>
      </c>
      <c r="N413" s="38"/>
      <c r="O413" s="38"/>
      <c r="P413" s="38"/>
      <c r="Q413" s="34"/>
      <c r="R413" s="23">
        <f>SUM(S413:Z413)</f>
        <v>153138.00010897324</v>
      </c>
      <c r="S413" s="29">
        <f>AN413*IF(MID(E413,3,1)="2",트라이포드!$L$22,트라이포드!$K$22)*IF(MID(E413,5,1)="1",트라이포드!$P$22,트라이포드!$O$22)*(1+입력란!$C$34/100)</f>
        <v>153138.00010897324</v>
      </c>
      <c r="T413" s="29">
        <f>AN413*IF(MID(E413,3,1)="2",트라이포드!$L$22,트라이포드!$K$22)*IF(MID(E413,5,1)="2",트라이포드!$R$22,트라이포드!$F$22)*(1+입력란!$C$34/100)/3</f>
        <v>0</v>
      </c>
      <c r="U413" s="29">
        <f>AN413*IF(MID(E413,3,1)="2",트라이포드!$L$22,트라이포드!$K$22)*IF(MID(E413,5,1)="2",트라이포드!$R$22,트라이포드!$F$22)*(1+입력란!$C$34/100)/3</f>
        <v>0</v>
      </c>
      <c r="V413" s="29">
        <f>AN413*IF(MID(E413,3,1)="2",트라이포드!$L$22,트라이포드!$K$22)*IF(MID(E413,5,1)="2",트라이포드!$R$22,트라이포드!$F$22)*(1+입력란!$C$34/100)/3</f>
        <v>0</v>
      </c>
      <c r="W413" s="25"/>
      <c r="X413" s="25"/>
      <c r="Y413" s="25"/>
      <c r="Z413" s="26"/>
      <c r="AA413" s="29">
        <f>SUM(AB413:AI413)</f>
        <v>306276.00021794648</v>
      </c>
      <c r="AB413" s="29">
        <f>S413*2</f>
        <v>306276.00021794648</v>
      </c>
      <c r="AC413" s="29">
        <f>T413*2</f>
        <v>0</v>
      </c>
      <c r="AD413" s="29">
        <f>U413*2</f>
        <v>0</v>
      </c>
      <c r="AE413" s="29">
        <f>V413*2</f>
        <v>0</v>
      </c>
      <c r="AF413" s="38"/>
      <c r="AG413" s="38"/>
      <c r="AH413" s="38"/>
      <c r="AI413" s="24"/>
      <c r="AJ413" s="29">
        <f>AR413*(1-입력란!$C$29/100)</f>
        <v>22.98497201496</v>
      </c>
      <c r="AK41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3" s="25">
        <f>입력란!$C$37+IF(입력란!$C$17=1,10,IF(입력란!$C$17=2,25,IF(입력란!$C$17=3,50,0)))</f>
        <v>200</v>
      </c>
      <c r="AM413" s="25">
        <f>SUM(AN413:AP413)</f>
        <v>116139.60546029202</v>
      </c>
      <c r="AN413" s="29">
        <f>(VLOOKUP(C413,$B$4:$AK$7,29,FALSE)+VLOOKUP(C413,$B$8:$AK$11,29,FALSE)*입력란!$C$23)*입력란!$C$38/100</f>
        <v>116139.60546029202</v>
      </c>
      <c r="AO413" s="38"/>
      <c r="AP413" s="38"/>
      <c r="AQ413" s="38"/>
      <c r="AR413" s="22">
        <v>24</v>
      </c>
    </row>
    <row r="414" spans="2:44" ht="13.5" customHeight="1" x14ac:dyDescent="0.3">
      <c r="B414" s="30">
        <v>399</v>
      </c>
      <c r="C414" s="39">
        <v>7</v>
      </c>
      <c r="D414" s="43" t="s">
        <v>35</v>
      </c>
      <c r="E414" s="37" t="s">
        <v>57</v>
      </c>
      <c r="F414" s="39"/>
      <c r="G414" s="39" t="s">
        <v>403</v>
      </c>
      <c r="H414" s="80">
        <f>I414/AJ414</f>
        <v>8167.9185170736682</v>
      </c>
      <c r="I414" s="52">
        <f>SUM(J414:Q414)*IF(입력란!C$15=1,1.04,IF(입력란!C$15=2,1.1,IF(입력란!C$15=3,1.2,1)))*IF(입력란!$C$17&lt;&gt;0,0.98,1)*IF(입력란!$C$12=1,IF(G414="생명50%이하",1.2,1.1),1)*IF(입력란!$C$12=2,IF(G414="생명50%이하",1.3,1.1),1)*IF(입력란!$C$12=3,IF(G414="생명50%이하",1.4,1.1),1)</f>
        <v>187739.37853541184</v>
      </c>
      <c r="J414" s="29">
        <f>S414*(1+IF($AK414+IF(입력란!$C$19=1,10,0)+IF(MID(E414,3,1)="1",IF(G414="생명50%이하",트라이포드!$J$22,트라이포드!$I$22),0)&gt;100,100,$AK414+IF(입력란!$C$19=1,10,0)+IF(MID(E414,3,1)="1",IF(G414="생명50%이하",트라이포드!$J$22,트라이포드!$I$22),0))/100*($AL414/100-1))</f>
        <v>187739.37853541184</v>
      </c>
      <c r="K414" s="29">
        <f>T414*(1+IF($AK414+IF(입력란!$C$19=1,10,0)+IF(MID(E414,3,1)="1",IF(G414="생명50%이하",트라이포드!$J$22,트라이포드!$I$22),0)&gt;100,100,$AK414+IF(입력란!$C$19=1,10,0)+IF(MID(E414,3,1)="1",IF(G414="생명50%이하",트라이포드!$J$22,트라이포드!$I$22),0))/100*($AL414/100-1))</f>
        <v>0</v>
      </c>
      <c r="L414" s="29">
        <f>U414*(1+IF($AK414+IF(입력란!$C$19=1,10,0)+IF(MID(E414,3,1)="1",IF(G414="생명50%이하",트라이포드!$J$22,트라이포드!$I$22),0)&gt;100,100,$AK414+IF(입력란!$C$19=1,10,0)+IF(MID(E414,3,1)="1",IF(G414="생명50%이하",트라이포드!$J$22,트라이포드!$I$22),0))/100*($AL414/100-1))</f>
        <v>0</v>
      </c>
      <c r="M414" s="29">
        <f>V414*(1+IF($AK414+IF(입력란!$C$19=1,10,0)+IF(MID(E414,3,1)="1",IF(G414="생명50%이하",트라이포드!$J$22,트라이포드!$I$22),0)&gt;100,100,$AK414+IF(입력란!$C$19=1,10,0)+IF(MID(E414,3,1)="1",IF(G414="생명50%이하",트라이포드!$J$22,트라이포드!$I$22),0))/100*($AL414/100-1))</f>
        <v>0</v>
      </c>
      <c r="N414" s="38"/>
      <c r="O414" s="38"/>
      <c r="P414" s="38"/>
      <c r="Q414" s="34"/>
      <c r="R414" s="23">
        <f>SUM(S414:Z414)</f>
        <v>153431.24969501462</v>
      </c>
      <c r="S414" s="29">
        <f>AN414*IF(MID(E414,3,1)="2",트라이포드!$L$22,트라이포드!$K$22)*IF(MID(E414,5,1)="1",트라이포드!$P$22,트라이포드!$O$22)*(1+입력란!$C$34/100)</f>
        <v>153431.24969501462</v>
      </c>
      <c r="T414" s="29">
        <f>AN414*IF(MID(E414,3,1)="2",트라이포드!$L$22,트라이포드!$K$22)*IF(MID(E414,5,1)="2",트라이포드!$R$22,트라이포드!$F$22)*(1+입력란!$C$34/100)/3</f>
        <v>0</v>
      </c>
      <c r="U414" s="29">
        <f>AN414*IF(MID(E414,3,1)="2",트라이포드!$L$22,트라이포드!$K$22)*IF(MID(E414,5,1)="2",트라이포드!$R$22,트라이포드!$F$22)*(1+입력란!$C$34/100)/3</f>
        <v>0</v>
      </c>
      <c r="V414" s="29">
        <f>AN414*IF(MID(E414,3,1)="2",트라이포드!$L$22,트라이포드!$K$22)*IF(MID(E414,5,1)="2",트라이포드!$R$22,트라이포드!$F$22)*(1+입력란!$C$34/100)/3</f>
        <v>0</v>
      </c>
      <c r="W414" s="25"/>
      <c r="X414" s="25"/>
      <c r="Y414" s="25"/>
      <c r="Z414" s="26"/>
      <c r="AA414" s="29">
        <f>SUM(AB414:AI414)</f>
        <v>306862.49939002923</v>
      </c>
      <c r="AB414" s="29">
        <f>S414*2</f>
        <v>306862.49939002923</v>
      </c>
      <c r="AC414" s="29">
        <f>T414*2</f>
        <v>0</v>
      </c>
      <c r="AD414" s="29">
        <f>U414*2</f>
        <v>0</v>
      </c>
      <c r="AE414" s="29">
        <f>V414*2</f>
        <v>0</v>
      </c>
      <c r="AF414" s="38"/>
      <c r="AG414" s="38"/>
      <c r="AH414" s="38"/>
      <c r="AI414" s="24"/>
      <c r="AJ414" s="29">
        <f>AR414*(1-입력란!$C$29/100)</f>
        <v>22.98497201496</v>
      </c>
      <c r="AK41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4" s="25">
        <f>입력란!$C$37+IF(입력란!$C$17=1,10,IF(입력란!$C$17=2,25,IF(입력란!$C$17=3,50,0)))</f>
        <v>200</v>
      </c>
      <c r="AM414" s="25">
        <f>SUM(AN414:AP414)</f>
        <v>116362.00546029203</v>
      </c>
      <c r="AN414" s="29">
        <f>(VLOOKUP(C414,$B$4:$AK$7,29,FALSE)+VLOOKUP(C414,$B$8:$AK$11,29,FALSE)*입력란!$C$23)*입력란!$C$38/100</f>
        <v>116362.00546029203</v>
      </c>
      <c r="AO414" s="38"/>
      <c r="AP414" s="38"/>
      <c r="AQ414" s="38"/>
      <c r="AR414" s="22">
        <v>24</v>
      </c>
    </row>
    <row r="415" spans="2:44" ht="13.5" customHeight="1" x14ac:dyDescent="0.3">
      <c r="B415" s="30">
        <v>400</v>
      </c>
      <c r="C415" s="39">
        <v>7</v>
      </c>
      <c r="D415" s="43" t="s">
        <v>35</v>
      </c>
      <c r="E415" s="37" t="s">
        <v>77</v>
      </c>
      <c r="F415" s="39"/>
      <c r="G415" s="39" t="s">
        <v>403</v>
      </c>
      <c r="H415" s="80">
        <f>I415/AJ415</f>
        <v>11505.561251534089</v>
      </c>
      <c r="I415" s="52">
        <f>SUM(J415:Q415)*IF(입력란!C$15=1,1.04,IF(입력란!C$15=2,1.1,IF(입력란!C$15=3,1.2,1)))*IF(입력란!$C$17&lt;&gt;0,0.98,1)*IF(입력란!$C$12=1,IF(G415="생명50%이하",1.2,1.1),1)*IF(입력란!$C$12=2,IF(G415="생명50%이하",1.3,1.1),1)*IF(입력란!$C$12=3,IF(G415="생명50%이하",1.4,1.1),1)</f>
        <v>264455.00338291918</v>
      </c>
      <c r="J415" s="29">
        <f>S415*(1+IF($AK415+IF(입력란!$C$19=1,10,0)+IF(MID(E415,3,1)="1",IF(G415="생명50%이하",트라이포드!$J$22,트라이포드!$I$22),0)&gt;100,100,$AK415+IF(입력란!$C$19=1,10,0)+IF(MID(E415,3,1)="1",IF(G415="생명50%이하",트라이포드!$J$22,트라이포드!$I$22),0))/100*($AL415/100-1))</f>
        <v>264455.00338291918</v>
      </c>
      <c r="K415" s="29">
        <f>T415*(1+IF($AK415+IF(입력란!$C$19=1,10,0)+IF(MID(E415,3,1)="1",IF(G415="생명50%이하",트라이포드!$J$22,트라이포드!$I$22),0)&gt;100,100,$AK415+IF(입력란!$C$19=1,10,0)+IF(MID(E415,3,1)="1",IF(G415="생명50%이하",트라이포드!$J$22,트라이포드!$I$22),0))/100*($AL415/100-1))</f>
        <v>0</v>
      </c>
      <c r="L415" s="29">
        <f>U415*(1+IF($AK415+IF(입력란!$C$19=1,10,0)+IF(MID(E415,3,1)="1",IF(G415="생명50%이하",트라이포드!$J$22,트라이포드!$I$22),0)&gt;100,100,$AK415+IF(입력란!$C$19=1,10,0)+IF(MID(E415,3,1)="1",IF(G415="생명50%이하",트라이포드!$J$22,트라이포드!$I$22),0))/100*($AL415/100-1))</f>
        <v>0</v>
      </c>
      <c r="M415" s="29">
        <f>V415*(1+IF($AK415+IF(입력란!$C$19=1,10,0)+IF(MID(E415,3,1)="1",IF(G415="생명50%이하",트라이포드!$J$22,트라이포드!$I$22),0)&gt;100,100,$AK415+IF(입력란!$C$19=1,10,0)+IF(MID(E415,3,1)="1",IF(G415="생명50%이하",트라이포드!$J$22,트라이포드!$I$22),0))/100*($AL415/100-1))</f>
        <v>0</v>
      </c>
      <c r="N415" s="38"/>
      <c r="O415" s="38"/>
      <c r="P415" s="38"/>
      <c r="Q415" s="34"/>
      <c r="R415" s="23">
        <f>SUM(S415:Z415)</f>
        <v>153431.24969501462</v>
      </c>
      <c r="S415" s="29">
        <f>AN415*IF(MID(E415,3,1)="2",트라이포드!$L$22,트라이포드!$K$22)*IF(MID(E415,5,1)="1",트라이포드!$P$22,트라이포드!$O$22)*(1+입력란!$C$34/100)</f>
        <v>153431.24969501462</v>
      </c>
      <c r="T415" s="29">
        <f>AN415*IF(MID(E415,3,1)="2",트라이포드!$L$22,트라이포드!$K$22)*IF(MID(E415,5,1)="2",트라이포드!$R$22,트라이포드!$F$22)*(1+입력란!$C$34/100)/3</f>
        <v>0</v>
      </c>
      <c r="U415" s="29">
        <f>AN415*IF(MID(E415,3,1)="2",트라이포드!$L$22,트라이포드!$K$22)*IF(MID(E415,5,1)="2",트라이포드!$R$22,트라이포드!$F$22)*(1+입력란!$C$34/100)/3</f>
        <v>0</v>
      </c>
      <c r="V415" s="29">
        <f>AN415*IF(MID(E415,3,1)="2",트라이포드!$L$22,트라이포드!$K$22)*IF(MID(E415,5,1)="2",트라이포드!$R$22,트라이포드!$F$22)*(1+입력란!$C$34/100)/3</f>
        <v>0</v>
      </c>
      <c r="W415" s="25"/>
      <c r="X415" s="25"/>
      <c r="Y415" s="25"/>
      <c r="Z415" s="26"/>
      <c r="AA415" s="29">
        <f>SUM(AB415:AI415)</f>
        <v>306862.49939002923</v>
      </c>
      <c r="AB415" s="29">
        <f>S415*2</f>
        <v>306862.49939002923</v>
      </c>
      <c r="AC415" s="29">
        <f>T415*2</f>
        <v>0</v>
      </c>
      <c r="AD415" s="29">
        <f>U415*2</f>
        <v>0</v>
      </c>
      <c r="AE415" s="29">
        <f>V415*2</f>
        <v>0</v>
      </c>
      <c r="AF415" s="38"/>
      <c r="AG415" s="38"/>
      <c r="AH415" s="38"/>
      <c r="AI415" s="24"/>
      <c r="AJ415" s="29">
        <f>AR415*(1-입력란!$C$29/100)</f>
        <v>22.98497201496</v>
      </c>
      <c r="AK41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5" s="25">
        <f>입력란!$C$37+IF(입력란!$C$17=1,10,IF(입력란!$C$17=2,25,IF(입력란!$C$17=3,50,0)))</f>
        <v>200</v>
      </c>
      <c r="AM415" s="25">
        <f>SUM(AN415:AP415)</f>
        <v>116362.00546029203</v>
      </c>
      <c r="AN415" s="29">
        <f>(VLOOKUP(C415,$B$4:$AK$7,29,FALSE)+VLOOKUP(C415,$B$8:$AK$11,29,FALSE)*입력란!$C$23)*입력란!$C$38/100</f>
        <v>116362.00546029203</v>
      </c>
      <c r="AO415" s="38"/>
      <c r="AP415" s="38"/>
      <c r="AQ415" s="38"/>
      <c r="AR415" s="22">
        <v>24</v>
      </c>
    </row>
    <row r="416" spans="2:44" ht="13.5" customHeight="1" x14ac:dyDescent="0.3">
      <c r="B416" s="30">
        <v>401</v>
      </c>
      <c r="C416" s="39">
        <v>7</v>
      </c>
      <c r="D416" s="43" t="s">
        <v>35</v>
      </c>
      <c r="E416" s="37" t="s">
        <v>59</v>
      </c>
      <c r="F416" s="39" t="s">
        <v>216</v>
      </c>
      <c r="G416" s="39" t="s">
        <v>403</v>
      </c>
      <c r="H416" s="80">
        <f>I416/AJ416</f>
        <v>11435.085923903134</v>
      </c>
      <c r="I416" s="52">
        <f>SUM(J416:Q416)*IF(입력란!C$15=1,1.04,IF(입력란!C$15=2,1.1,IF(입력란!C$15=3,1.2,1)))*IF(입력란!$C$17&lt;&gt;0,0.98,1)*IF(입력란!$C$12=1,IF(G416="생명50%이하",1.2,1.1),1)*IF(입력란!$C$12=2,IF(G416="생명50%이하",1.3,1.1),1)*IF(입력란!$C$12=3,IF(G416="생명50%이하",1.4,1.1),1)</f>
        <v>262835.12994957657</v>
      </c>
      <c r="J416" s="29">
        <f>S416*(1+IF($AK416+IF(입력란!$C$19=1,10,0)+IF(MID(E416,3,1)="1",IF(G416="생명50%이하",트라이포드!$J$22,트라이포드!$I$22),0)&gt;100,100,$AK416+IF(입력란!$C$19=1,10,0)+IF(MID(E416,3,1)="1",IF(G416="생명50%이하",트라이포드!$J$22,트라이포드!$I$22),0))/100*($AL416/100-1))</f>
        <v>262835.12994957657</v>
      </c>
      <c r="K416" s="29">
        <f>T416*(1+IF($AK416+IF(입력란!$C$19=1,10,0)+IF(MID(E416,3,1)="1",IF(G416="생명50%이하",트라이포드!$J$22,트라이포드!$I$22),0)&gt;100,100,$AK416+IF(입력란!$C$19=1,10,0)+IF(MID(E416,3,1)="1",IF(G416="생명50%이하",트라이포드!$J$22,트라이포드!$I$22),0))/100*($AL416/100-1))</f>
        <v>0</v>
      </c>
      <c r="L416" s="29">
        <f>U416*(1+IF($AK416+IF(입력란!$C$19=1,10,0)+IF(MID(E416,3,1)="1",IF(G416="생명50%이하",트라이포드!$J$22,트라이포드!$I$22),0)&gt;100,100,$AK416+IF(입력란!$C$19=1,10,0)+IF(MID(E416,3,1)="1",IF(G416="생명50%이하",트라이포드!$J$22,트라이포드!$I$22),0))/100*($AL416/100-1))</f>
        <v>0</v>
      </c>
      <c r="M416" s="29">
        <f>V416*(1+IF($AK416+IF(입력란!$C$19=1,10,0)+IF(MID(E416,3,1)="1",IF(G416="생명50%이하",트라이포드!$J$22,트라이포드!$I$22),0)&gt;100,100,$AK416+IF(입력란!$C$19=1,10,0)+IF(MID(E416,3,1)="1",IF(G416="생명50%이하",트라이포드!$J$22,트라이포드!$I$22),0))/100*($AL416/100-1))</f>
        <v>0</v>
      </c>
      <c r="N416" s="38"/>
      <c r="O416" s="38"/>
      <c r="P416" s="38"/>
      <c r="Q416" s="34"/>
      <c r="R416" s="23">
        <f>SUM(S416:Z416)</f>
        <v>214803.74957302044</v>
      </c>
      <c r="S416" s="29">
        <f>AN416*IF(MID(E416,3,1)="2",트라이포드!$L$22,트라이포드!$K$22)*IF(MID(E416,5,1)="1",트라이포드!$P$22,트라이포드!$O$22)*(1+입력란!$C$34/100)</f>
        <v>214803.74957302044</v>
      </c>
      <c r="T416" s="29">
        <f>AN416*IF(MID(E416,3,1)="2",트라이포드!$L$22,트라이포드!$K$22)*IF(MID(E416,5,1)="2",트라이포드!$R$22,트라이포드!$F$22)*(1+입력란!$C$34/100)/3</f>
        <v>0</v>
      </c>
      <c r="U416" s="29">
        <f>AN416*IF(MID(E416,3,1)="2",트라이포드!$L$22,트라이포드!$K$22)*IF(MID(E416,5,1)="2",트라이포드!$R$22,트라이포드!$F$22)*(1+입력란!$C$34/100)/3</f>
        <v>0</v>
      </c>
      <c r="V416" s="29">
        <f>AN416*IF(MID(E416,3,1)="2",트라이포드!$L$22,트라이포드!$K$22)*IF(MID(E416,5,1)="2",트라이포드!$R$22,트라이포드!$F$22)*(1+입력란!$C$34/100)/3</f>
        <v>0</v>
      </c>
      <c r="W416" s="25"/>
      <c r="X416" s="25"/>
      <c r="Y416" s="25"/>
      <c r="Z416" s="26"/>
      <c r="AA416" s="29">
        <f>SUM(AB416:AI416)</f>
        <v>429607.49914604088</v>
      </c>
      <c r="AB416" s="29">
        <f>S416*2</f>
        <v>429607.49914604088</v>
      </c>
      <c r="AC416" s="29">
        <f>T416*2</f>
        <v>0</v>
      </c>
      <c r="AD416" s="29">
        <f>U416*2</f>
        <v>0</v>
      </c>
      <c r="AE416" s="29">
        <f>V416*2</f>
        <v>0</v>
      </c>
      <c r="AF416" s="38"/>
      <c r="AG416" s="38"/>
      <c r="AH416" s="38"/>
      <c r="AI416" s="24"/>
      <c r="AJ416" s="29">
        <f>AR416*(1-입력란!$C$29/100)</f>
        <v>22.98497201496</v>
      </c>
      <c r="AK41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6" s="25">
        <f>입력란!$C$37+IF(입력란!$C$17=1,10,IF(입력란!$C$17=2,25,IF(입력란!$C$17=3,50,0)))</f>
        <v>200</v>
      </c>
      <c r="AM416" s="25">
        <f>SUM(AN416:AP416)</f>
        <v>116362.00546029203</v>
      </c>
      <c r="AN416" s="29">
        <f>(VLOOKUP(C416,$B$4:$AK$7,29,FALSE)+VLOOKUP(C416,$B$8:$AK$11,29,FALSE)*입력란!$C$23)*입력란!$C$38/100</f>
        <v>116362.00546029203</v>
      </c>
      <c r="AO416" s="38"/>
      <c r="AP416" s="38"/>
      <c r="AQ416" s="38"/>
      <c r="AR416" s="22">
        <v>24</v>
      </c>
    </row>
    <row r="417" spans="2:44" ht="13.5" customHeight="1" x14ac:dyDescent="0.3">
      <c r="B417" s="30">
        <v>402</v>
      </c>
      <c r="C417" s="39">
        <v>10</v>
      </c>
      <c r="D417" s="43" t="s">
        <v>35</v>
      </c>
      <c r="E417" s="37" t="s">
        <v>57</v>
      </c>
      <c r="F417" s="39"/>
      <c r="G417" s="39" t="s">
        <v>403</v>
      </c>
      <c r="H417" s="80">
        <f>I417/AJ417</f>
        <v>8177.8860698400222</v>
      </c>
      <c r="I417" s="52">
        <f>SUM(J417:Q417)*IF(입력란!C$15=1,1.04,IF(입력란!C$15=2,1.1,IF(입력란!C$15=3,1.2,1)))*IF(입력란!$C$17&lt;&gt;0,0.98,1)*IF(입력란!$C$12=1,IF(G417="생명50%이하",1.2,1.1),1)*IF(입력란!$C$12=2,IF(G417="생명50%이하",1.3,1.1),1)*IF(입력란!$C$12=3,IF(G417="생명50%이하",1.4,1.1),1)</f>
        <v>187968.48245680414</v>
      </c>
      <c r="J417" s="29">
        <f>S417*(1+IF($AK417+IF(입력란!$C$19=1,10,0)+IF(MID(E417,3,1)="1",IF(G417="생명50%이하",트라이포드!$J$22,트라이포드!$I$22),0)&gt;100,100,$AK417+IF(입력란!$C$19=1,10,0)+IF(MID(E417,3,1)="1",IF(G417="생명50%이하",트라이포드!$J$22,트라이포드!$I$22),0))/100*($AL417/100-1))</f>
        <v>187968.48245680414</v>
      </c>
      <c r="K417" s="29">
        <f>T417*(1+IF($AK417+IF(입력란!$C$19=1,10,0)+IF(MID(E417,3,1)="1",IF(G417="생명50%이하",트라이포드!$J$22,트라이포드!$I$22),0)&gt;100,100,$AK417+IF(입력란!$C$19=1,10,0)+IF(MID(E417,3,1)="1",IF(G417="생명50%이하",트라이포드!$J$22,트라이포드!$I$22),0))/100*($AL417/100-1))</f>
        <v>0</v>
      </c>
      <c r="L417" s="29">
        <f>U417*(1+IF($AK417+IF(입력란!$C$19=1,10,0)+IF(MID(E417,3,1)="1",IF(G417="생명50%이하",트라이포드!$J$22,트라이포드!$I$22),0)&gt;100,100,$AK417+IF(입력란!$C$19=1,10,0)+IF(MID(E417,3,1)="1",IF(G417="생명50%이하",트라이포드!$J$22,트라이포드!$I$22),0))/100*($AL417/100-1))</f>
        <v>0</v>
      </c>
      <c r="M417" s="29">
        <f>V417*(1+IF($AK417+IF(입력란!$C$19=1,10,0)+IF(MID(E417,3,1)="1",IF(G417="생명50%이하",트라이포드!$J$22,트라이포드!$I$22),0)&gt;100,100,$AK417+IF(입력란!$C$19=1,10,0)+IF(MID(E417,3,1)="1",IF(G417="생명50%이하",트라이포드!$J$22,트라이포드!$I$22),0))/100*($AL417/100-1))</f>
        <v>0</v>
      </c>
      <c r="N417" s="38"/>
      <c r="O417" s="38"/>
      <c r="P417" s="38"/>
      <c r="Q417" s="34"/>
      <c r="R417" s="23">
        <f>SUM(S417:Z417)</f>
        <v>153618.48639113811</v>
      </c>
      <c r="S417" s="29">
        <f>AN417*IF(MID(E417,3,1)="2",트라이포드!$L$22,트라이포드!$K$22)*IF(MID(E417,5,1)="1",트라이포드!$P$22,트라이포드!$O$22)*(1+입력란!$C$34/100)</f>
        <v>153618.48639113811</v>
      </c>
      <c r="T417" s="29">
        <f>AN417*IF(MID(E417,3,1)="2",트라이포드!$L$22,트라이포드!$K$22)*IF(MID(E417,5,1)="2",트라이포드!$R$22,트라이포드!$F$22)*(1+입력란!$C$34/100)/3</f>
        <v>0</v>
      </c>
      <c r="U417" s="29">
        <f>AN417*IF(MID(E417,3,1)="2",트라이포드!$L$22,트라이포드!$K$22)*IF(MID(E417,5,1)="2",트라이포드!$R$22,트라이포드!$F$22)*(1+입력란!$C$34/100)/3</f>
        <v>0</v>
      </c>
      <c r="V417" s="29">
        <f>AN417*IF(MID(E417,3,1)="2",트라이포드!$L$22,트라이포드!$K$22)*IF(MID(E417,5,1)="2",트라이포드!$R$22,트라이포드!$F$22)*(1+입력란!$C$34/100)/3</f>
        <v>0</v>
      </c>
      <c r="W417" s="25"/>
      <c r="X417" s="25"/>
      <c r="Y417" s="25"/>
      <c r="Z417" s="26"/>
      <c r="AA417" s="29">
        <f>SUM(AB417:AI417)</f>
        <v>307236.97278227622</v>
      </c>
      <c r="AB417" s="29">
        <f>S417*2</f>
        <v>307236.97278227622</v>
      </c>
      <c r="AC417" s="29">
        <f>T417*2</f>
        <v>0</v>
      </c>
      <c r="AD417" s="29">
        <f>U417*2</f>
        <v>0</v>
      </c>
      <c r="AE417" s="29">
        <f>V417*2</f>
        <v>0</v>
      </c>
      <c r="AF417" s="38"/>
      <c r="AG417" s="38"/>
      <c r="AH417" s="38"/>
      <c r="AI417" s="24"/>
      <c r="AJ417" s="29">
        <f>AR417*(1-입력란!$C$29/100)</f>
        <v>22.98497201496</v>
      </c>
      <c r="AK41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7" s="25">
        <f>입력란!$C$37+IF(입력란!$C$17=1,10,IF(입력란!$C$17=2,25,IF(입력란!$C$17=3,50,0)))</f>
        <v>200</v>
      </c>
      <c r="AM417" s="25">
        <f>SUM(AN417:AP417)</f>
        <v>116504.00546029203</v>
      </c>
      <c r="AN417" s="29">
        <f>(VLOOKUP(C417,$B$4:$AK$7,29,FALSE)+VLOOKUP(C417,$B$8:$AK$11,29,FALSE)*입력란!$C$23)*입력란!$C$38/100</f>
        <v>116504.00546029203</v>
      </c>
      <c r="AO417" s="38"/>
      <c r="AP417" s="38"/>
      <c r="AQ417" s="38"/>
      <c r="AR417" s="22">
        <v>24</v>
      </c>
    </row>
    <row r="418" spans="2:44" ht="13.5" customHeight="1" x14ac:dyDescent="0.3">
      <c r="B418" s="30">
        <v>403</v>
      </c>
      <c r="C418" s="39">
        <v>10</v>
      </c>
      <c r="D418" s="43" t="s">
        <v>35</v>
      </c>
      <c r="E418" s="37" t="s">
        <v>203</v>
      </c>
      <c r="F418" s="39"/>
      <c r="G418" s="39" t="s">
        <v>403</v>
      </c>
      <c r="H418" s="80">
        <f>I418/AJ418</f>
        <v>16355.772139680044</v>
      </c>
      <c r="I418" s="52">
        <f>SUM(J418:Q418)*IF(입력란!C$15=1,1.04,IF(입력란!C$15=2,1.1,IF(입력란!C$15=3,1.2,1)))*IF(입력란!$C$17&lt;&gt;0,0.98,1)*IF(입력란!$C$12=1,IF(G418="생명50%이하",1.2,1.1),1)*IF(입력란!$C$12=2,IF(G418="생명50%이하",1.3,1.1),1)*IF(입력란!$C$12=3,IF(G418="생명50%이하",1.4,1.1),1)</f>
        <v>375936.96491360827</v>
      </c>
      <c r="J418" s="29">
        <f>S418*(1+IF($AK418+IF(입력란!$C$19=1,10,0)+IF(MID(E418,3,1)="1",IF(G418="생명50%이하",트라이포드!$J$22,트라이포드!$I$22),0)&gt;100,100,$AK418+IF(입력란!$C$19=1,10,0)+IF(MID(E418,3,1)="1",IF(G418="생명50%이하",트라이포드!$J$22,트라이포드!$I$22),0))/100*($AL418/100-1))</f>
        <v>375936.96491360827</v>
      </c>
      <c r="K418" s="29">
        <f>T418*(1+IF($AK418+IF(입력란!$C$19=1,10,0)+IF(MID(E418,3,1)="1",IF(G418="생명50%이하",트라이포드!$J$22,트라이포드!$I$22),0)&gt;100,100,$AK418+IF(입력란!$C$19=1,10,0)+IF(MID(E418,3,1)="1",IF(G418="생명50%이하",트라이포드!$J$22,트라이포드!$I$22),0))/100*($AL418/100-1))</f>
        <v>0</v>
      </c>
      <c r="L418" s="29">
        <f>U418*(1+IF($AK418+IF(입력란!$C$19=1,10,0)+IF(MID(E418,3,1)="1",IF(G418="생명50%이하",트라이포드!$J$22,트라이포드!$I$22),0)&gt;100,100,$AK418+IF(입력란!$C$19=1,10,0)+IF(MID(E418,3,1)="1",IF(G418="생명50%이하",트라이포드!$J$22,트라이포드!$I$22),0))/100*($AL418/100-1))</f>
        <v>0</v>
      </c>
      <c r="M418" s="29">
        <f>V418*(1+IF($AK418+IF(입력란!$C$19=1,10,0)+IF(MID(E418,3,1)="1",IF(G418="생명50%이하",트라이포드!$J$22,트라이포드!$I$22),0)&gt;100,100,$AK418+IF(입력란!$C$19=1,10,0)+IF(MID(E418,3,1)="1",IF(G418="생명50%이하",트라이포드!$J$22,트라이포드!$I$22),0))/100*($AL418/100-1))</f>
        <v>0</v>
      </c>
      <c r="N418" s="38"/>
      <c r="O418" s="38"/>
      <c r="P418" s="38"/>
      <c r="Q418" s="34"/>
      <c r="R418" s="23">
        <f>SUM(S418:Z418)</f>
        <v>307236.97278227622</v>
      </c>
      <c r="S418" s="29">
        <f>AN418*IF(MID(E418,3,1)="2",트라이포드!$L$22,트라이포드!$K$22)*IF(MID(E418,5,1)="1",트라이포드!$P$22,트라이포드!$O$22)*(1+입력란!$C$34/100)</f>
        <v>307236.97278227622</v>
      </c>
      <c r="T418" s="29">
        <f>AN418*IF(MID(E418,3,1)="2",트라이포드!$L$22,트라이포드!$K$22)*IF(MID(E418,5,1)="2",트라이포드!$R$22,트라이포드!$F$22)*(1+입력란!$C$34/100)/3</f>
        <v>0</v>
      </c>
      <c r="U418" s="29">
        <f>AN418*IF(MID(E418,3,1)="2",트라이포드!$L$22,트라이포드!$K$22)*IF(MID(E418,5,1)="2",트라이포드!$R$22,트라이포드!$F$22)*(1+입력란!$C$34/100)/3</f>
        <v>0</v>
      </c>
      <c r="V418" s="29">
        <f>AN418*IF(MID(E418,3,1)="2",트라이포드!$L$22,트라이포드!$K$22)*IF(MID(E418,5,1)="2",트라이포드!$R$22,트라이포드!$F$22)*(1+입력란!$C$34/100)/3</f>
        <v>0</v>
      </c>
      <c r="W418" s="25"/>
      <c r="X418" s="25"/>
      <c r="Y418" s="25"/>
      <c r="Z418" s="26"/>
      <c r="AA418" s="29">
        <f>SUM(AB418:AI418)</f>
        <v>614473.94556455244</v>
      </c>
      <c r="AB418" s="29">
        <f>S418*2</f>
        <v>614473.94556455244</v>
      </c>
      <c r="AC418" s="29">
        <f>T418*2</f>
        <v>0</v>
      </c>
      <c r="AD418" s="29">
        <f>U418*2</f>
        <v>0</v>
      </c>
      <c r="AE418" s="29">
        <f>V418*2</f>
        <v>0</v>
      </c>
      <c r="AF418" s="38"/>
      <c r="AG418" s="38"/>
      <c r="AH418" s="38"/>
      <c r="AI418" s="24"/>
      <c r="AJ418" s="29">
        <f>AR418*(1-입력란!$C$29/100)</f>
        <v>22.98497201496</v>
      </c>
      <c r="AK41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8" s="25">
        <f>입력란!$C$37+IF(입력란!$C$17=1,10,IF(입력란!$C$17=2,25,IF(입력란!$C$17=3,50,0)))</f>
        <v>200</v>
      </c>
      <c r="AM418" s="25">
        <f>SUM(AN418:AP418)</f>
        <v>116504.00546029203</v>
      </c>
      <c r="AN418" s="29">
        <f>(VLOOKUP(C418,$B$4:$AK$7,29,FALSE)+VLOOKUP(C418,$B$8:$AK$11,29,FALSE)*입력란!$C$23)*입력란!$C$38/100</f>
        <v>116504.00546029203</v>
      </c>
      <c r="AO418" s="38"/>
      <c r="AP418" s="38"/>
      <c r="AQ418" s="38"/>
      <c r="AR418" s="22">
        <v>24</v>
      </c>
    </row>
    <row r="419" spans="2:44" ht="13.5" customHeight="1" x14ac:dyDescent="0.3">
      <c r="B419" s="30">
        <v>404</v>
      </c>
      <c r="C419" s="39">
        <v>10</v>
      </c>
      <c r="D419" s="43" t="s">
        <v>35</v>
      </c>
      <c r="E419" s="37" t="s">
        <v>169</v>
      </c>
      <c r="F419" s="39"/>
      <c r="G419" s="39" t="s">
        <v>403</v>
      </c>
      <c r="H419" s="80">
        <f>I419/AJ419</f>
        <v>17991.349353648053</v>
      </c>
      <c r="I419" s="52">
        <f>SUM(J419:Q419)*IF(입력란!C$15=1,1.04,IF(입력란!C$15=2,1.1,IF(입력란!C$15=3,1.2,1)))*IF(입력란!$C$17&lt;&gt;0,0.98,1)*IF(입력란!$C$12=1,IF(G419="생명50%이하",1.2,1.1),1)*IF(입력란!$C$12=2,IF(G419="생명50%이하",1.3,1.1),1)*IF(입력란!$C$12=3,IF(G419="생명50%이하",1.4,1.1),1)</f>
        <v>413530.66140496917</v>
      </c>
      <c r="J419" s="29">
        <f>S419*(1+IF($AK419+IF(입력란!$C$19=1,10,0)+IF(MID(E419,3,1)="1",IF(G419="생명50%이하",트라이포드!$J$22,트라이포드!$I$22),0)&gt;100,100,$AK419+IF(입력란!$C$19=1,10,0)+IF(MID(E419,3,1)="1",IF(G419="생명50%이하",트라이포드!$J$22,트라이포드!$I$22),0))/100*($AL419/100-1))</f>
        <v>187968.48245680414</v>
      </c>
      <c r="K419" s="29">
        <f>T419*(1+IF($AK419+IF(입력란!$C$19=1,10,0)+IF(MID(E419,3,1)="1",IF(G419="생명50%이하",트라이포드!$J$22,트라이포드!$I$22),0)&gt;100,100,$AK419+IF(입력란!$C$19=1,10,0)+IF(MID(E419,3,1)="1",IF(G419="생명50%이하",트라이포드!$J$22,트라이포드!$I$22),0))/100*($AL419/100-1))</f>
        <v>75187.392982721663</v>
      </c>
      <c r="L419" s="29">
        <f>U419*(1+IF($AK419+IF(입력란!$C$19=1,10,0)+IF(MID(E419,3,1)="1",IF(G419="생명50%이하",트라이포드!$J$22,트라이포드!$I$22),0)&gt;100,100,$AK419+IF(입력란!$C$19=1,10,0)+IF(MID(E419,3,1)="1",IF(G419="생명50%이하",트라이포드!$J$22,트라이포드!$I$22),0))/100*($AL419/100-1))</f>
        <v>75187.392982721663</v>
      </c>
      <c r="M419" s="29">
        <f>V419*(1+IF($AK419+IF(입력란!$C$19=1,10,0)+IF(MID(E419,3,1)="1",IF(G419="생명50%이하",트라이포드!$J$22,트라이포드!$I$22),0)&gt;100,100,$AK419+IF(입력란!$C$19=1,10,0)+IF(MID(E419,3,1)="1",IF(G419="생명50%이하",트라이포드!$J$22,트라이포드!$I$22),0))/100*($AL419/100-1))</f>
        <v>75187.392982721663</v>
      </c>
      <c r="N419" s="38"/>
      <c r="O419" s="38"/>
      <c r="P419" s="38"/>
      <c r="Q419" s="34"/>
      <c r="R419" s="23">
        <f>SUM(S419:Z419)</f>
        <v>337960.67006050388</v>
      </c>
      <c r="S419" s="29">
        <f>AN419*IF(MID(E419,3,1)="2",트라이포드!$L$22,트라이포드!$K$22)*IF(MID(E419,5,1)="1",트라이포드!$P$22,트라이포드!$O$22)*(1+입력란!$C$34/100)</f>
        <v>153618.48639113811</v>
      </c>
      <c r="T419" s="29">
        <f>AN419*IF(MID(E419,3,1)="2",트라이포드!$L$22,트라이포드!$K$22)*IF(MID(E419,5,1)="2",트라이포드!$R$22,트라이포드!$F$22)*(1+입력란!$C$34/100)/3</f>
        <v>61447.394556455249</v>
      </c>
      <c r="U419" s="29">
        <f>AN419*IF(MID(E419,3,1)="2",트라이포드!$L$22,트라이포드!$K$22)*IF(MID(E419,5,1)="2",트라이포드!$R$22,트라이포드!$F$22)*(1+입력란!$C$34/100)/3</f>
        <v>61447.394556455249</v>
      </c>
      <c r="V419" s="29">
        <f>AN419*IF(MID(E419,3,1)="2",트라이포드!$L$22,트라이포드!$K$22)*IF(MID(E419,5,1)="2",트라이포드!$R$22,트라이포드!$F$22)*(1+입력란!$C$34/100)/3</f>
        <v>61447.394556455249</v>
      </c>
      <c r="W419" s="25"/>
      <c r="X419" s="25"/>
      <c r="Y419" s="25"/>
      <c r="Z419" s="26"/>
      <c r="AA419" s="29">
        <f>SUM(AB419:AI419)</f>
        <v>675921.34012100776</v>
      </c>
      <c r="AB419" s="29">
        <f>S419*2</f>
        <v>307236.97278227622</v>
      </c>
      <c r="AC419" s="29">
        <f>T419*2</f>
        <v>122894.7891129105</v>
      </c>
      <c r="AD419" s="29">
        <f>U419*2</f>
        <v>122894.7891129105</v>
      </c>
      <c r="AE419" s="29">
        <f>V419*2</f>
        <v>122894.7891129105</v>
      </c>
      <c r="AF419" s="38"/>
      <c r="AG419" s="38"/>
      <c r="AH419" s="38"/>
      <c r="AI419" s="24"/>
      <c r="AJ419" s="29">
        <f>AR419*(1-입력란!$C$29/100)</f>
        <v>22.98497201496</v>
      </c>
      <c r="AK41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19" s="25">
        <f>입력란!$C$37+IF(입력란!$C$17=1,10,IF(입력란!$C$17=2,25,IF(입력란!$C$17=3,50,0)))</f>
        <v>200</v>
      </c>
      <c r="AM419" s="25">
        <f>SUM(AN419:AP419)</f>
        <v>116504.00546029203</v>
      </c>
      <c r="AN419" s="29">
        <f>(VLOOKUP(C419,$B$4:$AK$7,29,FALSE)+VLOOKUP(C419,$B$8:$AK$11,29,FALSE)*입력란!$C$23)*입력란!$C$38/100</f>
        <v>116504.00546029203</v>
      </c>
      <c r="AO419" s="38"/>
      <c r="AP419" s="38"/>
      <c r="AQ419" s="38"/>
      <c r="AR419" s="22">
        <v>24</v>
      </c>
    </row>
    <row r="420" spans="2:44" ht="13.5" customHeight="1" x14ac:dyDescent="0.3">
      <c r="B420" s="30">
        <v>405</v>
      </c>
      <c r="C420" s="39">
        <v>10</v>
      </c>
      <c r="D420" s="43" t="s">
        <v>35</v>
      </c>
      <c r="E420" s="37" t="s">
        <v>212</v>
      </c>
      <c r="F420" s="39"/>
      <c r="G420" s="39" t="s">
        <v>403</v>
      </c>
      <c r="H420" s="80">
        <f>I420/AJ420</f>
        <v>23039.203657071237</v>
      </c>
      <c r="I420" s="52">
        <f>SUM(J420:Q420)*IF(입력란!C$15=1,1.04,IF(입력란!C$15=2,1.1,IF(입력란!C$15=3,1.2,1)))*IF(입력란!$C$17&lt;&gt;0,0.98,1)*IF(입력란!$C$12=1,IF(G420="생명50%이하",1.2,1.1),1)*IF(입력란!$C$12=2,IF(G420="생명50%이하",1.3,1.1),1)*IF(입력란!$C$12=3,IF(G420="생명50%이하",1.4,1.1),1)</f>
        <v>529555.45130474644</v>
      </c>
      <c r="J420" s="29">
        <f>S420*(1+IF($AK420+IF(입력란!$C$19=1,10,0)+IF(MID(E420,3,1)="1",IF(G420="생명50%이하",트라이포드!$J$22,트라이포드!$I$22),0)&gt;100,100,$AK420+IF(입력란!$C$19=1,10,0)+IF(MID(E420,3,1)="1",IF(G420="생명50%이하",트라이포드!$J$22,트라이포드!$I$22),0))/100*($AL420/100-1))</f>
        <v>529555.45130474644</v>
      </c>
      <c r="K420" s="29">
        <f>T420*(1+IF($AK420+IF(입력란!$C$19=1,10,0)+IF(MID(E420,3,1)="1",IF(G420="생명50%이하",트라이포드!$J$22,트라이포드!$I$22),0)&gt;100,100,$AK420+IF(입력란!$C$19=1,10,0)+IF(MID(E420,3,1)="1",IF(G420="생명50%이하",트라이포드!$J$22,트라이포드!$I$22),0))/100*($AL420/100-1))</f>
        <v>0</v>
      </c>
      <c r="L420" s="29">
        <f>U420*(1+IF($AK420+IF(입력란!$C$19=1,10,0)+IF(MID(E420,3,1)="1",IF(G420="생명50%이하",트라이포드!$J$22,트라이포드!$I$22),0)&gt;100,100,$AK420+IF(입력란!$C$19=1,10,0)+IF(MID(E420,3,1)="1",IF(G420="생명50%이하",트라이포드!$J$22,트라이포드!$I$22),0))/100*($AL420/100-1))</f>
        <v>0</v>
      </c>
      <c r="M420" s="29">
        <f>V420*(1+IF($AK420+IF(입력란!$C$19=1,10,0)+IF(MID(E420,3,1)="1",IF(G420="생명50%이하",트라이포드!$J$22,트라이포드!$I$22),0)&gt;100,100,$AK420+IF(입력란!$C$19=1,10,0)+IF(MID(E420,3,1)="1",IF(G420="생명50%이하",트라이포드!$J$22,트라이포드!$I$22),0))/100*($AL420/100-1))</f>
        <v>0</v>
      </c>
      <c r="N420" s="38"/>
      <c r="O420" s="38"/>
      <c r="P420" s="38"/>
      <c r="Q420" s="34"/>
      <c r="R420" s="23">
        <f>SUM(S420:Z420)</f>
        <v>307236.97278227622</v>
      </c>
      <c r="S420" s="29">
        <f>AN420*IF(MID(E420,3,1)="2",트라이포드!$L$22,트라이포드!$K$22)*IF(MID(E420,5,1)="1",트라이포드!$P$22,트라이포드!$O$22)*(1+입력란!$C$34/100)</f>
        <v>307236.97278227622</v>
      </c>
      <c r="T420" s="29">
        <f>AN420*IF(MID(E420,3,1)="2",트라이포드!$L$22,트라이포드!$K$22)*IF(MID(E420,5,1)="2",트라이포드!$R$22,트라이포드!$F$22)*(1+입력란!$C$34/100)/3</f>
        <v>0</v>
      </c>
      <c r="U420" s="29">
        <f>AN420*IF(MID(E420,3,1)="2",트라이포드!$L$22,트라이포드!$K$22)*IF(MID(E420,5,1)="2",트라이포드!$R$22,트라이포드!$F$22)*(1+입력란!$C$34/100)/3</f>
        <v>0</v>
      </c>
      <c r="V420" s="29">
        <f>AN420*IF(MID(E420,3,1)="2",트라이포드!$L$22,트라이포드!$K$22)*IF(MID(E420,5,1)="2",트라이포드!$R$22,트라이포드!$F$22)*(1+입력란!$C$34/100)/3</f>
        <v>0</v>
      </c>
      <c r="W420" s="25"/>
      <c r="X420" s="25"/>
      <c r="Y420" s="25"/>
      <c r="Z420" s="26"/>
      <c r="AA420" s="29">
        <f>SUM(AB420:AI420)</f>
        <v>614473.94556455244</v>
      </c>
      <c r="AB420" s="29">
        <f>S420*2</f>
        <v>614473.94556455244</v>
      </c>
      <c r="AC420" s="29">
        <f>T420*2</f>
        <v>0</v>
      </c>
      <c r="AD420" s="29">
        <f>U420*2</f>
        <v>0</v>
      </c>
      <c r="AE420" s="29">
        <f>V420*2</f>
        <v>0</v>
      </c>
      <c r="AF420" s="38"/>
      <c r="AG420" s="38"/>
      <c r="AH420" s="38"/>
      <c r="AI420" s="24"/>
      <c r="AJ420" s="29">
        <f>AR420*(1-입력란!$C$29/100)</f>
        <v>22.98497201496</v>
      </c>
      <c r="AK42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20" s="25">
        <f>입력란!$C$37+IF(입력란!$C$17=1,10,IF(입력란!$C$17=2,25,IF(입력란!$C$17=3,50,0)))</f>
        <v>200</v>
      </c>
      <c r="AM420" s="25">
        <f>SUM(AN420:AP420)</f>
        <v>116504.00546029203</v>
      </c>
      <c r="AN420" s="29">
        <f>(VLOOKUP(C420,$B$4:$AK$7,29,FALSE)+VLOOKUP(C420,$B$8:$AK$11,29,FALSE)*입력란!$C$23)*입력란!$C$38/100</f>
        <v>116504.00546029203</v>
      </c>
      <c r="AO420" s="38"/>
      <c r="AP420" s="38"/>
      <c r="AQ420" s="38"/>
      <c r="AR420" s="22">
        <v>24</v>
      </c>
    </row>
    <row r="421" spans="2:44" ht="13.5" customHeight="1" x14ac:dyDescent="0.3">
      <c r="B421" s="30">
        <v>406</v>
      </c>
      <c r="C421" s="39">
        <v>10</v>
      </c>
      <c r="D421" s="43" t="s">
        <v>35</v>
      </c>
      <c r="E421" s="37" t="s">
        <v>158</v>
      </c>
      <c r="F421" s="39"/>
      <c r="G421" s="39" t="s">
        <v>403</v>
      </c>
      <c r="H421" s="80">
        <f>I421/AJ421</f>
        <v>25343.124022778356</v>
      </c>
      <c r="I421" s="52">
        <f>SUM(J421:Q421)*IF(입력란!C$15=1,1.04,IF(입력란!C$15=2,1.1,IF(입력란!C$15=3,1.2,1)))*IF(입력란!$C$17&lt;&gt;0,0.98,1)*IF(입력란!$C$12=1,IF(G421="생명50%이하",1.2,1.1),1)*IF(입력란!$C$12=2,IF(G421="생명50%이하",1.3,1.1),1)*IF(입력란!$C$12=3,IF(G421="생명50%이하",1.4,1.1),1)</f>
        <v>582510.99643522105</v>
      </c>
      <c r="J421" s="29">
        <f>S421*(1+IF($AK421+IF(입력란!$C$19=1,10,0)+IF(MID(E421,3,1)="1",IF(G421="생명50%이하",트라이포드!$J$22,트라이포드!$I$22),0)&gt;100,100,$AK421+IF(입력란!$C$19=1,10,0)+IF(MID(E421,3,1)="1",IF(G421="생명50%이하",트라이포드!$J$22,트라이포드!$I$22),0))/100*($AL421/100-1))</f>
        <v>264777.72565237322</v>
      </c>
      <c r="K421" s="29">
        <f>T421*(1+IF($AK421+IF(입력란!$C$19=1,10,0)+IF(MID(E421,3,1)="1",IF(G421="생명50%이하",트라이포드!$J$22,트라이포드!$I$22),0)&gt;100,100,$AK421+IF(입력란!$C$19=1,10,0)+IF(MID(E421,3,1)="1",IF(G421="생명50%이하",트라이포드!$J$22,트라이포드!$I$22),0))/100*($AL421/100-1))</f>
        <v>105911.09026094929</v>
      </c>
      <c r="L421" s="29">
        <f>U421*(1+IF($AK421+IF(입력란!$C$19=1,10,0)+IF(MID(E421,3,1)="1",IF(G421="생명50%이하",트라이포드!$J$22,트라이포드!$I$22),0)&gt;100,100,$AK421+IF(입력란!$C$19=1,10,0)+IF(MID(E421,3,1)="1",IF(G421="생명50%이하",트라이포드!$J$22,트라이포드!$I$22),0))/100*($AL421/100-1))</f>
        <v>105911.09026094929</v>
      </c>
      <c r="M421" s="29">
        <f>V421*(1+IF($AK421+IF(입력란!$C$19=1,10,0)+IF(MID(E421,3,1)="1",IF(G421="생명50%이하",트라이포드!$J$22,트라이포드!$I$22),0)&gt;100,100,$AK421+IF(입력란!$C$19=1,10,0)+IF(MID(E421,3,1)="1",IF(G421="생명50%이하",트라이포드!$J$22,트라이포드!$I$22),0))/100*($AL421/100-1))</f>
        <v>105911.09026094929</v>
      </c>
      <c r="N421" s="38"/>
      <c r="O421" s="38"/>
      <c r="P421" s="38"/>
      <c r="Q421" s="34"/>
      <c r="R421" s="23">
        <f>SUM(S421:Z421)</f>
        <v>337960.67006050388</v>
      </c>
      <c r="S421" s="29">
        <f>AN421*IF(MID(E421,3,1)="2",트라이포드!$L$22,트라이포드!$K$22)*IF(MID(E421,5,1)="1",트라이포드!$P$22,트라이포드!$O$22)*(1+입력란!$C$34/100)</f>
        <v>153618.48639113811</v>
      </c>
      <c r="T421" s="29">
        <f>AN421*IF(MID(E421,3,1)="2",트라이포드!$L$22,트라이포드!$K$22)*IF(MID(E421,5,1)="2",트라이포드!$R$22,트라이포드!$F$22)*(1+입력란!$C$34/100)/3</f>
        <v>61447.394556455249</v>
      </c>
      <c r="U421" s="29">
        <f>AN421*IF(MID(E421,3,1)="2",트라이포드!$L$22,트라이포드!$K$22)*IF(MID(E421,5,1)="2",트라이포드!$R$22,트라이포드!$F$22)*(1+입력란!$C$34/100)/3</f>
        <v>61447.394556455249</v>
      </c>
      <c r="V421" s="29">
        <f>AN421*IF(MID(E421,3,1)="2",트라이포드!$L$22,트라이포드!$K$22)*IF(MID(E421,5,1)="2",트라이포드!$R$22,트라이포드!$F$22)*(1+입력란!$C$34/100)/3</f>
        <v>61447.394556455249</v>
      </c>
      <c r="W421" s="25"/>
      <c r="X421" s="25"/>
      <c r="Y421" s="25"/>
      <c r="Z421" s="26"/>
      <c r="AA421" s="29">
        <f>SUM(AB421:AI421)</f>
        <v>675921.34012100776</v>
      </c>
      <c r="AB421" s="29">
        <f>S421*2</f>
        <v>307236.97278227622</v>
      </c>
      <c r="AC421" s="29">
        <f>T421*2</f>
        <v>122894.7891129105</v>
      </c>
      <c r="AD421" s="29">
        <f>U421*2</f>
        <v>122894.7891129105</v>
      </c>
      <c r="AE421" s="29">
        <f>V421*2</f>
        <v>122894.7891129105</v>
      </c>
      <c r="AF421" s="38"/>
      <c r="AG421" s="38"/>
      <c r="AH421" s="38"/>
      <c r="AI421" s="24"/>
      <c r="AJ421" s="29">
        <f>AR421*(1-입력란!$C$29/100)</f>
        <v>22.98497201496</v>
      </c>
      <c r="AK42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21" s="25">
        <f>입력란!$C$37+IF(입력란!$C$17=1,10,IF(입력란!$C$17=2,25,IF(입력란!$C$17=3,50,0)))</f>
        <v>200</v>
      </c>
      <c r="AM421" s="25">
        <f>SUM(AN421:AP421)</f>
        <v>116504.00546029203</v>
      </c>
      <c r="AN421" s="29">
        <f>(VLOOKUP(C421,$B$4:$AK$7,29,FALSE)+VLOOKUP(C421,$B$8:$AK$11,29,FALSE)*입력란!$C$23)*입력란!$C$38/100</f>
        <v>116504.00546029203</v>
      </c>
      <c r="AO421" s="38"/>
      <c r="AP421" s="38"/>
      <c r="AQ421" s="38"/>
      <c r="AR421" s="22">
        <v>24</v>
      </c>
    </row>
    <row r="422" spans="2:44" ht="13.5" customHeight="1" x14ac:dyDescent="0.3">
      <c r="B422" s="30">
        <v>407</v>
      </c>
      <c r="C422" s="39">
        <v>10</v>
      </c>
      <c r="D422" s="43" t="s">
        <v>35</v>
      </c>
      <c r="E422" s="37" t="s">
        <v>214</v>
      </c>
      <c r="F422" s="39" t="s">
        <v>216</v>
      </c>
      <c r="G422" s="39" t="s">
        <v>403</v>
      </c>
      <c r="H422" s="80">
        <f>I422/AJ422</f>
        <v>22898.080995552064</v>
      </c>
      <c r="I422" s="52">
        <f>SUM(J422:Q422)*IF(입력란!C$15=1,1.04,IF(입력란!C$15=2,1.1,IF(입력란!C$15=3,1.2,1)))*IF(입력란!$C$17&lt;&gt;0,0.98,1)*IF(입력란!$C$12=1,IF(G422="생명50%이하",1.2,1.1),1)*IF(입력란!$C$12=2,IF(G422="생명50%이하",1.3,1.1),1)*IF(입력란!$C$12=3,IF(G422="생명50%이하",1.4,1.1),1)</f>
        <v>526311.75087905163</v>
      </c>
      <c r="J422" s="29">
        <f>S422*(1+IF($AK422+IF(입력란!$C$19=1,10,0)+IF(MID(E422,3,1)="1",IF(G422="생명50%이하",트라이포드!$J$22,트라이포드!$I$22),0)&gt;100,100,$AK422+IF(입력란!$C$19=1,10,0)+IF(MID(E422,3,1)="1",IF(G422="생명50%이하",트라이포드!$J$22,트라이포드!$I$22),0))/100*($AL422/100-1))</f>
        <v>526311.75087905163</v>
      </c>
      <c r="K422" s="29">
        <f>T422*(1+IF($AK422+IF(입력란!$C$19=1,10,0)+IF(MID(E422,3,1)="1",IF(G422="생명50%이하",트라이포드!$J$22,트라이포드!$I$22),0)&gt;100,100,$AK422+IF(입력란!$C$19=1,10,0)+IF(MID(E422,3,1)="1",IF(G422="생명50%이하",트라이포드!$J$22,트라이포드!$I$22),0))/100*($AL422/100-1))</f>
        <v>0</v>
      </c>
      <c r="L422" s="29">
        <f>U422*(1+IF($AK422+IF(입력란!$C$19=1,10,0)+IF(MID(E422,3,1)="1",IF(G422="생명50%이하",트라이포드!$J$22,트라이포드!$I$22),0)&gt;100,100,$AK422+IF(입력란!$C$19=1,10,0)+IF(MID(E422,3,1)="1",IF(G422="생명50%이하",트라이포드!$J$22,트라이포드!$I$22),0))/100*($AL422/100-1))</f>
        <v>0</v>
      </c>
      <c r="M422" s="29">
        <f>V422*(1+IF($AK422+IF(입력란!$C$19=1,10,0)+IF(MID(E422,3,1)="1",IF(G422="생명50%이하",트라이포드!$J$22,트라이포드!$I$22),0)&gt;100,100,$AK422+IF(입력란!$C$19=1,10,0)+IF(MID(E422,3,1)="1",IF(G422="생명50%이하",트라이포드!$J$22,트라이포드!$I$22),0))/100*($AL422/100-1))</f>
        <v>0</v>
      </c>
      <c r="N422" s="38"/>
      <c r="O422" s="38"/>
      <c r="P422" s="38"/>
      <c r="Q422" s="34"/>
      <c r="R422" s="23">
        <f>SUM(S422:Z422)</f>
        <v>430131.76189518673</v>
      </c>
      <c r="S422" s="29">
        <f>AN422*IF(MID(E422,3,1)="2",트라이포드!$L$22,트라이포드!$K$22)*IF(MID(E422,5,1)="1",트라이포드!$P$22,트라이포드!$O$22)*(1+입력란!$C$34/100)</f>
        <v>430131.76189518673</v>
      </c>
      <c r="T422" s="29">
        <f>AN422*IF(MID(E422,3,1)="2",트라이포드!$L$22,트라이포드!$K$22)*IF(MID(E422,5,1)="2",트라이포드!$R$22,트라이포드!$F$22)*(1+입력란!$C$34/100)/3</f>
        <v>0</v>
      </c>
      <c r="U422" s="29">
        <f>AN422*IF(MID(E422,3,1)="2",트라이포드!$L$22,트라이포드!$K$22)*IF(MID(E422,5,1)="2",트라이포드!$R$22,트라이포드!$F$22)*(1+입력란!$C$34/100)/3</f>
        <v>0</v>
      </c>
      <c r="V422" s="29">
        <f>AN422*IF(MID(E422,3,1)="2",트라이포드!$L$22,트라이포드!$K$22)*IF(MID(E422,5,1)="2",트라이포드!$R$22,트라이포드!$F$22)*(1+입력란!$C$34/100)/3</f>
        <v>0</v>
      </c>
      <c r="W422" s="25"/>
      <c r="X422" s="25"/>
      <c r="Y422" s="25"/>
      <c r="Z422" s="26"/>
      <c r="AA422" s="29">
        <f>SUM(AB422:AI422)</f>
        <v>860263.52379037347</v>
      </c>
      <c r="AB422" s="29">
        <f>S422*2</f>
        <v>860263.52379037347</v>
      </c>
      <c r="AC422" s="29">
        <f>T422*2</f>
        <v>0</v>
      </c>
      <c r="AD422" s="29">
        <f>U422*2</f>
        <v>0</v>
      </c>
      <c r="AE422" s="29">
        <f>V422*2</f>
        <v>0</v>
      </c>
      <c r="AF422" s="38"/>
      <c r="AG422" s="38"/>
      <c r="AH422" s="38"/>
      <c r="AI422" s="24"/>
      <c r="AJ422" s="29">
        <f>AR422*(1-입력란!$C$29/100)</f>
        <v>22.98497201496</v>
      </c>
      <c r="AK42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22" s="25">
        <f>입력란!$C$37+IF(입력란!$C$17=1,10,IF(입력란!$C$17=2,25,IF(입력란!$C$17=3,50,0)))</f>
        <v>200</v>
      </c>
      <c r="AM422" s="25">
        <f>SUM(AN422:AP422)</f>
        <v>116504.00546029203</v>
      </c>
      <c r="AN422" s="29">
        <f>(VLOOKUP(C422,$B$4:$AK$7,29,FALSE)+VLOOKUP(C422,$B$8:$AK$11,29,FALSE)*입력란!$C$23)*입력란!$C$38/100</f>
        <v>116504.00546029203</v>
      </c>
      <c r="AO422" s="38"/>
      <c r="AP422" s="38"/>
      <c r="AQ422" s="38"/>
      <c r="AR422" s="22">
        <v>24</v>
      </c>
    </row>
    <row r="423" spans="2:44" ht="13.5" customHeight="1" x14ac:dyDescent="0.3">
      <c r="B423" s="30">
        <v>408</v>
      </c>
      <c r="C423" s="39">
        <v>10</v>
      </c>
      <c r="D423" s="43" t="s">
        <v>35</v>
      </c>
      <c r="E423" s="37" t="s">
        <v>215</v>
      </c>
      <c r="F423" s="39" t="s">
        <v>216</v>
      </c>
      <c r="G423" s="39" t="s">
        <v>403</v>
      </c>
      <c r="H423" s="80">
        <f>I423/AJ423</f>
        <v>25187.889095107272</v>
      </c>
      <c r="I423" s="52">
        <f>SUM(J423:Q423)*IF(입력란!C$15=1,1.04,IF(입력란!C$15=2,1.1,IF(입력란!C$15=3,1.2,1)))*IF(입력란!$C$17&lt;&gt;0,0.98,1)*IF(입력란!$C$12=1,IF(G423="생명50%이하",1.2,1.1),1)*IF(입력란!$C$12=2,IF(G423="생명50%이하",1.3,1.1),1)*IF(입력란!$C$12=3,IF(G423="생명50%이하",1.4,1.1),1)</f>
        <v>578942.92596695677</v>
      </c>
      <c r="J423" s="29">
        <f>S423*(1+IF($AK423+IF(입력란!$C$19=1,10,0)+IF(MID(E423,3,1)="1",IF(G423="생명50%이하",트라이포드!$J$22,트라이포드!$I$22),0)&gt;100,100,$AK423+IF(입력란!$C$19=1,10,0)+IF(MID(E423,3,1)="1",IF(G423="생명50%이하",트라이포드!$J$22,트라이포드!$I$22),0))/100*($AL423/100-1))</f>
        <v>263155.87543952581</v>
      </c>
      <c r="K423" s="29">
        <f>T423*(1+IF($AK423+IF(입력란!$C$19=1,10,0)+IF(MID(E423,3,1)="1",IF(G423="생명50%이하",트라이포드!$J$22,트라이포드!$I$22),0)&gt;100,100,$AK423+IF(입력란!$C$19=1,10,0)+IF(MID(E423,3,1)="1",IF(G423="생명50%이하",트라이포드!$J$22,트라이포드!$I$22),0))/100*($AL423/100-1))</f>
        <v>105262.35017581032</v>
      </c>
      <c r="L423" s="29">
        <f>U423*(1+IF($AK423+IF(입력란!$C$19=1,10,0)+IF(MID(E423,3,1)="1",IF(G423="생명50%이하",트라이포드!$J$22,트라이포드!$I$22),0)&gt;100,100,$AK423+IF(입력란!$C$19=1,10,0)+IF(MID(E423,3,1)="1",IF(G423="생명50%이하",트라이포드!$J$22,트라이포드!$I$22),0))/100*($AL423/100-1))</f>
        <v>105262.35017581032</v>
      </c>
      <c r="M423" s="29">
        <f>V423*(1+IF($AK423+IF(입력란!$C$19=1,10,0)+IF(MID(E423,3,1)="1",IF(G423="생명50%이하",트라이포드!$J$22,트라이포드!$I$22),0)&gt;100,100,$AK423+IF(입력란!$C$19=1,10,0)+IF(MID(E423,3,1)="1",IF(G423="생명50%이하",트라이포드!$J$22,트라이포드!$I$22),0))/100*($AL423/100-1))</f>
        <v>105262.35017581032</v>
      </c>
      <c r="N423" s="38"/>
      <c r="O423" s="38"/>
      <c r="P423" s="38"/>
      <c r="Q423" s="34"/>
      <c r="R423" s="23">
        <f>SUM(S423:Z423)</f>
        <v>473144.93808470544</v>
      </c>
      <c r="S423" s="29">
        <f>AN423*IF(MID(E423,3,1)="2",트라이포드!$L$22,트라이포드!$K$22)*IF(MID(E423,5,1)="1",트라이포드!$P$22,트라이포드!$O$22)*(1+입력란!$C$34/100)</f>
        <v>215065.88094759337</v>
      </c>
      <c r="T423" s="29">
        <f>AN423*IF(MID(E423,3,1)="2",트라이포드!$L$22,트라이포드!$K$22)*IF(MID(E423,5,1)="2",트라이포드!$R$22,트라이포드!$F$22)*(1+입력란!$C$34/100)/3</f>
        <v>86026.352379037344</v>
      </c>
      <c r="U423" s="29">
        <f>AN423*IF(MID(E423,3,1)="2",트라이포드!$L$22,트라이포드!$K$22)*IF(MID(E423,5,1)="2",트라이포드!$R$22,트라이포드!$F$22)*(1+입력란!$C$34/100)/3</f>
        <v>86026.352379037344</v>
      </c>
      <c r="V423" s="29">
        <f>AN423*IF(MID(E423,3,1)="2",트라이포드!$L$22,트라이포드!$K$22)*IF(MID(E423,5,1)="2",트라이포드!$R$22,트라이포드!$F$22)*(1+입력란!$C$34/100)/3</f>
        <v>86026.352379037344</v>
      </c>
      <c r="W423" s="25"/>
      <c r="X423" s="25"/>
      <c r="Y423" s="25"/>
      <c r="Z423" s="26"/>
      <c r="AA423" s="29">
        <f>SUM(AB423:AI423)</f>
        <v>946289.87616941088</v>
      </c>
      <c r="AB423" s="29">
        <f>S423*2</f>
        <v>430131.76189518673</v>
      </c>
      <c r="AC423" s="29">
        <f>T423*2</f>
        <v>172052.70475807469</v>
      </c>
      <c r="AD423" s="29">
        <f>U423*2</f>
        <v>172052.70475807469</v>
      </c>
      <c r="AE423" s="29">
        <f>V423*2</f>
        <v>172052.70475807469</v>
      </c>
      <c r="AF423" s="38"/>
      <c r="AG423" s="38"/>
      <c r="AH423" s="38"/>
      <c r="AI423" s="24"/>
      <c r="AJ423" s="29">
        <f>AR423*(1-입력란!$C$29/100)</f>
        <v>22.98497201496</v>
      </c>
      <c r="AK42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23" s="25">
        <f>입력란!$C$37+IF(입력란!$C$17=1,10,IF(입력란!$C$17=2,25,IF(입력란!$C$17=3,50,0)))</f>
        <v>200</v>
      </c>
      <c r="AM423" s="25">
        <f>SUM(AN423:AP423)</f>
        <v>116504.00546029203</v>
      </c>
      <c r="AN423" s="29">
        <f>(VLOOKUP(C423,$B$4:$AK$7,29,FALSE)+VLOOKUP(C423,$B$8:$AK$11,29,FALSE)*입력란!$C$23)*입력란!$C$38/100</f>
        <v>116504.00546029203</v>
      </c>
      <c r="AO423" s="38"/>
      <c r="AP423" s="38"/>
      <c r="AQ423" s="38"/>
      <c r="AR423" s="22">
        <v>24</v>
      </c>
    </row>
    <row r="424" spans="2:44" ht="13.5" customHeight="1" x14ac:dyDescent="0.3">
      <c r="B424" s="30">
        <v>409</v>
      </c>
      <c r="C424" s="35">
        <v>1</v>
      </c>
      <c r="D424" s="43" t="s">
        <v>35</v>
      </c>
      <c r="E424" s="37" t="s">
        <v>57</v>
      </c>
      <c r="F424" s="39"/>
      <c r="G424" s="39" t="s">
        <v>430</v>
      </c>
      <c r="H424" s="80">
        <f>J424*2/(1+1/(K424/J424))</f>
        <v>8118.8107711909734</v>
      </c>
      <c r="I424" s="80"/>
      <c r="J424" s="29">
        <f t="array" ref="J424">IFERROR(INDEX($H$16:$H$582,MATCH(1,(C424=$C$16:$C$582)*(D424=$D$16:$D$582)*(E424=$E$16:$E$582)*(""=$G$16:$G$582),0)),"값이없음")</f>
        <v>8118.8107711909734</v>
      </c>
      <c r="K424" s="29">
        <f t="array" ref="K424">IFERROR(INDEX($H$16:$H$582,MATCH(1,(C424=$C$16:$C$582)*(D424=$D$16:$D$582)*(E424=$E$16:$E$582)*("생명50%이하"=$G$16:$G$582),0)),"값이없음")</f>
        <v>8118.8107711909734</v>
      </c>
      <c r="L424" s="29"/>
      <c r="M424" s="29"/>
      <c r="N424" s="38"/>
      <c r="O424" s="38"/>
      <c r="P424" s="38"/>
      <c r="Q424" s="34"/>
      <c r="R424" s="23"/>
      <c r="S424" s="29"/>
      <c r="T424" s="29"/>
      <c r="U424" s="29"/>
      <c r="V424" s="29"/>
      <c r="W424" s="29"/>
      <c r="X424" s="29"/>
      <c r="Y424" s="29"/>
      <c r="Z424" s="26"/>
      <c r="AA424" s="29"/>
      <c r="AB424" s="29"/>
      <c r="AC424" s="29"/>
      <c r="AD424" s="29"/>
      <c r="AE424" s="29"/>
      <c r="AF424" s="38"/>
      <c r="AG424" s="38"/>
      <c r="AH424" s="38"/>
      <c r="AI424" s="26"/>
      <c r="AJ424" s="29"/>
      <c r="AK424" s="25"/>
      <c r="AL424" s="25"/>
      <c r="AM424" s="29"/>
      <c r="AN424" s="29"/>
      <c r="AO424" s="29"/>
      <c r="AP424" s="38"/>
      <c r="AQ424" s="38"/>
      <c r="AR424" s="22"/>
    </row>
    <row r="425" spans="2:44" ht="13.5" customHeight="1" x14ac:dyDescent="0.3">
      <c r="B425" s="30">
        <v>410</v>
      </c>
      <c r="C425" s="39">
        <v>4</v>
      </c>
      <c r="D425" s="43" t="s">
        <v>35</v>
      </c>
      <c r="E425" s="37" t="s">
        <v>57</v>
      </c>
      <c r="F425" s="39"/>
      <c r="G425" s="39" t="s">
        <v>430</v>
      </c>
      <c r="H425" s="80">
        <f>J425*2/(1+1/(K425/J425))</f>
        <v>8152.3073640086141</v>
      </c>
      <c r="I425" s="80"/>
      <c r="J425" s="29">
        <f t="array" ref="J425">IFERROR(INDEX($H$16:$H$582,MATCH(1,(C425=$C$16:$C$582)*(D425=$D$16:$D$582)*(E425=$E$16:$E$582)*(""=$G$16:$G$582),0)),"값이없음")</f>
        <v>8152.3073640086141</v>
      </c>
      <c r="K425" s="29">
        <f t="array" ref="K425">IFERROR(INDEX($H$16:$H$582,MATCH(1,(C425=$C$16:$C$582)*(D425=$D$16:$D$582)*(E425=$E$16:$E$582)*("생명50%이하"=$G$16:$G$582),0)),"값이없음")</f>
        <v>8152.3073640086141</v>
      </c>
      <c r="L425" s="29"/>
      <c r="M425" s="29"/>
      <c r="N425" s="38"/>
      <c r="O425" s="38"/>
      <c r="P425" s="38"/>
      <c r="Q425" s="34"/>
      <c r="R425" s="23"/>
      <c r="S425" s="29"/>
      <c r="T425" s="29"/>
      <c r="U425" s="29"/>
      <c r="V425" s="29"/>
      <c r="W425" s="25"/>
      <c r="X425" s="25"/>
      <c r="Y425" s="25"/>
      <c r="Z425" s="26"/>
      <c r="AA425" s="29"/>
      <c r="AB425" s="29"/>
      <c r="AC425" s="29"/>
      <c r="AD425" s="29"/>
      <c r="AE425" s="29"/>
      <c r="AF425" s="38"/>
      <c r="AG425" s="38"/>
      <c r="AH425" s="38"/>
      <c r="AI425" s="24"/>
      <c r="AJ425" s="29"/>
      <c r="AK425" s="25"/>
      <c r="AL425" s="25"/>
      <c r="AM425" s="25"/>
      <c r="AN425" s="29"/>
      <c r="AO425" s="38"/>
      <c r="AP425" s="38"/>
      <c r="AQ425" s="38"/>
      <c r="AR425" s="22"/>
    </row>
    <row r="426" spans="2:44" ht="13.5" customHeight="1" x14ac:dyDescent="0.3">
      <c r="B426" s="30">
        <v>411</v>
      </c>
      <c r="C426" s="39">
        <v>7</v>
      </c>
      <c r="D426" s="43" t="s">
        <v>35</v>
      </c>
      <c r="E426" s="37" t="s">
        <v>57</v>
      </c>
      <c r="F426" s="39"/>
      <c r="G426" s="39" t="s">
        <v>430</v>
      </c>
      <c r="H426" s="80">
        <f>J426*2/(1+1/(K426/J426))</f>
        <v>8167.9185170736682</v>
      </c>
      <c r="I426" s="80"/>
      <c r="J426" s="29">
        <f t="array" ref="J426">IFERROR(INDEX($H$16:$H$582,MATCH(1,(C426=$C$16:$C$582)*(D426=$D$16:$D$582)*(E426=$E$16:$E$582)*(""=$G$16:$G$582),0)),"값이없음")</f>
        <v>8167.9185170736682</v>
      </c>
      <c r="K426" s="29">
        <f t="array" ref="K426">IFERROR(INDEX($H$16:$H$582,MATCH(1,(C426=$C$16:$C$582)*(D426=$D$16:$D$582)*(E426=$E$16:$E$582)*("생명50%이하"=$G$16:$G$582),0)),"값이없음")</f>
        <v>8167.9185170736682</v>
      </c>
      <c r="L426" s="29"/>
      <c r="M426" s="29"/>
      <c r="N426" s="38"/>
      <c r="O426" s="38"/>
      <c r="P426" s="38"/>
      <c r="Q426" s="34"/>
      <c r="R426" s="23"/>
      <c r="S426" s="29"/>
      <c r="T426" s="29"/>
      <c r="U426" s="29"/>
      <c r="V426" s="29"/>
      <c r="W426" s="25"/>
      <c r="X426" s="25"/>
      <c r="Y426" s="25"/>
      <c r="Z426" s="26"/>
      <c r="AA426" s="29"/>
      <c r="AB426" s="29"/>
      <c r="AC426" s="29"/>
      <c r="AD426" s="29"/>
      <c r="AE426" s="29"/>
      <c r="AF426" s="38"/>
      <c r="AG426" s="38"/>
      <c r="AH426" s="38"/>
      <c r="AI426" s="24"/>
      <c r="AJ426" s="29"/>
      <c r="AK426" s="25"/>
      <c r="AL426" s="25"/>
      <c r="AM426" s="25"/>
      <c r="AN426" s="29"/>
      <c r="AO426" s="38"/>
      <c r="AP426" s="38"/>
      <c r="AQ426" s="38"/>
      <c r="AR426" s="22"/>
    </row>
    <row r="427" spans="2:44" ht="13.5" customHeight="1" x14ac:dyDescent="0.3">
      <c r="B427" s="30">
        <v>412</v>
      </c>
      <c r="C427" s="39">
        <v>7</v>
      </c>
      <c r="D427" s="43" t="s">
        <v>35</v>
      </c>
      <c r="E427" s="37" t="s">
        <v>77</v>
      </c>
      <c r="F427" s="39"/>
      <c r="G427" s="39" t="s">
        <v>430</v>
      </c>
      <c r="H427" s="80">
        <f>J427*2/(1+1/(K427/J427))</f>
        <v>9553.6212099788645</v>
      </c>
      <c r="I427" s="80"/>
      <c r="J427" s="29">
        <f t="array" ref="J427">IFERROR(INDEX($H$16:$H$582,MATCH(1,(C427=$C$16:$C$582)*(D427=$D$16:$D$582)*(E427=$E$16:$E$582)*(""=$G$16:$G$582),0)),"값이없음")</f>
        <v>8167.9185170736682</v>
      </c>
      <c r="K427" s="29">
        <f t="array" ref="K427">IFERROR(INDEX($H$16:$H$582,MATCH(1,(C427=$C$16:$C$582)*(D427=$D$16:$D$582)*(E427=$E$16:$E$582)*("생명50%이하"=$G$16:$G$582),0)),"값이없음")</f>
        <v>11505.561251534089</v>
      </c>
      <c r="L427" s="29"/>
      <c r="M427" s="29"/>
      <c r="N427" s="38"/>
      <c r="O427" s="38"/>
      <c r="P427" s="38"/>
      <c r="Q427" s="34"/>
      <c r="R427" s="23"/>
      <c r="S427" s="29"/>
      <c r="T427" s="29"/>
      <c r="U427" s="29"/>
      <c r="V427" s="29"/>
      <c r="W427" s="25"/>
      <c r="X427" s="25"/>
      <c r="Y427" s="25"/>
      <c r="Z427" s="26"/>
      <c r="AA427" s="29"/>
      <c r="AB427" s="29"/>
      <c r="AC427" s="29"/>
      <c r="AD427" s="29"/>
      <c r="AE427" s="29"/>
      <c r="AF427" s="38"/>
      <c r="AG427" s="38"/>
      <c r="AH427" s="38"/>
      <c r="AI427" s="24"/>
      <c r="AJ427" s="29"/>
      <c r="AK427" s="25"/>
      <c r="AL427" s="25"/>
      <c r="AM427" s="25"/>
      <c r="AN427" s="29"/>
      <c r="AO427" s="38"/>
      <c r="AP427" s="38"/>
      <c r="AQ427" s="38"/>
      <c r="AR427" s="22"/>
    </row>
    <row r="428" spans="2:44" ht="13.5" customHeight="1" x14ac:dyDescent="0.3">
      <c r="B428" s="30">
        <v>413</v>
      </c>
      <c r="C428" s="39">
        <v>7</v>
      </c>
      <c r="D428" s="43" t="s">
        <v>35</v>
      </c>
      <c r="E428" s="37" t="s">
        <v>59</v>
      </c>
      <c r="F428" s="39" t="s">
        <v>216</v>
      </c>
      <c r="G428" s="39" t="s">
        <v>430</v>
      </c>
      <c r="H428" s="80">
        <f>J428*2/(1+1/(K428/J428))</f>
        <v>11435.085923903134</v>
      </c>
      <c r="I428" s="80"/>
      <c r="J428" s="29">
        <f t="array" ref="J428">IFERROR(INDEX($H$16:$H$582,MATCH(1,(C428=$C$16:$C$582)*(D428=$D$16:$D$582)*(E428=$E$16:$E$582)*(""=$G$16:$G$582),0)),"값이없음")</f>
        <v>11435.085923903134</v>
      </c>
      <c r="K428" s="29">
        <f t="array" ref="K428">IFERROR(INDEX($H$16:$H$582,MATCH(1,(C428=$C$16:$C$582)*(D428=$D$16:$D$582)*(E428=$E$16:$E$582)*("생명50%이하"=$G$16:$G$582),0)),"값이없음")</f>
        <v>11435.085923903134</v>
      </c>
      <c r="L428" s="29"/>
      <c r="M428" s="29"/>
      <c r="N428" s="38"/>
      <c r="O428" s="38"/>
      <c r="P428" s="38"/>
      <c r="Q428" s="34"/>
      <c r="R428" s="23"/>
      <c r="S428" s="29"/>
      <c r="T428" s="29"/>
      <c r="U428" s="29"/>
      <c r="V428" s="29"/>
      <c r="W428" s="25"/>
      <c r="X428" s="25"/>
      <c r="Y428" s="25"/>
      <c r="Z428" s="26"/>
      <c r="AA428" s="29"/>
      <c r="AB428" s="29"/>
      <c r="AC428" s="29"/>
      <c r="AD428" s="29"/>
      <c r="AE428" s="29"/>
      <c r="AF428" s="38"/>
      <c r="AG428" s="38"/>
      <c r="AH428" s="38"/>
      <c r="AI428" s="24"/>
      <c r="AJ428" s="29"/>
      <c r="AK428" s="25"/>
      <c r="AL428" s="25"/>
      <c r="AM428" s="25"/>
      <c r="AN428" s="29"/>
      <c r="AO428" s="38"/>
      <c r="AP428" s="38"/>
      <c r="AQ428" s="38"/>
      <c r="AR428" s="22"/>
    </row>
    <row r="429" spans="2:44" ht="13.5" customHeight="1" x14ac:dyDescent="0.3">
      <c r="B429" s="30">
        <v>414</v>
      </c>
      <c r="C429" s="39">
        <v>10</v>
      </c>
      <c r="D429" s="43" t="s">
        <v>35</v>
      </c>
      <c r="E429" s="37" t="s">
        <v>57</v>
      </c>
      <c r="F429" s="39"/>
      <c r="G429" s="39" t="s">
        <v>430</v>
      </c>
      <c r="H429" s="80">
        <f>J429*2/(1+1/(K429/J429))</f>
        <v>8177.8860698400222</v>
      </c>
      <c r="I429" s="80"/>
      <c r="J429" s="29">
        <f t="array" ref="J429">IFERROR(INDEX($H$16:$H$582,MATCH(1,(C429=$C$16:$C$582)*(D429=$D$16:$D$582)*(E429=$E$16:$E$582)*(""=$G$16:$G$582),0)),"값이없음")</f>
        <v>8177.8860698400222</v>
      </c>
      <c r="K429" s="29">
        <f t="array" ref="K429">IFERROR(INDEX($H$16:$H$582,MATCH(1,(C429=$C$16:$C$582)*(D429=$D$16:$D$582)*(E429=$E$16:$E$582)*("생명50%이하"=$G$16:$G$582),0)),"값이없음")</f>
        <v>8177.8860698400222</v>
      </c>
      <c r="L429" s="29"/>
      <c r="M429" s="29"/>
      <c r="N429" s="38"/>
      <c r="O429" s="38"/>
      <c r="P429" s="38"/>
      <c r="Q429" s="34"/>
      <c r="R429" s="23"/>
      <c r="S429" s="29"/>
      <c r="T429" s="29"/>
      <c r="U429" s="29"/>
      <c r="V429" s="29"/>
      <c r="W429" s="25"/>
      <c r="X429" s="25"/>
      <c r="Y429" s="25"/>
      <c r="Z429" s="26"/>
      <c r="AA429" s="29"/>
      <c r="AB429" s="29"/>
      <c r="AC429" s="29"/>
      <c r="AD429" s="29"/>
      <c r="AE429" s="29"/>
      <c r="AF429" s="38"/>
      <c r="AG429" s="38"/>
      <c r="AH429" s="38"/>
      <c r="AI429" s="24"/>
      <c r="AJ429" s="29"/>
      <c r="AK429" s="25"/>
      <c r="AL429" s="25"/>
      <c r="AM429" s="25"/>
      <c r="AN429" s="29"/>
      <c r="AO429" s="38"/>
      <c r="AP429" s="38"/>
      <c r="AQ429" s="38"/>
      <c r="AR429" s="22"/>
    </row>
    <row r="430" spans="2:44" ht="13.5" customHeight="1" x14ac:dyDescent="0.3">
      <c r="B430" s="30">
        <v>415</v>
      </c>
      <c r="C430" s="39">
        <v>10</v>
      </c>
      <c r="D430" s="43" t="s">
        <v>35</v>
      </c>
      <c r="E430" s="37" t="s">
        <v>100</v>
      </c>
      <c r="F430" s="39"/>
      <c r="G430" s="39" t="s">
        <v>430</v>
      </c>
      <c r="H430" s="80">
        <f>J430*2/(1+1/(K430/J430))</f>
        <v>16355.772139680044</v>
      </c>
      <c r="I430" s="80"/>
      <c r="J430" s="29">
        <f t="array" ref="J430">IFERROR(INDEX($H$16:$H$582,MATCH(1,(C430=$C$16:$C$582)*(D430=$D$16:$D$582)*(E430=$E$16:$E$582)*(""=$G$16:$G$582),0)),"값이없음")</f>
        <v>16355.772139680044</v>
      </c>
      <c r="K430" s="29">
        <f t="array" ref="K430">IFERROR(INDEX($H$16:$H$582,MATCH(1,(C430=$C$16:$C$582)*(D430=$D$16:$D$582)*(E430=$E$16:$E$582)*("생명50%이하"=$G$16:$G$582),0)),"값이없음")</f>
        <v>16355.772139680044</v>
      </c>
      <c r="L430" s="29"/>
      <c r="M430" s="29"/>
      <c r="N430" s="38"/>
      <c r="O430" s="38"/>
      <c r="P430" s="38"/>
      <c r="Q430" s="34"/>
      <c r="R430" s="23"/>
      <c r="S430" s="29"/>
      <c r="T430" s="29"/>
      <c r="U430" s="29"/>
      <c r="V430" s="29"/>
      <c r="W430" s="25"/>
      <c r="X430" s="25"/>
      <c r="Y430" s="25"/>
      <c r="Z430" s="26"/>
      <c r="AA430" s="29"/>
      <c r="AB430" s="29"/>
      <c r="AC430" s="29"/>
      <c r="AD430" s="29"/>
      <c r="AE430" s="29"/>
      <c r="AF430" s="38"/>
      <c r="AG430" s="38"/>
      <c r="AH430" s="38"/>
      <c r="AI430" s="24"/>
      <c r="AJ430" s="29"/>
      <c r="AK430" s="25"/>
      <c r="AL430" s="25"/>
      <c r="AM430" s="25"/>
      <c r="AN430" s="29"/>
      <c r="AO430" s="38"/>
      <c r="AP430" s="38"/>
      <c r="AQ430" s="38"/>
      <c r="AR430" s="22"/>
    </row>
    <row r="431" spans="2:44" ht="13.5" customHeight="1" x14ac:dyDescent="0.3">
      <c r="B431" s="30">
        <v>416</v>
      </c>
      <c r="C431" s="39">
        <v>10</v>
      </c>
      <c r="D431" s="43" t="s">
        <v>35</v>
      </c>
      <c r="E431" s="37" t="s">
        <v>101</v>
      </c>
      <c r="F431" s="39"/>
      <c r="G431" s="39" t="s">
        <v>430</v>
      </c>
      <c r="H431" s="80">
        <f>J431*2/(1+1/(K431/J431))</f>
        <v>17991.349353648053</v>
      </c>
      <c r="I431" s="80"/>
      <c r="J431" s="29">
        <f t="array" ref="J431">IFERROR(INDEX($H$16:$H$582,MATCH(1,(C431=$C$16:$C$582)*(D431=$D$16:$D$582)*(E431=$E$16:$E$582)*(""=$G$16:$G$582),0)),"값이없음")</f>
        <v>17991.349353648053</v>
      </c>
      <c r="K431" s="29">
        <f t="array" ref="K431">IFERROR(INDEX($H$16:$H$582,MATCH(1,(C431=$C$16:$C$582)*(D431=$D$16:$D$582)*(E431=$E$16:$E$582)*("생명50%이하"=$G$16:$G$582),0)),"값이없음")</f>
        <v>17991.349353648053</v>
      </c>
      <c r="L431" s="29"/>
      <c r="M431" s="29"/>
      <c r="N431" s="38"/>
      <c r="O431" s="38"/>
      <c r="P431" s="38"/>
      <c r="Q431" s="34"/>
      <c r="R431" s="23"/>
      <c r="S431" s="29"/>
      <c r="T431" s="29"/>
      <c r="U431" s="29"/>
      <c r="V431" s="29"/>
      <c r="W431" s="25"/>
      <c r="X431" s="25"/>
      <c r="Y431" s="25"/>
      <c r="Z431" s="26"/>
      <c r="AA431" s="29"/>
      <c r="AB431" s="29"/>
      <c r="AC431" s="29"/>
      <c r="AD431" s="29"/>
      <c r="AE431" s="29"/>
      <c r="AF431" s="38"/>
      <c r="AG431" s="38"/>
      <c r="AH431" s="38"/>
      <c r="AI431" s="24"/>
      <c r="AJ431" s="29"/>
      <c r="AK431" s="25"/>
      <c r="AL431" s="25"/>
      <c r="AM431" s="25"/>
      <c r="AN431" s="29"/>
      <c r="AO431" s="38"/>
      <c r="AP431" s="38"/>
      <c r="AQ431" s="38"/>
      <c r="AR431" s="22"/>
    </row>
    <row r="432" spans="2:44" ht="13.5" customHeight="1" x14ac:dyDescent="0.3">
      <c r="B432" s="30">
        <v>417</v>
      </c>
      <c r="C432" s="39">
        <v>10</v>
      </c>
      <c r="D432" s="43" t="s">
        <v>35</v>
      </c>
      <c r="E432" s="37" t="s">
        <v>212</v>
      </c>
      <c r="F432" s="39"/>
      <c r="G432" s="39" t="s">
        <v>430</v>
      </c>
      <c r="H432" s="80">
        <f>J432*2/(1+1/(K432/J432))</f>
        <v>19130.559553526378</v>
      </c>
      <c r="I432" s="80"/>
      <c r="J432" s="29">
        <f t="array" ref="J432">IFERROR(INDEX($H$16:$H$582,MATCH(1,(C432=$C$16:$C$582)*(D432=$D$16:$D$582)*(E432=$E$16:$E$582)*(""=$G$16:$G$582),0)),"값이없음")</f>
        <v>16355.772139680044</v>
      </c>
      <c r="K432" s="29">
        <f t="array" ref="K432">IFERROR(INDEX($H$16:$H$582,MATCH(1,(C432=$C$16:$C$582)*(D432=$D$16:$D$582)*(E432=$E$16:$E$582)*("생명50%이하"=$G$16:$G$582),0)),"값이없음")</f>
        <v>23039.203657071237</v>
      </c>
      <c r="L432" s="29"/>
      <c r="M432" s="29"/>
      <c r="N432" s="38"/>
      <c r="O432" s="38"/>
      <c r="P432" s="38"/>
      <c r="Q432" s="34"/>
      <c r="R432" s="23"/>
      <c r="S432" s="29"/>
      <c r="T432" s="29"/>
      <c r="U432" s="29"/>
      <c r="V432" s="29"/>
      <c r="W432" s="25"/>
      <c r="X432" s="25"/>
      <c r="Y432" s="25"/>
      <c r="Z432" s="26"/>
      <c r="AA432" s="29"/>
      <c r="AB432" s="29"/>
      <c r="AC432" s="29"/>
      <c r="AD432" s="29"/>
      <c r="AE432" s="29"/>
      <c r="AF432" s="38"/>
      <c r="AG432" s="38"/>
      <c r="AH432" s="38"/>
      <c r="AI432" s="24"/>
      <c r="AJ432" s="29"/>
      <c r="AK432" s="25"/>
      <c r="AL432" s="25"/>
      <c r="AM432" s="25"/>
      <c r="AN432" s="29"/>
      <c r="AO432" s="38"/>
      <c r="AP432" s="38"/>
      <c r="AQ432" s="38"/>
      <c r="AR432" s="22"/>
    </row>
    <row r="433" spans="2:44" ht="13.5" customHeight="1" x14ac:dyDescent="0.3">
      <c r="B433" s="30">
        <v>418</v>
      </c>
      <c r="C433" s="39">
        <v>10</v>
      </c>
      <c r="D433" s="43" t="s">
        <v>35</v>
      </c>
      <c r="E433" s="37" t="s">
        <v>122</v>
      </c>
      <c r="F433" s="39"/>
      <c r="G433" s="39" t="s">
        <v>430</v>
      </c>
      <c r="H433" s="80">
        <f>J433*2/(1+1/(K433/J433))</f>
        <v>21043.615508879018</v>
      </c>
      <c r="I433" s="80"/>
      <c r="J433" s="29">
        <f t="array" ref="J433">IFERROR(INDEX($H$16:$H$582,MATCH(1,(C433=$C$16:$C$582)*(D433=$D$16:$D$582)*(E433=$E$16:$E$582)*(""=$G$16:$G$582),0)),"값이없음")</f>
        <v>17991.349353648053</v>
      </c>
      <c r="K433" s="29">
        <f t="array" ref="K433">IFERROR(INDEX($H$16:$H$582,MATCH(1,(C433=$C$16:$C$582)*(D433=$D$16:$D$582)*(E433=$E$16:$E$582)*("생명50%이하"=$G$16:$G$582),0)),"값이없음")</f>
        <v>25343.124022778356</v>
      </c>
      <c r="L433" s="29"/>
      <c r="M433" s="29"/>
      <c r="N433" s="38"/>
      <c r="O433" s="38"/>
      <c r="P433" s="38"/>
      <c r="Q433" s="34"/>
      <c r="R433" s="23"/>
      <c r="S433" s="29"/>
      <c r="T433" s="29"/>
      <c r="U433" s="29"/>
      <c r="V433" s="29"/>
      <c r="W433" s="25"/>
      <c r="X433" s="25"/>
      <c r="Y433" s="25"/>
      <c r="Z433" s="26"/>
      <c r="AA433" s="29"/>
      <c r="AB433" s="29"/>
      <c r="AC433" s="29"/>
      <c r="AD433" s="29"/>
      <c r="AE433" s="29"/>
      <c r="AF433" s="38"/>
      <c r="AG433" s="38"/>
      <c r="AH433" s="38"/>
      <c r="AI433" s="24"/>
      <c r="AJ433" s="29"/>
      <c r="AK433" s="25"/>
      <c r="AL433" s="25"/>
      <c r="AM433" s="25"/>
      <c r="AN433" s="29"/>
      <c r="AO433" s="38"/>
      <c r="AP433" s="38"/>
      <c r="AQ433" s="38"/>
      <c r="AR433" s="22"/>
    </row>
    <row r="434" spans="2:44" ht="13.5" customHeight="1" x14ac:dyDescent="0.3">
      <c r="B434" s="30">
        <v>419</v>
      </c>
      <c r="C434" s="39">
        <v>10</v>
      </c>
      <c r="D434" s="43" t="s">
        <v>35</v>
      </c>
      <c r="E434" s="37" t="s">
        <v>214</v>
      </c>
      <c r="F434" s="39" t="s">
        <v>216</v>
      </c>
      <c r="G434" s="39" t="s">
        <v>430</v>
      </c>
      <c r="H434" s="80">
        <f>J434*2/(1+1/(K434/J434))</f>
        <v>22898.080995552064</v>
      </c>
      <c r="I434" s="80"/>
      <c r="J434" s="29">
        <f t="array" ref="J434">IFERROR(INDEX($H$16:$H$582,MATCH(1,(C434=$C$16:$C$582)*(D434=$D$16:$D$582)*(E434=$E$16:$E$582)*(""=$G$16:$G$582),0)),"값이없음")</f>
        <v>22898.080995552064</v>
      </c>
      <c r="K434" s="29">
        <f t="array" ref="K434">IFERROR(INDEX($H$16:$H$582,MATCH(1,(C434=$C$16:$C$582)*(D434=$D$16:$D$582)*(E434=$E$16:$E$582)*("생명50%이하"=$G$16:$G$582),0)),"값이없음")</f>
        <v>22898.080995552064</v>
      </c>
      <c r="L434" s="29"/>
      <c r="M434" s="29"/>
      <c r="N434" s="38"/>
      <c r="O434" s="38"/>
      <c r="P434" s="38"/>
      <c r="Q434" s="34"/>
      <c r="R434" s="23"/>
      <c r="S434" s="29"/>
      <c r="T434" s="29"/>
      <c r="U434" s="29"/>
      <c r="V434" s="29"/>
      <c r="W434" s="25"/>
      <c r="X434" s="25"/>
      <c r="Y434" s="25"/>
      <c r="Z434" s="26"/>
      <c r="AA434" s="29"/>
      <c r="AB434" s="29"/>
      <c r="AC434" s="29"/>
      <c r="AD434" s="29"/>
      <c r="AE434" s="29"/>
      <c r="AF434" s="38"/>
      <c r="AG434" s="38"/>
      <c r="AH434" s="38"/>
      <c r="AI434" s="24"/>
      <c r="AJ434" s="29"/>
      <c r="AK434" s="25"/>
      <c r="AL434" s="25"/>
      <c r="AM434" s="25"/>
      <c r="AN434" s="29"/>
      <c r="AO434" s="38"/>
      <c r="AP434" s="38"/>
      <c r="AQ434" s="38"/>
      <c r="AR434" s="22"/>
    </row>
    <row r="435" spans="2:44" ht="13.5" customHeight="1" x14ac:dyDescent="0.3">
      <c r="B435" s="30">
        <v>420</v>
      </c>
      <c r="C435" s="39">
        <v>10</v>
      </c>
      <c r="D435" s="43" t="s">
        <v>35</v>
      </c>
      <c r="E435" s="37" t="s">
        <v>215</v>
      </c>
      <c r="F435" s="39" t="s">
        <v>216</v>
      </c>
      <c r="G435" s="39" t="s">
        <v>430</v>
      </c>
      <c r="H435" s="80">
        <f>J435*2/(1+1/(K435/J435))</f>
        <v>25187.889095107272</v>
      </c>
      <c r="I435" s="80"/>
      <c r="J435" s="29">
        <f t="array" ref="J435">IFERROR(INDEX($H$16:$H$582,MATCH(1,(C435=$C$16:$C$582)*(D435=$D$16:$D$582)*(E435=$E$16:$E$582)*(""=$G$16:$G$582),0)),"값이없음")</f>
        <v>25187.889095107272</v>
      </c>
      <c r="K435" s="29">
        <f t="array" ref="K435">IFERROR(INDEX($H$16:$H$582,MATCH(1,(C435=$C$16:$C$582)*(D435=$D$16:$D$582)*(E435=$E$16:$E$582)*("생명50%이하"=$G$16:$G$582),0)),"값이없음")</f>
        <v>25187.889095107272</v>
      </c>
      <c r="L435" s="29"/>
      <c r="M435" s="29"/>
      <c r="N435" s="38"/>
      <c r="O435" s="38"/>
      <c r="P435" s="38"/>
      <c r="Q435" s="34"/>
      <c r="R435" s="23"/>
      <c r="S435" s="29"/>
      <c r="T435" s="29"/>
      <c r="U435" s="29"/>
      <c r="V435" s="29"/>
      <c r="W435" s="25"/>
      <c r="X435" s="25"/>
      <c r="Y435" s="25"/>
      <c r="Z435" s="26"/>
      <c r="AA435" s="29"/>
      <c r="AB435" s="29"/>
      <c r="AC435" s="29"/>
      <c r="AD435" s="29"/>
      <c r="AE435" s="29"/>
      <c r="AF435" s="38"/>
      <c r="AG435" s="38"/>
      <c r="AH435" s="38"/>
      <c r="AI435" s="24"/>
      <c r="AJ435" s="29"/>
      <c r="AK435" s="25"/>
      <c r="AL435" s="25"/>
      <c r="AM435" s="25"/>
      <c r="AN435" s="29"/>
      <c r="AO435" s="38"/>
      <c r="AP435" s="38"/>
      <c r="AQ435" s="38"/>
      <c r="AR435" s="22"/>
    </row>
    <row r="436" spans="2:44" ht="13.5" customHeight="1" x14ac:dyDescent="0.3">
      <c r="B436" s="30">
        <v>421</v>
      </c>
      <c r="C436" s="39">
        <v>1</v>
      </c>
      <c r="D436" s="43" t="s">
        <v>217</v>
      </c>
      <c r="E436" s="37" t="s">
        <v>196</v>
      </c>
      <c r="F436" s="39"/>
      <c r="G436" s="39"/>
      <c r="H436" s="80">
        <f>I436/AJ436</f>
        <v>10063.485751751075</v>
      </c>
      <c r="I436" s="52">
        <f>SUM(J436:Q436)*IF(입력란!C$15=1,1.04,IF(입력란!C$15=2,1.1,IF(입력란!C$15=3,1.2,1)))*IF(입력란!$C$17&lt;&gt;0,0.98,1)*IF(입력란!$C$12=1,IF(G436="생명50%이하",1.2,1.1),1)*IF(입력란!$C$12=2,IF(G436="생명50%이하",1.3,1.1),1)*IF(입력란!$C$12=3,IF(G436="생명50%이하",1.4,1.1),1)</f>
        <v>289136.17297118396</v>
      </c>
      <c r="J436" s="25">
        <f>S436*(1+IF($AK436+IF(입력란!$C$19=1,10,0)+IF(MID(E436,3,1)="1",트라이포드!$J$23,0)&gt;100,100,$AK436+IF(입력란!$C$19=1,10,0)+IF(MID(E436,3,1)="1",트라이포드!$J$23,0))/100*($AL436/100-1))</f>
        <v>289136.17297118396</v>
      </c>
      <c r="K436" s="25"/>
      <c r="L436" s="25"/>
      <c r="M436" s="25"/>
      <c r="N436" s="38"/>
      <c r="O436" s="38"/>
      <c r="P436" s="38"/>
      <c r="Q436" s="34">
        <f>Z436*(1+IF($AK436+IF(입력란!$C$19=1,10,0)&gt;100,100,$AK436+IF(입력란!$C$19=1,10,0))/100*($AL436/100-1))</f>
        <v>0</v>
      </c>
      <c r="R436" s="23">
        <f>SUM(S436:Z436)</f>
        <v>236298.45106062762</v>
      </c>
      <c r="S436" s="25">
        <f>AN436*IF(MID(E436,3,1)="3",IF(G436="생명50%이하",트라이포드!$N$23,트라이포드!$M$23),1)*IF(MID(E436,5,1)="2",트라이포드!$R$23,트라이포드!$Q$23)*(1+입력란!$C$34/100)</f>
        <v>236298.45106062762</v>
      </c>
      <c r="T436" s="25"/>
      <c r="U436" s="25"/>
      <c r="V436" s="25"/>
      <c r="W436" s="25"/>
      <c r="X436" s="25"/>
      <c r="Y436" s="25"/>
      <c r="Z436" s="24">
        <f>AN436*IF(MID(E436,1,1)="1",트라이포드!$D$23,트라이포드!$C$23)*(1+입력란!$C$34/100)</f>
        <v>0</v>
      </c>
      <c r="AA436" s="29">
        <f>SUM(AB436:AI436)</f>
        <v>472596.90212125523</v>
      </c>
      <c r="AB436" s="29">
        <f>S436*2</f>
        <v>472596.90212125523</v>
      </c>
      <c r="AC436" s="25"/>
      <c r="AD436" s="25"/>
      <c r="AE436" s="25"/>
      <c r="AF436" s="38"/>
      <c r="AG436" s="38"/>
      <c r="AH436" s="38"/>
      <c r="AI436" s="24">
        <f>Z436*2</f>
        <v>0</v>
      </c>
      <c r="AJ436" s="29">
        <f>AR436*(1-입력란!$C$29/100)</f>
        <v>28.731215018700002</v>
      </c>
      <c r="AK43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36" s="25">
        <f>입력란!$C$37+IF(입력란!$C$17=1,10,IF(입력란!$C$17=2,25,IF(입력란!$C$17=3,50,0)))</f>
        <v>200</v>
      </c>
      <c r="AM436" s="25">
        <f>SUM(AN436:AP436)</f>
        <v>179208.35362568728</v>
      </c>
      <c r="AN436" s="29">
        <f>(VLOOKUP(C436,$B$4:$AKJ$7,31,FALSE)+VLOOKUP(C436,$B$8:$AK$11,31,FALSE)*입력란!$C$23)*입력란!$C$38/100</f>
        <v>179208.35362568728</v>
      </c>
      <c r="AO436" s="38"/>
      <c r="AP436" s="38"/>
      <c r="AQ436" s="38"/>
      <c r="AR436" s="12">
        <v>30</v>
      </c>
    </row>
    <row r="437" spans="2:44" ht="13.5" customHeight="1" x14ac:dyDescent="0.3">
      <c r="B437" s="30">
        <v>422</v>
      </c>
      <c r="C437" s="8">
        <v>4</v>
      </c>
      <c r="D437" s="43" t="s">
        <v>36</v>
      </c>
      <c r="E437" s="37" t="s">
        <v>290</v>
      </c>
      <c r="F437" s="39"/>
      <c r="G437" s="39"/>
      <c r="H437" s="80">
        <f>I437/AJ437</f>
        <v>12126.075698055387</v>
      </c>
      <c r="I437" s="52">
        <f>SUM(J437:Q437)*IF(입력란!C$15=1,1.04,IF(입력란!C$15=2,1.1,IF(입력란!C$15=3,1.2,1)))*IF(입력란!$C$17&lt;&gt;0,0.98,1)*IF(입력란!$C$12=1,IF(G437="생명50%이하",1.2,1.1),1)*IF(입력란!$C$12=2,IF(G437="생명50%이하",1.3,1.1),1)*IF(입력란!$C$12=3,IF(G437="생명50%이하",1.4,1.1),1)</f>
        <v>348396.88821386202</v>
      </c>
      <c r="J437" s="25">
        <f>S437*(1+IF($AK437+IF(입력란!$C$19=1,10,0)+IF(MID(E437,3,1)="1",트라이포드!$J$23,0)&gt;100,100,$AK437+IF(입력란!$C$19=1,10,0)+IF(MID(E437,3,1)="1",트라이포드!$J$23,0))/100*($AL437/100-1))</f>
        <v>290330.74017821834</v>
      </c>
      <c r="K437" s="38"/>
      <c r="L437" s="38"/>
      <c r="M437" s="38"/>
      <c r="N437" s="38"/>
      <c r="O437" s="38"/>
      <c r="P437" s="38"/>
      <c r="Q437" s="34">
        <f>Z437*(1+IF($AK437+IF(입력란!$C$19=1,10,0)&gt;100,100,$AK437+IF(입력란!$C$19=1,10,0))/100*($AL437/100-1))</f>
        <v>58066.148035643673</v>
      </c>
      <c r="R437" s="23">
        <f>SUM(S437:Z437)</f>
        <v>284729.66282044211</v>
      </c>
      <c r="S437" s="25">
        <f>AN437*IF(MID(E437,3,1)="3",IF(G437="생명50%이하",트라이포드!$N$23,트라이포드!$M$23),1)*IF(MID(E437,5,1)="2",트라이포드!$R$23,트라이포드!$Q$23)*(1+입력란!$C$34/100)</f>
        <v>237274.71901703507</v>
      </c>
      <c r="T437" s="38"/>
      <c r="U437" s="38"/>
      <c r="V437" s="38"/>
      <c r="W437" s="38"/>
      <c r="X437" s="38"/>
      <c r="Y437" s="38"/>
      <c r="Z437" s="24">
        <f>AN437*IF(MID(E437,1,1)="1",트라이포드!$D$23,트라이포드!$C$23)*(1+입력란!$C$34/100)</f>
        <v>47454.943803407019</v>
      </c>
      <c r="AA437" s="29">
        <f>SUM(AB437:AI437)</f>
        <v>569459.32564088423</v>
      </c>
      <c r="AB437" s="29">
        <f>S437*2</f>
        <v>474549.43803407013</v>
      </c>
      <c r="AC437" s="38"/>
      <c r="AD437" s="38"/>
      <c r="AE437" s="38"/>
      <c r="AF437" s="38"/>
      <c r="AG437" s="38"/>
      <c r="AH437" s="38"/>
      <c r="AI437" s="24">
        <f>Z437*2</f>
        <v>94909.887606814038</v>
      </c>
      <c r="AJ437" s="29">
        <f>AR437*(1-입력란!$C$29/100)</f>
        <v>28.731215018700002</v>
      </c>
      <c r="AK43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37" s="25">
        <f>입력란!$C$37+IF(입력란!$C$17=1,10,IF(입력란!$C$17=2,25,IF(입력란!$C$17=3,50,0)))</f>
        <v>200</v>
      </c>
      <c r="AM437" s="25">
        <f>SUM(AN437:AP437)</f>
        <v>179948.7536256873</v>
      </c>
      <c r="AN437" s="29">
        <f>(VLOOKUP(C437,$B$4:$AKJ$7,31,FALSE)+VLOOKUP(C437,$B$8:$AK$11,31,FALSE)*입력란!$C$23)*입력란!$C$38/100</f>
        <v>179948.7536256873</v>
      </c>
      <c r="AO437" s="38"/>
      <c r="AP437" s="38"/>
      <c r="AQ437" s="38"/>
      <c r="AR437" s="12">
        <v>30</v>
      </c>
    </row>
    <row r="438" spans="2:44" ht="13.5" customHeight="1" x14ac:dyDescent="0.3">
      <c r="B438" s="30">
        <v>423</v>
      </c>
      <c r="C438" s="8">
        <v>4</v>
      </c>
      <c r="D438" s="43" t="s">
        <v>217</v>
      </c>
      <c r="E438" s="37" t="s">
        <v>196</v>
      </c>
      <c r="F438" s="39"/>
      <c r="G438" s="39"/>
      <c r="H438" s="80">
        <f>I438/AJ438</f>
        <v>10105.063081712822</v>
      </c>
      <c r="I438" s="52">
        <f>SUM(J438:Q438)*IF(입력란!C$15=1,1.04,IF(입력란!C$15=2,1.1,IF(입력란!C$15=3,1.2,1)))*IF(입력란!$C$17&lt;&gt;0,0.98,1)*IF(입력란!$C$12=1,IF(G438="생명50%이하",1.2,1.1),1)*IF(입력란!$C$12=2,IF(G438="생명50%이하",1.3,1.1),1)*IF(입력란!$C$12=3,IF(G438="생명50%이하",1.4,1.1),1)</f>
        <v>290330.74017821834</v>
      </c>
      <c r="J438" s="25">
        <f>S438*(1+IF($AK438+IF(입력란!$C$19=1,10,0)+IF(MID(E438,3,1)="1",트라이포드!$J$23,0)&gt;100,100,$AK438+IF(입력란!$C$19=1,10,0)+IF(MID(E438,3,1)="1",트라이포드!$J$23,0))/100*($AL438/100-1))</f>
        <v>290330.74017821834</v>
      </c>
      <c r="K438" s="38"/>
      <c r="L438" s="38"/>
      <c r="M438" s="38"/>
      <c r="N438" s="38"/>
      <c r="O438" s="38"/>
      <c r="P438" s="38"/>
      <c r="Q438" s="34">
        <f>Z438*(1+IF($AK438+IF(입력란!$C$19=1,10,0)&gt;100,100,$AK438+IF(입력란!$C$19=1,10,0))/100*($AL438/100-1))</f>
        <v>0</v>
      </c>
      <c r="R438" s="23">
        <f>SUM(S438:Z438)</f>
        <v>237274.71901703507</v>
      </c>
      <c r="S438" s="25">
        <f>AN438*IF(MID(E438,3,1)="3",IF(G438="생명50%이하",트라이포드!$N$23,트라이포드!$M$23),1)*IF(MID(E438,5,1)="2",트라이포드!$R$23,트라이포드!$Q$23)*(1+입력란!$C$34/100)</f>
        <v>237274.71901703507</v>
      </c>
      <c r="T438" s="38"/>
      <c r="U438" s="38"/>
      <c r="V438" s="38"/>
      <c r="W438" s="38"/>
      <c r="X438" s="38"/>
      <c r="Y438" s="38"/>
      <c r="Z438" s="24">
        <f>AN438*IF(MID(E438,1,1)="1",트라이포드!$D$23,트라이포드!$C$23)*(1+입력란!$C$34/100)</f>
        <v>0</v>
      </c>
      <c r="AA438" s="29">
        <f>SUM(AB438:AI438)</f>
        <v>474549.43803407013</v>
      </c>
      <c r="AB438" s="29">
        <f>S438*2</f>
        <v>474549.43803407013</v>
      </c>
      <c r="AC438" s="38"/>
      <c r="AD438" s="38"/>
      <c r="AE438" s="38"/>
      <c r="AF438" s="38"/>
      <c r="AG438" s="38"/>
      <c r="AH438" s="38"/>
      <c r="AI438" s="24">
        <f>Z438*2</f>
        <v>0</v>
      </c>
      <c r="AJ438" s="29">
        <f>AR438*(1-입력란!$C$29/100)</f>
        <v>28.731215018700002</v>
      </c>
      <c r="AK43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38" s="25">
        <f>입력란!$C$37+IF(입력란!$C$17=1,10,IF(입력란!$C$17=2,25,IF(입력란!$C$17=3,50,0)))</f>
        <v>200</v>
      </c>
      <c r="AM438" s="25">
        <f>SUM(AN438:AP438)</f>
        <v>179948.7536256873</v>
      </c>
      <c r="AN438" s="29">
        <f>(VLOOKUP(C438,$B$4:$AKJ$7,31,FALSE)+VLOOKUP(C438,$B$8:$AK$11,31,FALSE)*입력란!$C$23)*입력란!$C$38/100</f>
        <v>179948.7536256873</v>
      </c>
      <c r="AO438" s="38"/>
      <c r="AP438" s="38"/>
      <c r="AQ438" s="38"/>
      <c r="AR438" s="12">
        <v>30</v>
      </c>
    </row>
    <row r="439" spans="2:44" ht="13.5" customHeight="1" x14ac:dyDescent="0.3">
      <c r="B439" s="30">
        <v>424</v>
      </c>
      <c r="C439" s="8">
        <v>7</v>
      </c>
      <c r="D439" s="43" t="s">
        <v>217</v>
      </c>
      <c r="E439" s="37" t="s">
        <v>196</v>
      </c>
      <c r="F439" s="39"/>
      <c r="G439" s="39"/>
      <c r="H439" s="80">
        <f>I439/AJ439</f>
        <v>10124.380479750154</v>
      </c>
      <c r="I439" s="52">
        <f>SUM(J439:Q439)*IF(입력란!C$15=1,1.04,IF(입력란!C$15=2,1.1,IF(입력란!C$15=3,1.2,1)))*IF(입력란!$C$17&lt;&gt;0,0.98,1)*IF(입력란!$C$12=1,IF(G439="생명50%이하",1.2,1.1),1)*IF(입력란!$C$12=2,IF(G439="생명50%이하",1.3,1.1),1)*IF(입력란!$C$12=3,IF(G439="생명50%이하",1.4,1.1),1)</f>
        <v>290885.75249483075</v>
      </c>
      <c r="J439" s="25">
        <f>S439*(1+IF($AK439+IF(입력란!$C$19=1,10,0)+IF(MID(E439,3,1)="1",트라이포드!$J$23,0)&gt;100,100,$AK439+IF(입력란!$C$19=1,10,0)+IF(MID(E439,3,1)="1",트라이포드!$J$23,0))/100*($AL439/100-1))</f>
        <v>290885.75249483075</v>
      </c>
      <c r="K439" s="38"/>
      <c r="L439" s="38"/>
      <c r="M439" s="38"/>
      <c r="N439" s="38"/>
      <c r="O439" s="38"/>
      <c r="P439" s="38"/>
      <c r="Q439" s="34">
        <f>Z439*(1+IF($AK439+IF(입력란!$C$19=1,10,0)&gt;100,100,$AK439+IF(입력란!$C$19=1,10,0))/100*($AL439/100-1))</f>
        <v>0</v>
      </c>
      <c r="R439" s="23">
        <f>SUM(S439:Z439)</f>
        <v>237728.30650623571</v>
      </c>
      <c r="S439" s="25">
        <f>AN439*IF(MID(E439,3,1)="3",IF(G439="생명50%이하",트라이포드!$N$23,트라이포드!$M$23),1)*IF(MID(E439,5,1)="2",트라이포드!$R$23,트라이포드!$Q$23)*(1+입력란!$C$34/100)</f>
        <v>237728.30650623571</v>
      </c>
      <c r="T439" s="38"/>
      <c r="U439" s="38"/>
      <c r="V439" s="38"/>
      <c r="W439" s="38"/>
      <c r="X439" s="38"/>
      <c r="Y439" s="38"/>
      <c r="Z439" s="24">
        <f>AN439*IF(MID(E439,1,1)="1",트라이포드!$D$23,트라이포드!$C$23)*(1+입력란!$C$34/100)</f>
        <v>0</v>
      </c>
      <c r="AA439" s="29">
        <f>SUM(AB439:AI439)</f>
        <v>475456.61301247141</v>
      </c>
      <c r="AB439" s="29">
        <f>S439*2</f>
        <v>475456.61301247141</v>
      </c>
      <c r="AC439" s="38"/>
      <c r="AD439" s="38"/>
      <c r="AE439" s="38"/>
      <c r="AF439" s="38"/>
      <c r="AG439" s="38"/>
      <c r="AH439" s="38"/>
      <c r="AI439" s="24">
        <f>Z439*2</f>
        <v>0</v>
      </c>
      <c r="AJ439" s="29">
        <f>AR439*(1-입력란!$C$29/100)</f>
        <v>28.731215018700002</v>
      </c>
      <c r="AK43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39" s="25">
        <f>입력란!$C$37+IF(입력란!$C$17=1,10,IF(입력란!$C$17=2,25,IF(입력란!$C$17=3,50,0)))</f>
        <v>200</v>
      </c>
      <c r="AM439" s="25">
        <f>SUM(AN439:AP439)</f>
        <v>180292.7536256873</v>
      </c>
      <c r="AN439" s="29">
        <f>(VLOOKUP(C439,$B$4:$AKJ$7,31,FALSE)+VLOOKUP(C439,$B$8:$AK$11,31,FALSE)*입력란!$C$23)*입력란!$C$38/100</f>
        <v>180292.7536256873</v>
      </c>
      <c r="AO439" s="38"/>
      <c r="AP439" s="38"/>
      <c r="AQ439" s="38"/>
      <c r="AR439" s="12">
        <v>30</v>
      </c>
    </row>
    <row r="440" spans="2:44" ht="13.5" customHeight="1" x14ac:dyDescent="0.3">
      <c r="B440" s="30">
        <v>425</v>
      </c>
      <c r="C440" s="8">
        <v>7</v>
      </c>
      <c r="D440" s="43" t="s">
        <v>36</v>
      </c>
      <c r="E440" s="37" t="s">
        <v>313</v>
      </c>
      <c r="F440" s="39"/>
      <c r="G440" s="39"/>
      <c r="H440" s="80">
        <f>I440/AJ440</f>
        <v>16286.365054257529</v>
      </c>
      <c r="I440" s="52">
        <f>SUM(J440:Q440)*IF(입력란!C$15=1,1.04,IF(입력란!C$15=2,1.1,IF(입력란!C$15=3,1.2,1)))*IF(입력란!$C$17&lt;&gt;0,0.98,1)*IF(입력란!$C$12=1,IF(G440="생명50%이하",1.2,1.1),1)*IF(입력란!$C$12=2,IF(G440="생명50%이하",1.3,1.1),1)*IF(입력란!$C$12=3,IF(G440="생명50%이하",1.4,1.1),1)</f>
        <v>467927.05624691478</v>
      </c>
      <c r="J440" s="25">
        <f>S440*(1+IF($AK440+IF(입력란!$C$19=1,10,0)+IF(MID(E440,3,1)="1",트라이포드!$J$23,0)&gt;100,100,$AK440+IF(입력란!$C$19=1,10,0)+IF(MID(E440,3,1)="1",트라이포드!$J$23,0))/100*($AL440/100-1))</f>
        <v>409749.90574794862</v>
      </c>
      <c r="K440" s="38"/>
      <c r="L440" s="38"/>
      <c r="M440" s="38"/>
      <c r="N440" s="38"/>
      <c r="O440" s="38"/>
      <c r="P440" s="38"/>
      <c r="Q440" s="34">
        <f>Z440*(1+IF($AK440+IF(입력란!$C$19=1,10,0)&gt;100,100,$AK440+IF(입력란!$C$19=1,10,0))/100*($AL440/100-1))</f>
        <v>58177.150498966148</v>
      </c>
      <c r="R440" s="23">
        <f>SUM(S440:Z440)</f>
        <v>285273.96780748287</v>
      </c>
      <c r="S440" s="25">
        <f>AN440*IF(MID(E440,3,1)="3",IF(G440="생명50%이하",트라이포드!$N$23,트라이포드!$M$23),1)*IF(MID(E440,5,1)="2",트라이포드!$R$23,트라이포드!$Q$23)*(1+입력란!$C$34/100)</f>
        <v>237728.30650623571</v>
      </c>
      <c r="T440" s="38"/>
      <c r="U440" s="38"/>
      <c r="V440" s="38"/>
      <c r="W440" s="38"/>
      <c r="X440" s="38"/>
      <c r="Y440" s="38"/>
      <c r="Z440" s="24">
        <f>AN440*IF(MID(E440,1,1)="1",트라이포드!$D$23,트라이포드!$C$23)*(1+입력란!$C$34/100)</f>
        <v>47545.661301247143</v>
      </c>
      <c r="AA440" s="29">
        <f>SUM(AB440:AI440)</f>
        <v>570547.93561496574</v>
      </c>
      <c r="AB440" s="29">
        <f>S440*2</f>
        <v>475456.61301247141</v>
      </c>
      <c r="AC440" s="38"/>
      <c r="AD440" s="38"/>
      <c r="AE440" s="38"/>
      <c r="AF440" s="38"/>
      <c r="AG440" s="38"/>
      <c r="AH440" s="38"/>
      <c r="AI440" s="24">
        <f>Z440*2</f>
        <v>95091.322602494285</v>
      </c>
      <c r="AJ440" s="29">
        <f>AR440*(1-입력란!$C$29/100)</f>
        <v>28.731215018700002</v>
      </c>
      <c r="AK44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0" s="25">
        <f>입력란!$C$37+IF(입력란!$C$17=1,10,IF(입력란!$C$17=2,25,IF(입력란!$C$17=3,50,0)))</f>
        <v>200</v>
      </c>
      <c r="AM440" s="25">
        <f>SUM(AN440:AP440)</f>
        <v>180292.7536256873</v>
      </c>
      <c r="AN440" s="29">
        <f>(VLOOKUP(C440,$B$4:$AKJ$7,31,FALSE)+VLOOKUP(C440,$B$8:$AK$11,31,FALSE)*입력란!$C$23)*입력란!$C$38/100</f>
        <v>180292.7536256873</v>
      </c>
      <c r="AO440" s="38"/>
      <c r="AP440" s="38"/>
      <c r="AQ440" s="38"/>
      <c r="AR440" s="12">
        <v>30</v>
      </c>
    </row>
    <row r="441" spans="2:44" ht="13.5" customHeight="1" x14ac:dyDescent="0.3">
      <c r="B441" s="30">
        <v>426</v>
      </c>
      <c r="C441" s="8">
        <v>7</v>
      </c>
      <c r="D441" s="43" t="s">
        <v>217</v>
      </c>
      <c r="E441" s="37" t="s">
        <v>198</v>
      </c>
      <c r="F441" s="39"/>
      <c r="G441" s="39"/>
      <c r="H441" s="80">
        <f>I441/AJ441</f>
        <v>14261.488958307498</v>
      </c>
      <c r="I441" s="52">
        <f>SUM(J441:Q441)*IF(입력란!C$15=1,1.04,IF(입력란!C$15=2,1.1,IF(입력란!C$15=3,1.2,1)))*IF(입력란!$C$17&lt;&gt;0,0.98,1)*IF(입력란!$C$12=1,IF(G441="생명50%이하",1.2,1.1),1)*IF(입력란!$C$12=2,IF(G441="생명50%이하",1.3,1.1),1)*IF(입력란!$C$12=3,IF(G441="생명50%이하",1.4,1.1),1)</f>
        <v>409749.90574794862</v>
      </c>
      <c r="J441" s="25">
        <f>S441*(1+IF($AK441+IF(입력란!$C$19=1,10,0)+IF(MID(E441,3,1)="1",트라이포드!$J$23,0)&gt;100,100,$AK441+IF(입력란!$C$19=1,10,0)+IF(MID(E441,3,1)="1",트라이포드!$J$23,0))/100*($AL441/100-1))</f>
        <v>409749.90574794862</v>
      </c>
      <c r="K441" s="38"/>
      <c r="L441" s="38"/>
      <c r="M441" s="38"/>
      <c r="N441" s="38"/>
      <c r="O441" s="38"/>
      <c r="P441" s="38"/>
      <c r="Q441" s="34">
        <f>Z441*(1+IF($AK441+IF(입력란!$C$19=1,10,0)&gt;100,100,$AK441+IF(입력란!$C$19=1,10,0))/100*($AL441/100-1))</f>
        <v>0</v>
      </c>
      <c r="R441" s="23">
        <f>SUM(S441:Z441)</f>
        <v>237728.30650623571</v>
      </c>
      <c r="S441" s="25">
        <f>AN441*IF(MID(E441,3,1)="3",IF(G441="생명50%이하",트라이포드!$N$23,트라이포드!$M$23),1)*IF(MID(E441,5,1)="2",트라이포드!$R$23,트라이포드!$Q$23)*(1+입력란!$C$34/100)</f>
        <v>237728.30650623571</v>
      </c>
      <c r="T441" s="38"/>
      <c r="U441" s="38"/>
      <c r="V441" s="38"/>
      <c r="W441" s="38"/>
      <c r="X441" s="38"/>
      <c r="Y441" s="38"/>
      <c r="Z441" s="24">
        <f>AN441*IF(MID(E441,1,1)="1",트라이포드!$D$23,트라이포드!$C$23)*(1+입력란!$C$34/100)</f>
        <v>0</v>
      </c>
      <c r="AA441" s="29">
        <f>SUM(AB441:AI441)</f>
        <v>475456.61301247141</v>
      </c>
      <c r="AB441" s="29">
        <f>S441*2</f>
        <v>475456.61301247141</v>
      </c>
      <c r="AC441" s="38"/>
      <c r="AD441" s="38"/>
      <c r="AE441" s="38"/>
      <c r="AF441" s="38"/>
      <c r="AG441" s="38"/>
      <c r="AH441" s="38"/>
      <c r="AI441" s="24">
        <f>Z441*2</f>
        <v>0</v>
      </c>
      <c r="AJ441" s="29">
        <f>AR441*(1-입력란!$C$29/100)</f>
        <v>28.731215018700002</v>
      </c>
      <c r="AK44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1" s="25">
        <f>입력란!$C$37+IF(입력란!$C$17=1,10,IF(입력란!$C$17=2,25,IF(입력란!$C$17=3,50,0)))</f>
        <v>200</v>
      </c>
      <c r="AM441" s="25">
        <f>SUM(AN441:AP441)</f>
        <v>180292.7536256873</v>
      </c>
      <c r="AN441" s="29">
        <f>(VLOOKUP(C441,$B$4:$AKJ$7,31,FALSE)+VLOOKUP(C441,$B$8:$AK$11,31,FALSE)*입력란!$C$23)*입력란!$C$38/100</f>
        <v>180292.7536256873</v>
      </c>
      <c r="AO441" s="38"/>
      <c r="AP441" s="38"/>
      <c r="AQ441" s="38"/>
      <c r="AR441" s="12">
        <v>30</v>
      </c>
    </row>
    <row r="442" spans="2:44" ht="13.5" customHeight="1" x14ac:dyDescent="0.3">
      <c r="B442" s="30">
        <v>427</v>
      </c>
      <c r="C442" s="8">
        <v>7</v>
      </c>
      <c r="D442" s="43" t="s">
        <v>36</v>
      </c>
      <c r="E442" s="37" t="s">
        <v>290</v>
      </c>
      <c r="F442" s="39"/>
      <c r="G442" s="39"/>
      <c r="H442" s="80">
        <f>I442/AJ442</f>
        <v>12149.256575700185</v>
      </c>
      <c r="I442" s="52">
        <f>SUM(J442:Q442)*IF(입력란!C$15=1,1.04,IF(입력란!C$15=2,1.1,IF(입력란!C$15=3,1.2,1)))*IF(입력란!$C$17&lt;&gt;0,0.98,1)*IF(입력란!$C$12=1,IF(G442="생명50%이하",1.2,1.1),1)*IF(입력란!$C$12=2,IF(G442="생명50%이하",1.3,1.1),1)*IF(입력란!$C$12=3,IF(G442="생명50%이하",1.4,1.1),1)</f>
        <v>349062.90299379692</v>
      </c>
      <c r="J442" s="25">
        <f>S442*(1+IF($AK442+IF(입력란!$C$19=1,10,0)+IF(MID(E442,3,1)="1",트라이포드!$J$23,0)&gt;100,100,$AK442+IF(입력란!$C$19=1,10,0)+IF(MID(E442,3,1)="1",트라이포드!$J$23,0))/100*($AL442/100-1))</f>
        <v>290885.75249483075</v>
      </c>
      <c r="K442" s="38"/>
      <c r="L442" s="38"/>
      <c r="M442" s="38"/>
      <c r="N442" s="38"/>
      <c r="O442" s="38"/>
      <c r="P442" s="38"/>
      <c r="Q442" s="34">
        <f>Z442*(1+IF($AK442+IF(입력란!$C$19=1,10,0)&gt;100,100,$AK442+IF(입력란!$C$19=1,10,0))/100*($AL442/100-1))</f>
        <v>58177.150498966148</v>
      </c>
      <c r="R442" s="23">
        <f>SUM(S442:Z442)</f>
        <v>285273.96780748287</v>
      </c>
      <c r="S442" s="25">
        <f>AN442*IF(MID(E442,3,1)="3",IF(G442="생명50%이하",트라이포드!$N$23,트라이포드!$M$23),1)*IF(MID(E442,5,1)="2",트라이포드!$R$23,트라이포드!$Q$23)*(1+입력란!$C$34/100)</f>
        <v>237728.30650623571</v>
      </c>
      <c r="T442" s="38"/>
      <c r="U442" s="38"/>
      <c r="V442" s="38"/>
      <c r="W442" s="38"/>
      <c r="X442" s="38"/>
      <c r="Y442" s="38"/>
      <c r="Z442" s="24">
        <f>AN442*IF(MID(E442,1,1)="1",트라이포드!$D$23,트라이포드!$C$23)*(1+입력란!$C$34/100)</f>
        <v>47545.661301247143</v>
      </c>
      <c r="AA442" s="29">
        <f>SUM(AB442:AI442)</f>
        <v>570547.93561496574</v>
      </c>
      <c r="AB442" s="29">
        <f>S442*2</f>
        <v>475456.61301247141</v>
      </c>
      <c r="AC442" s="38"/>
      <c r="AD442" s="38"/>
      <c r="AE442" s="38"/>
      <c r="AF442" s="38"/>
      <c r="AG442" s="38"/>
      <c r="AH442" s="38"/>
      <c r="AI442" s="24">
        <f>Z442*2</f>
        <v>95091.322602494285</v>
      </c>
      <c r="AJ442" s="29">
        <f>AR442*(1-입력란!$C$29/100)</f>
        <v>28.731215018700002</v>
      </c>
      <c r="AK44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2" s="25">
        <f>입력란!$C$37+IF(입력란!$C$17=1,10,IF(입력란!$C$17=2,25,IF(입력란!$C$17=3,50,0)))</f>
        <v>200</v>
      </c>
      <c r="AM442" s="25">
        <f>SUM(AN442:AP442)</f>
        <v>180292.7536256873</v>
      </c>
      <c r="AN442" s="29">
        <f>(VLOOKUP(C442,$B$4:$AKJ$7,31,FALSE)+VLOOKUP(C442,$B$8:$AK$11,31,FALSE)*입력란!$C$23)*입력란!$C$38/100</f>
        <v>180292.7536256873</v>
      </c>
      <c r="AO442" s="38"/>
      <c r="AP442" s="38"/>
      <c r="AQ442" s="38"/>
      <c r="AR442" s="12">
        <v>30</v>
      </c>
    </row>
    <row r="443" spans="2:44" ht="13.5" customHeight="1" x14ac:dyDescent="0.3">
      <c r="B443" s="30">
        <v>428</v>
      </c>
      <c r="C443" s="8">
        <v>7</v>
      </c>
      <c r="D443" s="43" t="s">
        <v>36</v>
      </c>
      <c r="E443" s="37" t="s">
        <v>315</v>
      </c>
      <c r="F443" s="39"/>
      <c r="G443" s="39"/>
      <c r="H443" s="80">
        <f>I443/AJ443</f>
        <v>12149.256575700185</v>
      </c>
      <c r="I443" s="52">
        <f>SUM(J443:Q443)*IF(입력란!C$15=1,1.04,IF(입력란!C$15=2,1.1,IF(입력란!C$15=3,1.2,1)))*IF(입력란!$C$17&lt;&gt;0,0.98,1)*IF(입력란!$C$12=1,IF(G443="생명50%이하",1.2,1.1),1)*IF(입력란!$C$12=2,IF(G443="생명50%이하",1.3,1.1),1)*IF(입력란!$C$12=3,IF(G443="생명50%이하",1.4,1.1),1)</f>
        <v>349062.90299379692</v>
      </c>
      <c r="J443" s="25">
        <f>S443*(1+IF($AK443+IF(입력란!$C$19=1,10,0)+IF(MID(E443,3,1)="1",트라이포드!$J$23,0)&gt;100,100,$AK443+IF(입력란!$C$19=1,10,0)+IF(MID(E443,3,1)="1",트라이포드!$J$23,0))/100*($AL443/100-1))</f>
        <v>290885.75249483075</v>
      </c>
      <c r="K443" s="38"/>
      <c r="L443" s="38"/>
      <c r="M443" s="38"/>
      <c r="N443" s="38"/>
      <c r="O443" s="38"/>
      <c r="P443" s="38"/>
      <c r="Q443" s="34">
        <f>Z443*(1+IF($AK443+IF(입력란!$C$19=1,10,0)&gt;100,100,$AK443+IF(입력란!$C$19=1,10,0))/100*($AL443/100-1))</f>
        <v>58177.150498966148</v>
      </c>
      <c r="R443" s="23">
        <f>SUM(S443:Z443)</f>
        <v>285273.96780748287</v>
      </c>
      <c r="S443" s="25">
        <f>AN443*IF(MID(E443,3,1)="3",IF(G443="생명50%이하",트라이포드!$N$23,트라이포드!$M$23),1)*IF(MID(E443,5,1)="2",트라이포드!$R$23,트라이포드!$Q$23)*(1+입력란!$C$34/100)</f>
        <v>237728.30650623571</v>
      </c>
      <c r="T443" s="38"/>
      <c r="U443" s="38"/>
      <c r="V443" s="38"/>
      <c r="W443" s="38"/>
      <c r="X443" s="38"/>
      <c r="Y443" s="38"/>
      <c r="Z443" s="24">
        <f>AN443*IF(MID(E443,1,1)="1",트라이포드!$D$23,트라이포드!$C$23)*(1+입력란!$C$34/100)</f>
        <v>47545.661301247143</v>
      </c>
      <c r="AA443" s="29">
        <f>SUM(AB443:AI443)</f>
        <v>570547.93561496574</v>
      </c>
      <c r="AB443" s="29">
        <f>S443*2</f>
        <v>475456.61301247141</v>
      </c>
      <c r="AC443" s="38"/>
      <c r="AD443" s="38"/>
      <c r="AE443" s="38"/>
      <c r="AF443" s="38"/>
      <c r="AG443" s="38"/>
      <c r="AH443" s="38"/>
      <c r="AI443" s="24">
        <f>Z443*2</f>
        <v>95091.322602494285</v>
      </c>
      <c r="AJ443" s="29">
        <f>AR443*(1-입력란!$C$29/100)</f>
        <v>28.731215018700002</v>
      </c>
      <c r="AK44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3" s="25">
        <f>입력란!$C$37+IF(입력란!$C$17=1,10,IF(입력란!$C$17=2,25,IF(입력란!$C$17=3,50,0)))</f>
        <v>200</v>
      </c>
      <c r="AM443" s="25">
        <f>SUM(AN443:AP443)</f>
        <v>180292.7536256873</v>
      </c>
      <c r="AN443" s="29">
        <f>(VLOOKUP(C443,$B$4:$AKJ$7,31,FALSE)+VLOOKUP(C443,$B$8:$AK$11,31,FALSE)*입력란!$C$23)*입력란!$C$38/100</f>
        <v>180292.7536256873</v>
      </c>
      <c r="AO443" s="38"/>
      <c r="AP443" s="38"/>
      <c r="AQ443" s="38"/>
      <c r="AR443" s="12">
        <v>30</v>
      </c>
    </row>
    <row r="444" spans="2:44" ht="13.5" customHeight="1" x14ac:dyDescent="0.3">
      <c r="B444" s="30">
        <v>429</v>
      </c>
      <c r="C444" s="8">
        <v>7</v>
      </c>
      <c r="D444" s="43" t="s">
        <v>217</v>
      </c>
      <c r="E444" s="37" t="s">
        <v>218</v>
      </c>
      <c r="F444" s="39"/>
      <c r="G444" s="39"/>
      <c r="H444" s="80">
        <f>I444/AJ444</f>
        <v>10124.380479750154</v>
      </c>
      <c r="I444" s="52">
        <f>SUM(J444:Q444)*IF(입력란!C$15=1,1.04,IF(입력란!C$15=2,1.1,IF(입력란!C$15=3,1.2,1)))*IF(입력란!$C$17&lt;&gt;0,0.98,1)*IF(입력란!$C$12=1,IF(G444="생명50%이하",1.2,1.1),1)*IF(입력란!$C$12=2,IF(G444="생명50%이하",1.3,1.1),1)*IF(입력란!$C$12=3,IF(G444="생명50%이하",1.4,1.1),1)</f>
        <v>290885.75249483075</v>
      </c>
      <c r="J444" s="25">
        <f>S444*(1+IF($AK444+IF(입력란!$C$19=1,10,0)+IF(MID(E444,3,1)="1",트라이포드!$J$23,0)&gt;100,100,$AK444+IF(입력란!$C$19=1,10,0)+IF(MID(E444,3,1)="1",트라이포드!$J$23,0))/100*($AL444/100-1))</f>
        <v>290885.75249483075</v>
      </c>
      <c r="K444" s="38"/>
      <c r="L444" s="38"/>
      <c r="M444" s="38"/>
      <c r="N444" s="38"/>
      <c r="O444" s="38"/>
      <c r="P444" s="38"/>
      <c r="Q444" s="34">
        <f>Z444*(1+IF($AK444+IF(입력란!$C$19=1,10,0)&gt;100,100,$AK444+IF(입력란!$C$19=1,10,0))/100*($AL444/100-1))</f>
        <v>0</v>
      </c>
      <c r="R444" s="23">
        <f>SUM(S444:Z444)</f>
        <v>237728.30650623571</v>
      </c>
      <c r="S444" s="25">
        <f>AN444*IF(MID(E444,3,1)="3",IF(G444="생명50%이하",트라이포드!$N$23,트라이포드!$M$23),1)*IF(MID(E444,5,1)="2",트라이포드!$R$23,트라이포드!$Q$23)*(1+입력란!$C$34/100)</f>
        <v>237728.30650623571</v>
      </c>
      <c r="T444" s="38"/>
      <c r="U444" s="38"/>
      <c r="V444" s="38"/>
      <c r="W444" s="38"/>
      <c r="X444" s="38"/>
      <c r="Y444" s="38"/>
      <c r="Z444" s="24">
        <f>AN444*IF(MID(E444,1,1)="1",트라이포드!$D$23,트라이포드!$C$23)*(1+입력란!$C$34/100)</f>
        <v>0</v>
      </c>
      <c r="AA444" s="29">
        <f>SUM(AB444:AI444)</f>
        <v>475456.61301247141</v>
      </c>
      <c r="AB444" s="29">
        <f>S444*2</f>
        <v>475456.61301247141</v>
      </c>
      <c r="AC444" s="38"/>
      <c r="AD444" s="38"/>
      <c r="AE444" s="38"/>
      <c r="AF444" s="38"/>
      <c r="AG444" s="38"/>
      <c r="AH444" s="38"/>
      <c r="AI444" s="24">
        <f>Z444*2</f>
        <v>0</v>
      </c>
      <c r="AJ444" s="29">
        <f>AR444*(1-입력란!$C$29/100)</f>
        <v>28.731215018700002</v>
      </c>
      <c r="AK44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4" s="25">
        <f>입력란!$C$37+IF(입력란!$C$17=1,10,IF(입력란!$C$17=2,25,IF(입력란!$C$17=3,50,0)))</f>
        <v>200</v>
      </c>
      <c r="AM444" s="25">
        <f>SUM(AN444:AP444)</f>
        <v>180292.7536256873</v>
      </c>
      <c r="AN444" s="29">
        <f>(VLOOKUP(C444,$B$4:$AKJ$7,31,FALSE)+VLOOKUP(C444,$B$8:$AK$11,31,FALSE)*입력란!$C$23)*입력란!$C$38/100</f>
        <v>180292.7536256873</v>
      </c>
      <c r="AO444" s="38"/>
      <c r="AP444" s="38"/>
      <c r="AQ444" s="38"/>
      <c r="AR444" s="12">
        <v>30</v>
      </c>
    </row>
    <row r="445" spans="2:44" ht="13.5" customHeight="1" x14ac:dyDescent="0.3">
      <c r="B445" s="30">
        <v>430</v>
      </c>
      <c r="C445" s="8">
        <v>10</v>
      </c>
      <c r="D445" s="43" t="s">
        <v>217</v>
      </c>
      <c r="E445" s="37" t="s">
        <v>196</v>
      </c>
      <c r="F445" s="39"/>
      <c r="G445" s="39"/>
      <c r="H445" s="80">
        <f>I445/AJ445</f>
        <v>10136.71216756701</v>
      </c>
      <c r="I445" s="52">
        <f>SUM(J445:Q445)*IF(입력란!C$15=1,1.04,IF(입력란!C$15=2,1.1,IF(입력란!C$15=3,1.2,1)))*IF(입력란!$C$17&lt;&gt;0,0.98,1)*IF(입력란!$C$12=1,IF(G445="생명50%이하",1.2,1.1),1)*IF(입력란!$C$12=2,IF(G445="생명50%이하",1.3,1.1),1)*IF(입력란!$C$12=3,IF(G445="생명50%이하",1.4,1.1),1)</f>
        <v>291240.0568690403</v>
      </c>
      <c r="J445" s="25">
        <f>S445*(1+IF($AK445+IF(입력란!$C$19=1,10,0)+IF(MID(E445,3,1)="1",트라이포드!$J$23,0)&gt;100,100,$AK445+IF(입력란!$C$19=1,10,0)+IF(MID(E445,3,1)="1",트라이포드!$J$23,0))/100*($AL445/100-1))</f>
        <v>291240.0568690403</v>
      </c>
      <c r="K445" s="38"/>
      <c r="L445" s="38"/>
      <c r="M445" s="38"/>
      <c r="N445" s="38"/>
      <c r="O445" s="38"/>
      <c r="P445" s="38"/>
      <c r="Q445" s="34">
        <f>Z445*(1+IF($AK445+IF(입력란!$C$19=1,10,0)&gt;100,100,$AK445+IF(입력란!$C$19=1,10,0))/100*($AL445/100-1))</f>
        <v>0</v>
      </c>
      <c r="R445" s="23">
        <f>SUM(S445:Z445)</f>
        <v>238017.86410108587</v>
      </c>
      <c r="S445" s="25">
        <f>AN445*IF(MID(E445,3,1)="3",IF(G445="생명50%이하",트라이포드!$N$23,트라이포드!$M$23),1)*IF(MID(E445,5,1)="2",트라이포드!$R$23,트라이포드!$Q$23)*(1+입력란!$C$34/100)</f>
        <v>238017.86410108587</v>
      </c>
      <c r="T445" s="38"/>
      <c r="U445" s="38"/>
      <c r="V445" s="38"/>
      <c r="W445" s="38"/>
      <c r="X445" s="38"/>
      <c r="Y445" s="38"/>
      <c r="Z445" s="24">
        <f>AN445*IF(MID(E445,1,1)="1",트라이포드!$D$23,트라이포드!$C$23)*(1+입력란!$C$34/100)</f>
        <v>0</v>
      </c>
      <c r="AA445" s="29">
        <f>SUM(AB445:AI445)</f>
        <v>476035.72820217174</v>
      </c>
      <c r="AB445" s="29">
        <f>S445*2</f>
        <v>476035.72820217174</v>
      </c>
      <c r="AC445" s="38"/>
      <c r="AD445" s="38"/>
      <c r="AE445" s="38"/>
      <c r="AF445" s="38"/>
      <c r="AG445" s="38"/>
      <c r="AH445" s="38"/>
      <c r="AI445" s="24">
        <f>Z445*2</f>
        <v>0</v>
      </c>
      <c r="AJ445" s="29">
        <f>AR445*(1-입력란!$C$29/100)</f>
        <v>28.731215018700002</v>
      </c>
      <c r="AK44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5" s="25">
        <f>입력란!$C$37+IF(입력란!$C$17=1,10,IF(입력란!$C$17=2,25,IF(입력란!$C$17=3,50,0)))</f>
        <v>200</v>
      </c>
      <c r="AM445" s="25">
        <f>SUM(AN445:AP445)</f>
        <v>180512.35362568728</v>
      </c>
      <c r="AN445" s="29">
        <f>(VLOOKUP(C445,$B$4:$AKJ$7,31,FALSE)+VLOOKUP(C445,$B$8:$AK$11,31,FALSE)*입력란!$C$23)*입력란!$C$38/100</f>
        <v>180512.35362568728</v>
      </c>
      <c r="AO445" s="38"/>
      <c r="AP445" s="38"/>
      <c r="AQ445" s="38"/>
      <c r="AR445" s="12">
        <v>30</v>
      </c>
    </row>
    <row r="446" spans="2:44" ht="13.5" customHeight="1" x14ac:dyDescent="0.3">
      <c r="B446" s="30">
        <v>431</v>
      </c>
      <c r="C446" s="8">
        <v>10</v>
      </c>
      <c r="D446" s="43" t="s">
        <v>36</v>
      </c>
      <c r="E446" s="37" t="s">
        <v>321</v>
      </c>
      <c r="F446" s="39"/>
      <c r="G446" s="39"/>
      <c r="H446" s="80">
        <f>I446/AJ446</f>
        <v>17232.410684863909</v>
      </c>
      <c r="I446" s="52">
        <f>SUM(J446:Q446)*IF(입력란!C$15=1,1.04,IF(입력란!C$15=2,1.1,IF(입력란!C$15=3,1.2,1)))*IF(입력란!$C$17&lt;&gt;0,0.98,1)*IF(입력란!$C$12=1,IF(G446="생명50%이하",1.2,1.1),1)*IF(입력란!$C$12=2,IF(G446="생명50%이하",1.3,1.1),1)*IF(입력란!$C$12=3,IF(G446="생명50%이하",1.4,1.1),1)</f>
        <v>495108.09667736839</v>
      </c>
      <c r="J446" s="25">
        <f>S446*(1+IF($AK446+IF(입력란!$C$19=1,10,0)+IF(MID(E446,3,1)="1",트라이포드!$J$23,0)&gt;100,100,$AK446+IF(입력란!$C$19=1,10,0)+IF(MID(E446,3,1)="1",트라이포드!$J$23,0))/100*($AL446/100-1))</f>
        <v>436860.08530356036</v>
      </c>
      <c r="K446" s="38"/>
      <c r="L446" s="38"/>
      <c r="M446" s="38"/>
      <c r="N446" s="38"/>
      <c r="O446" s="38"/>
      <c r="P446" s="38"/>
      <c r="Q446" s="34">
        <f>Z446*(1+IF($AK446+IF(입력란!$C$19=1,10,0)&gt;100,100,$AK446+IF(입력란!$C$19=1,10,0))/100*($AL446/100-1))</f>
        <v>58248.011373808054</v>
      </c>
      <c r="R446" s="23">
        <f>SUM(S446:Z446)</f>
        <v>404630.36897184595</v>
      </c>
      <c r="S446" s="25">
        <f>AN446*IF(MID(E446,3,1)="3",IF(G446="생명50%이하",트라이포드!$N$23,트라이포드!$M$23),1)*IF(MID(E446,5,1)="2",트라이포드!$R$23,트라이포드!$Q$23)*(1+입력란!$C$34/100)</f>
        <v>357026.79615162878</v>
      </c>
      <c r="T446" s="38"/>
      <c r="U446" s="38"/>
      <c r="V446" s="38"/>
      <c r="W446" s="38"/>
      <c r="X446" s="38"/>
      <c r="Y446" s="38"/>
      <c r="Z446" s="24">
        <f>AN446*IF(MID(E446,1,1)="1",트라이포드!$D$23,트라이포드!$C$23)*(1+입력란!$C$34/100)</f>
        <v>47603.572820217174</v>
      </c>
      <c r="AA446" s="29">
        <f>SUM(AB446:AI446)</f>
        <v>809260.7379436919</v>
      </c>
      <c r="AB446" s="29">
        <f>S446*2</f>
        <v>714053.59230325755</v>
      </c>
      <c r="AC446" s="38"/>
      <c r="AD446" s="38"/>
      <c r="AE446" s="38"/>
      <c r="AF446" s="38"/>
      <c r="AG446" s="38"/>
      <c r="AH446" s="38"/>
      <c r="AI446" s="24">
        <f>Z446*2</f>
        <v>95207.145640434348</v>
      </c>
      <c r="AJ446" s="29">
        <f>AR446*(1-입력란!$C$29/100)</f>
        <v>28.731215018700002</v>
      </c>
      <c r="AK44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6" s="25">
        <f>입력란!$C$37+IF(입력란!$C$17=1,10,IF(입력란!$C$17=2,25,IF(입력란!$C$17=3,50,0)))</f>
        <v>200</v>
      </c>
      <c r="AM446" s="25">
        <f>SUM(AN446:AP446)</f>
        <v>180512.35362568728</v>
      </c>
      <c r="AN446" s="29">
        <f>(VLOOKUP(C446,$B$4:$AKJ$7,31,FALSE)+VLOOKUP(C446,$B$8:$AK$11,31,FALSE)*입력란!$C$23)*입력란!$C$38/100</f>
        <v>180512.35362568728</v>
      </c>
      <c r="AO446" s="38"/>
      <c r="AP446" s="38"/>
      <c r="AQ446" s="38"/>
      <c r="AR446" s="12">
        <v>30</v>
      </c>
    </row>
    <row r="447" spans="2:44" ht="13.5" customHeight="1" x14ac:dyDescent="0.3">
      <c r="B447" s="30">
        <v>432</v>
      </c>
      <c r="C447" s="8">
        <v>10</v>
      </c>
      <c r="D447" s="43" t="s">
        <v>217</v>
      </c>
      <c r="E447" s="37" t="s">
        <v>204</v>
      </c>
      <c r="F447" s="39"/>
      <c r="G447" s="39"/>
      <c r="H447" s="80">
        <f>I447/AJ447</f>
        <v>15205.068251350511</v>
      </c>
      <c r="I447" s="52">
        <f>SUM(J447:Q447)*IF(입력란!C$15=1,1.04,IF(입력란!C$15=2,1.1,IF(입력란!C$15=3,1.2,1)))*IF(입력란!$C$17&lt;&gt;0,0.98,1)*IF(입력란!$C$12=1,IF(G447="생명50%이하",1.2,1.1),1)*IF(입력란!$C$12=2,IF(G447="생명50%이하",1.3,1.1),1)*IF(입력란!$C$12=3,IF(G447="생명50%이하",1.4,1.1),1)</f>
        <v>436860.08530356036</v>
      </c>
      <c r="J447" s="25">
        <f>S447*(1+IF($AK447+IF(입력란!$C$19=1,10,0)+IF(MID(E447,3,1)="1",트라이포드!$J$23,0)&gt;100,100,$AK447+IF(입력란!$C$19=1,10,0)+IF(MID(E447,3,1)="1",트라이포드!$J$23,0))/100*($AL447/100-1))</f>
        <v>436860.08530356036</v>
      </c>
      <c r="K447" s="38"/>
      <c r="L447" s="38"/>
      <c r="M447" s="38"/>
      <c r="N447" s="38"/>
      <c r="O447" s="38"/>
      <c r="P447" s="38"/>
      <c r="Q447" s="34">
        <f>Z447*(1+IF($AK447+IF(입력란!$C$19=1,10,0)&gt;100,100,$AK447+IF(입력란!$C$19=1,10,0))/100*($AL447/100-1))</f>
        <v>0</v>
      </c>
      <c r="R447" s="23">
        <f>SUM(S447:Z447)</f>
        <v>357026.79615162878</v>
      </c>
      <c r="S447" s="25">
        <f>AN447*IF(MID(E447,3,1)="3",IF(G447="생명50%이하",트라이포드!$N$23,트라이포드!$M$23),1)*IF(MID(E447,5,1)="2",트라이포드!$R$23,트라이포드!$Q$23)*(1+입력란!$C$34/100)</f>
        <v>357026.79615162878</v>
      </c>
      <c r="T447" s="38"/>
      <c r="U447" s="38"/>
      <c r="V447" s="38"/>
      <c r="W447" s="38"/>
      <c r="X447" s="38"/>
      <c r="Y447" s="38"/>
      <c r="Z447" s="24">
        <f>AN447*IF(MID(E447,1,1)="1",트라이포드!$D$23,트라이포드!$C$23)*(1+입력란!$C$34/100)</f>
        <v>0</v>
      </c>
      <c r="AA447" s="29">
        <f>SUM(AB447:AI447)</f>
        <v>714053.59230325755</v>
      </c>
      <c r="AB447" s="29">
        <f>S447*2</f>
        <v>714053.59230325755</v>
      </c>
      <c r="AC447" s="38"/>
      <c r="AD447" s="38"/>
      <c r="AE447" s="38"/>
      <c r="AF447" s="38"/>
      <c r="AG447" s="38"/>
      <c r="AH447" s="38"/>
      <c r="AI447" s="24">
        <f>Z447*2</f>
        <v>0</v>
      </c>
      <c r="AJ447" s="29">
        <f>AR447*(1-입력란!$C$29/100)</f>
        <v>28.731215018700002</v>
      </c>
      <c r="AK44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7" s="25">
        <f>입력란!$C$37+IF(입력란!$C$17=1,10,IF(입력란!$C$17=2,25,IF(입력란!$C$17=3,50,0)))</f>
        <v>200</v>
      </c>
      <c r="AM447" s="25">
        <f>SUM(AN447:AP447)</f>
        <v>180512.35362568728</v>
      </c>
      <c r="AN447" s="29">
        <f>(VLOOKUP(C447,$B$4:$AKJ$7,31,FALSE)+VLOOKUP(C447,$B$8:$AK$11,31,FALSE)*입력란!$C$23)*입력란!$C$38/100</f>
        <v>180512.35362568728</v>
      </c>
      <c r="AO447" s="38"/>
      <c r="AP447" s="38"/>
      <c r="AQ447" s="38"/>
      <c r="AR447" s="12">
        <v>30</v>
      </c>
    </row>
    <row r="448" spans="2:44" ht="13.5" customHeight="1" x14ac:dyDescent="0.3">
      <c r="B448" s="30">
        <v>433</v>
      </c>
      <c r="C448" s="8">
        <v>10</v>
      </c>
      <c r="D448" s="43" t="s">
        <v>36</v>
      </c>
      <c r="E448" s="37" t="s">
        <v>148</v>
      </c>
      <c r="F448" s="39"/>
      <c r="G448" s="39"/>
      <c r="H448" s="80">
        <f>I448/AJ448</f>
        <v>23445.632017815795</v>
      </c>
      <c r="I448" s="52">
        <f>SUM(J448:Q448)*IF(입력란!C$15=1,1.04,IF(입력란!C$15=2,1.1,IF(입력란!C$15=3,1.2,1)))*IF(입력란!$C$17&lt;&gt;0,0.98,1)*IF(입력란!$C$12=1,IF(G448="생명50%이하",1.2,1.1),1)*IF(입력란!$C$12=2,IF(G448="생명50%이하",1.3,1.1),1)*IF(입력란!$C$12=3,IF(G448="생명50%이하",1.4,1.1),1)</f>
        <v>673621.49475318275</v>
      </c>
      <c r="J448" s="25">
        <f>S448*(1+IF($AK448+IF(입력란!$C$19=1,10,0)+IF(MID(E448,3,1)="1",트라이포드!$J$23,0)&gt;100,100,$AK448+IF(입력란!$C$19=1,10,0)+IF(MID(E448,3,1)="1",트라이포드!$J$23,0))/100*($AL448/100-1))</f>
        <v>615373.48337937472</v>
      </c>
      <c r="K448" s="38"/>
      <c r="L448" s="38"/>
      <c r="M448" s="38"/>
      <c r="N448" s="38"/>
      <c r="O448" s="38"/>
      <c r="P448" s="38"/>
      <c r="Q448" s="34">
        <f>Z448*(1+IF($AK448+IF(입력란!$C$19=1,10,0)&gt;100,100,$AK448+IF(입력란!$C$19=1,10,0))/100*($AL448/100-1))</f>
        <v>58248.011373808054</v>
      </c>
      <c r="R448" s="23">
        <f>SUM(S448:Z448)</f>
        <v>404630.36897184595</v>
      </c>
      <c r="S448" s="25">
        <f>AN448*IF(MID(E448,3,1)="3",IF(G448="생명50%이하",트라이포드!$N$23,트라이포드!$M$23),1)*IF(MID(E448,5,1)="2",트라이포드!$R$23,트라이포드!$Q$23)*(1+입력란!$C$34/100)</f>
        <v>357026.79615162878</v>
      </c>
      <c r="T448" s="38"/>
      <c r="U448" s="38"/>
      <c r="V448" s="38"/>
      <c r="W448" s="38"/>
      <c r="X448" s="38"/>
      <c r="Y448" s="38"/>
      <c r="Z448" s="24">
        <f>AN448*IF(MID(E448,1,1)="1",트라이포드!$D$23,트라이포드!$C$23)*(1+입력란!$C$34/100)</f>
        <v>47603.572820217174</v>
      </c>
      <c r="AA448" s="29">
        <f>SUM(AB448:AI448)</f>
        <v>809260.7379436919</v>
      </c>
      <c r="AB448" s="29">
        <f>S448*2</f>
        <v>714053.59230325755</v>
      </c>
      <c r="AC448" s="38"/>
      <c r="AD448" s="38"/>
      <c r="AE448" s="38"/>
      <c r="AF448" s="38"/>
      <c r="AG448" s="38"/>
      <c r="AH448" s="38"/>
      <c r="AI448" s="24">
        <f>Z448*2</f>
        <v>95207.145640434348</v>
      </c>
      <c r="AJ448" s="29">
        <f>AR448*(1-입력란!$C$29/100)</f>
        <v>28.731215018700002</v>
      </c>
      <c r="AK44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8" s="25">
        <f>입력란!$C$37+IF(입력란!$C$17=1,10,IF(입력란!$C$17=2,25,IF(입력란!$C$17=3,50,0)))</f>
        <v>200</v>
      </c>
      <c r="AM448" s="25">
        <f>SUM(AN448:AP448)</f>
        <v>180512.35362568728</v>
      </c>
      <c r="AN448" s="29">
        <f>(VLOOKUP(C448,$B$4:$AKJ$7,31,FALSE)+VLOOKUP(C448,$B$8:$AK$11,31,FALSE)*입력란!$C$23)*입력란!$C$38/100</f>
        <v>180512.35362568728</v>
      </c>
      <c r="AO448" s="38"/>
      <c r="AP448" s="38"/>
      <c r="AQ448" s="38"/>
      <c r="AR448" s="12">
        <v>30</v>
      </c>
    </row>
    <row r="449" spans="2:44" ht="13.5" customHeight="1" x14ac:dyDescent="0.3">
      <c r="B449" s="30">
        <v>434</v>
      </c>
      <c r="C449" s="8">
        <v>10</v>
      </c>
      <c r="D449" s="43" t="s">
        <v>217</v>
      </c>
      <c r="E449" s="37" t="s">
        <v>213</v>
      </c>
      <c r="F449" s="39"/>
      <c r="G449" s="39"/>
      <c r="H449" s="80">
        <f>I449/AJ449</f>
        <v>21418.289584302391</v>
      </c>
      <c r="I449" s="52">
        <f>SUM(J449:Q449)*IF(입력란!C$15=1,1.04,IF(입력란!C$15=2,1.1,IF(입력란!C$15=3,1.2,1)))*IF(입력란!$C$17&lt;&gt;0,0.98,1)*IF(입력란!$C$12=1,IF(G449="생명50%이하",1.2,1.1),1)*IF(입력란!$C$12=2,IF(G449="생명50%이하",1.3,1.1),1)*IF(입력란!$C$12=3,IF(G449="생명50%이하",1.4,1.1),1)</f>
        <v>615373.48337937472</v>
      </c>
      <c r="J449" s="25">
        <f>S449*(1+IF($AK449+IF(입력란!$C$19=1,10,0)+IF(MID(E449,3,1)="1",트라이포드!$J$23,0)&gt;100,100,$AK449+IF(입력란!$C$19=1,10,0)+IF(MID(E449,3,1)="1",트라이포드!$J$23,0))/100*($AL449/100-1))</f>
        <v>615373.48337937472</v>
      </c>
      <c r="K449" s="38"/>
      <c r="L449" s="38"/>
      <c r="M449" s="38"/>
      <c r="N449" s="38"/>
      <c r="O449" s="38"/>
      <c r="P449" s="38"/>
      <c r="Q449" s="34">
        <f>Z449*(1+IF($AK449+IF(입력란!$C$19=1,10,0)&gt;100,100,$AK449+IF(입력란!$C$19=1,10,0))/100*($AL449/100-1))</f>
        <v>0</v>
      </c>
      <c r="R449" s="23">
        <f>SUM(S449:Z449)</f>
        <v>357026.79615162878</v>
      </c>
      <c r="S449" s="25">
        <f>AN449*IF(MID(E449,3,1)="3",IF(G449="생명50%이하",트라이포드!$N$23,트라이포드!$M$23),1)*IF(MID(E449,5,1)="2",트라이포드!$R$23,트라이포드!$Q$23)*(1+입력란!$C$34/100)</f>
        <v>357026.79615162878</v>
      </c>
      <c r="T449" s="38"/>
      <c r="U449" s="38"/>
      <c r="V449" s="38"/>
      <c r="W449" s="38"/>
      <c r="X449" s="38"/>
      <c r="Y449" s="38"/>
      <c r="Z449" s="24">
        <f>AN449*IF(MID(E449,1,1)="1",트라이포드!$D$23,트라이포드!$C$23)*(1+입력란!$C$34/100)</f>
        <v>0</v>
      </c>
      <c r="AA449" s="29">
        <f>SUM(AB449:AI449)</f>
        <v>714053.59230325755</v>
      </c>
      <c r="AB449" s="29">
        <f>S449*2</f>
        <v>714053.59230325755</v>
      </c>
      <c r="AC449" s="38"/>
      <c r="AD449" s="38"/>
      <c r="AE449" s="38"/>
      <c r="AF449" s="38"/>
      <c r="AG449" s="38"/>
      <c r="AH449" s="38"/>
      <c r="AI449" s="24">
        <f>Z449*2</f>
        <v>0</v>
      </c>
      <c r="AJ449" s="29">
        <f>AR449*(1-입력란!$C$29/100)</f>
        <v>28.731215018700002</v>
      </c>
      <c r="AK44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49" s="25">
        <f>입력란!$C$37+IF(입력란!$C$17=1,10,IF(입력란!$C$17=2,25,IF(입력란!$C$17=3,50,0)))</f>
        <v>200</v>
      </c>
      <c r="AM449" s="25">
        <f>SUM(AN449:AP449)</f>
        <v>180512.35362568728</v>
      </c>
      <c r="AN449" s="29">
        <f>(VLOOKUP(C449,$B$4:$AKJ$7,31,FALSE)+VLOOKUP(C449,$B$8:$AK$11,31,FALSE)*입력란!$C$23)*입력란!$C$38/100</f>
        <v>180512.35362568728</v>
      </c>
      <c r="AO449" s="38"/>
      <c r="AP449" s="38"/>
      <c r="AQ449" s="38"/>
      <c r="AR449" s="12">
        <v>30</v>
      </c>
    </row>
    <row r="450" spans="2:44" ht="13.5" customHeight="1" x14ac:dyDescent="0.3">
      <c r="B450" s="30">
        <v>435</v>
      </c>
      <c r="C450" s="8">
        <v>10</v>
      </c>
      <c r="D450" s="43" t="s">
        <v>36</v>
      </c>
      <c r="E450" s="37" t="s">
        <v>164</v>
      </c>
      <c r="F450" s="39"/>
      <c r="G450" s="39"/>
      <c r="H450" s="80">
        <f>I450/AJ450</f>
        <v>17232.410684863909</v>
      </c>
      <c r="I450" s="52">
        <f>SUM(J450:Q450)*IF(입력란!C$15=1,1.04,IF(입력란!C$15=2,1.1,IF(입력란!C$15=3,1.2,1)))*IF(입력란!$C$17&lt;&gt;0,0.98,1)*IF(입력란!$C$12=1,IF(G450="생명50%이하",1.2,1.1),1)*IF(입력란!$C$12=2,IF(G450="생명50%이하",1.3,1.1),1)*IF(입력란!$C$12=3,IF(G450="생명50%이하",1.4,1.1),1)</f>
        <v>495108.09667736839</v>
      </c>
      <c r="J450" s="25">
        <f>S450*(1+IF($AK450+IF(입력란!$C$19=1,10,0)+IF(MID(E450,3,1)="1",트라이포드!$J$23,0)&gt;100,100,$AK450+IF(입력란!$C$19=1,10,0)+IF(MID(E450,3,1)="1",트라이포드!$J$23,0))/100*($AL450/100-1))</f>
        <v>436860.08530356036</v>
      </c>
      <c r="K450" s="38"/>
      <c r="L450" s="38"/>
      <c r="M450" s="38"/>
      <c r="N450" s="38"/>
      <c r="O450" s="38"/>
      <c r="P450" s="38"/>
      <c r="Q450" s="34">
        <f>Z450*(1+IF($AK450+IF(입력란!$C$19=1,10,0)&gt;100,100,$AK450+IF(입력란!$C$19=1,10,0))/100*($AL450/100-1))</f>
        <v>58248.011373808054</v>
      </c>
      <c r="R450" s="23">
        <f>SUM(S450:Z450)</f>
        <v>404630.36897184595</v>
      </c>
      <c r="S450" s="25">
        <f>AN450*IF(MID(E450,3,1)="3",IF(G450="생명50%이하",트라이포드!$N$23,트라이포드!$M$23),1)*IF(MID(E450,5,1)="2",트라이포드!$R$23,트라이포드!$Q$23)*(1+입력란!$C$34/100)</f>
        <v>357026.79615162878</v>
      </c>
      <c r="T450" s="38"/>
      <c r="U450" s="38"/>
      <c r="V450" s="38"/>
      <c r="W450" s="38"/>
      <c r="X450" s="38"/>
      <c r="Y450" s="38"/>
      <c r="Z450" s="24">
        <f>AN450*IF(MID(E450,1,1)="1",트라이포드!$D$23,트라이포드!$C$23)*(1+입력란!$C$34/100)</f>
        <v>47603.572820217174</v>
      </c>
      <c r="AA450" s="29">
        <f>SUM(AB450:AI450)</f>
        <v>809260.7379436919</v>
      </c>
      <c r="AB450" s="29">
        <f>S450*2</f>
        <v>714053.59230325755</v>
      </c>
      <c r="AC450" s="38"/>
      <c r="AD450" s="38"/>
      <c r="AE450" s="38"/>
      <c r="AF450" s="38"/>
      <c r="AG450" s="38"/>
      <c r="AH450" s="38"/>
      <c r="AI450" s="24">
        <f>Z450*2</f>
        <v>95207.145640434348</v>
      </c>
      <c r="AJ450" s="29">
        <f>AR450*(1-입력란!$C$29/100)</f>
        <v>28.731215018700002</v>
      </c>
      <c r="AK45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0" s="25">
        <f>입력란!$C$37+IF(입력란!$C$17=1,10,IF(입력란!$C$17=2,25,IF(입력란!$C$17=3,50,0)))</f>
        <v>200</v>
      </c>
      <c r="AM450" s="25">
        <f>SUM(AN450:AP450)</f>
        <v>180512.35362568728</v>
      </c>
      <c r="AN450" s="29">
        <f>(VLOOKUP(C450,$B$4:$AKJ$7,31,FALSE)+VLOOKUP(C450,$B$8:$AK$11,31,FALSE)*입력란!$C$23)*입력란!$C$38/100</f>
        <v>180512.35362568728</v>
      </c>
      <c r="AO450" s="38"/>
      <c r="AP450" s="38"/>
      <c r="AQ450" s="38"/>
      <c r="AR450" s="12">
        <v>30</v>
      </c>
    </row>
    <row r="451" spans="2:44" ht="13.5" customHeight="1" x14ac:dyDescent="0.3">
      <c r="B451" s="30">
        <v>436</v>
      </c>
      <c r="C451" s="8">
        <v>10</v>
      </c>
      <c r="D451" s="43" t="s">
        <v>217</v>
      </c>
      <c r="E451" s="37" t="s">
        <v>219</v>
      </c>
      <c r="F451" s="39"/>
      <c r="G451" s="39"/>
      <c r="H451" s="80">
        <f>I451/AJ451</f>
        <v>15205.068251350511</v>
      </c>
      <c r="I451" s="52">
        <f>SUM(J451:Q451)*IF(입력란!C$15=1,1.04,IF(입력란!C$15=2,1.1,IF(입력란!C$15=3,1.2,1)))*IF(입력란!$C$17&lt;&gt;0,0.98,1)*IF(입력란!$C$12=1,IF(G451="생명50%이하",1.2,1.1),1)*IF(입력란!$C$12=2,IF(G451="생명50%이하",1.3,1.1),1)*IF(입력란!$C$12=3,IF(G451="생명50%이하",1.4,1.1),1)</f>
        <v>436860.08530356036</v>
      </c>
      <c r="J451" s="25">
        <f>S451*(1+IF($AK451+IF(입력란!$C$19=1,10,0)+IF(MID(E451,3,1)="1",트라이포드!$J$23,0)&gt;100,100,$AK451+IF(입력란!$C$19=1,10,0)+IF(MID(E451,3,1)="1",트라이포드!$J$23,0))/100*($AL451/100-1))</f>
        <v>436860.08530356036</v>
      </c>
      <c r="K451" s="38"/>
      <c r="L451" s="38"/>
      <c r="M451" s="38"/>
      <c r="N451" s="38"/>
      <c r="O451" s="38"/>
      <c r="P451" s="38"/>
      <c r="Q451" s="34">
        <f>Z451*(1+IF($AK451+IF(입력란!$C$19=1,10,0)&gt;100,100,$AK451+IF(입력란!$C$19=1,10,0))/100*($AL451/100-1))</f>
        <v>0</v>
      </c>
      <c r="R451" s="23">
        <f>SUM(S451:Z451)</f>
        <v>357026.79615162878</v>
      </c>
      <c r="S451" s="25">
        <f>AN451*IF(MID(E451,3,1)="3",IF(G451="생명50%이하",트라이포드!$N$23,트라이포드!$M$23),1)*IF(MID(E451,5,1)="2",트라이포드!$R$23,트라이포드!$Q$23)*(1+입력란!$C$34/100)</f>
        <v>357026.79615162878</v>
      </c>
      <c r="T451" s="38"/>
      <c r="U451" s="38"/>
      <c r="V451" s="38"/>
      <c r="W451" s="38"/>
      <c r="X451" s="38"/>
      <c r="Y451" s="38"/>
      <c r="Z451" s="24">
        <f>AN451*IF(MID(E451,1,1)="1",트라이포드!$D$23,트라이포드!$C$23)*(1+입력란!$C$34/100)</f>
        <v>0</v>
      </c>
      <c r="AA451" s="29">
        <f>SUM(AB451:AI451)</f>
        <v>714053.59230325755</v>
      </c>
      <c r="AB451" s="29">
        <f>S451*2</f>
        <v>714053.59230325755</v>
      </c>
      <c r="AC451" s="38"/>
      <c r="AD451" s="38"/>
      <c r="AE451" s="38"/>
      <c r="AF451" s="38"/>
      <c r="AG451" s="38"/>
      <c r="AH451" s="38"/>
      <c r="AI451" s="24">
        <f>Z451*2</f>
        <v>0</v>
      </c>
      <c r="AJ451" s="29">
        <f>AR451*(1-입력란!$C$29/100)</f>
        <v>28.731215018700002</v>
      </c>
      <c r="AK45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1" s="25">
        <f>입력란!$C$37+IF(입력란!$C$17=1,10,IF(입력란!$C$17=2,25,IF(입력란!$C$17=3,50,0)))</f>
        <v>200</v>
      </c>
      <c r="AM451" s="25">
        <f>SUM(AN451:AP451)</f>
        <v>180512.35362568728</v>
      </c>
      <c r="AN451" s="29">
        <f>(VLOOKUP(C451,$B$4:$AKJ$7,31,FALSE)+VLOOKUP(C451,$B$8:$AK$11,31,FALSE)*입력란!$C$23)*입력란!$C$38/100</f>
        <v>180512.35362568728</v>
      </c>
      <c r="AO451" s="38"/>
      <c r="AP451" s="38"/>
      <c r="AQ451" s="38"/>
      <c r="AR451" s="12">
        <v>30</v>
      </c>
    </row>
    <row r="452" spans="2:44" ht="13.5" customHeight="1" x14ac:dyDescent="0.3">
      <c r="B452" s="30">
        <v>437</v>
      </c>
      <c r="C452" s="39">
        <v>1</v>
      </c>
      <c r="D452" s="43" t="s">
        <v>36</v>
      </c>
      <c r="E452" s="37" t="s">
        <v>57</v>
      </c>
      <c r="F452" s="39"/>
      <c r="G452" s="39" t="s">
        <v>414</v>
      </c>
      <c r="H452" s="80">
        <f>I452/AJ452</f>
        <v>10063.485751751075</v>
      </c>
      <c r="I452" s="52">
        <f>SUM(J452:Q452)*IF(입력란!C$15=1,1.04,IF(입력란!C$15=2,1.1,IF(입력란!C$15=3,1.2,1)))*IF(입력란!$C$17&lt;&gt;0,0.98,1)*IF(입력란!$C$12=1,IF(G452="생명50%이하",1.2,1.1),1)*IF(입력란!$C$12=2,IF(G452="생명50%이하",1.3,1.1),1)*IF(입력란!$C$12=3,IF(G452="생명50%이하",1.4,1.1),1)</f>
        <v>289136.17297118396</v>
      </c>
      <c r="J452" s="25">
        <f>S452*(1+IF($AK452+IF(입력란!$C$19=1,10,0)+IF(MID(E452,3,1)="1",트라이포드!$J$23,0)&gt;100,100,$AK452+IF(입력란!$C$19=1,10,0)+IF(MID(E452,3,1)="1",트라이포드!$J$23,0))/100*($AL452/100-1))</f>
        <v>289136.17297118396</v>
      </c>
      <c r="K452" s="25"/>
      <c r="L452" s="25"/>
      <c r="M452" s="25"/>
      <c r="N452" s="38"/>
      <c r="O452" s="38"/>
      <c r="P452" s="38"/>
      <c r="Q452" s="34">
        <f>Z452*(1+IF($AK452+IF(입력란!$C$19=1,10,0)&gt;100,100,$AK452+IF(입력란!$C$19=1,10,0))/100*($AL452/100-1))</f>
        <v>0</v>
      </c>
      <c r="R452" s="23">
        <f>SUM(S452:Z452)</f>
        <v>236298.45106062762</v>
      </c>
      <c r="S452" s="25">
        <f>AN452*IF(MID(E452,3,1)="3",IF(G452="생명50%이하",트라이포드!$N$23,트라이포드!$M$23),1)*IF(MID(E452,5,1)="2",트라이포드!$R$23,트라이포드!$Q$23)*(1+입력란!$C$34/100)</f>
        <v>236298.45106062762</v>
      </c>
      <c r="T452" s="25"/>
      <c r="U452" s="25"/>
      <c r="V452" s="25"/>
      <c r="W452" s="25"/>
      <c r="X452" s="25"/>
      <c r="Y452" s="25"/>
      <c r="Z452" s="24">
        <f>AN452*IF(MID(E452,1,1)="1",트라이포드!$D$23,트라이포드!$C$23)*(1+입력란!$C$34/100)</f>
        <v>0</v>
      </c>
      <c r="AA452" s="29">
        <f>SUM(AB452:AI452)</f>
        <v>472596.90212125523</v>
      </c>
      <c r="AB452" s="29">
        <f>S452*2</f>
        <v>472596.90212125523</v>
      </c>
      <c r="AC452" s="25"/>
      <c r="AD452" s="25"/>
      <c r="AE452" s="25"/>
      <c r="AF452" s="38"/>
      <c r="AG452" s="38"/>
      <c r="AH452" s="38"/>
      <c r="AI452" s="24">
        <f>Z452*2</f>
        <v>0</v>
      </c>
      <c r="AJ452" s="29">
        <f>AR452*(1-입력란!$C$29/100)</f>
        <v>28.731215018700002</v>
      </c>
      <c r="AK45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2" s="25">
        <f>입력란!$C$37+IF(입력란!$C$17=1,10,IF(입력란!$C$17=2,25,IF(입력란!$C$17=3,50,0)))</f>
        <v>200</v>
      </c>
      <c r="AM452" s="25">
        <f>SUM(AN452:AP452)</f>
        <v>179208.35362568728</v>
      </c>
      <c r="AN452" s="29">
        <f>(VLOOKUP(C452,$B$4:$AKJ$7,31,FALSE)+VLOOKUP(C452,$B$8:$AK$11,31,FALSE)*입력란!$C$23)*입력란!$C$38/100</f>
        <v>179208.35362568728</v>
      </c>
      <c r="AO452" s="38"/>
      <c r="AP452" s="38"/>
      <c r="AQ452" s="38"/>
      <c r="AR452" s="12">
        <v>30</v>
      </c>
    </row>
    <row r="453" spans="2:44" ht="13.5" customHeight="1" x14ac:dyDescent="0.3">
      <c r="B453" s="30">
        <v>438</v>
      </c>
      <c r="C453" s="8">
        <v>4</v>
      </c>
      <c r="D453" s="43" t="s">
        <v>36</v>
      </c>
      <c r="E453" s="37" t="s">
        <v>290</v>
      </c>
      <c r="F453" s="39"/>
      <c r="G453" s="39" t="s">
        <v>414</v>
      </c>
      <c r="H453" s="80">
        <f>I453/AJ453</f>
        <v>12126.075698055387</v>
      </c>
      <c r="I453" s="52">
        <f>SUM(J453:Q453)*IF(입력란!C$15=1,1.04,IF(입력란!C$15=2,1.1,IF(입력란!C$15=3,1.2,1)))*IF(입력란!$C$17&lt;&gt;0,0.98,1)*IF(입력란!$C$12=1,IF(G453="생명50%이하",1.2,1.1),1)*IF(입력란!$C$12=2,IF(G453="생명50%이하",1.3,1.1),1)*IF(입력란!$C$12=3,IF(G453="생명50%이하",1.4,1.1),1)</f>
        <v>348396.88821386202</v>
      </c>
      <c r="J453" s="25">
        <f>S453*(1+IF($AK453+IF(입력란!$C$19=1,10,0)+IF(MID(E453,3,1)="1",트라이포드!$J$23,0)&gt;100,100,$AK453+IF(입력란!$C$19=1,10,0)+IF(MID(E453,3,1)="1",트라이포드!$J$23,0))/100*($AL453/100-1))</f>
        <v>290330.74017821834</v>
      </c>
      <c r="K453" s="38"/>
      <c r="L453" s="38"/>
      <c r="M453" s="38"/>
      <c r="N453" s="38"/>
      <c r="O453" s="38"/>
      <c r="P453" s="38"/>
      <c r="Q453" s="34">
        <f>Z453*(1+IF($AK453+IF(입력란!$C$19=1,10,0)&gt;100,100,$AK453+IF(입력란!$C$19=1,10,0))/100*($AL453/100-1))</f>
        <v>58066.148035643673</v>
      </c>
      <c r="R453" s="23">
        <f>SUM(S453:Z453)</f>
        <v>284729.66282044211</v>
      </c>
      <c r="S453" s="25">
        <f>AN453*IF(MID(E453,3,1)="3",IF(G453="생명50%이하",트라이포드!$N$23,트라이포드!$M$23),1)*IF(MID(E453,5,1)="2",트라이포드!$R$23,트라이포드!$Q$23)*(1+입력란!$C$34/100)</f>
        <v>237274.71901703507</v>
      </c>
      <c r="T453" s="38"/>
      <c r="U453" s="38"/>
      <c r="V453" s="38"/>
      <c r="W453" s="38"/>
      <c r="X453" s="38"/>
      <c r="Y453" s="38"/>
      <c r="Z453" s="24">
        <f>AN453*IF(MID(E453,1,1)="1",트라이포드!$D$23,트라이포드!$C$23)*(1+입력란!$C$34/100)</f>
        <v>47454.943803407019</v>
      </c>
      <c r="AA453" s="29">
        <f>SUM(AB453:AI453)</f>
        <v>569459.32564088423</v>
      </c>
      <c r="AB453" s="29">
        <f>S453*2</f>
        <v>474549.43803407013</v>
      </c>
      <c r="AC453" s="38"/>
      <c r="AD453" s="38"/>
      <c r="AE453" s="38"/>
      <c r="AF453" s="38"/>
      <c r="AG453" s="38"/>
      <c r="AH453" s="38"/>
      <c r="AI453" s="24">
        <f>Z453*2</f>
        <v>94909.887606814038</v>
      </c>
      <c r="AJ453" s="29">
        <f>AR453*(1-입력란!$C$29/100)</f>
        <v>28.731215018700002</v>
      </c>
      <c r="AK45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3" s="25">
        <f>입력란!$C$37+IF(입력란!$C$17=1,10,IF(입력란!$C$17=2,25,IF(입력란!$C$17=3,50,0)))</f>
        <v>200</v>
      </c>
      <c r="AM453" s="25">
        <f>SUM(AN453:AP453)</f>
        <v>179948.7536256873</v>
      </c>
      <c r="AN453" s="29">
        <f>(VLOOKUP(C453,$B$4:$AKJ$7,31,FALSE)+VLOOKUP(C453,$B$8:$AK$11,31,FALSE)*입력란!$C$23)*입력란!$C$38/100</f>
        <v>179948.7536256873</v>
      </c>
      <c r="AO453" s="38"/>
      <c r="AP453" s="38"/>
      <c r="AQ453" s="38"/>
      <c r="AR453" s="12">
        <v>30</v>
      </c>
    </row>
    <row r="454" spans="2:44" ht="13.5" customHeight="1" x14ac:dyDescent="0.3">
      <c r="B454" s="30">
        <v>439</v>
      </c>
      <c r="C454" s="8">
        <v>4</v>
      </c>
      <c r="D454" s="43" t="s">
        <v>36</v>
      </c>
      <c r="E454" s="37" t="s">
        <v>57</v>
      </c>
      <c r="F454" s="39"/>
      <c r="G454" s="39" t="s">
        <v>403</v>
      </c>
      <c r="H454" s="80">
        <f>I454/AJ454</f>
        <v>10105.063081712822</v>
      </c>
      <c r="I454" s="52">
        <f>SUM(J454:Q454)*IF(입력란!C$15=1,1.04,IF(입력란!C$15=2,1.1,IF(입력란!C$15=3,1.2,1)))*IF(입력란!$C$17&lt;&gt;0,0.98,1)*IF(입력란!$C$12=1,IF(G454="생명50%이하",1.2,1.1),1)*IF(입력란!$C$12=2,IF(G454="생명50%이하",1.3,1.1),1)*IF(입력란!$C$12=3,IF(G454="생명50%이하",1.4,1.1),1)</f>
        <v>290330.74017821834</v>
      </c>
      <c r="J454" s="25">
        <f>S454*(1+IF($AK454+IF(입력란!$C$19=1,10,0)+IF(MID(E454,3,1)="1",트라이포드!$J$23,0)&gt;100,100,$AK454+IF(입력란!$C$19=1,10,0)+IF(MID(E454,3,1)="1",트라이포드!$J$23,0))/100*($AL454/100-1))</f>
        <v>290330.74017821834</v>
      </c>
      <c r="K454" s="38"/>
      <c r="L454" s="38"/>
      <c r="M454" s="38"/>
      <c r="N454" s="38"/>
      <c r="O454" s="38"/>
      <c r="P454" s="38"/>
      <c r="Q454" s="34">
        <f>Z454*(1+IF($AK454+IF(입력란!$C$19=1,10,0)&gt;100,100,$AK454+IF(입력란!$C$19=1,10,0))/100*($AL454/100-1))</f>
        <v>0</v>
      </c>
      <c r="R454" s="23">
        <f>SUM(S454:Z454)</f>
        <v>237274.71901703507</v>
      </c>
      <c r="S454" s="25">
        <f>AN454*IF(MID(E454,3,1)="3",IF(G454="생명50%이하",트라이포드!$N$23,트라이포드!$M$23),1)*IF(MID(E454,5,1)="2",트라이포드!$R$23,트라이포드!$Q$23)*(1+입력란!$C$34/100)</f>
        <v>237274.71901703507</v>
      </c>
      <c r="T454" s="38"/>
      <c r="U454" s="38"/>
      <c r="V454" s="38"/>
      <c r="W454" s="38"/>
      <c r="X454" s="38"/>
      <c r="Y454" s="38"/>
      <c r="Z454" s="24">
        <f>AN454*IF(MID(E454,1,1)="1",트라이포드!$D$23,트라이포드!$C$23)*(1+입력란!$C$34/100)</f>
        <v>0</v>
      </c>
      <c r="AA454" s="29">
        <f>SUM(AB454:AI454)</f>
        <v>474549.43803407013</v>
      </c>
      <c r="AB454" s="29">
        <f>S454*2</f>
        <v>474549.43803407013</v>
      </c>
      <c r="AC454" s="38"/>
      <c r="AD454" s="38"/>
      <c r="AE454" s="38"/>
      <c r="AF454" s="38"/>
      <c r="AG454" s="38"/>
      <c r="AH454" s="38"/>
      <c r="AI454" s="24">
        <f>Z454*2</f>
        <v>0</v>
      </c>
      <c r="AJ454" s="29">
        <f>AR454*(1-입력란!$C$29/100)</f>
        <v>28.731215018700002</v>
      </c>
      <c r="AK45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4" s="25">
        <f>입력란!$C$37+IF(입력란!$C$17=1,10,IF(입력란!$C$17=2,25,IF(입력란!$C$17=3,50,0)))</f>
        <v>200</v>
      </c>
      <c r="AM454" s="25">
        <f>SUM(AN454:AP454)</f>
        <v>179948.7536256873</v>
      </c>
      <c r="AN454" s="29">
        <f>(VLOOKUP(C454,$B$4:$AKJ$7,31,FALSE)+VLOOKUP(C454,$B$8:$AK$11,31,FALSE)*입력란!$C$23)*입력란!$C$38/100</f>
        <v>179948.7536256873</v>
      </c>
      <c r="AO454" s="38"/>
      <c r="AP454" s="38"/>
      <c r="AQ454" s="38"/>
      <c r="AR454" s="12">
        <v>30</v>
      </c>
    </row>
    <row r="455" spans="2:44" ht="13.5" customHeight="1" x14ac:dyDescent="0.3">
      <c r="B455" s="30">
        <v>440</v>
      </c>
      <c r="C455" s="8">
        <v>7</v>
      </c>
      <c r="D455" s="43" t="s">
        <v>36</v>
      </c>
      <c r="E455" s="37" t="s">
        <v>57</v>
      </c>
      <c r="F455" s="39"/>
      <c r="G455" s="39" t="s">
        <v>403</v>
      </c>
      <c r="H455" s="80">
        <f>I455/AJ455</f>
        <v>10124.380479750154</v>
      </c>
      <c r="I455" s="52">
        <f>SUM(J455:Q455)*IF(입력란!C$15=1,1.04,IF(입력란!C$15=2,1.1,IF(입력란!C$15=3,1.2,1)))*IF(입력란!$C$17&lt;&gt;0,0.98,1)*IF(입력란!$C$12=1,IF(G455="생명50%이하",1.2,1.1),1)*IF(입력란!$C$12=2,IF(G455="생명50%이하",1.3,1.1),1)*IF(입력란!$C$12=3,IF(G455="생명50%이하",1.4,1.1),1)</f>
        <v>290885.75249483075</v>
      </c>
      <c r="J455" s="25">
        <f>S455*(1+IF($AK455+IF(입력란!$C$19=1,10,0)+IF(MID(E455,3,1)="1",트라이포드!$J$23,0)&gt;100,100,$AK455+IF(입력란!$C$19=1,10,0)+IF(MID(E455,3,1)="1",트라이포드!$J$23,0))/100*($AL455/100-1))</f>
        <v>290885.75249483075</v>
      </c>
      <c r="K455" s="38"/>
      <c r="L455" s="38"/>
      <c r="M455" s="38"/>
      <c r="N455" s="38"/>
      <c r="O455" s="38"/>
      <c r="P455" s="38"/>
      <c r="Q455" s="34">
        <f>Z455*(1+IF($AK455+IF(입력란!$C$19=1,10,0)&gt;100,100,$AK455+IF(입력란!$C$19=1,10,0))/100*($AL455/100-1))</f>
        <v>0</v>
      </c>
      <c r="R455" s="23">
        <f>SUM(S455:Z455)</f>
        <v>237728.30650623571</v>
      </c>
      <c r="S455" s="25">
        <f>AN455*IF(MID(E455,3,1)="3",IF(G455="생명50%이하",트라이포드!$N$23,트라이포드!$M$23),1)*IF(MID(E455,5,1)="2",트라이포드!$R$23,트라이포드!$Q$23)*(1+입력란!$C$34/100)</f>
        <v>237728.30650623571</v>
      </c>
      <c r="T455" s="38"/>
      <c r="U455" s="38"/>
      <c r="V455" s="38"/>
      <c r="W455" s="38"/>
      <c r="X455" s="38"/>
      <c r="Y455" s="38"/>
      <c r="Z455" s="24">
        <f>AN455*IF(MID(E455,1,1)="1",트라이포드!$D$23,트라이포드!$C$23)*(1+입력란!$C$34/100)</f>
        <v>0</v>
      </c>
      <c r="AA455" s="29">
        <f>SUM(AB455:AI455)</f>
        <v>475456.61301247141</v>
      </c>
      <c r="AB455" s="29">
        <f>S455*2</f>
        <v>475456.61301247141</v>
      </c>
      <c r="AC455" s="38"/>
      <c r="AD455" s="38"/>
      <c r="AE455" s="38"/>
      <c r="AF455" s="38"/>
      <c r="AG455" s="38"/>
      <c r="AH455" s="38"/>
      <c r="AI455" s="24">
        <f>Z455*2</f>
        <v>0</v>
      </c>
      <c r="AJ455" s="29">
        <f>AR455*(1-입력란!$C$29/100)</f>
        <v>28.731215018700002</v>
      </c>
      <c r="AK45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5" s="25">
        <f>입력란!$C$37+IF(입력란!$C$17=1,10,IF(입력란!$C$17=2,25,IF(입력란!$C$17=3,50,0)))</f>
        <v>200</v>
      </c>
      <c r="AM455" s="25">
        <f>SUM(AN455:AP455)</f>
        <v>180292.7536256873</v>
      </c>
      <c r="AN455" s="29">
        <f>(VLOOKUP(C455,$B$4:$AKJ$7,31,FALSE)+VLOOKUP(C455,$B$8:$AK$11,31,FALSE)*입력란!$C$23)*입력란!$C$38/100</f>
        <v>180292.7536256873</v>
      </c>
      <c r="AO455" s="38"/>
      <c r="AP455" s="38"/>
      <c r="AQ455" s="38"/>
      <c r="AR455" s="12">
        <v>30</v>
      </c>
    </row>
    <row r="456" spans="2:44" ht="13.5" customHeight="1" x14ac:dyDescent="0.3">
      <c r="B456" s="30">
        <v>441</v>
      </c>
      <c r="C456" s="8">
        <v>7</v>
      </c>
      <c r="D456" s="43" t="s">
        <v>36</v>
      </c>
      <c r="E456" s="37" t="s">
        <v>313</v>
      </c>
      <c r="F456" s="39"/>
      <c r="G456" s="39" t="s">
        <v>403</v>
      </c>
      <c r="H456" s="80">
        <f>I456/AJ456</f>
        <v>16286.365054257529</v>
      </c>
      <c r="I456" s="52">
        <f>SUM(J456:Q456)*IF(입력란!C$15=1,1.04,IF(입력란!C$15=2,1.1,IF(입력란!C$15=3,1.2,1)))*IF(입력란!$C$17&lt;&gt;0,0.98,1)*IF(입력란!$C$12=1,IF(G456="생명50%이하",1.2,1.1),1)*IF(입력란!$C$12=2,IF(G456="생명50%이하",1.3,1.1),1)*IF(입력란!$C$12=3,IF(G456="생명50%이하",1.4,1.1),1)</f>
        <v>467927.05624691478</v>
      </c>
      <c r="J456" s="25">
        <f>S456*(1+IF($AK456+IF(입력란!$C$19=1,10,0)+IF(MID(E456,3,1)="1",트라이포드!$J$23,0)&gt;100,100,$AK456+IF(입력란!$C$19=1,10,0)+IF(MID(E456,3,1)="1",트라이포드!$J$23,0))/100*($AL456/100-1))</f>
        <v>409749.90574794862</v>
      </c>
      <c r="K456" s="38"/>
      <c r="L456" s="38"/>
      <c r="M456" s="38"/>
      <c r="N456" s="38"/>
      <c r="O456" s="38"/>
      <c r="P456" s="38"/>
      <c r="Q456" s="34">
        <f>Z456*(1+IF($AK456+IF(입력란!$C$19=1,10,0)&gt;100,100,$AK456+IF(입력란!$C$19=1,10,0))/100*($AL456/100-1))</f>
        <v>58177.150498966148</v>
      </c>
      <c r="R456" s="23">
        <f>SUM(S456:Z456)</f>
        <v>285273.96780748287</v>
      </c>
      <c r="S456" s="25">
        <f>AN456*IF(MID(E456,3,1)="3",IF(G456="생명50%이하",트라이포드!$N$23,트라이포드!$M$23),1)*IF(MID(E456,5,1)="2",트라이포드!$R$23,트라이포드!$Q$23)*(1+입력란!$C$34/100)</f>
        <v>237728.30650623571</v>
      </c>
      <c r="T456" s="38"/>
      <c r="U456" s="38"/>
      <c r="V456" s="38"/>
      <c r="W456" s="38"/>
      <c r="X456" s="38"/>
      <c r="Y456" s="38"/>
      <c r="Z456" s="24">
        <f>AN456*IF(MID(E456,1,1)="1",트라이포드!$D$23,트라이포드!$C$23)*(1+입력란!$C$34/100)</f>
        <v>47545.661301247143</v>
      </c>
      <c r="AA456" s="29">
        <f>SUM(AB456:AI456)</f>
        <v>570547.93561496574</v>
      </c>
      <c r="AB456" s="29">
        <f>S456*2</f>
        <v>475456.61301247141</v>
      </c>
      <c r="AC456" s="38"/>
      <c r="AD456" s="38"/>
      <c r="AE456" s="38"/>
      <c r="AF456" s="38"/>
      <c r="AG456" s="38"/>
      <c r="AH456" s="38"/>
      <c r="AI456" s="24">
        <f>Z456*2</f>
        <v>95091.322602494285</v>
      </c>
      <c r="AJ456" s="29">
        <f>AR456*(1-입력란!$C$29/100)</f>
        <v>28.731215018700002</v>
      </c>
      <c r="AK45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6" s="25">
        <f>입력란!$C$37+IF(입력란!$C$17=1,10,IF(입력란!$C$17=2,25,IF(입력란!$C$17=3,50,0)))</f>
        <v>200</v>
      </c>
      <c r="AM456" s="25">
        <f>SUM(AN456:AP456)</f>
        <v>180292.7536256873</v>
      </c>
      <c r="AN456" s="29">
        <f>(VLOOKUP(C456,$B$4:$AKJ$7,31,FALSE)+VLOOKUP(C456,$B$8:$AK$11,31,FALSE)*입력란!$C$23)*입력란!$C$38/100</f>
        <v>180292.7536256873</v>
      </c>
      <c r="AO456" s="38"/>
      <c r="AP456" s="38"/>
      <c r="AQ456" s="38"/>
      <c r="AR456" s="12">
        <v>30</v>
      </c>
    </row>
    <row r="457" spans="2:44" ht="13.5" customHeight="1" x14ac:dyDescent="0.3">
      <c r="B457" s="30">
        <v>442</v>
      </c>
      <c r="C457" s="8">
        <v>7</v>
      </c>
      <c r="D457" s="43" t="s">
        <v>36</v>
      </c>
      <c r="E457" s="37" t="s">
        <v>77</v>
      </c>
      <c r="F457" s="39"/>
      <c r="G457" s="39" t="s">
        <v>403</v>
      </c>
      <c r="H457" s="80">
        <f>I457/AJ457</f>
        <v>14261.488958307498</v>
      </c>
      <c r="I457" s="52">
        <f>SUM(J457:Q457)*IF(입력란!C$15=1,1.04,IF(입력란!C$15=2,1.1,IF(입력란!C$15=3,1.2,1)))*IF(입력란!$C$17&lt;&gt;0,0.98,1)*IF(입력란!$C$12=1,IF(G457="생명50%이하",1.2,1.1),1)*IF(입력란!$C$12=2,IF(G457="생명50%이하",1.3,1.1),1)*IF(입력란!$C$12=3,IF(G457="생명50%이하",1.4,1.1),1)</f>
        <v>409749.90574794862</v>
      </c>
      <c r="J457" s="25">
        <f>S457*(1+IF($AK457+IF(입력란!$C$19=1,10,0)+IF(MID(E457,3,1)="1",트라이포드!$J$23,0)&gt;100,100,$AK457+IF(입력란!$C$19=1,10,0)+IF(MID(E457,3,1)="1",트라이포드!$J$23,0))/100*($AL457/100-1))</f>
        <v>409749.90574794862</v>
      </c>
      <c r="K457" s="38"/>
      <c r="L457" s="38"/>
      <c r="M457" s="38"/>
      <c r="N457" s="38"/>
      <c r="O457" s="38"/>
      <c r="P457" s="38"/>
      <c r="Q457" s="34">
        <f>Z457*(1+IF($AK457+IF(입력란!$C$19=1,10,0)&gt;100,100,$AK457+IF(입력란!$C$19=1,10,0))/100*($AL457/100-1))</f>
        <v>0</v>
      </c>
      <c r="R457" s="23">
        <f>SUM(S457:Z457)</f>
        <v>237728.30650623571</v>
      </c>
      <c r="S457" s="25">
        <f>AN457*IF(MID(E457,3,1)="3",IF(G457="생명50%이하",트라이포드!$N$23,트라이포드!$M$23),1)*IF(MID(E457,5,1)="2",트라이포드!$R$23,트라이포드!$Q$23)*(1+입력란!$C$34/100)</f>
        <v>237728.30650623571</v>
      </c>
      <c r="T457" s="38"/>
      <c r="U457" s="38"/>
      <c r="V457" s="38"/>
      <c r="W457" s="38"/>
      <c r="X457" s="38"/>
      <c r="Y457" s="38"/>
      <c r="Z457" s="24">
        <f>AN457*IF(MID(E457,1,1)="1",트라이포드!$D$23,트라이포드!$C$23)*(1+입력란!$C$34/100)</f>
        <v>0</v>
      </c>
      <c r="AA457" s="29">
        <f>SUM(AB457:AI457)</f>
        <v>475456.61301247141</v>
      </c>
      <c r="AB457" s="29">
        <f>S457*2</f>
        <v>475456.61301247141</v>
      </c>
      <c r="AC457" s="38"/>
      <c r="AD457" s="38"/>
      <c r="AE457" s="38"/>
      <c r="AF457" s="38"/>
      <c r="AG457" s="38"/>
      <c r="AH457" s="38"/>
      <c r="AI457" s="24">
        <f>Z457*2</f>
        <v>0</v>
      </c>
      <c r="AJ457" s="29">
        <f>AR457*(1-입력란!$C$29/100)</f>
        <v>28.731215018700002</v>
      </c>
      <c r="AK45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7" s="25">
        <f>입력란!$C$37+IF(입력란!$C$17=1,10,IF(입력란!$C$17=2,25,IF(입력란!$C$17=3,50,0)))</f>
        <v>200</v>
      </c>
      <c r="AM457" s="25">
        <f>SUM(AN457:AP457)</f>
        <v>180292.7536256873</v>
      </c>
      <c r="AN457" s="29">
        <f>(VLOOKUP(C457,$B$4:$AKJ$7,31,FALSE)+VLOOKUP(C457,$B$8:$AK$11,31,FALSE)*입력란!$C$23)*입력란!$C$38/100</f>
        <v>180292.7536256873</v>
      </c>
      <c r="AO457" s="38"/>
      <c r="AP457" s="38"/>
      <c r="AQ457" s="38"/>
      <c r="AR457" s="12">
        <v>30</v>
      </c>
    </row>
    <row r="458" spans="2:44" ht="13.5" customHeight="1" x14ac:dyDescent="0.3">
      <c r="B458" s="30">
        <v>443</v>
      </c>
      <c r="C458" s="8">
        <v>7</v>
      </c>
      <c r="D458" s="43" t="s">
        <v>36</v>
      </c>
      <c r="E458" s="37" t="s">
        <v>290</v>
      </c>
      <c r="F458" s="39"/>
      <c r="G458" s="39" t="s">
        <v>403</v>
      </c>
      <c r="H458" s="80">
        <f>I458/AJ458</f>
        <v>12149.256575700185</v>
      </c>
      <c r="I458" s="52">
        <f>SUM(J458:Q458)*IF(입력란!C$15=1,1.04,IF(입력란!C$15=2,1.1,IF(입력란!C$15=3,1.2,1)))*IF(입력란!$C$17&lt;&gt;0,0.98,1)*IF(입력란!$C$12=1,IF(G458="생명50%이하",1.2,1.1),1)*IF(입력란!$C$12=2,IF(G458="생명50%이하",1.3,1.1),1)*IF(입력란!$C$12=3,IF(G458="생명50%이하",1.4,1.1),1)</f>
        <v>349062.90299379692</v>
      </c>
      <c r="J458" s="25">
        <f>S458*(1+IF($AK458+IF(입력란!$C$19=1,10,0)+IF(MID(E458,3,1)="1",트라이포드!$J$23,0)&gt;100,100,$AK458+IF(입력란!$C$19=1,10,0)+IF(MID(E458,3,1)="1",트라이포드!$J$23,0))/100*($AL458/100-1))</f>
        <v>290885.75249483075</v>
      </c>
      <c r="K458" s="38"/>
      <c r="L458" s="38"/>
      <c r="M458" s="38"/>
      <c r="N458" s="38"/>
      <c r="O458" s="38"/>
      <c r="P458" s="38"/>
      <c r="Q458" s="34">
        <f>Z458*(1+IF($AK458+IF(입력란!$C$19=1,10,0)&gt;100,100,$AK458+IF(입력란!$C$19=1,10,0))/100*($AL458/100-1))</f>
        <v>58177.150498966148</v>
      </c>
      <c r="R458" s="23">
        <f>SUM(S458:Z458)</f>
        <v>285273.96780748287</v>
      </c>
      <c r="S458" s="25">
        <f>AN458*IF(MID(E458,3,1)="3",IF(G458="생명50%이하",트라이포드!$N$23,트라이포드!$M$23),1)*IF(MID(E458,5,1)="2",트라이포드!$R$23,트라이포드!$Q$23)*(1+입력란!$C$34/100)</f>
        <v>237728.30650623571</v>
      </c>
      <c r="T458" s="38"/>
      <c r="U458" s="38"/>
      <c r="V458" s="38"/>
      <c r="W458" s="38"/>
      <c r="X458" s="38"/>
      <c r="Y458" s="38"/>
      <c r="Z458" s="24">
        <f>AN458*IF(MID(E458,1,1)="1",트라이포드!$D$23,트라이포드!$C$23)*(1+입력란!$C$34/100)</f>
        <v>47545.661301247143</v>
      </c>
      <c r="AA458" s="29">
        <f>SUM(AB458:AI458)</f>
        <v>570547.93561496574</v>
      </c>
      <c r="AB458" s="29">
        <f>S458*2</f>
        <v>475456.61301247141</v>
      </c>
      <c r="AC458" s="38"/>
      <c r="AD458" s="38"/>
      <c r="AE458" s="38"/>
      <c r="AF458" s="38"/>
      <c r="AG458" s="38"/>
      <c r="AH458" s="38"/>
      <c r="AI458" s="24">
        <f>Z458*2</f>
        <v>95091.322602494285</v>
      </c>
      <c r="AJ458" s="29">
        <f>AR458*(1-입력란!$C$29/100)</f>
        <v>28.731215018700002</v>
      </c>
      <c r="AK45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8" s="25">
        <f>입력란!$C$37+IF(입력란!$C$17=1,10,IF(입력란!$C$17=2,25,IF(입력란!$C$17=3,50,0)))</f>
        <v>200</v>
      </c>
      <c r="AM458" s="25">
        <f>SUM(AN458:AP458)</f>
        <v>180292.7536256873</v>
      </c>
      <c r="AN458" s="29">
        <f>(VLOOKUP(C458,$B$4:$AKJ$7,31,FALSE)+VLOOKUP(C458,$B$8:$AK$11,31,FALSE)*입력란!$C$23)*입력란!$C$38/100</f>
        <v>180292.7536256873</v>
      </c>
      <c r="AO458" s="38"/>
      <c r="AP458" s="38"/>
      <c r="AQ458" s="38"/>
      <c r="AR458" s="12">
        <v>30</v>
      </c>
    </row>
    <row r="459" spans="2:44" ht="13.5" customHeight="1" x14ac:dyDescent="0.3">
      <c r="B459" s="30">
        <v>444</v>
      </c>
      <c r="C459" s="8">
        <v>7</v>
      </c>
      <c r="D459" s="43" t="s">
        <v>36</v>
      </c>
      <c r="E459" s="37" t="s">
        <v>315</v>
      </c>
      <c r="F459" s="39"/>
      <c r="G459" s="39" t="s">
        <v>403</v>
      </c>
      <c r="H459" s="80">
        <f>I459/AJ459</f>
        <v>18223.884863550276</v>
      </c>
      <c r="I459" s="52">
        <f>SUM(J459:Q459)*IF(입력란!C$15=1,1.04,IF(입력란!C$15=2,1.1,IF(입력란!C$15=3,1.2,1)))*IF(입력란!$C$17&lt;&gt;0,0.98,1)*IF(입력란!$C$12=1,IF(G459="생명50%이하",1.2,1.1),1)*IF(입력란!$C$12=2,IF(G459="생명50%이하",1.3,1.1),1)*IF(입력란!$C$12=3,IF(G459="생명50%이하",1.4,1.1),1)</f>
        <v>523594.35449069535</v>
      </c>
      <c r="J459" s="25">
        <f>S459*(1+IF($AK459+IF(입력란!$C$19=1,10,0)+IF(MID(E459,3,1)="1",트라이포드!$J$23,0)&gt;100,100,$AK459+IF(입력란!$C$19=1,10,0)+IF(MID(E459,3,1)="1",트라이포드!$J$23,0))/100*($AL459/100-1))</f>
        <v>465417.20399172918</v>
      </c>
      <c r="K459" s="38"/>
      <c r="L459" s="38"/>
      <c r="M459" s="38"/>
      <c r="N459" s="38"/>
      <c r="O459" s="38"/>
      <c r="P459" s="38"/>
      <c r="Q459" s="34">
        <f>Z459*(1+IF($AK459+IF(입력란!$C$19=1,10,0)&gt;100,100,$AK459+IF(입력란!$C$19=1,10,0))/100*($AL459/100-1))</f>
        <v>58177.150498966148</v>
      </c>
      <c r="R459" s="23">
        <f>SUM(S459:Z459)</f>
        <v>427910.95171122428</v>
      </c>
      <c r="S459" s="25">
        <f>AN459*IF(MID(E459,3,1)="3",IF(G459="생명50%이하",트라이포드!$N$23,트라이포드!$M$23),1)*IF(MID(E459,5,1)="2",트라이포드!$R$23,트라이포드!$Q$23)*(1+입력란!$C$34/100)</f>
        <v>380365.29040997714</v>
      </c>
      <c r="T459" s="38"/>
      <c r="U459" s="38"/>
      <c r="V459" s="38"/>
      <c r="W459" s="38"/>
      <c r="X459" s="38"/>
      <c r="Y459" s="38"/>
      <c r="Z459" s="24">
        <f>AN459*IF(MID(E459,1,1)="1",트라이포드!$D$23,트라이포드!$C$23)*(1+입력란!$C$34/100)</f>
        <v>47545.661301247143</v>
      </c>
      <c r="AA459" s="29">
        <f>SUM(AB459:AI459)</f>
        <v>855821.90342244855</v>
      </c>
      <c r="AB459" s="29">
        <f>S459*2</f>
        <v>760730.58081995428</v>
      </c>
      <c r="AC459" s="38"/>
      <c r="AD459" s="38"/>
      <c r="AE459" s="38"/>
      <c r="AF459" s="38"/>
      <c r="AG459" s="38"/>
      <c r="AH459" s="38"/>
      <c r="AI459" s="24">
        <f>Z459*2</f>
        <v>95091.322602494285</v>
      </c>
      <c r="AJ459" s="29">
        <f>AR459*(1-입력란!$C$29/100)</f>
        <v>28.731215018700002</v>
      </c>
      <c r="AK45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59" s="25">
        <f>입력란!$C$37+IF(입력란!$C$17=1,10,IF(입력란!$C$17=2,25,IF(입력란!$C$17=3,50,0)))</f>
        <v>200</v>
      </c>
      <c r="AM459" s="25">
        <f>SUM(AN459:AP459)</f>
        <v>180292.7536256873</v>
      </c>
      <c r="AN459" s="29">
        <f>(VLOOKUP(C459,$B$4:$AKJ$7,31,FALSE)+VLOOKUP(C459,$B$8:$AK$11,31,FALSE)*입력란!$C$23)*입력란!$C$38/100</f>
        <v>180292.7536256873</v>
      </c>
      <c r="AO459" s="38"/>
      <c r="AP459" s="38"/>
      <c r="AQ459" s="38"/>
      <c r="AR459" s="12">
        <v>30</v>
      </c>
    </row>
    <row r="460" spans="2:44" ht="13.5" customHeight="1" x14ac:dyDescent="0.3">
      <c r="B460" s="30">
        <v>445</v>
      </c>
      <c r="C460" s="8">
        <v>7</v>
      </c>
      <c r="D460" s="43" t="s">
        <v>36</v>
      </c>
      <c r="E460" s="37" t="s">
        <v>60</v>
      </c>
      <c r="F460" s="39"/>
      <c r="G460" s="39" t="s">
        <v>403</v>
      </c>
      <c r="H460" s="80">
        <f>I460/AJ460</f>
        <v>16199.008767600246</v>
      </c>
      <c r="I460" s="52">
        <f>SUM(J460:Q460)*IF(입력란!C$15=1,1.04,IF(입력란!C$15=2,1.1,IF(입력란!C$15=3,1.2,1)))*IF(입력란!$C$17&lt;&gt;0,0.98,1)*IF(입력란!$C$12=1,IF(G460="생명50%이하",1.2,1.1),1)*IF(입력란!$C$12=2,IF(G460="생명50%이하",1.3,1.1),1)*IF(입력란!$C$12=3,IF(G460="생명50%이하",1.4,1.1),1)</f>
        <v>465417.20399172918</v>
      </c>
      <c r="J460" s="25">
        <f>S460*(1+IF($AK460+IF(입력란!$C$19=1,10,0)+IF(MID(E460,3,1)="1",트라이포드!$J$23,0)&gt;100,100,$AK460+IF(입력란!$C$19=1,10,0)+IF(MID(E460,3,1)="1",트라이포드!$J$23,0))/100*($AL460/100-1))</f>
        <v>465417.20399172918</v>
      </c>
      <c r="K460" s="38"/>
      <c r="L460" s="38"/>
      <c r="M460" s="38"/>
      <c r="N460" s="38"/>
      <c r="O460" s="38"/>
      <c r="P460" s="38"/>
      <c r="Q460" s="34">
        <f>Z460*(1+IF($AK460+IF(입력란!$C$19=1,10,0)&gt;100,100,$AK460+IF(입력란!$C$19=1,10,0))/100*($AL460/100-1))</f>
        <v>0</v>
      </c>
      <c r="R460" s="23">
        <f>SUM(S460:Z460)</f>
        <v>380365.29040997714</v>
      </c>
      <c r="S460" s="25">
        <f>AN460*IF(MID(E460,3,1)="3",IF(G460="생명50%이하",트라이포드!$N$23,트라이포드!$M$23),1)*IF(MID(E460,5,1)="2",트라이포드!$R$23,트라이포드!$Q$23)*(1+입력란!$C$34/100)</f>
        <v>380365.29040997714</v>
      </c>
      <c r="T460" s="38"/>
      <c r="U460" s="38"/>
      <c r="V460" s="38"/>
      <c r="W460" s="38"/>
      <c r="X460" s="38"/>
      <c r="Y460" s="38"/>
      <c r="Z460" s="24">
        <f>AN460*IF(MID(E460,1,1)="1",트라이포드!$D$23,트라이포드!$C$23)*(1+입력란!$C$34/100)</f>
        <v>0</v>
      </c>
      <c r="AA460" s="29">
        <f>SUM(AB460:AI460)</f>
        <v>760730.58081995428</v>
      </c>
      <c r="AB460" s="29">
        <f>S460*2</f>
        <v>760730.58081995428</v>
      </c>
      <c r="AC460" s="38"/>
      <c r="AD460" s="38"/>
      <c r="AE460" s="38"/>
      <c r="AF460" s="38"/>
      <c r="AG460" s="38"/>
      <c r="AH460" s="38"/>
      <c r="AI460" s="24">
        <f>Z460*2</f>
        <v>0</v>
      </c>
      <c r="AJ460" s="29">
        <f>AR460*(1-입력란!$C$29/100)</f>
        <v>28.731215018700002</v>
      </c>
      <c r="AK46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0" s="25">
        <f>입력란!$C$37+IF(입력란!$C$17=1,10,IF(입력란!$C$17=2,25,IF(입력란!$C$17=3,50,0)))</f>
        <v>200</v>
      </c>
      <c r="AM460" s="25">
        <f>SUM(AN460:AP460)</f>
        <v>180292.7536256873</v>
      </c>
      <c r="AN460" s="29">
        <f>(VLOOKUP(C460,$B$4:$AKJ$7,31,FALSE)+VLOOKUP(C460,$B$8:$AK$11,31,FALSE)*입력란!$C$23)*입력란!$C$38/100</f>
        <v>180292.7536256873</v>
      </c>
      <c r="AO460" s="38"/>
      <c r="AP460" s="38"/>
      <c r="AQ460" s="38"/>
      <c r="AR460" s="12">
        <v>30</v>
      </c>
    </row>
    <row r="461" spans="2:44" ht="13.5" customHeight="1" x14ac:dyDescent="0.3">
      <c r="B461" s="30">
        <v>446</v>
      </c>
      <c r="C461" s="8">
        <v>10</v>
      </c>
      <c r="D461" s="43" t="s">
        <v>36</v>
      </c>
      <c r="E461" s="37" t="s">
        <v>57</v>
      </c>
      <c r="F461" s="39"/>
      <c r="G461" s="39" t="s">
        <v>403</v>
      </c>
      <c r="H461" s="80">
        <f>I461/AJ461</f>
        <v>10136.71216756701</v>
      </c>
      <c r="I461" s="52">
        <f>SUM(J461:Q461)*IF(입력란!C$15=1,1.04,IF(입력란!C$15=2,1.1,IF(입력란!C$15=3,1.2,1)))*IF(입력란!$C$17&lt;&gt;0,0.98,1)*IF(입력란!$C$12=1,IF(G461="생명50%이하",1.2,1.1),1)*IF(입력란!$C$12=2,IF(G461="생명50%이하",1.3,1.1),1)*IF(입력란!$C$12=3,IF(G461="생명50%이하",1.4,1.1),1)</f>
        <v>291240.0568690403</v>
      </c>
      <c r="J461" s="25">
        <f>S461*(1+IF($AK461+IF(입력란!$C$19=1,10,0)+IF(MID(E461,3,1)="1",트라이포드!$J$23,0)&gt;100,100,$AK461+IF(입력란!$C$19=1,10,0)+IF(MID(E461,3,1)="1",트라이포드!$J$23,0))/100*($AL461/100-1))</f>
        <v>291240.0568690403</v>
      </c>
      <c r="K461" s="38"/>
      <c r="L461" s="38"/>
      <c r="M461" s="38"/>
      <c r="N461" s="38"/>
      <c r="O461" s="38"/>
      <c r="P461" s="38"/>
      <c r="Q461" s="34">
        <f>Z461*(1+IF($AK461+IF(입력란!$C$19=1,10,0)&gt;100,100,$AK461+IF(입력란!$C$19=1,10,0))/100*($AL461/100-1))</f>
        <v>0</v>
      </c>
      <c r="R461" s="23">
        <f>SUM(S461:Z461)</f>
        <v>238017.86410108587</v>
      </c>
      <c r="S461" s="25">
        <f>AN461*IF(MID(E461,3,1)="3",IF(G461="생명50%이하",트라이포드!$N$23,트라이포드!$M$23),1)*IF(MID(E461,5,1)="2",트라이포드!$R$23,트라이포드!$Q$23)*(1+입력란!$C$34/100)</f>
        <v>238017.86410108587</v>
      </c>
      <c r="T461" s="38"/>
      <c r="U461" s="38"/>
      <c r="V461" s="38"/>
      <c r="W461" s="38"/>
      <c r="X461" s="38"/>
      <c r="Y461" s="38"/>
      <c r="Z461" s="24">
        <f>AN461*IF(MID(E461,1,1)="1",트라이포드!$D$23,트라이포드!$C$23)*(1+입력란!$C$34/100)</f>
        <v>0</v>
      </c>
      <c r="AA461" s="29">
        <f>SUM(AB461:AI461)</f>
        <v>476035.72820217174</v>
      </c>
      <c r="AB461" s="29">
        <f>S461*2</f>
        <v>476035.72820217174</v>
      </c>
      <c r="AC461" s="38"/>
      <c r="AD461" s="38"/>
      <c r="AE461" s="38"/>
      <c r="AF461" s="38"/>
      <c r="AG461" s="38"/>
      <c r="AH461" s="38"/>
      <c r="AI461" s="24">
        <f>Z461*2</f>
        <v>0</v>
      </c>
      <c r="AJ461" s="29">
        <f>AR461*(1-입력란!$C$29/100)</f>
        <v>28.731215018700002</v>
      </c>
      <c r="AK46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1" s="25">
        <f>입력란!$C$37+IF(입력란!$C$17=1,10,IF(입력란!$C$17=2,25,IF(입력란!$C$17=3,50,0)))</f>
        <v>200</v>
      </c>
      <c r="AM461" s="25">
        <f>SUM(AN461:AP461)</f>
        <v>180512.35362568728</v>
      </c>
      <c r="AN461" s="29">
        <f>(VLOOKUP(C461,$B$4:$AKJ$7,31,FALSE)+VLOOKUP(C461,$B$8:$AK$11,31,FALSE)*입력란!$C$23)*입력란!$C$38/100</f>
        <v>180512.35362568728</v>
      </c>
      <c r="AO461" s="38"/>
      <c r="AP461" s="38"/>
      <c r="AQ461" s="38"/>
      <c r="AR461" s="12">
        <v>30</v>
      </c>
    </row>
    <row r="462" spans="2:44" ht="13.5" customHeight="1" x14ac:dyDescent="0.3">
      <c r="B462" s="30">
        <v>447</v>
      </c>
      <c r="C462" s="8">
        <v>10</v>
      </c>
      <c r="D462" s="43" t="s">
        <v>36</v>
      </c>
      <c r="E462" s="37" t="s">
        <v>170</v>
      </c>
      <c r="F462" s="39"/>
      <c r="G462" s="39" t="s">
        <v>403</v>
      </c>
      <c r="H462" s="80">
        <f>I462/AJ462</f>
        <v>17232.410684863909</v>
      </c>
      <c r="I462" s="52">
        <f>SUM(J462:Q462)*IF(입력란!C$15=1,1.04,IF(입력란!C$15=2,1.1,IF(입력란!C$15=3,1.2,1)))*IF(입력란!$C$17&lt;&gt;0,0.98,1)*IF(입력란!$C$12=1,IF(G462="생명50%이하",1.2,1.1),1)*IF(입력란!$C$12=2,IF(G462="생명50%이하",1.3,1.1),1)*IF(입력란!$C$12=3,IF(G462="생명50%이하",1.4,1.1),1)</f>
        <v>495108.09667736839</v>
      </c>
      <c r="J462" s="25">
        <f>S462*(1+IF($AK462+IF(입력란!$C$19=1,10,0)+IF(MID(E462,3,1)="1",트라이포드!$J$23,0)&gt;100,100,$AK462+IF(입력란!$C$19=1,10,0)+IF(MID(E462,3,1)="1",트라이포드!$J$23,0))/100*($AL462/100-1))</f>
        <v>436860.08530356036</v>
      </c>
      <c r="K462" s="38"/>
      <c r="L462" s="38"/>
      <c r="M462" s="38"/>
      <c r="N462" s="38"/>
      <c r="O462" s="38"/>
      <c r="P462" s="38"/>
      <c r="Q462" s="34">
        <f>Z462*(1+IF($AK462+IF(입력란!$C$19=1,10,0)&gt;100,100,$AK462+IF(입력란!$C$19=1,10,0))/100*($AL462/100-1))</f>
        <v>58248.011373808054</v>
      </c>
      <c r="R462" s="23">
        <f>SUM(S462:Z462)</f>
        <v>404630.36897184595</v>
      </c>
      <c r="S462" s="25">
        <f>AN462*IF(MID(E462,3,1)="3",IF(G462="생명50%이하",트라이포드!$N$23,트라이포드!$M$23),1)*IF(MID(E462,5,1)="2",트라이포드!$R$23,트라이포드!$Q$23)*(1+입력란!$C$34/100)</f>
        <v>357026.79615162878</v>
      </c>
      <c r="T462" s="38"/>
      <c r="U462" s="38"/>
      <c r="V462" s="38"/>
      <c r="W462" s="38"/>
      <c r="X462" s="38"/>
      <c r="Y462" s="38"/>
      <c r="Z462" s="24">
        <f>AN462*IF(MID(E462,1,1)="1",트라이포드!$D$23,트라이포드!$C$23)*(1+입력란!$C$34/100)</f>
        <v>47603.572820217174</v>
      </c>
      <c r="AA462" s="29">
        <f>SUM(AB462:AI462)</f>
        <v>809260.7379436919</v>
      </c>
      <c r="AB462" s="29">
        <f>S462*2</f>
        <v>714053.59230325755</v>
      </c>
      <c r="AC462" s="38"/>
      <c r="AD462" s="38"/>
      <c r="AE462" s="38"/>
      <c r="AF462" s="38"/>
      <c r="AG462" s="38"/>
      <c r="AH462" s="38"/>
      <c r="AI462" s="24">
        <f>Z462*2</f>
        <v>95207.145640434348</v>
      </c>
      <c r="AJ462" s="29">
        <f>AR462*(1-입력란!$C$29/100)</f>
        <v>28.731215018700002</v>
      </c>
      <c r="AK46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2" s="25">
        <f>입력란!$C$37+IF(입력란!$C$17=1,10,IF(입력란!$C$17=2,25,IF(입력란!$C$17=3,50,0)))</f>
        <v>200</v>
      </c>
      <c r="AM462" s="25">
        <f>SUM(AN462:AP462)</f>
        <v>180512.35362568728</v>
      </c>
      <c r="AN462" s="29">
        <f>(VLOOKUP(C462,$B$4:$AKJ$7,31,FALSE)+VLOOKUP(C462,$B$8:$AK$11,31,FALSE)*입력란!$C$23)*입력란!$C$38/100</f>
        <v>180512.35362568728</v>
      </c>
      <c r="AO462" s="38"/>
      <c r="AP462" s="38"/>
      <c r="AQ462" s="38"/>
      <c r="AR462" s="12">
        <v>30</v>
      </c>
    </row>
    <row r="463" spans="2:44" ht="13.5" customHeight="1" x14ac:dyDescent="0.3">
      <c r="B463" s="30">
        <v>448</v>
      </c>
      <c r="C463" s="8">
        <v>10</v>
      </c>
      <c r="D463" s="43" t="s">
        <v>36</v>
      </c>
      <c r="E463" s="37" t="s">
        <v>169</v>
      </c>
      <c r="F463" s="39"/>
      <c r="G463" s="39" t="s">
        <v>403</v>
      </c>
      <c r="H463" s="80">
        <f>I463/AJ463</f>
        <v>15205.068251350511</v>
      </c>
      <c r="I463" s="52">
        <f>SUM(J463:Q463)*IF(입력란!C$15=1,1.04,IF(입력란!C$15=2,1.1,IF(입력란!C$15=3,1.2,1)))*IF(입력란!$C$17&lt;&gt;0,0.98,1)*IF(입력란!$C$12=1,IF(G463="생명50%이하",1.2,1.1),1)*IF(입력란!$C$12=2,IF(G463="생명50%이하",1.3,1.1),1)*IF(입력란!$C$12=3,IF(G463="생명50%이하",1.4,1.1),1)</f>
        <v>436860.08530356036</v>
      </c>
      <c r="J463" s="25">
        <f>S463*(1+IF($AK463+IF(입력란!$C$19=1,10,0)+IF(MID(E463,3,1)="1",트라이포드!$J$23,0)&gt;100,100,$AK463+IF(입력란!$C$19=1,10,0)+IF(MID(E463,3,1)="1",트라이포드!$J$23,0))/100*($AL463/100-1))</f>
        <v>436860.08530356036</v>
      </c>
      <c r="K463" s="38"/>
      <c r="L463" s="38"/>
      <c r="M463" s="38"/>
      <c r="N463" s="38"/>
      <c r="O463" s="38"/>
      <c r="P463" s="38"/>
      <c r="Q463" s="34">
        <f>Z463*(1+IF($AK463+IF(입력란!$C$19=1,10,0)&gt;100,100,$AK463+IF(입력란!$C$19=1,10,0))/100*($AL463/100-1))</f>
        <v>0</v>
      </c>
      <c r="R463" s="23">
        <f>SUM(S463:Z463)</f>
        <v>357026.79615162878</v>
      </c>
      <c r="S463" s="25">
        <f>AN463*IF(MID(E463,3,1)="3",IF(G463="생명50%이하",트라이포드!$N$23,트라이포드!$M$23),1)*IF(MID(E463,5,1)="2",트라이포드!$R$23,트라이포드!$Q$23)*(1+입력란!$C$34/100)</f>
        <v>357026.79615162878</v>
      </c>
      <c r="T463" s="38"/>
      <c r="U463" s="38"/>
      <c r="V463" s="38"/>
      <c r="W463" s="38"/>
      <c r="X463" s="38"/>
      <c r="Y463" s="38"/>
      <c r="Z463" s="24">
        <f>AN463*IF(MID(E463,1,1)="1",트라이포드!$D$23,트라이포드!$C$23)*(1+입력란!$C$34/100)</f>
        <v>0</v>
      </c>
      <c r="AA463" s="29">
        <f>SUM(AB463:AI463)</f>
        <v>714053.59230325755</v>
      </c>
      <c r="AB463" s="29">
        <f>S463*2</f>
        <v>714053.59230325755</v>
      </c>
      <c r="AC463" s="38"/>
      <c r="AD463" s="38"/>
      <c r="AE463" s="38"/>
      <c r="AF463" s="38"/>
      <c r="AG463" s="38"/>
      <c r="AH463" s="38"/>
      <c r="AI463" s="24">
        <f>Z463*2</f>
        <v>0</v>
      </c>
      <c r="AJ463" s="29">
        <f>AR463*(1-입력란!$C$29/100)</f>
        <v>28.731215018700002</v>
      </c>
      <c r="AK46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3" s="25">
        <f>입력란!$C$37+IF(입력란!$C$17=1,10,IF(입력란!$C$17=2,25,IF(입력란!$C$17=3,50,0)))</f>
        <v>200</v>
      </c>
      <c r="AM463" s="25">
        <f>SUM(AN463:AP463)</f>
        <v>180512.35362568728</v>
      </c>
      <c r="AN463" s="29">
        <f>(VLOOKUP(C463,$B$4:$AKJ$7,31,FALSE)+VLOOKUP(C463,$B$8:$AK$11,31,FALSE)*입력란!$C$23)*입력란!$C$38/100</f>
        <v>180512.35362568728</v>
      </c>
      <c r="AO463" s="38"/>
      <c r="AP463" s="38"/>
      <c r="AQ463" s="38"/>
      <c r="AR463" s="12">
        <v>30</v>
      </c>
    </row>
    <row r="464" spans="2:44" ht="13.5" customHeight="1" x14ac:dyDescent="0.3">
      <c r="B464" s="30">
        <v>449</v>
      </c>
      <c r="C464" s="8">
        <v>10</v>
      </c>
      <c r="D464" s="43" t="s">
        <v>36</v>
      </c>
      <c r="E464" s="37" t="s">
        <v>148</v>
      </c>
      <c r="F464" s="39"/>
      <c r="G464" s="39" t="s">
        <v>403</v>
      </c>
      <c r="H464" s="80">
        <f>I464/AJ464</f>
        <v>23445.632017815795</v>
      </c>
      <c r="I464" s="52">
        <f>SUM(J464:Q464)*IF(입력란!C$15=1,1.04,IF(입력란!C$15=2,1.1,IF(입력란!C$15=3,1.2,1)))*IF(입력란!$C$17&lt;&gt;0,0.98,1)*IF(입력란!$C$12=1,IF(G464="생명50%이하",1.2,1.1),1)*IF(입력란!$C$12=2,IF(G464="생명50%이하",1.3,1.1),1)*IF(입력란!$C$12=3,IF(G464="생명50%이하",1.4,1.1),1)</f>
        <v>673621.49475318275</v>
      </c>
      <c r="J464" s="25">
        <f>S464*(1+IF($AK464+IF(입력란!$C$19=1,10,0)+IF(MID(E464,3,1)="1",트라이포드!$J$23,0)&gt;100,100,$AK464+IF(입력란!$C$19=1,10,0)+IF(MID(E464,3,1)="1",트라이포드!$J$23,0))/100*($AL464/100-1))</f>
        <v>615373.48337937472</v>
      </c>
      <c r="K464" s="38"/>
      <c r="L464" s="38"/>
      <c r="M464" s="38"/>
      <c r="N464" s="38"/>
      <c r="O464" s="38"/>
      <c r="P464" s="38"/>
      <c r="Q464" s="34">
        <f>Z464*(1+IF($AK464+IF(입력란!$C$19=1,10,0)&gt;100,100,$AK464+IF(입력란!$C$19=1,10,0))/100*($AL464/100-1))</f>
        <v>58248.011373808054</v>
      </c>
      <c r="R464" s="23">
        <f>SUM(S464:Z464)</f>
        <v>404630.36897184595</v>
      </c>
      <c r="S464" s="25">
        <f>AN464*IF(MID(E464,3,1)="3",IF(G464="생명50%이하",트라이포드!$N$23,트라이포드!$M$23),1)*IF(MID(E464,5,1)="2",트라이포드!$R$23,트라이포드!$Q$23)*(1+입력란!$C$34/100)</f>
        <v>357026.79615162878</v>
      </c>
      <c r="T464" s="38"/>
      <c r="U464" s="38"/>
      <c r="V464" s="38"/>
      <c r="W464" s="38"/>
      <c r="X464" s="38"/>
      <c r="Y464" s="38"/>
      <c r="Z464" s="24">
        <f>AN464*IF(MID(E464,1,1)="1",트라이포드!$D$23,트라이포드!$C$23)*(1+입력란!$C$34/100)</f>
        <v>47603.572820217174</v>
      </c>
      <c r="AA464" s="29">
        <f>SUM(AB464:AI464)</f>
        <v>809260.7379436919</v>
      </c>
      <c r="AB464" s="29">
        <f>S464*2</f>
        <v>714053.59230325755</v>
      </c>
      <c r="AC464" s="38"/>
      <c r="AD464" s="38"/>
      <c r="AE464" s="38"/>
      <c r="AF464" s="38"/>
      <c r="AG464" s="38"/>
      <c r="AH464" s="38"/>
      <c r="AI464" s="24">
        <f>Z464*2</f>
        <v>95207.145640434348</v>
      </c>
      <c r="AJ464" s="29">
        <f>AR464*(1-입력란!$C$29/100)</f>
        <v>28.731215018700002</v>
      </c>
      <c r="AK46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4" s="25">
        <f>입력란!$C$37+IF(입력란!$C$17=1,10,IF(입력란!$C$17=2,25,IF(입력란!$C$17=3,50,0)))</f>
        <v>200</v>
      </c>
      <c r="AM464" s="25">
        <f>SUM(AN464:AP464)</f>
        <v>180512.35362568728</v>
      </c>
      <c r="AN464" s="29">
        <f>(VLOOKUP(C464,$B$4:$AKJ$7,31,FALSE)+VLOOKUP(C464,$B$8:$AK$11,31,FALSE)*입력란!$C$23)*입력란!$C$38/100</f>
        <v>180512.35362568728</v>
      </c>
      <c r="AO464" s="38"/>
      <c r="AP464" s="38"/>
      <c r="AQ464" s="38"/>
      <c r="AR464" s="12">
        <v>30</v>
      </c>
    </row>
    <row r="465" spans="2:44" ht="13.5" customHeight="1" x14ac:dyDescent="0.3">
      <c r="B465" s="30">
        <v>450</v>
      </c>
      <c r="C465" s="8">
        <v>10</v>
      </c>
      <c r="D465" s="43" t="s">
        <v>36</v>
      </c>
      <c r="E465" s="37" t="s">
        <v>158</v>
      </c>
      <c r="F465" s="39"/>
      <c r="G465" s="39" t="s">
        <v>403</v>
      </c>
      <c r="H465" s="80">
        <f>I465/AJ465</f>
        <v>21418.289584302391</v>
      </c>
      <c r="I465" s="52">
        <f>SUM(J465:Q465)*IF(입력란!C$15=1,1.04,IF(입력란!C$15=2,1.1,IF(입력란!C$15=3,1.2,1)))*IF(입력란!$C$17&lt;&gt;0,0.98,1)*IF(입력란!$C$12=1,IF(G465="생명50%이하",1.2,1.1),1)*IF(입력란!$C$12=2,IF(G465="생명50%이하",1.3,1.1),1)*IF(입력란!$C$12=3,IF(G465="생명50%이하",1.4,1.1),1)</f>
        <v>615373.48337937472</v>
      </c>
      <c r="J465" s="25">
        <f>S465*(1+IF($AK465+IF(입력란!$C$19=1,10,0)+IF(MID(E465,3,1)="1",트라이포드!$J$23,0)&gt;100,100,$AK465+IF(입력란!$C$19=1,10,0)+IF(MID(E465,3,1)="1",트라이포드!$J$23,0))/100*($AL465/100-1))</f>
        <v>615373.48337937472</v>
      </c>
      <c r="K465" s="38"/>
      <c r="L465" s="38"/>
      <c r="M465" s="38"/>
      <c r="N465" s="38"/>
      <c r="O465" s="38"/>
      <c r="P465" s="38"/>
      <c r="Q465" s="34">
        <f>Z465*(1+IF($AK465+IF(입력란!$C$19=1,10,0)&gt;100,100,$AK465+IF(입력란!$C$19=1,10,0))/100*($AL465/100-1))</f>
        <v>0</v>
      </c>
      <c r="R465" s="23">
        <f>SUM(S465:Z465)</f>
        <v>357026.79615162878</v>
      </c>
      <c r="S465" s="25">
        <f>AN465*IF(MID(E465,3,1)="3",IF(G465="생명50%이하",트라이포드!$N$23,트라이포드!$M$23),1)*IF(MID(E465,5,1)="2",트라이포드!$R$23,트라이포드!$Q$23)*(1+입력란!$C$34/100)</f>
        <v>357026.79615162878</v>
      </c>
      <c r="T465" s="38"/>
      <c r="U465" s="38"/>
      <c r="V465" s="38"/>
      <c r="W465" s="38"/>
      <c r="X465" s="38"/>
      <c r="Y465" s="38"/>
      <c r="Z465" s="24">
        <f>AN465*IF(MID(E465,1,1)="1",트라이포드!$D$23,트라이포드!$C$23)*(1+입력란!$C$34/100)</f>
        <v>0</v>
      </c>
      <c r="AA465" s="29">
        <f>SUM(AB465:AI465)</f>
        <v>714053.59230325755</v>
      </c>
      <c r="AB465" s="29">
        <f>S465*2</f>
        <v>714053.59230325755</v>
      </c>
      <c r="AC465" s="38"/>
      <c r="AD465" s="38"/>
      <c r="AE465" s="38"/>
      <c r="AF465" s="38"/>
      <c r="AG465" s="38"/>
      <c r="AH465" s="38"/>
      <c r="AI465" s="24">
        <f>Z465*2</f>
        <v>0</v>
      </c>
      <c r="AJ465" s="29">
        <f>AR465*(1-입력란!$C$29/100)</f>
        <v>28.731215018700002</v>
      </c>
      <c r="AK46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5" s="25">
        <f>입력란!$C$37+IF(입력란!$C$17=1,10,IF(입력란!$C$17=2,25,IF(입력란!$C$17=3,50,0)))</f>
        <v>200</v>
      </c>
      <c r="AM465" s="25">
        <f>SUM(AN465:AP465)</f>
        <v>180512.35362568728</v>
      </c>
      <c r="AN465" s="29">
        <f>(VLOOKUP(C465,$B$4:$AKJ$7,31,FALSE)+VLOOKUP(C465,$B$8:$AK$11,31,FALSE)*입력란!$C$23)*입력란!$C$38/100</f>
        <v>180512.35362568728</v>
      </c>
      <c r="AO465" s="38"/>
      <c r="AP465" s="38"/>
      <c r="AQ465" s="38"/>
      <c r="AR465" s="12">
        <v>30</v>
      </c>
    </row>
    <row r="466" spans="2:44" ht="13.5" customHeight="1" x14ac:dyDescent="0.3">
      <c r="B466" s="30">
        <v>451</v>
      </c>
      <c r="C466" s="8">
        <v>10</v>
      </c>
      <c r="D466" s="43" t="s">
        <v>36</v>
      </c>
      <c r="E466" s="37" t="s">
        <v>164</v>
      </c>
      <c r="F466" s="39"/>
      <c r="G466" s="39" t="s">
        <v>403</v>
      </c>
      <c r="H466" s="80">
        <f>I466/AJ466</f>
        <v>26355.451635674221</v>
      </c>
      <c r="I466" s="52">
        <f>SUM(J466:Q466)*IF(입력란!C$15=1,1.04,IF(입력란!C$15=2,1.1,IF(입력란!C$15=3,1.2,1)))*IF(입력란!$C$17&lt;&gt;0,0.98,1)*IF(입력란!$C$12=1,IF(G466="생명50%이하",1.2,1.1),1)*IF(입력란!$C$12=2,IF(G466="생명50%이하",1.3,1.1),1)*IF(입력란!$C$12=3,IF(G466="생명50%이하",1.4,1.1),1)</f>
        <v>757224.14785950468</v>
      </c>
      <c r="J466" s="25">
        <f>S466*(1+IF($AK466+IF(입력란!$C$19=1,10,0)+IF(MID(E466,3,1)="1",트라이포드!$J$23,0)&gt;100,100,$AK466+IF(입력란!$C$19=1,10,0)+IF(MID(E466,3,1)="1",트라이포드!$J$23,0))/100*($AL466/100-1))</f>
        <v>698976.13648569665</v>
      </c>
      <c r="K466" s="38"/>
      <c r="L466" s="38"/>
      <c r="M466" s="38"/>
      <c r="N466" s="38"/>
      <c r="O466" s="38"/>
      <c r="P466" s="38"/>
      <c r="Q466" s="34">
        <f>Z466*(1+IF($AK466+IF(입력란!$C$19=1,10,0)&gt;100,100,$AK466+IF(입력란!$C$19=1,10,0))/100*($AL466/100-1))</f>
        <v>58248.011373808054</v>
      </c>
      <c r="R466" s="23">
        <f>SUM(S466:Z466)</f>
        <v>618846.4466628232</v>
      </c>
      <c r="S466" s="25">
        <f>AN466*IF(MID(E466,3,1)="3",IF(G466="생명50%이하",트라이포드!$N$23,트라이포드!$M$23),1)*IF(MID(E466,5,1)="2",트라이포드!$R$23,트라이포드!$Q$23)*(1+입력란!$C$34/100)</f>
        <v>571242.87384260609</v>
      </c>
      <c r="T466" s="38"/>
      <c r="U466" s="38"/>
      <c r="V466" s="38"/>
      <c r="W466" s="38"/>
      <c r="X466" s="38"/>
      <c r="Y466" s="38"/>
      <c r="Z466" s="24">
        <f>AN466*IF(MID(E466,1,1)="1",트라이포드!$D$23,트라이포드!$C$23)*(1+입력란!$C$34/100)</f>
        <v>47603.572820217174</v>
      </c>
      <c r="AA466" s="29">
        <f>SUM(AB466:AI466)</f>
        <v>1237692.8933256464</v>
      </c>
      <c r="AB466" s="29">
        <f>S466*2</f>
        <v>1142485.7476852122</v>
      </c>
      <c r="AC466" s="38"/>
      <c r="AD466" s="38"/>
      <c r="AE466" s="38"/>
      <c r="AF466" s="38"/>
      <c r="AG466" s="38"/>
      <c r="AH466" s="38"/>
      <c r="AI466" s="24">
        <f>Z466*2</f>
        <v>95207.145640434348</v>
      </c>
      <c r="AJ466" s="29">
        <f>AR466*(1-입력란!$C$29/100)</f>
        <v>28.731215018700002</v>
      </c>
      <c r="AK46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6" s="25">
        <f>입력란!$C$37+IF(입력란!$C$17=1,10,IF(입력란!$C$17=2,25,IF(입력란!$C$17=3,50,0)))</f>
        <v>200</v>
      </c>
      <c r="AM466" s="25">
        <f>SUM(AN466:AP466)</f>
        <v>180512.35362568728</v>
      </c>
      <c r="AN466" s="29">
        <f>(VLOOKUP(C466,$B$4:$AKJ$7,31,FALSE)+VLOOKUP(C466,$B$8:$AK$11,31,FALSE)*입력란!$C$23)*입력란!$C$38/100</f>
        <v>180512.35362568728</v>
      </c>
      <c r="AO466" s="38"/>
      <c r="AP466" s="38"/>
      <c r="AQ466" s="38"/>
      <c r="AR466" s="12">
        <v>30</v>
      </c>
    </row>
    <row r="467" spans="2:44" ht="13.5" customHeight="1" x14ac:dyDescent="0.3">
      <c r="B467" s="30">
        <v>452</v>
      </c>
      <c r="C467" s="8">
        <v>10</v>
      </c>
      <c r="D467" s="43" t="s">
        <v>36</v>
      </c>
      <c r="E467" s="37" t="s">
        <v>160</v>
      </c>
      <c r="F467" s="39"/>
      <c r="G467" s="39" t="s">
        <v>403</v>
      </c>
      <c r="H467" s="80">
        <f>I467/AJ467</f>
        <v>24328.10920216082</v>
      </c>
      <c r="I467" s="52">
        <f>SUM(J467:Q467)*IF(입력란!C$15=1,1.04,IF(입력란!C$15=2,1.1,IF(입력란!C$15=3,1.2,1)))*IF(입력란!$C$17&lt;&gt;0,0.98,1)*IF(입력란!$C$12=1,IF(G467="생명50%이하",1.2,1.1),1)*IF(입력란!$C$12=2,IF(G467="생명50%이하",1.3,1.1),1)*IF(입력란!$C$12=3,IF(G467="생명50%이하",1.4,1.1),1)</f>
        <v>698976.13648569665</v>
      </c>
      <c r="J467" s="25">
        <f>S467*(1+IF($AK467+IF(입력란!$C$19=1,10,0)+IF(MID(E467,3,1)="1",트라이포드!$J$23,0)&gt;100,100,$AK467+IF(입력란!$C$19=1,10,0)+IF(MID(E467,3,1)="1",트라이포드!$J$23,0))/100*($AL467/100-1))</f>
        <v>698976.13648569665</v>
      </c>
      <c r="K467" s="38"/>
      <c r="L467" s="38"/>
      <c r="M467" s="38"/>
      <c r="N467" s="38"/>
      <c r="O467" s="38"/>
      <c r="P467" s="38"/>
      <c r="Q467" s="34">
        <f>Z467*(1+IF($AK467+IF(입력란!$C$19=1,10,0)&gt;100,100,$AK467+IF(입력란!$C$19=1,10,0))/100*($AL467/100-1))</f>
        <v>0</v>
      </c>
      <c r="R467" s="23">
        <f>SUM(S467:Z467)</f>
        <v>571242.87384260609</v>
      </c>
      <c r="S467" s="25">
        <f>AN467*IF(MID(E467,3,1)="3",IF(G467="생명50%이하",트라이포드!$N$23,트라이포드!$M$23),1)*IF(MID(E467,5,1)="2",트라이포드!$R$23,트라이포드!$Q$23)*(1+입력란!$C$34/100)</f>
        <v>571242.87384260609</v>
      </c>
      <c r="T467" s="38"/>
      <c r="U467" s="38"/>
      <c r="V467" s="38"/>
      <c r="W467" s="38"/>
      <c r="X467" s="38"/>
      <c r="Y467" s="38"/>
      <c r="Z467" s="24">
        <f>AN467*IF(MID(E467,1,1)="1",트라이포드!$D$23,트라이포드!$C$23)*(1+입력란!$C$34/100)</f>
        <v>0</v>
      </c>
      <c r="AA467" s="29">
        <f>SUM(AB467:AI467)</f>
        <v>1142485.7476852122</v>
      </c>
      <c r="AB467" s="29">
        <f>S467*2</f>
        <v>1142485.7476852122</v>
      </c>
      <c r="AC467" s="38"/>
      <c r="AD467" s="38"/>
      <c r="AE467" s="38"/>
      <c r="AF467" s="38"/>
      <c r="AG467" s="38"/>
      <c r="AH467" s="38"/>
      <c r="AI467" s="24">
        <f>Z467*2</f>
        <v>0</v>
      </c>
      <c r="AJ467" s="29">
        <f>AR467*(1-입력란!$C$29/100)</f>
        <v>28.731215018700002</v>
      </c>
      <c r="AK46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67" s="25">
        <f>입력란!$C$37+IF(입력란!$C$17=1,10,IF(입력란!$C$17=2,25,IF(입력란!$C$17=3,50,0)))</f>
        <v>200</v>
      </c>
      <c r="AM467" s="25">
        <f>SUM(AN467:AP467)</f>
        <v>180512.35362568728</v>
      </c>
      <c r="AN467" s="29">
        <f>(VLOOKUP(C467,$B$4:$AKJ$7,31,FALSE)+VLOOKUP(C467,$B$8:$AK$11,31,FALSE)*입력란!$C$23)*입력란!$C$38/100</f>
        <v>180512.35362568728</v>
      </c>
      <c r="AO467" s="38"/>
      <c r="AP467" s="38"/>
      <c r="AQ467" s="38"/>
      <c r="AR467" s="12">
        <v>30</v>
      </c>
    </row>
    <row r="468" spans="2:44" ht="13.5" customHeight="1" x14ac:dyDescent="0.3">
      <c r="B468" s="30">
        <v>453</v>
      </c>
      <c r="C468" s="39">
        <v>1</v>
      </c>
      <c r="D468" s="43" t="s">
        <v>36</v>
      </c>
      <c r="E468" s="37" t="s">
        <v>57</v>
      </c>
      <c r="F468" s="39"/>
      <c r="G468" s="39" t="s">
        <v>430</v>
      </c>
      <c r="H468" s="80">
        <f>J468*2/(1+1/(K468/J468))</f>
        <v>10063.485751751075</v>
      </c>
      <c r="I468" s="80"/>
      <c r="J468" s="25">
        <f t="array" ref="J468">IFERROR(INDEX($H$16:$H$582,MATCH(1,(C468=$C$16:$C$582)*(D468=$D$16:$D$582)*(E468=$E$16:$E$582)*(""=$G$16:$G$582),0)),"값이없음")</f>
        <v>10063.485751751075</v>
      </c>
      <c r="K468" s="38">
        <f t="array" ref="K468">IFERROR(INDEX($H$16:$H$582,MATCH(1,(C468=$C$16:$C$582)*(D468=$D$16:$D$582)*(E468=$E$16:$E$582)*("생명50%이하"=$G$16:$G$582),0)),"값이없음")</f>
        <v>10063.485751751075</v>
      </c>
      <c r="L468" s="25"/>
      <c r="M468" s="25"/>
      <c r="N468" s="38"/>
      <c r="O468" s="38"/>
      <c r="P468" s="38"/>
      <c r="Q468" s="34"/>
      <c r="R468" s="23"/>
      <c r="S468" s="25"/>
      <c r="T468" s="25"/>
      <c r="U468" s="25"/>
      <c r="V468" s="25"/>
      <c r="W468" s="25"/>
      <c r="X468" s="25"/>
      <c r="Y468" s="25"/>
      <c r="Z468" s="24"/>
      <c r="AA468" s="29"/>
      <c r="AB468" s="29"/>
      <c r="AC468" s="25"/>
      <c r="AD468" s="25"/>
      <c r="AE468" s="25"/>
      <c r="AF468" s="38"/>
      <c r="AG468" s="38"/>
      <c r="AH468" s="38"/>
      <c r="AI468" s="24"/>
      <c r="AJ468" s="29"/>
      <c r="AK468" s="25"/>
      <c r="AL468" s="25"/>
      <c r="AM468" s="25"/>
      <c r="AN468" s="29"/>
      <c r="AO468" s="38"/>
      <c r="AP468" s="38"/>
      <c r="AQ468" s="38"/>
      <c r="AR468" s="12"/>
    </row>
    <row r="469" spans="2:44" ht="13.5" customHeight="1" x14ac:dyDescent="0.3">
      <c r="B469" s="30">
        <v>454</v>
      </c>
      <c r="C469" s="8">
        <v>4</v>
      </c>
      <c r="D469" s="43" t="s">
        <v>36</v>
      </c>
      <c r="E469" s="37" t="s">
        <v>290</v>
      </c>
      <c r="F469" s="39"/>
      <c r="G469" s="39" t="s">
        <v>430</v>
      </c>
      <c r="H469" s="80">
        <f>J469*2/(1+1/(K469/J469))</f>
        <v>12126.075698055387</v>
      </c>
      <c r="I469" s="80"/>
      <c r="J469" s="25">
        <f t="array" ref="J469">IFERROR(INDEX($H$16:$H$582,MATCH(1,(C469=$C$16:$C$582)*(D469=$D$16:$D$582)*(E469=$E$16:$E$582)*(""=$G$16:$G$582),0)),"값이없음")</f>
        <v>12126.075698055387</v>
      </c>
      <c r="K469" s="38">
        <f t="array" ref="K469">IFERROR(INDEX($H$16:$H$582,MATCH(1,(C469=$C$16:$C$582)*(D469=$D$16:$D$582)*(E469=$E$16:$E$582)*("생명50%이하"=$G$16:$G$582),0)),"값이없음")</f>
        <v>12126.075698055387</v>
      </c>
      <c r="L469" s="38"/>
      <c r="M469" s="38"/>
      <c r="N469" s="38"/>
      <c r="O469" s="38"/>
      <c r="P469" s="38"/>
      <c r="Q469" s="34"/>
      <c r="R469" s="23"/>
      <c r="S469" s="25"/>
      <c r="T469" s="38"/>
      <c r="U469" s="38"/>
      <c r="V469" s="38"/>
      <c r="W469" s="38"/>
      <c r="X469" s="38"/>
      <c r="Y469" s="38"/>
      <c r="Z469" s="24"/>
      <c r="AA469" s="29"/>
      <c r="AB469" s="29"/>
      <c r="AC469" s="38"/>
      <c r="AD469" s="38"/>
      <c r="AE469" s="38"/>
      <c r="AF469" s="38"/>
      <c r="AG469" s="38"/>
      <c r="AH469" s="38"/>
      <c r="AI469" s="24"/>
      <c r="AJ469" s="29"/>
      <c r="AK469" s="25"/>
      <c r="AL469" s="25"/>
      <c r="AM469" s="25"/>
      <c r="AN469" s="29"/>
      <c r="AO469" s="38"/>
      <c r="AP469" s="38"/>
      <c r="AQ469" s="38"/>
      <c r="AR469" s="12"/>
    </row>
    <row r="470" spans="2:44" ht="13.5" customHeight="1" x14ac:dyDescent="0.3">
      <c r="B470" s="30">
        <v>455</v>
      </c>
      <c r="C470" s="8">
        <v>4</v>
      </c>
      <c r="D470" s="43" t="s">
        <v>36</v>
      </c>
      <c r="E470" s="37" t="s">
        <v>57</v>
      </c>
      <c r="F470" s="39"/>
      <c r="G470" s="39" t="s">
        <v>430</v>
      </c>
      <c r="H470" s="80">
        <f>J470*2/(1+1/(K470/J470))</f>
        <v>10105.063081712822</v>
      </c>
      <c r="I470" s="80"/>
      <c r="J470" s="25">
        <f t="array" ref="J470">IFERROR(INDEX($H$16:$H$582,MATCH(1,(C470=$C$16:$C$582)*(D470=$D$16:$D$582)*(E470=$E$16:$E$582)*(""=$G$16:$G$582),0)),"값이없음")</f>
        <v>10105.063081712822</v>
      </c>
      <c r="K470" s="38">
        <f t="array" ref="K470">IFERROR(INDEX($H$16:$H$582,MATCH(1,(C470=$C$16:$C$582)*(D470=$D$16:$D$582)*(E470=$E$16:$E$582)*("생명50%이하"=$G$16:$G$582),0)),"값이없음")</f>
        <v>10105.063081712822</v>
      </c>
      <c r="L470" s="38"/>
      <c r="M470" s="38"/>
      <c r="N470" s="38"/>
      <c r="O470" s="38"/>
      <c r="P470" s="38"/>
      <c r="Q470" s="34"/>
      <c r="R470" s="23"/>
      <c r="S470" s="25"/>
      <c r="T470" s="38"/>
      <c r="U470" s="38"/>
      <c r="V470" s="38"/>
      <c r="W470" s="38"/>
      <c r="X470" s="38"/>
      <c r="Y470" s="38"/>
      <c r="Z470" s="24"/>
      <c r="AA470" s="29"/>
      <c r="AB470" s="29"/>
      <c r="AC470" s="38"/>
      <c r="AD470" s="38"/>
      <c r="AE470" s="38"/>
      <c r="AF470" s="38"/>
      <c r="AG470" s="38"/>
      <c r="AH470" s="38"/>
      <c r="AI470" s="24"/>
      <c r="AJ470" s="29"/>
      <c r="AK470" s="25"/>
      <c r="AL470" s="25"/>
      <c r="AM470" s="25"/>
      <c r="AN470" s="29"/>
      <c r="AO470" s="38"/>
      <c r="AP470" s="38"/>
      <c r="AQ470" s="38"/>
      <c r="AR470" s="12"/>
    </row>
    <row r="471" spans="2:44" ht="13.5" customHeight="1" x14ac:dyDescent="0.3">
      <c r="B471" s="30">
        <v>456</v>
      </c>
      <c r="C471" s="8">
        <v>7</v>
      </c>
      <c r="D471" s="43" t="s">
        <v>36</v>
      </c>
      <c r="E471" s="37" t="s">
        <v>57</v>
      </c>
      <c r="F471" s="39"/>
      <c r="G471" s="39" t="s">
        <v>430</v>
      </c>
      <c r="H471" s="80">
        <f>J471*2/(1+1/(K471/J471))</f>
        <v>10124.380479750154</v>
      </c>
      <c r="I471" s="80"/>
      <c r="J471" s="25">
        <f t="array" ref="J471">IFERROR(INDEX($H$16:$H$582,MATCH(1,(C471=$C$16:$C$582)*(D471=$D$16:$D$582)*(E471=$E$16:$E$582)*(""=$G$16:$G$582),0)),"값이없음")</f>
        <v>10124.380479750154</v>
      </c>
      <c r="K471" s="38">
        <f t="array" ref="K471">IFERROR(INDEX($H$16:$H$582,MATCH(1,(C471=$C$16:$C$582)*(D471=$D$16:$D$582)*(E471=$E$16:$E$582)*("생명50%이하"=$G$16:$G$582),0)),"값이없음")</f>
        <v>10124.380479750154</v>
      </c>
      <c r="L471" s="38"/>
      <c r="M471" s="38"/>
      <c r="N471" s="38"/>
      <c r="O471" s="38"/>
      <c r="P471" s="38"/>
      <c r="Q471" s="34"/>
      <c r="R471" s="23"/>
      <c r="S471" s="25"/>
      <c r="T471" s="38"/>
      <c r="U471" s="38"/>
      <c r="V471" s="38"/>
      <c r="W471" s="38"/>
      <c r="X471" s="38"/>
      <c r="Y471" s="38"/>
      <c r="Z471" s="24"/>
      <c r="AA471" s="29"/>
      <c r="AB471" s="29"/>
      <c r="AC471" s="38"/>
      <c r="AD471" s="38"/>
      <c r="AE471" s="38"/>
      <c r="AF471" s="38"/>
      <c r="AG471" s="38"/>
      <c r="AH471" s="38"/>
      <c r="AI471" s="24"/>
      <c r="AJ471" s="29"/>
      <c r="AK471" s="25"/>
      <c r="AL471" s="25"/>
      <c r="AM471" s="25"/>
      <c r="AN471" s="29"/>
      <c r="AO471" s="38"/>
      <c r="AP471" s="38"/>
      <c r="AQ471" s="38"/>
      <c r="AR471" s="12"/>
    </row>
    <row r="472" spans="2:44" ht="13.5" customHeight="1" x14ac:dyDescent="0.3">
      <c r="B472" s="30">
        <v>457</v>
      </c>
      <c r="C472" s="8">
        <v>7</v>
      </c>
      <c r="D472" s="43" t="s">
        <v>36</v>
      </c>
      <c r="E472" s="37" t="s">
        <v>313</v>
      </c>
      <c r="F472" s="39"/>
      <c r="G472" s="39" t="s">
        <v>430</v>
      </c>
      <c r="H472" s="80">
        <f>J472*2/(1+1/(K472/J472))</f>
        <v>16286.365054257529</v>
      </c>
      <c r="I472" s="80"/>
      <c r="J472" s="25">
        <f t="array" ref="J472">IFERROR(INDEX($H$16:$H$582,MATCH(1,(C472=$C$16:$C$582)*(D472=$D$16:$D$582)*(E472=$E$16:$E$582)*(""=$G$16:$G$582),0)),"값이없음")</f>
        <v>16286.365054257529</v>
      </c>
      <c r="K472" s="38">
        <f t="array" ref="K472">IFERROR(INDEX($H$16:$H$582,MATCH(1,(C472=$C$16:$C$582)*(D472=$D$16:$D$582)*(E472=$E$16:$E$582)*("생명50%이하"=$G$16:$G$582),0)),"값이없음")</f>
        <v>16286.365054257529</v>
      </c>
      <c r="L472" s="38"/>
      <c r="M472" s="38"/>
      <c r="N472" s="38"/>
      <c r="O472" s="38"/>
      <c r="P472" s="38"/>
      <c r="Q472" s="34"/>
      <c r="R472" s="23"/>
      <c r="S472" s="25"/>
      <c r="T472" s="38"/>
      <c r="U472" s="38"/>
      <c r="V472" s="38"/>
      <c r="W472" s="38"/>
      <c r="X472" s="38"/>
      <c r="Y472" s="38"/>
      <c r="Z472" s="24"/>
      <c r="AA472" s="29"/>
      <c r="AB472" s="29"/>
      <c r="AC472" s="38"/>
      <c r="AD472" s="38"/>
      <c r="AE472" s="38"/>
      <c r="AF472" s="38"/>
      <c r="AG472" s="38"/>
      <c r="AH472" s="38"/>
      <c r="AI472" s="24"/>
      <c r="AJ472" s="29"/>
      <c r="AK472" s="25"/>
      <c r="AL472" s="25"/>
      <c r="AM472" s="25"/>
      <c r="AN472" s="29"/>
      <c r="AO472" s="38"/>
      <c r="AP472" s="38"/>
      <c r="AQ472" s="38"/>
      <c r="AR472" s="12"/>
    </row>
    <row r="473" spans="2:44" ht="13.5" customHeight="1" x14ac:dyDescent="0.3">
      <c r="B473" s="30">
        <v>458</v>
      </c>
      <c r="C473" s="8">
        <v>7</v>
      </c>
      <c r="D473" s="43" t="s">
        <v>36</v>
      </c>
      <c r="E473" s="37" t="s">
        <v>77</v>
      </c>
      <c r="F473" s="39"/>
      <c r="G473" s="39" t="s">
        <v>430</v>
      </c>
      <c r="H473" s="80">
        <f>J473*2/(1+1/(K473/J473))</f>
        <v>14261.488958307498</v>
      </c>
      <c r="I473" s="80"/>
      <c r="J473" s="25">
        <f t="array" ref="J473">IFERROR(INDEX($H$16:$H$582,MATCH(1,(C473=$C$16:$C$582)*(D473=$D$16:$D$582)*(E473=$E$16:$E$582)*(""=$G$16:$G$582),0)),"값이없음")</f>
        <v>14261.488958307498</v>
      </c>
      <c r="K473" s="38">
        <f t="array" ref="K473">IFERROR(INDEX($H$16:$H$582,MATCH(1,(C473=$C$16:$C$582)*(D473=$D$16:$D$582)*(E473=$E$16:$E$582)*("생명50%이하"=$G$16:$G$582),0)),"값이없음")</f>
        <v>14261.488958307498</v>
      </c>
      <c r="L473" s="38"/>
      <c r="M473" s="38"/>
      <c r="N473" s="38"/>
      <c r="O473" s="38"/>
      <c r="P473" s="38"/>
      <c r="Q473" s="34"/>
      <c r="R473" s="23"/>
      <c r="S473" s="25"/>
      <c r="T473" s="38"/>
      <c r="U473" s="38"/>
      <c r="V473" s="38"/>
      <c r="W473" s="38"/>
      <c r="X473" s="38"/>
      <c r="Y473" s="38"/>
      <c r="Z473" s="24"/>
      <c r="AA473" s="29"/>
      <c r="AB473" s="29"/>
      <c r="AC473" s="38"/>
      <c r="AD473" s="38"/>
      <c r="AE473" s="38"/>
      <c r="AF473" s="38"/>
      <c r="AG473" s="38"/>
      <c r="AH473" s="38"/>
      <c r="AI473" s="24"/>
      <c r="AJ473" s="29"/>
      <c r="AK473" s="25"/>
      <c r="AL473" s="25"/>
      <c r="AM473" s="25"/>
      <c r="AN473" s="29"/>
      <c r="AO473" s="38"/>
      <c r="AP473" s="38"/>
      <c r="AQ473" s="38"/>
      <c r="AR473" s="12"/>
    </row>
    <row r="474" spans="2:44" ht="13.5" customHeight="1" x14ac:dyDescent="0.3">
      <c r="B474" s="30">
        <v>459</v>
      </c>
      <c r="C474" s="8">
        <v>7</v>
      </c>
      <c r="D474" s="43" t="s">
        <v>36</v>
      </c>
      <c r="E474" s="37" t="s">
        <v>290</v>
      </c>
      <c r="F474" s="39"/>
      <c r="G474" s="39" t="s">
        <v>430</v>
      </c>
      <c r="H474" s="80">
        <f>J474*2/(1+1/(K474/J474))</f>
        <v>12149.256575700185</v>
      </c>
      <c r="I474" s="80"/>
      <c r="J474" s="25">
        <f t="array" ref="J474">IFERROR(INDEX($H$16:$H$582,MATCH(1,(C474=$C$16:$C$582)*(D474=$D$16:$D$582)*(E474=$E$16:$E$582)*(""=$G$16:$G$582),0)),"값이없음")</f>
        <v>12149.256575700185</v>
      </c>
      <c r="K474" s="38">
        <f t="array" ref="K474">IFERROR(INDEX($H$16:$H$582,MATCH(1,(C474=$C$16:$C$582)*(D474=$D$16:$D$582)*(E474=$E$16:$E$582)*("생명50%이하"=$G$16:$G$582),0)),"값이없음")</f>
        <v>12149.256575700185</v>
      </c>
      <c r="L474" s="38"/>
      <c r="M474" s="38"/>
      <c r="N474" s="38"/>
      <c r="O474" s="38"/>
      <c r="P474" s="38"/>
      <c r="Q474" s="34"/>
      <c r="R474" s="23"/>
      <c r="S474" s="25"/>
      <c r="T474" s="38"/>
      <c r="U474" s="38"/>
      <c r="V474" s="38"/>
      <c r="W474" s="38"/>
      <c r="X474" s="38"/>
      <c r="Y474" s="38"/>
      <c r="Z474" s="24"/>
      <c r="AA474" s="29"/>
      <c r="AB474" s="29"/>
      <c r="AC474" s="38"/>
      <c r="AD474" s="38"/>
      <c r="AE474" s="38"/>
      <c r="AF474" s="38"/>
      <c r="AG474" s="38"/>
      <c r="AH474" s="38"/>
      <c r="AI474" s="24"/>
      <c r="AJ474" s="29"/>
      <c r="AK474" s="25"/>
      <c r="AL474" s="25"/>
      <c r="AM474" s="25"/>
      <c r="AN474" s="29"/>
      <c r="AO474" s="38"/>
      <c r="AP474" s="38"/>
      <c r="AQ474" s="38"/>
      <c r="AR474" s="12"/>
    </row>
    <row r="475" spans="2:44" ht="13.5" customHeight="1" x14ac:dyDescent="0.3">
      <c r="B475" s="30">
        <v>460</v>
      </c>
      <c r="C475" s="8">
        <v>7</v>
      </c>
      <c r="D475" s="43" t="s">
        <v>36</v>
      </c>
      <c r="E475" s="37" t="s">
        <v>315</v>
      </c>
      <c r="F475" s="39"/>
      <c r="G475" s="39" t="s">
        <v>430</v>
      </c>
      <c r="H475" s="80">
        <f>J475*2/(1+1/(K475/J475))</f>
        <v>14579.107890840223</v>
      </c>
      <c r="I475" s="80"/>
      <c r="J475" s="25">
        <f t="array" ref="J475">IFERROR(INDEX($H$16:$H$582,MATCH(1,(C475=$C$16:$C$582)*(D475=$D$16:$D$582)*(E475=$E$16:$E$582)*(""=$G$16:$G$582),0)),"값이없음")</f>
        <v>12149.256575700185</v>
      </c>
      <c r="K475" s="38">
        <f t="array" ref="K475">IFERROR(INDEX($H$16:$H$582,MATCH(1,(C475=$C$16:$C$582)*(D475=$D$16:$D$582)*(E475=$E$16:$E$582)*("생명50%이하"=$G$16:$G$582),0)),"값이없음")</f>
        <v>18223.884863550276</v>
      </c>
      <c r="L475" s="38"/>
      <c r="M475" s="38"/>
      <c r="N475" s="38"/>
      <c r="O475" s="38"/>
      <c r="P475" s="38"/>
      <c r="Q475" s="34"/>
      <c r="R475" s="23"/>
      <c r="S475" s="25"/>
      <c r="T475" s="38"/>
      <c r="U475" s="38"/>
      <c r="V475" s="38"/>
      <c r="W475" s="38"/>
      <c r="X475" s="38"/>
      <c r="Y475" s="38"/>
      <c r="Z475" s="24"/>
      <c r="AA475" s="29"/>
      <c r="AB475" s="29"/>
      <c r="AC475" s="38"/>
      <c r="AD475" s="38"/>
      <c r="AE475" s="38"/>
      <c r="AF475" s="38"/>
      <c r="AG475" s="38"/>
      <c r="AH475" s="38"/>
      <c r="AI475" s="24"/>
      <c r="AJ475" s="29"/>
      <c r="AK475" s="25"/>
      <c r="AL475" s="25"/>
      <c r="AM475" s="25"/>
      <c r="AN475" s="29"/>
      <c r="AO475" s="38"/>
      <c r="AP475" s="38"/>
      <c r="AQ475" s="38"/>
      <c r="AR475" s="12"/>
    </row>
    <row r="476" spans="2:44" ht="13.5" customHeight="1" x14ac:dyDescent="0.3">
      <c r="B476" s="30">
        <v>461</v>
      </c>
      <c r="C476" s="8">
        <v>7</v>
      </c>
      <c r="D476" s="43" t="s">
        <v>36</v>
      </c>
      <c r="E476" s="37" t="s">
        <v>60</v>
      </c>
      <c r="F476" s="39"/>
      <c r="G476" s="39" t="s">
        <v>430</v>
      </c>
      <c r="H476" s="80">
        <f>J476*2/(1+1/(K476/J476))</f>
        <v>12460.775975077113</v>
      </c>
      <c r="I476" s="80"/>
      <c r="J476" s="25">
        <f t="array" ref="J476">IFERROR(INDEX($H$16:$H$582,MATCH(1,(C476=$C$16:$C$582)*(D476=$D$16:$D$582)*(E476=$E$16:$E$582)*(""=$G$16:$G$582),0)),"값이없음")</f>
        <v>10124.380479750154</v>
      </c>
      <c r="K476" s="38">
        <f t="array" ref="K476">IFERROR(INDEX($H$16:$H$582,MATCH(1,(C476=$C$16:$C$582)*(D476=$D$16:$D$582)*(E476=$E$16:$E$582)*("생명50%이하"=$G$16:$G$582),0)),"값이없음")</f>
        <v>16199.008767600246</v>
      </c>
      <c r="L476" s="38"/>
      <c r="M476" s="38"/>
      <c r="N476" s="38"/>
      <c r="O476" s="38"/>
      <c r="P476" s="38"/>
      <c r="Q476" s="34"/>
      <c r="R476" s="23"/>
      <c r="S476" s="25"/>
      <c r="T476" s="38"/>
      <c r="U476" s="38"/>
      <c r="V476" s="38"/>
      <c r="W476" s="38"/>
      <c r="X476" s="38"/>
      <c r="Y476" s="38"/>
      <c r="Z476" s="24"/>
      <c r="AA476" s="29"/>
      <c r="AB476" s="29"/>
      <c r="AC476" s="38"/>
      <c r="AD476" s="38"/>
      <c r="AE476" s="38"/>
      <c r="AF476" s="38"/>
      <c r="AG476" s="38"/>
      <c r="AH476" s="38"/>
      <c r="AI476" s="24"/>
      <c r="AJ476" s="29"/>
      <c r="AK476" s="25"/>
      <c r="AL476" s="25"/>
      <c r="AM476" s="25"/>
      <c r="AN476" s="29"/>
      <c r="AO476" s="38"/>
      <c r="AP476" s="38"/>
      <c r="AQ476" s="38"/>
      <c r="AR476" s="12"/>
    </row>
    <row r="477" spans="2:44" ht="13.5" customHeight="1" x14ac:dyDescent="0.3">
      <c r="B477" s="30">
        <v>462</v>
      </c>
      <c r="C477" s="8">
        <v>10</v>
      </c>
      <c r="D477" s="43" t="s">
        <v>36</v>
      </c>
      <c r="E477" s="37" t="s">
        <v>57</v>
      </c>
      <c r="F477" s="39"/>
      <c r="G477" s="39" t="s">
        <v>430</v>
      </c>
      <c r="H477" s="80">
        <f>J477*2/(1+1/(K477/J477))</f>
        <v>10136.71216756701</v>
      </c>
      <c r="I477" s="80"/>
      <c r="J477" s="25">
        <f t="array" ref="J477">IFERROR(INDEX($H$16:$H$582,MATCH(1,(C477=$C$16:$C$582)*(D477=$D$16:$D$582)*(E477=$E$16:$E$582)*(""=$G$16:$G$582),0)),"값이없음")</f>
        <v>10136.71216756701</v>
      </c>
      <c r="K477" s="38">
        <f t="array" ref="K477">IFERROR(INDEX($H$16:$H$582,MATCH(1,(C477=$C$16:$C$582)*(D477=$D$16:$D$582)*(E477=$E$16:$E$582)*("생명50%이하"=$G$16:$G$582),0)),"값이없음")</f>
        <v>10136.71216756701</v>
      </c>
      <c r="L477" s="38"/>
      <c r="M477" s="38"/>
      <c r="N477" s="38"/>
      <c r="O477" s="38"/>
      <c r="P477" s="38"/>
      <c r="Q477" s="34"/>
      <c r="R477" s="23"/>
      <c r="S477" s="25"/>
      <c r="T477" s="38"/>
      <c r="U477" s="38"/>
      <c r="V477" s="38"/>
      <c r="W477" s="38"/>
      <c r="X477" s="38"/>
      <c r="Y477" s="38"/>
      <c r="Z477" s="24"/>
      <c r="AA477" s="29"/>
      <c r="AB477" s="29"/>
      <c r="AC477" s="38"/>
      <c r="AD477" s="38"/>
      <c r="AE477" s="38"/>
      <c r="AF477" s="38"/>
      <c r="AG477" s="38"/>
      <c r="AH477" s="38"/>
      <c r="AI477" s="24"/>
      <c r="AJ477" s="29"/>
      <c r="AK477" s="25"/>
      <c r="AL477" s="25"/>
      <c r="AM477" s="25"/>
      <c r="AN477" s="29"/>
      <c r="AO477" s="38"/>
      <c r="AP477" s="38"/>
      <c r="AQ477" s="38"/>
      <c r="AR477" s="12"/>
    </row>
    <row r="478" spans="2:44" ht="13.5" customHeight="1" x14ac:dyDescent="0.3">
      <c r="B478" s="30">
        <v>463</v>
      </c>
      <c r="C478" s="8">
        <v>10</v>
      </c>
      <c r="D478" s="43" t="s">
        <v>36</v>
      </c>
      <c r="E478" s="37" t="s">
        <v>170</v>
      </c>
      <c r="F478" s="39"/>
      <c r="G478" s="39" t="s">
        <v>430</v>
      </c>
      <c r="H478" s="80">
        <f>J478*2/(1+1/(K478/J478))</f>
        <v>17232.410684863909</v>
      </c>
      <c r="I478" s="80"/>
      <c r="J478" s="25">
        <f t="array" ref="J478">IFERROR(INDEX($H$16:$H$582,MATCH(1,(C478=$C$16:$C$582)*(D478=$D$16:$D$582)*(E478=$E$16:$E$582)*(""=$G$16:$G$582),0)),"값이없음")</f>
        <v>17232.410684863909</v>
      </c>
      <c r="K478" s="38">
        <f t="array" ref="K478">IFERROR(INDEX($H$16:$H$582,MATCH(1,(C478=$C$16:$C$582)*(D478=$D$16:$D$582)*(E478=$E$16:$E$582)*("생명50%이하"=$G$16:$G$582),0)),"값이없음")</f>
        <v>17232.410684863909</v>
      </c>
      <c r="L478" s="38"/>
      <c r="M478" s="38"/>
      <c r="N478" s="38"/>
      <c r="O478" s="38"/>
      <c r="P478" s="38"/>
      <c r="Q478" s="34"/>
      <c r="R478" s="23"/>
      <c r="S478" s="25"/>
      <c r="T478" s="38"/>
      <c r="U478" s="38"/>
      <c r="V478" s="38"/>
      <c r="W478" s="38"/>
      <c r="X478" s="38"/>
      <c r="Y478" s="38"/>
      <c r="Z478" s="24"/>
      <c r="AA478" s="29"/>
      <c r="AB478" s="29"/>
      <c r="AC478" s="38"/>
      <c r="AD478" s="38"/>
      <c r="AE478" s="38"/>
      <c r="AF478" s="38"/>
      <c r="AG478" s="38"/>
      <c r="AH478" s="38"/>
      <c r="AI478" s="24"/>
      <c r="AJ478" s="29"/>
      <c r="AK478" s="25"/>
      <c r="AL478" s="25"/>
      <c r="AM478" s="25"/>
      <c r="AN478" s="29"/>
      <c r="AO478" s="38"/>
      <c r="AP478" s="38"/>
      <c r="AQ478" s="38"/>
      <c r="AR478" s="12"/>
    </row>
    <row r="479" spans="2:44" ht="13.5" customHeight="1" x14ac:dyDescent="0.3">
      <c r="B479" s="30">
        <v>464</v>
      </c>
      <c r="C479" s="8">
        <v>10</v>
      </c>
      <c r="D479" s="43" t="s">
        <v>36</v>
      </c>
      <c r="E479" s="37" t="s">
        <v>101</v>
      </c>
      <c r="F479" s="39"/>
      <c r="G479" s="39" t="s">
        <v>430</v>
      </c>
      <c r="H479" s="80">
        <f>J479*2/(1+1/(K479/J479))</f>
        <v>15205.068251350511</v>
      </c>
      <c r="I479" s="80"/>
      <c r="J479" s="25">
        <f t="array" ref="J479">IFERROR(INDEX($H$16:$H$582,MATCH(1,(C479=$C$16:$C$582)*(D479=$D$16:$D$582)*(E479=$E$16:$E$582)*(""=$G$16:$G$582),0)),"값이없음")</f>
        <v>15205.068251350511</v>
      </c>
      <c r="K479" s="38">
        <f t="array" ref="K479">IFERROR(INDEX($H$16:$H$582,MATCH(1,(C479=$C$16:$C$582)*(D479=$D$16:$D$582)*(E479=$E$16:$E$582)*("생명50%이하"=$G$16:$G$582),0)),"값이없음")</f>
        <v>15205.068251350511</v>
      </c>
      <c r="L479" s="38"/>
      <c r="M479" s="38"/>
      <c r="N479" s="38"/>
      <c r="O479" s="38"/>
      <c r="P479" s="38"/>
      <c r="Q479" s="34"/>
      <c r="R479" s="23"/>
      <c r="S479" s="25"/>
      <c r="T479" s="38"/>
      <c r="U479" s="38"/>
      <c r="V479" s="38"/>
      <c r="W479" s="38"/>
      <c r="X479" s="38"/>
      <c r="Y479" s="38"/>
      <c r="Z479" s="24"/>
      <c r="AA479" s="29"/>
      <c r="AB479" s="29"/>
      <c r="AC479" s="38"/>
      <c r="AD479" s="38"/>
      <c r="AE479" s="38"/>
      <c r="AF479" s="38"/>
      <c r="AG479" s="38"/>
      <c r="AH479" s="38"/>
      <c r="AI479" s="24"/>
      <c r="AJ479" s="29"/>
      <c r="AK479" s="25"/>
      <c r="AL479" s="25"/>
      <c r="AM479" s="25"/>
      <c r="AN479" s="29"/>
      <c r="AO479" s="38"/>
      <c r="AP479" s="38"/>
      <c r="AQ479" s="38"/>
      <c r="AR479" s="12"/>
    </row>
    <row r="480" spans="2:44" ht="13.5" customHeight="1" x14ac:dyDescent="0.3">
      <c r="B480" s="30">
        <v>465</v>
      </c>
      <c r="C480" s="8">
        <v>10</v>
      </c>
      <c r="D480" s="43" t="s">
        <v>36</v>
      </c>
      <c r="E480" s="37" t="s">
        <v>148</v>
      </c>
      <c r="F480" s="39"/>
      <c r="G480" s="39" t="s">
        <v>430</v>
      </c>
      <c r="H480" s="80">
        <f>J480*2/(1+1/(K480/J480))</f>
        <v>23445.632017815795</v>
      </c>
      <c r="I480" s="80"/>
      <c r="J480" s="25">
        <f t="array" ref="J480">IFERROR(INDEX($H$16:$H$582,MATCH(1,(C480=$C$16:$C$582)*(D480=$D$16:$D$582)*(E480=$E$16:$E$582)*(""=$G$16:$G$582),0)),"값이없음")</f>
        <v>23445.632017815795</v>
      </c>
      <c r="K480" s="38">
        <f t="array" ref="K480">IFERROR(INDEX($H$16:$H$582,MATCH(1,(C480=$C$16:$C$582)*(D480=$D$16:$D$582)*(E480=$E$16:$E$582)*("생명50%이하"=$G$16:$G$582),0)),"값이없음")</f>
        <v>23445.632017815795</v>
      </c>
      <c r="L480" s="38"/>
      <c r="M480" s="38"/>
      <c r="N480" s="38"/>
      <c r="O480" s="38"/>
      <c r="P480" s="38"/>
      <c r="Q480" s="34"/>
      <c r="R480" s="23"/>
      <c r="S480" s="25"/>
      <c r="T480" s="38"/>
      <c r="U480" s="38"/>
      <c r="V480" s="38"/>
      <c r="W480" s="38"/>
      <c r="X480" s="38"/>
      <c r="Y480" s="38"/>
      <c r="Z480" s="24"/>
      <c r="AA480" s="29"/>
      <c r="AB480" s="29"/>
      <c r="AC480" s="38"/>
      <c r="AD480" s="38"/>
      <c r="AE480" s="38"/>
      <c r="AF480" s="38"/>
      <c r="AG480" s="38"/>
      <c r="AH480" s="38"/>
      <c r="AI480" s="24"/>
      <c r="AJ480" s="29"/>
      <c r="AK480" s="25"/>
      <c r="AL480" s="25"/>
      <c r="AM480" s="25"/>
      <c r="AN480" s="29"/>
      <c r="AO480" s="38"/>
      <c r="AP480" s="38"/>
      <c r="AQ480" s="38"/>
      <c r="AR480" s="12"/>
    </row>
    <row r="481" spans="2:44" ht="13.5" customHeight="1" x14ac:dyDescent="0.3">
      <c r="B481" s="30">
        <v>466</v>
      </c>
      <c r="C481" s="8">
        <v>10</v>
      </c>
      <c r="D481" s="43" t="s">
        <v>36</v>
      </c>
      <c r="E481" s="37" t="s">
        <v>122</v>
      </c>
      <c r="F481" s="39"/>
      <c r="G481" s="39" t="s">
        <v>430</v>
      </c>
      <c r="H481" s="80">
        <f>J481*2/(1+1/(K481/J481))</f>
        <v>21418.289584302391</v>
      </c>
      <c r="I481" s="80"/>
      <c r="J481" s="25">
        <f t="array" ref="J481">IFERROR(INDEX($H$16:$H$582,MATCH(1,(C481=$C$16:$C$582)*(D481=$D$16:$D$582)*(E481=$E$16:$E$582)*(""=$G$16:$G$582),0)),"값이없음")</f>
        <v>21418.289584302391</v>
      </c>
      <c r="K481" s="38">
        <f t="array" ref="K481">IFERROR(INDEX($H$16:$H$582,MATCH(1,(C481=$C$16:$C$582)*(D481=$D$16:$D$582)*(E481=$E$16:$E$582)*("생명50%이하"=$G$16:$G$582),0)),"값이없음")</f>
        <v>21418.289584302391</v>
      </c>
      <c r="L481" s="38"/>
      <c r="M481" s="38"/>
      <c r="N481" s="38"/>
      <c r="O481" s="38"/>
      <c r="P481" s="38"/>
      <c r="Q481" s="34"/>
      <c r="R481" s="23"/>
      <c r="S481" s="25"/>
      <c r="T481" s="38"/>
      <c r="U481" s="38"/>
      <c r="V481" s="38"/>
      <c r="W481" s="38"/>
      <c r="X481" s="38"/>
      <c r="Y481" s="38"/>
      <c r="Z481" s="24"/>
      <c r="AA481" s="29"/>
      <c r="AB481" s="29"/>
      <c r="AC481" s="38"/>
      <c r="AD481" s="38"/>
      <c r="AE481" s="38"/>
      <c r="AF481" s="38"/>
      <c r="AG481" s="38"/>
      <c r="AH481" s="38"/>
      <c r="AI481" s="24"/>
      <c r="AJ481" s="29"/>
      <c r="AK481" s="25"/>
      <c r="AL481" s="25"/>
      <c r="AM481" s="25"/>
      <c r="AN481" s="29"/>
      <c r="AO481" s="38"/>
      <c r="AP481" s="38"/>
      <c r="AQ481" s="38"/>
      <c r="AR481" s="12"/>
    </row>
    <row r="482" spans="2:44" ht="13.5" customHeight="1" x14ac:dyDescent="0.3">
      <c r="B482" s="30">
        <v>467</v>
      </c>
      <c r="C482" s="8">
        <v>10</v>
      </c>
      <c r="D482" s="43" t="s">
        <v>36</v>
      </c>
      <c r="E482" s="37" t="s">
        <v>164</v>
      </c>
      <c r="F482" s="39"/>
      <c r="G482" s="39" t="s">
        <v>430</v>
      </c>
      <c r="H482" s="80">
        <f>J482*2/(1+1/(K482/J482))</f>
        <v>20839.194316579611</v>
      </c>
      <c r="I482" s="80"/>
      <c r="J482" s="25">
        <f t="array" ref="J482">IFERROR(INDEX($H$16:$H$582,MATCH(1,(C482=$C$16:$C$582)*(D482=$D$16:$D$582)*(E482=$E$16:$E$582)*(""=$G$16:$G$582),0)),"값이없음")</f>
        <v>17232.410684863909</v>
      </c>
      <c r="K482" s="38">
        <f t="array" ref="K482">IFERROR(INDEX($H$16:$H$582,MATCH(1,(C482=$C$16:$C$582)*(D482=$D$16:$D$582)*(E482=$E$16:$E$582)*("생명50%이하"=$G$16:$G$582),0)),"값이없음")</f>
        <v>26355.451635674221</v>
      </c>
      <c r="L482" s="38"/>
      <c r="M482" s="38"/>
      <c r="N482" s="38"/>
      <c r="O482" s="38"/>
      <c r="P482" s="38"/>
      <c r="Q482" s="34"/>
      <c r="R482" s="23"/>
      <c r="S482" s="25"/>
      <c r="T482" s="38"/>
      <c r="U482" s="38"/>
      <c r="V482" s="38"/>
      <c r="W482" s="38"/>
      <c r="X482" s="38"/>
      <c r="Y482" s="38"/>
      <c r="Z482" s="24"/>
      <c r="AA482" s="29"/>
      <c r="AB482" s="29"/>
      <c r="AC482" s="38"/>
      <c r="AD482" s="38"/>
      <c r="AE482" s="38"/>
      <c r="AF482" s="38"/>
      <c r="AG482" s="38"/>
      <c r="AH482" s="38"/>
      <c r="AI482" s="24"/>
      <c r="AJ482" s="29"/>
      <c r="AK482" s="25"/>
      <c r="AL482" s="25"/>
      <c r="AM482" s="25"/>
      <c r="AN482" s="29"/>
      <c r="AO482" s="38"/>
      <c r="AP482" s="38"/>
      <c r="AQ482" s="38"/>
      <c r="AR482" s="12"/>
    </row>
    <row r="483" spans="2:44" ht="13.5" customHeight="1" x14ac:dyDescent="0.3">
      <c r="B483" s="30">
        <v>468</v>
      </c>
      <c r="C483" s="8">
        <v>10</v>
      </c>
      <c r="D483" s="43" t="s">
        <v>36</v>
      </c>
      <c r="E483" s="37" t="s">
        <v>103</v>
      </c>
      <c r="F483" s="39"/>
      <c r="G483" s="39" t="s">
        <v>430</v>
      </c>
      <c r="H483" s="80">
        <f>J483*2/(1+1/(K483/J483))</f>
        <v>18713.930155508322</v>
      </c>
      <c r="I483" s="80"/>
      <c r="J483" s="25">
        <f t="array" ref="J483">IFERROR(INDEX($H$16:$H$582,MATCH(1,(C483=$C$16:$C$582)*(D483=$D$16:$D$582)*(E483=$E$16:$E$582)*(""=$G$16:$G$582),0)),"값이없음")</f>
        <v>15205.068251350511</v>
      </c>
      <c r="K483" s="38">
        <f t="array" ref="K483">IFERROR(INDEX($H$16:$H$582,MATCH(1,(C483=$C$16:$C$582)*(D483=$D$16:$D$582)*(E483=$E$16:$E$582)*("생명50%이하"=$G$16:$G$582),0)),"값이없음")</f>
        <v>24328.10920216082</v>
      </c>
      <c r="L483" s="38"/>
      <c r="M483" s="38"/>
      <c r="N483" s="38"/>
      <c r="O483" s="38"/>
      <c r="P483" s="38"/>
      <c r="Q483" s="34"/>
      <c r="R483" s="23"/>
      <c r="S483" s="25"/>
      <c r="T483" s="38"/>
      <c r="U483" s="38"/>
      <c r="V483" s="38"/>
      <c r="W483" s="38"/>
      <c r="X483" s="38"/>
      <c r="Y483" s="38"/>
      <c r="Z483" s="24"/>
      <c r="AA483" s="29"/>
      <c r="AB483" s="29"/>
      <c r="AC483" s="38"/>
      <c r="AD483" s="38"/>
      <c r="AE483" s="38"/>
      <c r="AF483" s="38"/>
      <c r="AG483" s="38"/>
      <c r="AH483" s="38"/>
      <c r="AI483" s="24"/>
      <c r="AJ483" s="29"/>
      <c r="AK483" s="25"/>
      <c r="AL483" s="25"/>
      <c r="AM483" s="25"/>
      <c r="AN483" s="29"/>
      <c r="AO483" s="38"/>
      <c r="AP483" s="38"/>
      <c r="AQ483" s="38"/>
      <c r="AR483" s="12"/>
    </row>
    <row r="484" spans="2:44" ht="13.5" customHeight="1" x14ac:dyDescent="0.3">
      <c r="B484" s="30">
        <v>469</v>
      </c>
      <c r="C484" s="39">
        <v>1</v>
      </c>
      <c r="D484" s="43" t="s">
        <v>394</v>
      </c>
      <c r="E484" s="37" t="s">
        <v>196</v>
      </c>
      <c r="F484" s="39"/>
      <c r="G484" s="39"/>
      <c r="H484" s="80">
        <f>I484/AJ484</f>
        <v>10980.857817385519</v>
      </c>
      <c r="I484" s="52">
        <f>SUM(J484:Q484)*IF(입력란!C$15=1,1.04,IF(입력란!C$15=2,1.1,IF(입력란!C$15=3,1.2,1)))*IF(입력란!$C$17&lt;&gt;0,0.98,1)*IF(입력란!$C$12=1,IF(G484="생명50%이하",1.2,1.1),1)*IF(입력란!$C$12=2,IF(G484="생명50%이하",1.3,1.1),1)*IF(입력란!$C$12=3,IF(G484="생명50%이하",1.4,1.1),1)</f>
        <v>283944.04833696852</v>
      </c>
      <c r="J484" s="29">
        <f>S484*(1+IF($AK484+IF(입력란!$C$19=1,10,0)&gt;100,100,$AK484+IF(입력란!$C$19=1,10,0))/100*($AL484/100-1))</f>
        <v>70992.303256788422</v>
      </c>
      <c r="K484" s="29">
        <f>T484*(1+IF($AK484+IF(입력란!$C$19=1,10,0)&gt;100,100,$AK484+IF(입력란!$C$19=1,10,0))/100*($AL484/100-1))</f>
        <v>70992.303256788422</v>
      </c>
      <c r="L484" s="25">
        <f>U484*(1+IF($AK484+IF(입력란!$C$19=1,10,0)&gt;100,100,$AK484+IF(입력란!$C$19=1,10,0))/100*($AL484/100-1))</f>
        <v>141959.44182339165</v>
      </c>
      <c r="M484" s="25"/>
      <c r="N484" s="38"/>
      <c r="O484" s="38"/>
      <c r="P484" s="38"/>
      <c r="Q484" s="34">
        <f>Z484*(1+IF($AK484+IF(입력란!$C$19=1,10,0)&gt;100,100,$AK484+IF(입력란!$C$19=1,10,0))/100*($AL484/100-1))</f>
        <v>0</v>
      </c>
      <c r="R484" s="23">
        <f>SUM(S484:Z484)</f>
        <v>232055.15283830138</v>
      </c>
      <c r="S484" s="29">
        <f>AN484*IF(MID(E484,3,1)="1",IF(G484="생명50%이하",트라이포드!$J$24,트라이포드!$I$24),1)*IF(MID(E484,5,1)="1",0,1)*(1+입력란!$C$34/100)</f>
        <v>58018.929711978068</v>
      </c>
      <c r="T484" s="29">
        <f>AN484*IF(MID(E484,3,1)="1",IF(G484="생명50%이하",트라이포드!$J$24,트라이포드!$I$24),1)*IF(MID(E484,5,1)="1",0,1)*(1+입력란!$C$34/100)</f>
        <v>58018.929711978068</v>
      </c>
      <c r="U484" s="25">
        <f>AO484*IF(MID(E484,3,1)="1",IF(G484="생명50%이하",트라이포드!$J$24,트라이포드!$I$24),1)*IF(MID(E484,3,1)="3",트라이포드!$N$24,트라이포드!$M$24)*IF(MID(E484,5,1)="1",트라이포드!$P$24,트라이포드!$O$24)*IF(MID(E484,5,1)="2",트라이포드!$R$24,트라이포드!$Q$24)*(1+입력란!$C$34/100)</f>
        <v>116017.29341434524</v>
      </c>
      <c r="V484" s="25"/>
      <c r="W484" s="25"/>
      <c r="X484" s="25"/>
      <c r="Y484" s="25"/>
      <c r="Z484" s="26">
        <f>IF(MID(E484,3,1)="3",(AN484*2+AO484)*0.1,0)*(1+입력란!$C$34/100)</f>
        <v>0</v>
      </c>
      <c r="AA484" s="29">
        <f>SUM(AB484:AI484)</f>
        <v>464110.30567660276</v>
      </c>
      <c r="AB484" s="29">
        <f>S484*2</f>
        <v>116037.85942395614</v>
      </c>
      <c r="AC484" s="29">
        <f>T484*2</f>
        <v>116037.85942395614</v>
      </c>
      <c r="AD484" s="29">
        <f>U484*2</f>
        <v>232034.58682869049</v>
      </c>
      <c r="AE484" s="29"/>
      <c r="AF484" s="38"/>
      <c r="AG484" s="38"/>
      <c r="AH484" s="38"/>
      <c r="AI484" s="24">
        <f>Z484*2</f>
        <v>0</v>
      </c>
      <c r="AJ484" s="29">
        <f>AR484*(1-입력란!$C$29/100)</f>
        <v>25.858093516830003</v>
      </c>
      <c r="AK48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4" s="25">
        <f>입력란!$C$37+IF(입력란!$C$17=1,10,IF(입력란!$C$17=2,25,IF(입력란!$C$17=3,50,0)))</f>
        <v>200</v>
      </c>
      <c r="AM484" s="25">
        <f>SUM(AN484:AP484)</f>
        <v>131988.78315837542</v>
      </c>
      <c r="AN484" s="29">
        <f>(VLOOKUP(C484,$B$4:$AK$7,32,FALSE)+VLOOKUP(C484,$B$8:$AK$11,32,FALSE)*입력란!$C$23)*입력란!$C$38/100</f>
        <v>44001.460128658888</v>
      </c>
      <c r="AO484" s="38">
        <f>(VLOOKUP(C484,$B$4:$AK$7,33,FALSE)+VLOOKUP(C484,$B$8:$AK$11,33,FALSE)*입력란!$C$23)*입력란!$C$38/100</f>
        <v>87987.323029716514</v>
      </c>
      <c r="AP484" s="38"/>
      <c r="AQ484" s="38"/>
      <c r="AR484" s="22">
        <v>27</v>
      </c>
    </row>
    <row r="485" spans="2:44" ht="13.5" customHeight="1" x14ac:dyDescent="0.3">
      <c r="B485" s="30">
        <v>470</v>
      </c>
      <c r="C485" s="39">
        <v>4</v>
      </c>
      <c r="D485" s="43" t="s">
        <v>394</v>
      </c>
      <c r="E485" s="37" t="s">
        <v>196</v>
      </c>
      <c r="F485" s="39"/>
      <c r="G485" s="39"/>
      <c r="H485" s="80">
        <f>I485/AJ485</f>
        <v>11025.540854696525</v>
      </c>
      <c r="I485" s="52">
        <f>SUM(J485:Q485)*IF(입력란!C$15=1,1.04,IF(입력란!C$15=2,1.1,IF(입력란!C$15=3,1.2,1)))*IF(입력란!$C$17&lt;&gt;0,0.98,1)*IF(입력란!$C$12=1,IF(G485="생명50%이하",1.2,1.1),1)*IF(입력란!$C$12=2,IF(G485="생명50%이하",1.3,1.1),1)*IF(입력란!$C$12=3,IF(G485="생명50%이하",1.4,1.1),1)</f>
        <v>285099.46649437252</v>
      </c>
      <c r="J485" s="29">
        <f>S485*(1+IF($AK485+IF(입력란!$C$19=1,10,0)&gt;100,100,$AK485+IF(입력란!$C$19=1,10,0))/100*($AL485/100-1))</f>
        <v>71276.694779792364</v>
      </c>
      <c r="K485" s="29">
        <f>T485*(1+IF($AK485+IF(입력란!$C$19=1,10,0)&gt;100,100,$AK485+IF(입력란!$C$19=1,10,0))/100*($AL485/100-1))</f>
        <v>71276.694779792364</v>
      </c>
      <c r="L485" s="25">
        <f>U485*(1+IF($AK485+IF(입력란!$C$19=1,10,0)&gt;100,100,$AK485+IF(입력란!$C$19=1,10,0))/100*($AL485/100-1))</f>
        <v>142546.07693478779</v>
      </c>
      <c r="M485" s="25"/>
      <c r="N485" s="38"/>
      <c r="O485" s="38"/>
      <c r="P485" s="38"/>
      <c r="Q485" s="34">
        <f>Z485*(1+IF($AK485+IF(입력란!$C$19=1,10,0)&gt;100,100,$AK485+IF(입력란!$C$19=1,10,0))/100*($AL485/100-1))</f>
        <v>0</v>
      </c>
      <c r="R485" s="23">
        <f>SUM(S485:Z485)</f>
        <v>232999.42597478337</v>
      </c>
      <c r="S485" s="29">
        <f>AN485*IF(MID(E485,3,1)="1",IF(G485="생명50%이하",트라이포드!$J$24,트라이포드!$I$24),1)*IF(MID(E485,5,1)="1",0,1)*(1+입력란!$C$34/100)</f>
        <v>58251.350566449648</v>
      </c>
      <c r="T485" s="29">
        <f>AN485*IF(MID(E485,3,1)="1",IF(G485="생명50%이하",트라이포드!$J$24,트라이포드!$I$24),1)*IF(MID(E485,5,1)="1",0,1)*(1+입력란!$C$34/100)</f>
        <v>58251.350566449648</v>
      </c>
      <c r="U485" s="25">
        <f>AO485*IF(MID(E485,3,1)="1",IF(G485="생명50%이하",트라이포드!$J$24,트라이포드!$I$24),1)*IF(MID(E485,3,1)="3",트라이포드!$N$24,트라이포드!$M$24)*IF(MID(E485,5,1)="1",트라이포드!$P$24,트라이포드!$O$24)*IF(MID(E485,5,1)="2",트라이포드!$R$24,트라이포드!$Q$24)*(1+입력란!$C$34/100)</f>
        <v>116496.72484188406</v>
      </c>
      <c r="V485" s="25"/>
      <c r="W485" s="25"/>
      <c r="X485" s="25"/>
      <c r="Y485" s="25"/>
      <c r="Z485" s="26">
        <f>IF(MID(E485,3,1)="3",(AN485*2+AO485)*0.1,0)*(1+입력란!$C$34/100)</f>
        <v>0</v>
      </c>
      <c r="AA485" s="29">
        <f>SUM(AB485:AI485)</f>
        <v>465998.85194956674</v>
      </c>
      <c r="AB485" s="29">
        <f>S485*2</f>
        <v>116502.7011328993</v>
      </c>
      <c r="AC485" s="29">
        <f>T485*2</f>
        <v>116502.7011328993</v>
      </c>
      <c r="AD485" s="29">
        <f>U485*2</f>
        <v>232993.44968376812</v>
      </c>
      <c r="AE485" s="29"/>
      <c r="AF485" s="38"/>
      <c r="AG485" s="38"/>
      <c r="AH485" s="38"/>
      <c r="AI485" s="24">
        <f>Z485*2</f>
        <v>0</v>
      </c>
      <c r="AJ485" s="29">
        <f>AR485*(1-입력란!$C$29/100)</f>
        <v>25.858093516830003</v>
      </c>
      <c r="AK48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5" s="25">
        <f>입력란!$C$37+IF(입력란!$C$17=1,10,IF(입력란!$C$17=2,25,IF(입력란!$C$17=3,50,0)))</f>
        <v>200</v>
      </c>
      <c r="AM485" s="25">
        <f>SUM(AN485:AP485)</f>
        <v>132528.65074917499</v>
      </c>
      <c r="AN485" s="29">
        <f>(VLOOKUP(C485,$B$4:$AK$7,32,FALSE)+VLOOKUP(C485,$B$8:$AK$11,32,FALSE)*입력란!$C$23)*입력란!$C$38/100</f>
        <v>44177.72771945846</v>
      </c>
      <c r="AO485" s="38">
        <f>(VLOOKUP(C485,$B$4:$AK$7,33,FALSE)+VLOOKUP(C485,$B$8:$AK$11,33,FALSE)*입력란!$C$23)*입력란!$C$38/100</f>
        <v>88350.92302971652</v>
      </c>
      <c r="AP485" s="38"/>
      <c r="AQ485" s="38"/>
      <c r="AR485" s="22">
        <v>27</v>
      </c>
    </row>
    <row r="486" spans="2:44" ht="13.5" customHeight="1" x14ac:dyDescent="0.3">
      <c r="B486" s="30">
        <v>471</v>
      </c>
      <c r="C486" s="39">
        <v>7</v>
      </c>
      <c r="D486" s="43" t="s">
        <v>394</v>
      </c>
      <c r="E486" s="37" t="s">
        <v>196</v>
      </c>
      <c r="F486" s="39"/>
      <c r="G486" s="39"/>
      <c r="H486" s="80">
        <f>I486/AJ486</f>
        <v>11046.680177871745</v>
      </c>
      <c r="I486" s="52">
        <f>SUM(J486:Q486)*IF(입력란!C$15=1,1.04,IF(입력란!C$15=2,1.1,IF(입력란!C$15=3,1.2,1)))*IF(입력란!$C$17&lt;&gt;0,0.98,1)*IF(입력란!$C$12=1,IF(G486="생명50%이하",1.2,1.1),1)*IF(입력란!$C$12=2,IF(G486="생명50%이하",1.3,1.1),1)*IF(입력란!$C$12=3,IF(G486="생명50%이하",1.4,1.1),1)</f>
        <v>285646.08908991987</v>
      </c>
      <c r="J486" s="29">
        <f>S486*(1+IF($AK486+IF(입력란!$C$19=1,10,0)&gt;100,100,$AK486+IF(입력란!$C$19=1,10,0))/100*($AL486/100-1))</f>
        <v>71413.511769468925</v>
      </c>
      <c r="K486" s="29">
        <f>T486*(1+IF($AK486+IF(입력란!$C$19=1,10,0)&gt;100,100,$AK486+IF(입력란!$C$19=1,10,0))/100*($AL486/100-1))</f>
        <v>71413.511769468925</v>
      </c>
      <c r="L486" s="25">
        <f>U486*(1+IF($AK486+IF(입력란!$C$19=1,10,0)&gt;100,100,$AK486+IF(입력란!$C$19=1,10,0))/100*($AL486/100-1))</f>
        <v>142819.06555098202</v>
      </c>
      <c r="M486" s="25"/>
      <c r="N486" s="38"/>
      <c r="O486" s="38"/>
      <c r="P486" s="38"/>
      <c r="Q486" s="34">
        <f>Z486*(1+IF($AK486+IF(입력란!$C$19=1,10,0)&gt;100,100,$AK486+IF(입력란!$C$19=1,10,0))/100*($AL486/100-1))</f>
        <v>0</v>
      </c>
      <c r="R486" s="23">
        <f>SUM(S486:Z486)</f>
        <v>233446.15690891468</v>
      </c>
      <c r="S486" s="29">
        <f>AN486*IF(MID(E486,3,1)="1",IF(G486="생명50%이하",트라이포드!$J$24,트라이포드!$I$24),1)*IF(MID(E486,5,1)="1",0,1)*(1+입력란!$C$34/100)</f>
        <v>58363.165156810741</v>
      </c>
      <c r="T486" s="29">
        <f>AN486*IF(MID(E486,3,1)="1",IF(G486="생명50%이하",트라이포드!$J$24,트라이포드!$I$24),1)*IF(MID(E486,5,1)="1",0,1)*(1+입력란!$C$34/100)</f>
        <v>58363.165156810741</v>
      </c>
      <c r="U486" s="25">
        <f>AO486*IF(MID(E486,3,1)="1",IF(G486="생명50%이하",트라이포드!$J$24,트라이포드!$I$24),1)*IF(MID(E486,3,1)="3",트라이포드!$N$24,트라이포드!$M$24)*IF(MID(E486,5,1)="1",트라이포드!$P$24,트라이포드!$O$24)*IF(MID(E486,5,1)="2",트라이포드!$R$24,트라이포드!$Q$24)*(1+입력란!$C$34/100)</f>
        <v>116719.82659529321</v>
      </c>
      <c r="V486" s="25"/>
      <c r="W486" s="25"/>
      <c r="X486" s="25"/>
      <c r="Y486" s="25"/>
      <c r="Z486" s="26">
        <f>IF(MID(E486,3,1)="3",(AN486*2+AO486)*0.1,0)*(1+입력란!$C$34/100)</f>
        <v>0</v>
      </c>
      <c r="AA486" s="29">
        <f>SUM(AB486:AI486)</f>
        <v>466892.31381782936</v>
      </c>
      <c r="AB486" s="29">
        <f>S486*2</f>
        <v>116726.33031362148</v>
      </c>
      <c r="AC486" s="29">
        <f>T486*2</f>
        <v>116726.33031362148</v>
      </c>
      <c r="AD486" s="29">
        <f>U486*2</f>
        <v>233439.65319058642</v>
      </c>
      <c r="AE486" s="29"/>
      <c r="AF486" s="38"/>
      <c r="AG486" s="38"/>
      <c r="AH486" s="38"/>
      <c r="AI486" s="24">
        <f>Z486*2</f>
        <v>0</v>
      </c>
      <c r="AJ486" s="29">
        <f>AR486*(1-입력란!$C$29/100)</f>
        <v>25.858093516830003</v>
      </c>
      <c r="AK48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6" s="25">
        <f>입력란!$C$37+IF(입력란!$C$17=1,10,IF(입력란!$C$17=2,25,IF(입력란!$C$17=3,50,0)))</f>
        <v>200</v>
      </c>
      <c r="AM486" s="25">
        <f>SUM(AN486:AP486)</f>
        <v>132782.65074917499</v>
      </c>
      <c r="AN486" s="29">
        <f>(VLOOKUP(C486,$B$4:$AK$7,32,FALSE)+VLOOKUP(C486,$B$8:$AK$11,32,FALSE)*입력란!$C$23)*입력란!$C$38/100</f>
        <v>44262.527719458463</v>
      </c>
      <c r="AO486" s="38">
        <f>(VLOOKUP(C486,$B$4:$AK$7,33,FALSE)+VLOOKUP(C486,$B$8:$AK$11,33,FALSE)*입력란!$C$23)*입력란!$C$38/100</f>
        <v>88520.123029716517</v>
      </c>
      <c r="AP486" s="38"/>
      <c r="AQ486" s="38"/>
      <c r="AR486" s="22">
        <v>27</v>
      </c>
    </row>
    <row r="487" spans="2:44" ht="13.5" customHeight="1" x14ac:dyDescent="0.3">
      <c r="B487" s="30">
        <v>472</v>
      </c>
      <c r="C487" s="39">
        <v>7</v>
      </c>
      <c r="D487" s="43" t="s">
        <v>394</v>
      </c>
      <c r="E487" s="37" t="s">
        <v>337</v>
      </c>
      <c r="F487" s="39"/>
      <c r="G487" s="39"/>
      <c r="H487" s="80">
        <f>I487/AJ487</f>
        <v>11046.680177871745</v>
      </c>
      <c r="I487" s="52">
        <f>SUM(J487:Q487)*IF(입력란!C$15=1,1.04,IF(입력란!C$15=2,1.1,IF(입력란!C$15=3,1.2,1)))*IF(입력란!$C$17&lt;&gt;0,0.98,1)*IF(입력란!$C$12=1,IF(G487="생명50%이하",1.2,1.1),1)*IF(입력란!$C$12=2,IF(G487="생명50%이하",1.3,1.1),1)*IF(입력란!$C$12=3,IF(G487="생명50%이하",1.4,1.1),1)</f>
        <v>285646.08908991987</v>
      </c>
      <c r="J487" s="29">
        <f>S487*(1+IF($AK487+IF(입력란!$C$19=1,10,0)&gt;100,100,$AK487+IF(입력란!$C$19=1,10,0))/100*($AL487/100-1))</f>
        <v>71413.511769468925</v>
      </c>
      <c r="K487" s="29">
        <f>T487*(1+IF($AK487+IF(입력란!$C$19=1,10,0)&gt;100,100,$AK487+IF(입력란!$C$19=1,10,0))/100*($AL487/100-1))</f>
        <v>71413.511769468925</v>
      </c>
      <c r="L487" s="25">
        <f>U487*(1+IF($AK487+IF(입력란!$C$19=1,10,0)&gt;100,100,$AK487+IF(입력란!$C$19=1,10,0))/100*($AL487/100-1))</f>
        <v>142819.06555098202</v>
      </c>
      <c r="M487" s="25"/>
      <c r="N487" s="38"/>
      <c r="O487" s="38"/>
      <c r="P487" s="38"/>
      <c r="Q487" s="34">
        <f>Z487*(1+IF($AK487+IF(입력란!$C$19=1,10,0)&gt;100,100,$AK487+IF(입력란!$C$19=1,10,0))/100*($AL487/100-1))</f>
        <v>0</v>
      </c>
      <c r="R487" s="23">
        <f>SUM(S487:Z487)</f>
        <v>233446.15690891468</v>
      </c>
      <c r="S487" s="29">
        <f>AN487*IF(MID(E487,3,1)="1",IF(G487="생명50%이하",트라이포드!$J$24,트라이포드!$I$24),1)*IF(MID(E487,5,1)="1",0,1)*(1+입력란!$C$34/100)</f>
        <v>58363.165156810741</v>
      </c>
      <c r="T487" s="29">
        <f>AN487*IF(MID(E487,3,1)="1",IF(G487="생명50%이하",트라이포드!$J$24,트라이포드!$I$24),1)*IF(MID(E487,5,1)="1",0,1)*(1+입력란!$C$34/100)</f>
        <v>58363.165156810741</v>
      </c>
      <c r="U487" s="25">
        <f>AO487*IF(MID(E487,3,1)="1",IF(G487="생명50%이하",트라이포드!$J$24,트라이포드!$I$24),1)*IF(MID(E487,3,1)="3",트라이포드!$N$24,트라이포드!$M$24)*IF(MID(E487,5,1)="1",트라이포드!$P$24,트라이포드!$O$24)*IF(MID(E487,5,1)="2",트라이포드!$R$24,트라이포드!$Q$24)*(1+입력란!$C$34/100)</f>
        <v>116719.82659529321</v>
      </c>
      <c r="V487" s="25"/>
      <c r="W487" s="25"/>
      <c r="X487" s="25"/>
      <c r="Y487" s="25"/>
      <c r="Z487" s="26">
        <f>IF(MID(E487,3,1)="3",(AN487*2+AO487)*0.1,0)*(1+입력란!$C$34/100)</f>
        <v>0</v>
      </c>
      <c r="AA487" s="29">
        <f>SUM(AB487:AI487)</f>
        <v>466892.31381782936</v>
      </c>
      <c r="AB487" s="29">
        <f>S487*2</f>
        <v>116726.33031362148</v>
      </c>
      <c r="AC487" s="29">
        <f>T487*2</f>
        <v>116726.33031362148</v>
      </c>
      <c r="AD487" s="29">
        <f>U487*2</f>
        <v>233439.65319058642</v>
      </c>
      <c r="AE487" s="29"/>
      <c r="AF487" s="38"/>
      <c r="AG487" s="38"/>
      <c r="AH487" s="38"/>
      <c r="AI487" s="24">
        <f>Z487*2</f>
        <v>0</v>
      </c>
      <c r="AJ487" s="29">
        <f>AR487*(1-입력란!$C$29/100)</f>
        <v>25.858093516830003</v>
      </c>
      <c r="AK48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7" s="25">
        <f>입력란!$C$37+IF(입력란!$C$17=1,10,IF(입력란!$C$17=2,25,IF(입력란!$C$17=3,50,0)))</f>
        <v>200</v>
      </c>
      <c r="AM487" s="25">
        <f>SUM(AN487:AP487)</f>
        <v>132782.65074917499</v>
      </c>
      <c r="AN487" s="29">
        <f>(VLOOKUP(C487,$B$4:$AK$7,32,FALSE)+VLOOKUP(C487,$B$8:$AK$11,32,FALSE)*입력란!$C$23)*입력란!$C$38/100</f>
        <v>44262.527719458463</v>
      </c>
      <c r="AO487" s="38">
        <f>(VLOOKUP(C487,$B$4:$AK$7,33,FALSE)+VLOOKUP(C487,$B$8:$AK$11,33,FALSE)*입력란!$C$23)*입력란!$C$38/100</f>
        <v>88520.123029716517</v>
      </c>
      <c r="AP487" s="38"/>
      <c r="AQ487" s="38"/>
      <c r="AR487" s="22">
        <v>27</v>
      </c>
    </row>
    <row r="488" spans="2:44" ht="13.5" customHeight="1" x14ac:dyDescent="0.3">
      <c r="B488" s="30">
        <v>473</v>
      </c>
      <c r="C488" s="39">
        <v>7</v>
      </c>
      <c r="D488" s="43" t="s">
        <v>394</v>
      </c>
      <c r="E488" s="37" t="s">
        <v>339</v>
      </c>
      <c r="F488" s="39"/>
      <c r="G488" s="39"/>
      <c r="H488" s="80">
        <f>I488/AJ488</f>
        <v>14912.941301083083</v>
      </c>
      <c r="I488" s="52">
        <f>SUM(J488:Q488)*IF(입력란!C$15=1,1.04,IF(입력란!C$15=2,1.1,IF(입력란!C$15=3,1.2,1)))*IF(입력란!$C$17&lt;&gt;0,0.98,1)*IF(입력란!$C$12=1,IF(G488="생명50%이하",1.2,1.1),1)*IF(입력란!$C$12=2,IF(G488="생명50%이하",1.3,1.1),1)*IF(입력란!$C$12=3,IF(G488="생명50%이하",1.4,1.1),1)</f>
        <v>385620.23077440285</v>
      </c>
      <c r="J488" s="29">
        <f>S488*(1+IF($AK488+IF(입력란!$C$19=1,10,0)&gt;100,100,$AK488+IF(입력란!$C$19=1,10,0))/100*($AL488/100-1))</f>
        <v>71413.511769468925</v>
      </c>
      <c r="K488" s="29">
        <f>T488*(1+IF($AK488+IF(입력란!$C$19=1,10,0)&gt;100,100,$AK488+IF(입력란!$C$19=1,10,0))/100*($AL488/100-1))</f>
        <v>71413.511769468925</v>
      </c>
      <c r="L488" s="25">
        <f>U488*(1+IF($AK488+IF(입력란!$C$19=1,10,0)&gt;100,100,$AK488+IF(입력란!$C$19=1,10,0))/100*($AL488/100-1))</f>
        <v>214228.59832647303</v>
      </c>
      <c r="M488" s="25"/>
      <c r="N488" s="38"/>
      <c r="O488" s="38"/>
      <c r="P488" s="38"/>
      <c r="Q488" s="34">
        <f>Z488*(1+IF($AK488+IF(입력란!$C$19=1,10,0)&gt;100,100,$AK488+IF(입력란!$C$19=1,10,0))/100*($AL488/100-1))</f>
        <v>28564.608908991988</v>
      </c>
      <c r="R488" s="23">
        <f>SUM(S488:Z488)</f>
        <v>315150.68589745276</v>
      </c>
      <c r="S488" s="29">
        <f>AN488*IF(MID(E488,3,1)="1",IF(G488="생명50%이하",트라이포드!$J$24,트라이포드!$I$24),1)*IF(MID(E488,5,1)="1",0,1)*(1+입력란!$C$34/100)</f>
        <v>58363.165156810741</v>
      </c>
      <c r="T488" s="29">
        <f>AN488*IF(MID(E488,3,1)="1",IF(G488="생명50%이하",트라이포드!$J$24,트라이포드!$I$24),1)*IF(MID(E488,5,1)="1",0,1)*(1+입력란!$C$34/100)</f>
        <v>58363.165156810741</v>
      </c>
      <c r="U488" s="25">
        <f>AO488*IF(MID(E488,3,1)="1",IF(G488="생명50%이하",트라이포드!$J$24,트라이포드!$I$24),1)*IF(MID(E488,3,1)="3",트라이포드!$N$24,트라이포드!$M$24)*IF(MID(E488,5,1)="1",트라이포드!$P$24,트라이포드!$O$24)*IF(MID(E488,5,1)="2",트라이포드!$R$24,트라이포드!$Q$24)*(1+입력란!$C$34/100)</f>
        <v>175079.7398929398</v>
      </c>
      <c r="V488" s="25"/>
      <c r="W488" s="25"/>
      <c r="X488" s="25"/>
      <c r="Y488" s="25"/>
      <c r="Z488" s="26">
        <f>IF(MID(E488,3,1)="3",(AN488*2+AO488)*0.1,0)*(1+입력란!$C$34/100)</f>
        <v>23344.615690891471</v>
      </c>
      <c r="AA488" s="29">
        <f>SUM(AB488:AI488)</f>
        <v>630301.37179490551</v>
      </c>
      <c r="AB488" s="29">
        <f>S488*2</f>
        <v>116726.33031362148</v>
      </c>
      <c r="AC488" s="29">
        <f>T488*2</f>
        <v>116726.33031362148</v>
      </c>
      <c r="AD488" s="29">
        <f>U488*2</f>
        <v>350159.47978587961</v>
      </c>
      <c r="AE488" s="29"/>
      <c r="AF488" s="38"/>
      <c r="AG488" s="38"/>
      <c r="AH488" s="38"/>
      <c r="AI488" s="24">
        <f>Z488*2</f>
        <v>46689.231381782942</v>
      </c>
      <c r="AJ488" s="29">
        <f>AR488*(1-입력란!$C$29/100)</f>
        <v>25.858093516830003</v>
      </c>
      <c r="AK48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8" s="25">
        <f>입력란!$C$37+IF(입력란!$C$17=1,10,IF(입력란!$C$17=2,25,IF(입력란!$C$17=3,50,0)))</f>
        <v>200</v>
      </c>
      <c r="AM488" s="25">
        <f>SUM(AN488:AP488)</f>
        <v>132782.65074917499</v>
      </c>
      <c r="AN488" s="29">
        <f>(VLOOKUP(C488,$B$4:$AK$7,32,FALSE)+VLOOKUP(C488,$B$8:$AK$11,32,FALSE)*입력란!$C$23)*입력란!$C$38/100</f>
        <v>44262.527719458463</v>
      </c>
      <c r="AO488" s="38">
        <f>(VLOOKUP(C488,$B$4:$AK$7,33,FALSE)+VLOOKUP(C488,$B$8:$AK$11,33,FALSE)*입력란!$C$23)*입력란!$C$38/100</f>
        <v>88520.123029716517</v>
      </c>
      <c r="AP488" s="38"/>
      <c r="AQ488" s="38"/>
      <c r="AR488" s="22">
        <v>27</v>
      </c>
    </row>
    <row r="489" spans="2:44" ht="13.5" customHeight="1" x14ac:dyDescent="0.3">
      <c r="B489" s="30">
        <v>474</v>
      </c>
      <c r="C489" s="39">
        <v>10</v>
      </c>
      <c r="D489" s="43" t="s">
        <v>394</v>
      </c>
      <c r="E489" s="37" t="s">
        <v>196</v>
      </c>
      <c r="F489" s="39"/>
      <c r="G489" s="39"/>
      <c r="H489" s="80">
        <f>I489/AJ489</f>
        <v>11060.772944666573</v>
      </c>
      <c r="I489" s="52">
        <f>SUM(J489:Q489)*IF(입력란!C$15=1,1.04,IF(입력란!C$15=2,1.1,IF(입력란!C$15=3,1.2,1)))*IF(입력란!$C$17&lt;&gt;0,0.98,1)*IF(입력란!$C$12=1,IF(G489="생명50%이하",1.2,1.1),1)*IF(입력란!$C$12=2,IF(G489="생명50%이하",1.3,1.1),1)*IF(입력란!$C$12=3,IF(G489="생명50%이하",1.4,1.1),1)</f>
        <v>286010.50117161142</v>
      </c>
      <c r="J489" s="29">
        <f>S489*(1+IF($AK489+IF(입력란!$C$19=1,10,0)&gt;100,100,$AK489+IF(입력란!$C$19=1,10,0))/100*($AL489/100-1))</f>
        <v>71508.593783869728</v>
      </c>
      <c r="K489" s="29">
        <f>T489*(1+IF($AK489+IF(입력란!$C$19=1,10,0)&gt;100,100,$AK489+IF(입력란!$C$19=1,10,0))/100*($AL489/100-1))</f>
        <v>71508.593783869728</v>
      </c>
      <c r="L489" s="25">
        <f>U489*(1+IF($AK489+IF(입력란!$C$19=1,10,0)&gt;100,100,$AK489+IF(입력란!$C$19=1,10,0))/100*($AL489/100-1))</f>
        <v>142993.31360387197</v>
      </c>
      <c r="M489" s="25"/>
      <c r="N489" s="38"/>
      <c r="O489" s="38"/>
      <c r="P489" s="38"/>
      <c r="Q489" s="34">
        <f>Z489*(1+IF($AK489+IF(입력란!$C$19=1,10,0)&gt;100,100,$AK489+IF(입력란!$C$19=1,10,0))/100*($AL489/100-1))</f>
        <v>0</v>
      </c>
      <c r="R489" s="23">
        <f>SUM(S489:Z489)</f>
        <v>233743.97509460425</v>
      </c>
      <c r="S489" s="29">
        <f>AN489*IF(MID(E489,3,1)="1",IF(G489="생명50%이하",트라이포드!$J$24,트라이포드!$I$24),1)*IF(MID(E489,5,1)="1",0,1)*(1+입력란!$C$34/100)</f>
        <v>58440.871562397268</v>
      </c>
      <c r="T489" s="29">
        <f>AN489*IF(MID(E489,3,1)="1",IF(G489="생명50%이하",트라이포드!$J$24,트라이포드!$I$24),1)*IF(MID(E489,5,1)="1",0,1)*(1+입력란!$C$34/100)</f>
        <v>58440.871562397268</v>
      </c>
      <c r="U489" s="25">
        <f>AO489*IF(MID(E489,3,1)="1",IF(G489="생명50%이하",트라이포드!$J$24,트라이포드!$I$24),1)*IF(MID(E489,3,1)="3",트라이포드!$N$24,트라이포드!$M$24)*IF(MID(E489,5,1)="1",트라이포드!$P$24,트라이포드!$O$24)*IF(MID(E489,5,1)="2",트라이포드!$R$24,트라이포드!$Q$24)*(1+입력란!$C$34/100)</f>
        <v>116862.2319698097</v>
      </c>
      <c r="V489" s="25"/>
      <c r="W489" s="25"/>
      <c r="X489" s="25"/>
      <c r="Y489" s="25"/>
      <c r="Z489" s="26">
        <f>IF(MID(E489,3,1)="3",(AN489*2+AO489)*0.1,0)*(1+입력란!$C$34/100)</f>
        <v>0</v>
      </c>
      <c r="AA489" s="29">
        <f>SUM(AB489:AI489)</f>
        <v>467487.9501892085</v>
      </c>
      <c r="AB489" s="29">
        <f>S489*2</f>
        <v>116881.74312479454</v>
      </c>
      <c r="AC489" s="29">
        <f>T489*2</f>
        <v>116881.74312479454</v>
      </c>
      <c r="AD489" s="29">
        <f>U489*2</f>
        <v>233724.4639396194</v>
      </c>
      <c r="AE489" s="29"/>
      <c r="AF489" s="38"/>
      <c r="AG489" s="38"/>
      <c r="AH489" s="38"/>
      <c r="AI489" s="24">
        <f>Z489*2</f>
        <v>0</v>
      </c>
      <c r="AJ489" s="29">
        <f>AR489*(1-입력란!$C$29/100)</f>
        <v>25.858093516830003</v>
      </c>
      <c r="AK48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89" s="25">
        <f>입력란!$C$37+IF(입력란!$C$17=1,10,IF(입력란!$C$17=2,25,IF(입력란!$C$17=3,50,0)))</f>
        <v>200</v>
      </c>
      <c r="AM489" s="25">
        <f>SUM(AN489:AP489)</f>
        <v>132949.5831583754</v>
      </c>
      <c r="AN489" s="29">
        <f>(VLOOKUP(C489,$B$4:$AK$7,32,FALSE)+VLOOKUP(C489,$B$8:$AK$11,32,FALSE)*입력란!$C$23)*입력란!$C$38/100</f>
        <v>44321.460128658888</v>
      </c>
      <c r="AO489" s="38">
        <f>(VLOOKUP(C489,$B$4:$AK$7,33,FALSE)+VLOOKUP(C489,$B$8:$AK$11,33,FALSE)*입력란!$C$23)*입력란!$C$38/100</f>
        <v>88628.123029716517</v>
      </c>
      <c r="AP489" s="38"/>
      <c r="AQ489" s="38"/>
      <c r="AR489" s="22">
        <v>27</v>
      </c>
    </row>
    <row r="490" spans="2:44" ht="13.5" customHeight="1" x14ac:dyDescent="0.3">
      <c r="B490" s="30">
        <v>475</v>
      </c>
      <c r="C490" s="39">
        <v>10</v>
      </c>
      <c r="D490" s="43" t="s">
        <v>394</v>
      </c>
      <c r="E490" s="37" t="s">
        <v>203</v>
      </c>
      <c r="F490" s="39"/>
      <c r="G490" s="39"/>
      <c r="H490" s="80">
        <f>I490/AJ490</f>
        <v>13824.812095176634</v>
      </c>
      <c r="I490" s="52">
        <f>SUM(J490:Q490)*IF(입력란!C$15=1,1.04,IF(입력란!C$15=2,1.1,IF(입력란!C$15=3,1.2,1)))*IF(입력란!$C$17&lt;&gt;0,0.98,1)*IF(입력란!$C$12=1,IF(G490="생명50%이하",1.2,1.1),1)*IF(입력란!$C$12=2,IF(G490="생명50%이하",1.3,1.1),1)*IF(입력란!$C$12=3,IF(G490="생명50%이하",1.4,1.1),1)</f>
        <v>357483.28400967992</v>
      </c>
      <c r="J490" s="29">
        <f>S490*(1+IF($AK490+IF(입력란!$C$19=1,10,0)&gt;100,100,$AK490+IF(입력란!$C$19=1,10,0))/100*($AL490/100-1))</f>
        <v>0</v>
      </c>
      <c r="K490" s="29">
        <f>T490*(1+IF($AK490+IF(입력란!$C$19=1,10,0)&gt;100,100,$AK490+IF(입력란!$C$19=1,10,0))/100*($AL490/100-1))</f>
        <v>0</v>
      </c>
      <c r="L490" s="25">
        <f>U490*(1+IF($AK490+IF(입력란!$C$19=1,10,0)&gt;100,100,$AK490+IF(입력란!$C$19=1,10,0))/100*($AL490/100-1))</f>
        <v>357483.28400967992</v>
      </c>
      <c r="M490" s="25"/>
      <c r="N490" s="38"/>
      <c r="O490" s="38"/>
      <c r="P490" s="38"/>
      <c r="Q490" s="34">
        <f>Z490*(1+IF($AK490+IF(입력란!$C$19=1,10,0)&gt;100,100,$AK490+IF(입력란!$C$19=1,10,0))/100*($AL490/100-1))</f>
        <v>0</v>
      </c>
      <c r="R490" s="23">
        <f>SUM(S490:Z490)</f>
        <v>292155.57992452424</v>
      </c>
      <c r="S490" s="29">
        <f>AN490*IF(MID(E490,3,1)="1",IF(G490="생명50%이하",트라이포드!$J$24,트라이포드!$I$24),1)*IF(MID(E490,5,1)="1",0,1)*(1+입력란!$C$34/100)</f>
        <v>0</v>
      </c>
      <c r="T490" s="29">
        <f>AN490*IF(MID(E490,3,1)="1",IF(G490="생명50%이하",트라이포드!$J$24,트라이포드!$I$24),1)*IF(MID(E490,5,1)="1",0,1)*(1+입력란!$C$34/100)</f>
        <v>0</v>
      </c>
      <c r="U490" s="25">
        <f>AO490*IF(MID(E490,3,1)="1",IF(G490="생명50%이하",트라이포드!$J$24,트라이포드!$I$24),1)*IF(MID(E490,3,1)="3",트라이포드!$N$24,트라이포드!$M$24)*IF(MID(E490,5,1)="1",트라이포드!$P$24,트라이포드!$O$24)*IF(MID(E490,5,1)="2",트라이포드!$R$24,트라이포드!$Q$24)*(1+입력란!$C$34/100)</f>
        <v>292155.57992452424</v>
      </c>
      <c r="V490" s="25"/>
      <c r="W490" s="25"/>
      <c r="X490" s="25"/>
      <c r="Y490" s="25"/>
      <c r="Z490" s="26">
        <f>IF(MID(E490,3,1)="3",(AN490*2+AO490)*0.1,0)*(1+입력란!$C$34/100)</f>
        <v>0</v>
      </c>
      <c r="AA490" s="29">
        <f>SUM(AB490:AI490)</f>
        <v>584311.15984904848</v>
      </c>
      <c r="AB490" s="29">
        <f>S490*2</f>
        <v>0</v>
      </c>
      <c r="AC490" s="29">
        <f>T490*2</f>
        <v>0</v>
      </c>
      <c r="AD490" s="29">
        <f>U490*2</f>
        <v>584311.15984904848</v>
      </c>
      <c r="AE490" s="29"/>
      <c r="AF490" s="38"/>
      <c r="AG490" s="38"/>
      <c r="AH490" s="38"/>
      <c r="AI490" s="24">
        <f>Z490*2</f>
        <v>0</v>
      </c>
      <c r="AJ490" s="29">
        <f>AR490*(1-입력란!$C$29/100)</f>
        <v>25.858093516830003</v>
      </c>
      <c r="AK49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0" s="25">
        <f>입력란!$C$37+IF(입력란!$C$17=1,10,IF(입력란!$C$17=2,25,IF(입력란!$C$17=3,50,0)))</f>
        <v>200</v>
      </c>
      <c r="AM490" s="25">
        <f>SUM(AN490:AP490)</f>
        <v>132949.5831583754</v>
      </c>
      <c r="AN490" s="29">
        <f>(VLOOKUP(C490,$B$4:$AK$7,32,FALSE)+VLOOKUP(C490,$B$8:$AK$11,32,FALSE)*입력란!$C$23)*입력란!$C$38/100</f>
        <v>44321.460128658888</v>
      </c>
      <c r="AO490" s="38">
        <f>(VLOOKUP(C490,$B$4:$AK$7,33,FALSE)+VLOOKUP(C490,$B$8:$AK$11,33,FALSE)*입력란!$C$23)*입력란!$C$38/100</f>
        <v>88628.123029716517</v>
      </c>
      <c r="AP490" s="38"/>
      <c r="AQ490" s="38"/>
      <c r="AR490" s="22">
        <v>27</v>
      </c>
    </row>
    <row r="491" spans="2:44" ht="13.5" customHeight="1" x14ac:dyDescent="0.3">
      <c r="B491" s="30">
        <v>476</v>
      </c>
      <c r="C491" s="8">
        <v>10</v>
      </c>
      <c r="D491" s="43" t="s">
        <v>394</v>
      </c>
      <c r="E491" s="37" t="s">
        <v>341</v>
      </c>
      <c r="F491" s="39" t="s">
        <v>404</v>
      </c>
      <c r="G491" s="39"/>
      <c r="H491" s="80">
        <f>I491/AJ491</f>
        <v>19355.660201772553</v>
      </c>
      <c r="I491" s="52">
        <f>SUM(J491:Q491)*IF(입력란!C$15=1,1.04,IF(입력란!C$15=2,1.1,IF(입력란!C$15=3,1.2,1)))*IF(입력란!$C$17&lt;&gt;0,0.98,1)*IF(입력란!$C$12=1,IF(G491="생명50%이하",1.2,1.1),1)*IF(입력란!$C$12=2,IF(G491="생명50%이하",1.3,1.1),1)*IF(입력란!$C$12=3,IF(G491="생명50%이하",1.4,1.1),1)</f>
        <v>500500.47157741938</v>
      </c>
      <c r="J491" s="29">
        <f>S491*(1+IF($AK491+IF(입력란!$C$19=1,10,0)&gt;100,100,$AK491+IF(입력란!$C$19=1,10,0))/100*($AL491/100-1))</f>
        <v>71508.593783869728</v>
      </c>
      <c r="K491" s="29">
        <f>T491*(1+IF($AK491+IF(입력란!$C$19=1,10,0)&gt;100,100,$AK491+IF(입력란!$C$19=1,10,0))/100*($AL491/100-1))</f>
        <v>71508.593783869728</v>
      </c>
      <c r="L491" s="25">
        <f>U491*(1+IF($AK491+IF(입력란!$C$19=1,10,0)&gt;100,100,$AK491+IF(입력란!$C$19=1,10,0))/100*($AL491/100-1))</f>
        <v>357483.28400967992</v>
      </c>
      <c r="M491" s="25"/>
      <c r="N491" s="38"/>
      <c r="O491" s="38"/>
      <c r="P491" s="38"/>
      <c r="Q491" s="34">
        <f>Z491*(1+IF($AK491+IF(입력란!$C$19=1,10,0)&gt;100,100,$AK491+IF(입력란!$C$19=1,10,0))/100*($AL491/100-1))</f>
        <v>0</v>
      </c>
      <c r="R491" s="23">
        <f>SUM(S491:Z491)</f>
        <v>409037.32304931874</v>
      </c>
      <c r="S491" s="29">
        <f>AN491*IF(MID(E491,3,1)="1",IF(G491="생명50%이하",트라이포드!$J$24,트라이포드!$I$24),1)*IF(MID(E491,5,1)="1",0,1)*(1+입력란!$C$34/100)</f>
        <v>58440.871562397268</v>
      </c>
      <c r="T491" s="29">
        <f>AN491*IF(MID(E491,3,1)="1",IF(G491="생명50%이하",트라이포드!$J$24,트라이포드!$I$24),1)*IF(MID(E491,5,1)="1",0,1)*(1+입력란!$C$34/100)</f>
        <v>58440.871562397268</v>
      </c>
      <c r="U491" s="25">
        <f>AO491*IF(MID(E491,3,1)="1",IF(G491="생명50%이하",트라이포드!$J$24,트라이포드!$I$24),1)*IF(MID(E491,3,1)="3",트라이포드!$N$24,트라이포드!$M$24)*IF(MID(E491,5,1)="1",트라이포드!$P$24,트라이포드!$O$24)*IF(MID(E491,5,1)="2",트라이포드!$R$24,트라이포드!$Q$24)*(1+입력란!$C$34/100)</f>
        <v>292155.57992452424</v>
      </c>
      <c r="V491" s="25"/>
      <c r="W491" s="25"/>
      <c r="X491" s="25"/>
      <c r="Y491" s="25"/>
      <c r="Z491" s="26">
        <f>IF(MID(E491,3,1)="3",(AN491*2+AO491)*0.1,0)*(1+입력란!$C$34/100)</f>
        <v>0</v>
      </c>
      <c r="AA491" s="29">
        <f>SUM(AB491:AI491)</f>
        <v>818074.64609863749</v>
      </c>
      <c r="AB491" s="29">
        <f>S491*2</f>
        <v>116881.74312479454</v>
      </c>
      <c r="AC491" s="29">
        <f>T491*2</f>
        <v>116881.74312479454</v>
      </c>
      <c r="AD491" s="29">
        <f>U491*2</f>
        <v>584311.15984904848</v>
      </c>
      <c r="AE491" s="29"/>
      <c r="AF491" s="38"/>
      <c r="AG491" s="38"/>
      <c r="AH491" s="38"/>
      <c r="AI491" s="24">
        <f>Z491*2</f>
        <v>0</v>
      </c>
      <c r="AJ491" s="29">
        <f>AR491*(1-입력란!$C$29/100)</f>
        <v>25.858093516830003</v>
      </c>
      <c r="AK49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1" s="25">
        <f>입력란!$C$37+IF(입력란!$C$17=1,10,IF(입력란!$C$17=2,25,IF(입력란!$C$17=3,50,0)))</f>
        <v>200</v>
      </c>
      <c r="AM491" s="25">
        <f>SUM(AN491:AP491)</f>
        <v>132949.5831583754</v>
      </c>
      <c r="AN491" s="29">
        <f>(VLOOKUP(C491,$B$4:$AK$7,32,FALSE)+VLOOKUP(C491,$B$8:$AK$11,32,FALSE)*입력란!$C$23)*입력란!$C$38/100</f>
        <v>44321.460128658888</v>
      </c>
      <c r="AO491" s="38">
        <f>(VLOOKUP(C491,$B$4:$AK$7,33,FALSE)+VLOOKUP(C491,$B$8:$AK$11,33,FALSE)*입력란!$C$23)*입력란!$C$38/100</f>
        <v>88628.123029716517</v>
      </c>
      <c r="AP491" s="38"/>
      <c r="AQ491" s="38"/>
      <c r="AR491" s="22">
        <v>27</v>
      </c>
    </row>
    <row r="492" spans="2:44" ht="13.5" customHeight="1" x14ac:dyDescent="0.3">
      <c r="B492" s="30">
        <v>477</v>
      </c>
      <c r="C492" s="8">
        <v>10</v>
      </c>
      <c r="D492" s="43" t="s">
        <v>394</v>
      </c>
      <c r="E492" s="37" t="s">
        <v>402</v>
      </c>
      <c r="F492" s="39"/>
      <c r="G492" s="39"/>
      <c r="H492" s="80">
        <f>I492/AJ492</f>
        <v>11060.772944666573</v>
      </c>
      <c r="I492" s="52">
        <f>SUM(J492:Q492)*IF(입력란!C$15=1,1.04,IF(입력란!C$15=2,1.1,IF(입력란!C$15=3,1.2,1)))*IF(입력란!$C$17&lt;&gt;0,0.98,1)*IF(입력란!$C$12=1,IF(G492="생명50%이하",1.2,1.1),1)*IF(입력란!$C$12=2,IF(G492="생명50%이하",1.3,1.1),1)*IF(입력란!$C$12=3,IF(G492="생명50%이하",1.4,1.1),1)</f>
        <v>286010.50117161142</v>
      </c>
      <c r="J492" s="29">
        <f>S492*(1+IF($AK492+IF(입력란!$C$19=1,10,0)&gt;100,100,$AK492+IF(입력란!$C$19=1,10,0))/100*($AL492/100-1))</f>
        <v>71508.593783869728</v>
      </c>
      <c r="K492" s="29">
        <f>T492*(1+IF($AK492+IF(입력란!$C$19=1,10,0)&gt;100,100,$AK492+IF(입력란!$C$19=1,10,0))/100*($AL492/100-1))</f>
        <v>71508.593783869728</v>
      </c>
      <c r="L492" s="25">
        <f>U492*(1+IF($AK492+IF(입력란!$C$19=1,10,0)&gt;100,100,$AK492+IF(입력란!$C$19=1,10,0))/100*($AL492/100-1))</f>
        <v>142993.31360387197</v>
      </c>
      <c r="M492" s="25"/>
      <c r="N492" s="38"/>
      <c r="O492" s="38"/>
      <c r="P492" s="38"/>
      <c r="Q492" s="34">
        <f>Z492*(1+IF($AK492+IF(입력란!$C$19=1,10,0)&gt;100,100,$AK492+IF(입력란!$C$19=1,10,0))/100*($AL492/100-1))</f>
        <v>0</v>
      </c>
      <c r="R492" s="23">
        <f>SUM(S492:Z492)</f>
        <v>233743.97509460425</v>
      </c>
      <c r="S492" s="29">
        <f>AN492*IF(MID(E492,3,1)="1",IF(G492="생명50%이하",트라이포드!$J$24,트라이포드!$I$24),1)*IF(MID(E492,5,1)="1",0,1)*(1+입력란!$C$34/100)</f>
        <v>58440.871562397268</v>
      </c>
      <c r="T492" s="29">
        <f>AN492*IF(MID(E492,3,1)="1",IF(G492="생명50%이하",트라이포드!$J$24,트라이포드!$I$24),1)*IF(MID(E492,5,1)="1",0,1)*(1+입력란!$C$34/100)</f>
        <v>58440.871562397268</v>
      </c>
      <c r="U492" s="25">
        <f>AO492*IF(MID(E492,3,1)="1",IF(G492="생명50%이하",트라이포드!$J$24,트라이포드!$I$24),1)*IF(MID(E492,3,1)="3",트라이포드!$N$24,트라이포드!$M$24)*IF(MID(E492,5,1)="1",트라이포드!$P$24,트라이포드!$O$24)*IF(MID(E492,5,1)="2",트라이포드!$R$24,트라이포드!$Q$24)*(1+입력란!$C$34/100)</f>
        <v>116862.2319698097</v>
      </c>
      <c r="V492" s="25"/>
      <c r="W492" s="25"/>
      <c r="X492" s="25"/>
      <c r="Y492" s="25"/>
      <c r="Z492" s="26">
        <f>IF(MID(E492,3,1)="3",(AN492*2+AO492)*0.1,0)*(1+입력란!$C$34/100)</f>
        <v>0</v>
      </c>
      <c r="AA492" s="29">
        <f>SUM(AB492:AI492)</f>
        <v>467487.9501892085</v>
      </c>
      <c r="AB492" s="29">
        <f>S492*2</f>
        <v>116881.74312479454</v>
      </c>
      <c r="AC492" s="29">
        <f>T492*2</f>
        <v>116881.74312479454</v>
      </c>
      <c r="AD492" s="29">
        <f>U492*2</f>
        <v>233724.4639396194</v>
      </c>
      <c r="AE492" s="29"/>
      <c r="AF492" s="38"/>
      <c r="AG492" s="38"/>
      <c r="AH492" s="38"/>
      <c r="AI492" s="24">
        <f>Z492*2</f>
        <v>0</v>
      </c>
      <c r="AJ492" s="29">
        <f>AR492*(1-입력란!$C$29/100)</f>
        <v>25.858093516830003</v>
      </c>
      <c r="AK49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2" s="25">
        <f>입력란!$C$37+IF(입력란!$C$17=1,10,IF(입력란!$C$17=2,25,IF(입력란!$C$17=3,50,0)))</f>
        <v>200</v>
      </c>
      <c r="AM492" s="25">
        <f>SUM(AN492:AP492)</f>
        <v>132949.5831583754</v>
      </c>
      <c r="AN492" s="29">
        <f>(VLOOKUP(C492,$B$4:$AK$7,32,FALSE)+VLOOKUP(C492,$B$8:$AK$11,32,FALSE)*입력란!$C$23)*입력란!$C$38/100</f>
        <v>44321.460128658888</v>
      </c>
      <c r="AO492" s="38">
        <f>(VLOOKUP(C492,$B$4:$AK$7,33,FALSE)+VLOOKUP(C492,$B$8:$AK$11,33,FALSE)*입력란!$C$23)*입력란!$C$38/100</f>
        <v>88628.123029716517</v>
      </c>
      <c r="AP492" s="38"/>
      <c r="AQ492" s="38"/>
      <c r="AR492" s="22">
        <v>27</v>
      </c>
    </row>
    <row r="493" spans="2:44" ht="13.5" customHeight="1" x14ac:dyDescent="0.3">
      <c r="B493" s="30">
        <v>478</v>
      </c>
      <c r="C493" s="8">
        <v>10</v>
      </c>
      <c r="D493" s="43" t="s">
        <v>394</v>
      </c>
      <c r="E493" s="37" t="s">
        <v>60</v>
      </c>
      <c r="F493" s="39"/>
      <c r="G493" s="39"/>
      <c r="H493" s="80">
        <f>I493/AJ493</f>
        <v>14931.812658168557</v>
      </c>
      <c r="I493" s="52">
        <f>SUM(J493:Q493)*IF(입력란!C$15=1,1.04,IF(입력란!C$15=2,1.1,IF(입력란!C$15=3,1.2,1)))*IF(입력란!$C$17&lt;&gt;0,0.98,1)*IF(입력란!$C$12=1,IF(G493="생명50%이하",1.2,1.1),1)*IF(입력란!$C$12=2,IF(G493="생명50%이하",1.3,1.1),1)*IF(입력란!$C$12=3,IF(G493="생명50%이하",1.4,1.1),1)</f>
        <v>386108.20809070853</v>
      </c>
      <c r="J493" s="29">
        <f>S493*(1+IF($AK493+IF(입력란!$C$19=1,10,0)&gt;100,100,$AK493+IF(입력란!$C$19=1,10,0))/100*($AL493/100-1))</f>
        <v>71508.593783869728</v>
      </c>
      <c r="K493" s="29">
        <f>T493*(1+IF($AK493+IF(입력란!$C$19=1,10,0)&gt;100,100,$AK493+IF(입력란!$C$19=1,10,0))/100*($AL493/100-1))</f>
        <v>71508.593783869728</v>
      </c>
      <c r="L493" s="25">
        <f>U493*(1+IF($AK493+IF(입력란!$C$19=1,10,0)&gt;100,100,$AK493+IF(입력란!$C$19=1,10,0))/100*($AL493/100-1))</f>
        <v>214489.97040580795</v>
      </c>
      <c r="M493" s="25"/>
      <c r="N493" s="38"/>
      <c r="O493" s="38"/>
      <c r="P493" s="38"/>
      <c r="Q493" s="34">
        <f>Z493*(1+IF($AK493+IF(입력란!$C$19=1,10,0)&gt;100,100,$AK493+IF(입력란!$C$19=1,10,0))/100*($AL493/100-1))</f>
        <v>28601.050117161147</v>
      </c>
      <c r="R493" s="23">
        <f>SUM(S493:Z493)</f>
        <v>315549.48858896946</v>
      </c>
      <c r="S493" s="29">
        <f>AN493*IF(MID(E493,3,1)="1",IF(G493="생명50%이하",트라이포드!$J$24,트라이포드!$I$24),1)*IF(MID(E493,5,1)="1",0,1)*(1+입력란!$C$34/100)</f>
        <v>58440.871562397268</v>
      </c>
      <c r="T493" s="29">
        <f>AN493*IF(MID(E493,3,1)="1",IF(G493="생명50%이하",트라이포드!$J$24,트라이포드!$I$24),1)*IF(MID(E493,5,1)="1",0,1)*(1+입력란!$C$34/100)</f>
        <v>58440.871562397268</v>
      </c>
      <c r="U493" s="25">
        <f>AO493*IF(MID(E493,3,1)="1",IF(G493="생명50%이하",트라이포드!$J$24,트라이포드!$I$24),1)*IF(MID(E493,3,1)="3",트라이포드!$N$24,트라이포드!$M$24)*IF(MID(E493,5,1)="1",트라이포드!$P$24,트라이포드!$O$24)*IF(MID(E493,5,1)="2",트라이포드!$R$24,트라이포드!$Q$24)*(1+입력란!$C$34/100)</f>
        <v>175293.34795471453</v>
      </c>
      <c r="V493" s="25"/>
      <c r="W493" s="25"/>
      <c r="X493" s="25"/>
      <c r="Y493" s="25"/>
      <c r="Z493" s="26">
        <f>IF(MID(E493,3,1)="3",(AN493*2+AO493)*0.1,0)*(1+입력란!$C$34/100)</f>
        <v>23374.397509460425</v>
      </c>
      <c r="AA493" s="29">
        <f>SUM(AB493:AI493)</f>
        <v>631098.97717793891</v>
      </c>
      <c r="AB493" s="29">
        <f>S493*2</f>
        <v>116881.74312479454</v>
      </c>
      <c r="AC493" s="29">
        <f>T493*2</f>
        <v>116881.74312479454</v>
      </c>
      <c r="AD493" s="29">
        <f>U493*2</f>
        <v>350586.69590942905</v>
      </c>
      <c r="AE493" s="29"/>
      <c r="AF493" s="38"/>
      <c r="AG493" s="38"/>
      <c r="AH493" s="38"/>
      <c r="AI493" s="24">
        <f>Z493*2</f>
        <v>46748.79501892085</v>
      </c>
      <c r="AJ493" s="29">
        <f>AR493*(1-입력란!$C$29/100)</f>
        <v>25.858093516830003</v>
      </c>
      <c r="AK49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3" s="25">
        <f>입력란!$C$37+IF(입력란!$C$17=1,10,IF(입력란!$C$17=2,25,IF(입력란!$C$17=3,50,0)))</f>
        <v>200</v>
      </c>
      <c r="AM493" s="25">
        <f>SUM(AN493:AP493)</f>
        <v>132949.5831583754</v>
      </c>
      <c r="AN493" s="29">
        <f>(VLOOKUP(C493,$B$4:$AK$7,32,FALSE)+VLOOKUP(C493,$B$8:$AK$11,32,FALSE)*입력란!$C$23)*입력란!$C$38/100</f>
        <v>44321.460128658888</v>
      </c>
      <c r="AO493" s="38">
        <f>(VLOOKUP(C493,$B$4:$AK$7,33,FALSE)+VLOOKUP(C493,$B$8:$AK$11,33,FALSE)*입력란!$C$23)*입력란!$C$38/100</f>
        <v>88628.123029716517</v>
      </c>
      <c r="AP493" s="38"/>
      <c r="AQ493" s="38"/>
      <c r="AR493" s="22">
        <v>27</v>
      </c>
    </row>
    <row r="494" spans="2:44" ht="13.5" customHeight="1" x14ac:dyDescent="0.3">
      <c r="B494" s="30">
        <v>479</v>
      </c>
      <c r="C494" s="8">
        <v>10</v>
      </c>
      <c r="D494" s="43" t="s">
        <v>394</v>
      </c>
      <c r="E494" s="37" t="s">
        <v>399</v>
      </c>
      <c r="F494" s="39"/>
      <c r="G494" s="39"/>
      <c r="H494" s="80">
        <f>I494/AJ494</f>
        <v>13824.812095176634</v>
      </c>
      <c r="I494" s="52">
        <f>SUM(J494:Q494)*IF(입력란!C$15=1,1.04,IF(입력란!C$15=2,1.1,IF(입력란!C$15=3,1.2,1)))*IF(입력란!$C$17&lt;&gt;0,0.98,1)*IF(입력란!$C$12=1,IF(G494="생명50%이하",1.2,1.1),1)*IF(입력란!$C$12=2,IF(G494="생명50%이하",1.3,1.1),1)*IF(입력란!$C$12=3,IF(G494="생명50%이하",1.4,1.1),1)</f>
        <v>357483.28400967992</v>
      </c>
      <c r="J494" s="29">
        <f>S494*(1+IF($AK494+IF(입력란!$C$19=1,10,0)&gt;100,100,$AK494+IF(입력란!$C$19=1,10,0))/100*($AL494/100-1))</f>
        <v>0</v>
      </c>
      <c r="K494" s="29">
        <f>T494*(1+IF($AK494+IF(입력란!$C$19=1,10,0)&gt;100,100,$AK494+IF(입력란!$C$19=1,10,0))/100*($AL494/100-1))</f>
        <v>0</v>
      </c>
      <c r="L494" s="25">
        <f>U494*(1+IF($AK494+IF(입력란!$C$19=1,10,0)&gt;100,100,$AK494+IF(입력란!$C$19=1,10,0))/100*($AL494/100-1))</f>
        <v>357483.28400967992</v>
      </c>
      <c r="M494" s="25"/>
      <c r="N494" s="38"/>
      <c r="O494" s="38"/>
      <c r="P494" s="38"/>
      <c r="Q494" s="34">
        <f>Z494*(1+IF($AK494+IF(입력란!$C$19=1,10,0)&gt;100,100,$AK494+IF(입력란!$C$19=1,10,0))/100*($AL494/100-1))</f>
        <v>0</v>
      </c>
      <c r="R494" s="23">
        <f>SUM(S494:Z494)</f>
        <v>292155.57992452424</v>
      </c>
      <c r="S494" s="29">
        <f>AN494*IF(MID(E494,3,1)="1",IF(G494="생명50%이하",트라이포드!$J$24,트라이포드!$I$24),1)*IF(MID(E494,5,1)="1",0,1)*(1+입력란!$C$34/100)</f>
        <v>0</v>
      </c>
      <c r="T494" s="29">
        <f>AN494*IF(MID(E494,3,1)="1",IF(G494="생명50%이하",트라이포드!$J$24,트라이포드!$I$24),1)*IF(MID(E494,5,1)="1",0,1)*(1+입력란!$C$34/100)</f>
        <v>0</v>
      </c>
      <c r="U494" s="25">
        <f>AO494*IF(MID(E494,3,1)="1",IF(G494="생명50%이하",트라이포드!$J$24,트라이포드!$I$24),1)*IF(MID(E494,3,1)="3",트라이포드!$N$24,트라이포드!$M$24)*IF(MID(E494,5,1)="1",트라이포드!$P$24,트라이포드!$O$24)*IF(MID(E494,5,1)="2",트라이포드!$R$24,트라이포드!$Q$24)*(1+입력란!$C$34/100)</f>
        <v>292155.57992452424</v>
      </c>
      <c r="V494" s="25"/>
      <c r="W494" s="25"/>
      <c r="X494" s="25"/>
      <c r="Y494" s="25"/>
      <c r="Z494" s="26">
        <f>IF(MID(E494,3,1)="3",(AN494*2+AO494)*0.1,0)*(1+입력란!$C$34/100)</f>
        <v>0</v>
      </c>
      <c r="AA494" s="29">
        <f>SUM(AB494:AI494)</f>
        <v>584311.15984904848</v>
      </c>
      <c r="AB494" s="29">
        <f>S494*2</f>
        <v>0</v>
      </c>
      <c r="AC494" s="29">
        <f>T494*2</f>
        <v>0</v>
      </c>
      <c r="AD494" s="29">
        <f>U494*2</f>
        <v>584311.15984904848</v>
      </c>
      <c r="AE494" s="29"/>
      <c r="AF494" s="38"/>
      <c r="AG494" s="38"/>
      <c r="AH494" s="38"/>
      <c r="AI494" s="24">
        <f>Z494*2</f>
        <v>0</v>
      </c>
      <c r="AJ494" s="29">
        <f>AR494*(1-입력란!$C$29/100)</f>
        <v>25.858093516830003</v>
      </c>
      <c r="AK49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4" s="25">
        <f>입력란!$C$37+IF(입력란!$C$17=1,10,IF(입력란!$C$17=2,25,IF(입력란!$C$17=3,50,0)))</f>
        <v>200</v>
      </c>
      <c r="AM494" s="25">
        <f>SUM(AN494:AP494)</f>
        <v>132949.5831583754</v>
      </c>
      <c r="AN494" s="29">
        <f>(VLOOKUP(C494,$B$4:$AK$7,32,FALSE)+VLOOKUP(C494,$B$8:$AK$11,32,FALSE)*입력란!$C$23)*입력란!$C$38/100</f>
        <v>44321.460128658888</v>
      </c>
      <c r="AO494" s="38">
        <f>(VLOOKUP(C494,$B$4:$AK$7,33,FALSE)+VLOOKUP(C494,$B$8:$AK$11,33,FALSE)*입력란!$C$23)*입력란!$C$38/100</f>
        <v>88628.123029716517</v>
      </c>
      <c r="AP494" s="38"/>
      <c r="AQ494" s="38"/>
      <c r="AR494" s="22">
        <v>27</v>
      </c>
    </row>
    <row r="495" spans="2:44" ht="13.5" customHeight="1" x14ac:dyDescent="0.3">
      <c r="B495" s="30">
        <v>480</v>
      </c>
      <c r="C495" s="8">
        <v>10</v>
      </c>
      <c r="D495" s="43" t="s">
        <v>394</v>
      </c>
      <c r="E495" s="37" t="s">
        <v>391</v>
      </c>
      <c r="F495" s="39" t="s">
        <v>415</v>
      </c>
      <c r="G495" s="39"/>
      <c r="H495" s="80">
        <f>I495/AJ495</f>
        <v>19355.660201772553</v>
      </c>
      <c r="I495" s="52">
        <f>SUM(J495:Q495)*IF(입력란!C$15=1,1.04,IF(입력란!C$15=2,1.1,IF(입력란!C$15=3,1.2,1)))*IF(입력란!$C$17&lt;&gt;0,0.98,1)*IF(입력란!$C$12=1,IF(G495="생명50%이하",1.2,1.1),1)*IF(입력란!$C$12=2,IF(G495="생명50%이하",1.3,1.1),1)*IF(입력란!$C$12=3,IF(G495="생명50%이하",1.4,1.1),1)</f>
        <v>500500.47157741938</v>
      </c>
      <c r="J495" s="29">
        <f>S495*(1+IF($AK495+IF(입력란!$C$19=1,10,0)&gt;100,100,$AK495+IF(입력란!$C$19=1,10,0))/100*($AL495/100-1))</f>
        <v>71508.593783869728</v>
      </c>
      <c r="K495" s="29">
        <f>T495*(1+IF($AK495+IF(입력란!$C$19=1,10,0)&gt;100,100,$AK495+IF(입력란!$C$19=1,10,0))/100*($AL495/100-1))</f>
        <v>71508.593783869728</v>
      </c>
      <c r="L495" s="25">
        <f>U495*(1+IF($AK495+IF(입력란!$C$19=1,10,0)&gt;100,100,$AK495+IF(입력란!$C$19=1,10,0))/100*($AL495/100-1))</f>
        <v>357483.28400967992</v>
      </c>
      <c r="M495" s="25"/>
      <c r="N495" s="38"/>
      <c r="O495" s="38"/>
      <c r="P495" s="38"/>
      <c r="Q495" s="34">
        <f>Z495*(1+IF($AK495+IF(입력란!$C$19=1,10,0)&gt;100,100,$AK495+IF(입력란!$C$19=1,10,0))/100*($AL495/100-1))</f>
        <v>0</v>
      </c>
      <c r="R495" s="23">
        <f>SUM(S495:Z495)</f>
        <v>409037.32304931874</v>
      </c>
      <c r="S495" s="29">
        <f>AN495*IF(MID(E495,3,1)="1",IF(G495="생명50%이하",트라이포드!$J$24,트라이포드!$I$24),1)*IF(MID(E495,5,1)="1",0,1)*(1+입력란!$C$34/100)</f>
        <v>58440.871562397268</v>
      </c>
      <c r="T495" s="29">
        <f>AN495*IF(MID(E495,3,1)="1",IF(G495="생명50%이하",트라이포드!$J$24,트라이포드!$I$24),1)*IF(MID(E495,5,1)="1",0,1)*(1+입력란!$C$34/100)</f>
        <v>58440.871562397268</v>
      </c>
      <c r="U495" s="25">
        <f>AO495*IF(MID(E495,3,1)="1",IF(G495="생명50%이하",트라이포드!$J$24,트라이포드!$I$24),1)*IF(MID(E495,3,1)="3",트라이포드!$N$24,트라이포드!$M$24)*IF(MID(E495,5,1)="1",트라이포드!$P$24,트라이포드!$O$24)*IF(MID(E495,5,1)="2",트라이포드!$R$24,트라이포드!$Q$24)*(1+입력란!$C$34/100)</f>
        <v>292155.57992452424</v>
      </c>
      <c r="V495" s="25"/>
      <c r="W495" s="25"/>
      <c r="X495" s="25"/>
      <c r="Y495" s="25"/>
      <c r="Z495" s="26">
        <f>IF(MID(E495,3,1)="3",(AN495*2+AO495)*0.1,0)*(1+입력란!$C$34/100)</f>
        <v>0</v>
      </c>
      <c r="AA495" s="29">
        <f>SUM(AB495:AI495)</f>
        <v>818074.64609863749</v>
      </c>
      <c r="AB495" s="29">
        <f>S495*2</f>
        <v>116881.74312479454</v>
      </c>
      <c r="AC495" s="29">
        <f>T495*2</f>
        <v>116881.74312479454</v>
      </c>
      <c r="AD495" s="29">
        <f>U495*2</f>
        <v>584311.15984904848</v>
      </c>
      <c r="AE495" s="29"/>
      <c r="AF495" s="38"/>
      <c r="AG495" s="38"/>
      <c r="AH495" s="38"/>
      <c r="AI495" s="24">
        <f>Z495*2</f>
        <v>0</v>
      </c>
      <c r="AJ495" s="29">
        <f>AR495*(1-입력란!$C$29/100)</f>
        <v>25.858093516830003</v>
      </c>
      <c r="AK49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5" s="25">
        <f>입력란!$C$37+IF(입력란!$C$17=1,10,IF(입력란!$C$17=2,25,IF(입력란!$C$17=3,50,0)))</f>
        <v>200</v>
      </c>
      <c r="AM495" s="25">
        <f>SUM(AN495:AP495)</f>
        <v>132949.5831583754</v>
      </c>
      <c r="AN495" s="29">
        <f>(VLOOKUP(C495,$B$4:$AK$7,32,FALSE)+VLOOKUP(C495,$B$8:$AK$11,32,FALSE)*입력란!$C$23)*입력란!$C$38/100</f>
        <v>44321.460128658888</v>
      </c>
      <c r="AO495" s="38">
        <f>(VLOOKUP(C495,$B$4:$AK$7,33,FALSE)+VLOOKUP(C495,$B$8:$AK$11,33,FALSE)*입력란!$C$23)*입력란!$C$38/100</f>
        <v>88628.123029716517</v>
      </c>
      <c r="AP495" s="38"/>
      <c r="AQ495" s="38"/>
      <c r="AR495" s="22">
        <v>27</v>
      </c>
    </row>
    <row r="496" spans="2:44" ht="13.5" customHeight="1" x14ac:dyDescent="0.3">
      <c r="B496" s="30">
        <v>481</v>
      </c>
      <c r="C496" s="8">
        <v>10</v>
      </c>
      <c r="D496" s="43" t="s">
        <v>394</v>
      </c>
      <c r="E496" s="37" t="s">
        <v>400</v>
      </c>
      <c r="F496" s="39"/>
      <c r="G496" s="39"/>
      <c r="H496" s="80">
        <f>I496/AJ496</f>
        <v>21843.295437231602</v>
      </c>
      <c r="I496" s="52">
        <f>SUM(J496:Q496)*IF(입력란!C$15=1,1.04,IF(입력란!C$15=2,1.1,IF(입력란!C$15=3,1.2,1)))*IF(입력란!$C$17&lt;&gt;0,0.98,1)*IF(입력란!$C$12=1,IF(G496="생명50%이하",1.2,1.1),1)*IF(입력란!$C$12=2,IF(G496="생명50%이하",1.3,1.1),1)*IF(입력란!$C$12=3,IF(G496="생명50%이하",1.4,1.1),1)</f>
        <v>564825.97613168089</v>
      </c>
      <c r="J496" s="29">
        <f>S496*(1+IF($AK496+IF(입력란!$C$19=1,10,0)&gt;100,100,$AK496+IF(입력란!$C$19=1,10,0))/100*($AL496/100-1))</f>
        <v>0</v>
      </c>
      <c r="K496" s="29">
        <f>T496*(1+IF($AK496+IF(입력란!$C$19=1,10,0)&gt;100,100,$AK496+IF(입력란!$C$19=1,10,0))/100*($AL496/100-1))</f>
        <v>0</v>
      </c>
      <c r="L496" s="25">
        <f>U496*(1+IF($AK496+IF(입력란!$C$19=1,10,0)&gt;100,100,$AK496+IF(입력란!$C$19=1,10,0))/100*($AL496/100-1))</f>
        <v>536224.92601451976</v>
      </c>
      <c r="M496" s="25"/>
      <c r="N496" s="38"/>
      <c r="O496" s="38"/>
      <c r="P496" s="38"/>
      <c r="Q496" s="34">
        <f>Z496*(1+IF($AK496+IF(입력란!$C$19=1,10,0)&gt;100,100,$AK496+IF(입력란!$C$19=1,10,0))/100*($AL496/100-1))</f>
        <v>28601.050117161147</v>
      </c>
      <c r="R496" s="23">
        <f>SUM(S496:Z496)</f>
        <v>461607.76739624667</v>
      </c>
      <c r="S496" s="29">
        <f>AN496*IF(MID(E496,3,1)="1",IF(G496="생명50%이하",트라이포드!$J$24,트라이포드!$I$24),1)*IF(MID(E496,5,1)="1",0,1)*(1+입력란!$C$34/100)</f>
        <v>0</v>
      </c>
      <c r="T496" s="29">
        <f>AN496*IF(MID(E496,3,1)="1",IF(G496="생명50%이하",트라이포드!$J$24,트라이포드!$I$24),1)*IF(MID(E496,5,1)="1",0,1)*(1+입력란!$C$34/100)</f>
        <v>0</v>
      </c>
      <c r="U496" s="25">
        <f>AO496*IF(MID(E496,3,1)="1",IF(G496="생명50%이하",트라이포드!$J$24,트라이포드!$I$24),1)*IF(MID(E496,3,1)="3",트라이포드!$N$24,트라이포드!$M$24)*IF(MID(E496,5,1)="1",트라이포드!$P$24,트라이포드!$O$24)*IF(MID(E496,5,1)="2",트라이포드!$R$24,트라이포드!$Q$24)*(1+입력란!$C$34/100)</f>
        <v>438233.36988678627</v>
      </c>
      <c r="V496" s="25"/>
      <c r="W496" s="25"/>
      <c r="X496" s="25"/>
      <c r="Y496" s="25"/>
      <c r="Z496" s="26">
        <f>IF(MID(E496,3,1)="3",(AN496*2+AO496)*0.1,0)*(1+입력란!$C$34/100)</f>
        <v>23374.397509460425</v>
      </c>
      <c r="AA496" s="29">
        <f>SUM(AB496:AI496)</f>
        <v>923215.53479249333</v>
      </c>
      <c r="AB496" s="29">
        <f>S496*2</f>
        <v>0</v>
      </c>
      <c r="AC496" s="29">
        <f>T496*2</f>
        <v>0</v>
      </c>
      <c r="AD496" s="29">
        <f>U496*2</f>
        <v>876466.73977357254</v>
      </c>
      <c r="AE496" s="29"/>
      <c r="AF496" s="38"/>
      <c r="AG496" s="38"/>
      <c r="AH496" s="38"/>
      <c r="AI496" s="24">
        <f>Z496*2</f>
        <v>46748.79501892085</v>
      </c>
      <c r="AJ496" s="29">
        <f>AR496*(1-입력란!$C$29/100)</f>
        <v>25.858093516830003</v>
      </c>
      <c r="AK49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6" s="25">
        <f>입력란!$C$37+IF(입력란!$C$17=1,10,IF(입력란!$C$17=2,25,IF(입력란!$C$17=3,50,0)))</f>
        <v>200</v>
      </c>
      <c r="AM496" s="25">
        <f>SUM(AN496:AP496)</f>
        <v>132949.5831583754</v>
      </c>
      <c r="AN496" s="29">
        <f>(VLOOKUP(C496,$B$4:$AK$7,32,FALSE)+VLOOKUP(C496,$B$8:$AK$11,32,FALSE)*입력란!$C$23)*입력란!$C$38/100</f>
        <v>44321.460128658888</v>
      </c>
      <c r="AO496" s="38">
        <f>(VLOOKUP(C496,$B$4:$AK$7,33,FALSE)+VLOOKUP(C496,$B$8:$AK$11,33,FALSE)*입력란!$C$23)*입력란!$C$38/100</f>
        <v>88628.123029716517</v>
      </c>
      <c r="AP496" s="38"/>
      <c r="AQ496" s="38"/>
      <c r="AR496" s="22">
        <v>27</v>
      </c>
    </row>
    <row r="497" spans="2:44" ht="13.5" customHeight="1" x14ac:dyDescent="0.3">
      <c r="B497" s="30">
        <v>482</v>
      </c>
      <c r="C497" s="8">
        <v>10</v>
      </c>
      <c r="D497" s="43" t="s">
        <v>394</v>
      </c>
      <c r="E497" s="37" t="s">
        <v>401</v>
      </c>
      <c r="F497" s="39" t="s">
        <v>404</v>
      </c>
      <c r="G497" s="39"/>
      <c r="H497" s="80">
        <f>I497/AJ497</f>
        <v>27374.143543827526</v>
      </c>
      <c r="I497" s="52">
        <f>SUM(J497:Q497)*IF(입력란!C$15=1,1.04,IF(입력란!C$15=2,1.1,IF(입력란!C$15=3,1.2,1)))*IF(입력란!$C$17&lt;&gt;0,0.98,1)*IF(입력란!$C$12=1,IF(G497="생명50%이하",1.2,1.1),1)*IF(입력란!$C$12=2,IF(G497="생명50%이하",1.3,1.1),1)*IF(입력란!$C$12=3,IF(G497="생명50%이하",1.4,1.1),1)</f>
        <v>707843.1636994204</v>
      </c>
      <c r="J497" s="29">
        <f>S497*(1+IF($AK497+IF(입력란!$C$19=1,10,0)&gt;100,100,$AK497+IF(입력란!$C$19=1,10,0))/100*($AL497/100-1))</f>
        <v>71508.593783869728</v>
      </c>
      <c r="K497" s="29">
        <f>T497*(1+IF($AK497+IF(입력란!$C$19=1,10,0)&gt;100,100,$AK497+IF(입력란!$C$19=1,10,0))/100*($AL497/100-1))</f>
        <v>71508.593783869728</v>
      </c>
      <c r="L497" s="25">
        <f>U497*(1+IF($AK497+IF(입력란!$C$19=1,10,0)&gt;100,100,$AK497+IF(입력란!$C$19=1,10,0))/100*($AL497/100-1))</f>
        <v>536224.92601451976</v>
      </c>
      <c r="M497" s="25"/>
      <c r="N497" s="38"/>
      <c r="O497" s="38"/>
      <c r="P497" s="38"/>
      <c r="Q497" s="34">
        <f>Z497*(1+IF($AK497+IF(입력란!$C$19=1,10,0)&gt;100,100,$AK497+IF(입력란!$C$19=1,10,0))/100*($AL497/100-1))</f>
        <v>28601.050117161147</v>
      </c>
      <c r="R497" s="23">
        <f>SUM(S497:Z497)</f>
        <v>578489.51052104123</v>
      </c>
      <c r="S497" s="29">
        <f>AN497*IF(MID(E497,3,1)="1",IF(G497="생명50%이하",트라이포드!$J$24,트라이포드!$I$24),1)*IF(MID(E497,5,1)="1",0,1)*(1+입력란!$C$34/100)</f>
        <v>58440.871562397268</v>
      </c>
      <c r="T497" s="29">
        <f>AN497*IF(MID(E497,3,1)="1",IF(G497="생명50%이하",트라이포드!$J$24,트라이포드!$I$24),1)*IF(MID(E497,5,1)="1",0,1)*(1+입력란!$C$34/100)</f>
        <v>58440.871562397268</v>
      </c>
      <c r="U497" s="25">
        <f>AO497*IF(MID(E497,3,1)="1",IF(G497="생명50%이하",트라이포드!$J$24,트라이포드!$I$24),1)*IF(MID(E497,3,1)="3",트라이포드!$N$24,트라이포드!$M$24)*IF(MID(E497,5,1)="1",트라이포드!$P$24,트라이포드!$O$24)*IF(MID(E497,5,1)="2",트라이포드!$R$24,트라이포드!$Q$24)*(1+입력란!$C$34/100)</f>
        <v>438233.36988678627</v>
      </c>
      <c r="V497" s="25"/>
      <c r="W497" s="25"/>
      <c r="X497" s="25"/>
      <c r="Y497" s="25"/>
      <c r="Z497" s="26">
        <f>IF(MID(E497,3,1)="3",(AN497*2+AO497)*0.1,0)*(1+입력란!$C$34/100)</f>
        <v>23374.397509460425</v>
      </c>
      <c r="AA497" s="29">
        <f>SUM(AB497:AI497)</f>
        <v>1156979.0210420825</v>
      </c>
      <c r="AB497" s="29">
        <f>S497*2</f>
        <v>116881.74312479454</v>
      </c>
      <c r="AC497" s="29">
        <f>T497*2</f>
        <v>116881.74312479454</v>
      </c>
      <c r="AD497" s="29">
        <f>U497*2</f>
        <v>876466.73977357254</v>
      </c>
      <c r="AE497" s="29"/>
      <c r="AF497" s="38"/>
      <c r="AG497" s="38"/>
      <c r="AH497" s="38"/>
      <c r="AI497" s="24">
        <f>Z497*2</f>
        <v>46748.79501892085</v>
      </c>
      <c r="AJ497" s="29">
        <f>AR497*(1-입력란!$C$29/100)</f>
        <v>25.858093516830003</v>
      </c>
      <c r="AK49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7" s="25">
        <f>입력란!$C$37+IF(입력란!$C$17=1,10,IF(입력란!$C$17=2,25,IF(입력란!$C$17=3,50,0)))</f>
        <v>200</v>
      </c>
      <c r="AM497" s="25">
        <f>SUM(AN497:AP497)</f>
        <v>132949.5831583754</v>
      </c>
      <c r="AN497" s="29">
        <f>(VLOOKUP(C497,$B$4:$AK$7,32,FALSE)+VLOOKUP(C497,$B$8:$AK$11,32,FALSE)*입력란!$C$23)*입력란!$C$38/100</f>
        <v>44321.460128658888</v>
      </c>
      <c r="AO497" s="38">
        <f>(VLOOKUP(C497,$B$4:$AK$7,33,FALSE)+VLOOKUP(C497,$B$8:$AK$11,33,FALSE)*입력란!$C$23)*입력란!$C$38/100</f>
        <v>88628.123029716517</v>
      </c>
      <c r="AP497" s="38"/>
      <c r="AQ497" s="38"/>
      <c r="AR497" s="22">
        <v>27</v>
      </c>
    </row>
    <row r="498" spans="2:44" ht="13.5" customHeight="1" x14ac:dyDescent="0.3">
      <c r="B498" s="30">
        <v>483</v>
      </c>
      <c r="C498" s="39">
        <v>1</v>
      </c>
      <c r="D498" s="43" t="s">
        <v>394</v>
      </c>
      <c r="E498" s="37" t="s">
        <v>57</v>
      </c>
      <c r="F498" s="39"/>
      <c r="G498" s="39" t="s">
        <v>414</v>
      </c>
      <c r="H498" s="80">
        <f>I498/AJ498</f>
        <v>10980.857817385519</v>
      </c>
      <c r="I498" s="52">
        <f>SUM(J498:Q498)*IF(입력란!C$15=1,1.04,IF(입력란!C$15=2,1.1,IF(입력란!C$15=3,1.2,1)))*IF(입력란!$C$17&lt;&gt;0,0.98,1)*IF(입력란!$C$12=1,IF(G498="생명50%이하",1.2,1.1),1)*IF(입력란!$C$12=2,IF(G498="생명50%이하",1.3,1.1),1)*IF(입력란!$C$12=3,IF(G498="생명50%이하",1.4,1.1),1)</f>
        <v>283944.04833696852</v>
      </c>
      <c r="J498" s="29">
        <f>S498*(1+IF($AK498+IF(입력란!$C$19=1,10,0)&gt;100,100,$AK498+IF(입력란!$C$19=1,10,0))/100*($AL498/100-1))</f>
        <v>70992.303256788422</v>
      </c>
      <c r="K498" s="29">
        <f>T498*(1+IF($AK498+IF(입력란!$C$19=1,10,0)&gt;100,100,$AK498+IF(입력란!$C$19=1,10,0))/100*($AL498/100-1))</f>
        <v>70992.303256788422</v>
      </c>
      <c r="L498" s="25">
        <f>U498*(1+IF($AK498+IF(입력란!$C$19=1,10,0)&gt;100,100,$AK498+IF(입력란!$C$19=1,10,0))/100*($AL498/100-1))</f>
        <v>141959.44182339165</v>
      </c>
      <c r="M498" s="25"/>
      <c r="N498" s="38"/>
      <c r="O498" s="38"/>
      <c r="P498" s="38"/>
      <c r="Q498" s="34">
        <f>Z498*(1+IF($AK498+IF(입력란!$C$19=1,10,0)&gt;100,100,$AK498+IF(입력란!$C$19=1,10,0))/100*($AL498/100-1))</f>
        <v>0</v>
      </c>
      <c r="R498" s="23">
        <f>SUM(S498:Z498)</f>
        <v>232055.15283830138</v>
      </c>
      <c r="S498" s="29">
        <f>AN498*IF(MID(E498,3,1)="1",IF(G498="생명50%이하",트라이포드!$J$24,트라이포드!$I$24),1)*IF(MID(E498,5,1)="1",0,1)*(1+입력란!$C$34/100)</f>
        <v>58018.929711978068</v>
      </c>
      <c r="T498" s="29">
        <f>AN498*IF(MID(E498,3,1)="1",IF(G498="생명50%이하",트라이포드!$J$24,트라이포드!$I$24),1)*IF(MID(E498,5,1)="1",0,1)*(1+입력란!$C$34/100)</f>
        <v>58018.929711978068</v>
      </c>
      <c r="U498" s="25">
        <f>AO498*IF(MID(E498,3,1)="1",IF(G498="생명50%이하",트라이포드!$J$24,트라이포드!$I$24),1)*IF(MID(E498,3,1)="3",트라이포드!$N$24,트라이포드!$M$24)*IF(MID(E498,5,1)="1",트라이포드!$P$24,트라이포드!$O$24)*IF(MID(E498,5,1)="2",트라이포드!$R$24,트라이포드!$Q$24)*(1+입력란!$C$34/100)</f>
        <v>116017.29341434524</v>
      </c>
      <c r="V498" s="25"/>
      <c r="W498" s="25"/>
      <c r="X498" s="25"/>
      <c r="Y498" s="25"/>
      <c r="Z498" s="26">
        <f>IF(MID(E498,3,1)="3",(AN498*2+AO498)*0.1,0)*(1+입력란!$C$34/100)</f>
        <v>0</v>
      </c>
      <c r="AA498" s="29">
        <f>SUM(AB498:AI498)</f>
        <v>464110.30567660276</v>
      </c>
      <c r="AB498" s="29">
        <f>S498*2</f>
        <v>116037.85942395614</v>
      </c>
      <c r="AC498" s="29">
        <f>T498*2</f>
        <v>116037.85942395614</v>
      </c>
      <c r="AD498" s="29">
        <f>U498*2</f>
        <v>232034.58682869049</v>
      </c>
      <c r="AE498" s="29"/>
      <c r="AF498" s="38"/>
      <c r="AG498" s="38"/>
      <c r="AH498" s="38"/>
      <c r="AI498" s="24">
        <f>Z498*2</f>
        <v>0</v>
      </c>
      <c r="AJ498" s="29">
        <f>AR498*(1-입력란!$C$29/100)</f>
        <v>25.858093516830003</v>
      </c>
      <c r="AK49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8" s="25">
        <f>입력란!$C$37+IF(입력란!$C$17=1,10,IF(입력란!$C$17=2,25,IF(입력란!$C$17=3,50,0)))</f>
        <v>200</v>
      </c>
      <c r="AM498" s="25">
        <f>SUM(AN498:AP498)</f>
        <v>131988.78315837542</v>
      </c>
      <c r="AN498" s="29">
        <f>(VLOOKUP(C498,$B$4:$AK$7,32,FALSE)+VLOOKUP(C498,$B$8:$AK$11,32,FALSE)*입력란!$C$23)*입력란!$C$38/100</f>
        <v>44001.460128658888</v>
      </c>
      <c r="AO498" s="38">
        <f>(VLOOKUP(C498,$B$4:$AK$7,33,FALSE)+VLOOKUP(C498,$B$8:$AK$11,33,FALSE)*입력란!$C$23)*입력란!$C$38/100</f>
        <v>87987.323029716514</v>
      </c>
      <c r="AP498" s="38"/>
      <c r="AQ498" s="38"/>
      <c r="AR498" s="22">
        <v>27</v>
      </c>
    </row>
    <row r="499" spans="2:44" ht="13.5" customHeight="1" x14ac:dyDescent="0.3">
      <c r="B499" s="30">
        <v>484</v>
      </c>
      <c r="C499" s="39">
        <v>4</v>
      </c>
      <c r="D499" s="43" t="s">
        <v>394</v>
      </c>
      <c r="E499" s="37" t="s">
        <v>57</v>
      </c>
      <c r="F499" s="39"/>
      <c r="G499" s="39" t="s">
        <v>414</v>
      </c>
      <c r="H499" s="80">
        <f>I499/AJ499</f>
        <v>11025.540854696525</v>
      </c>
      <c r="I499" s="52">
        <f>SUM(J499:Q499)*IF(입력란!C$15=1,1.04,IF(입력란!C$15=2,1.1,IF(입력란!C$15=3,1.2,1)))*IF(입력란!$C$17&lt;&gt;0,0.98,1)*IF(입력란!$C$12=1,IF(G499="생명50%이하",1.2,1.1),1)*IF(입력란!$C$12=2,IF(G499="생명50%이하",1.3,1.1),1)*IF(입력란!$C$12=3,IF(G499="생명50%이하",1.4,1.1),1)</f>
        <v>285099.46649437252</v>
      </c>
      <c r="J499" s="29">
        <f>S499*(1+IF($AK499+IF(입력란!$C$19=1,10,0)&gt;100,100,$AK499+IF(입력란!$C$19=1,10,0))/100*($AL499/100-1))</f>
        <v>71276.694779792364</v>
      </c>
      <c r="K499" s="29">
        <f>T499*(1+IF($AK499+IF(입력란!$C$19=1,10,0)&gt;100,100,$AK499+IF(입력란!$C$19=1,10,0))/100*($AL499/100-1))</f>
        <v>71276.694779792364</v>
      </c>
      <c r="L499" s="25">
        <f>U499*(1+IF($AK499+IF(입력란!$C$19=1,10,0)&gt;100,100,$AK499+IF(입력란!$C$19=1,10,0))/100*($AL499/100-1))</f>
        <v>142546.07693478779</v>
      </c>
      <c r="M499" s="25"/>
      <c r="N499" s="38"/>
      <c r="O499" s="38"/>
      <c r="P499" s="38"/>
      <c r="Q499" s="34">
        <f>Z499*(1+IF($AK499+IF(입력란!$C$19=1,10,0)&gt;100,100,$AK499+IF(입력란!$C$19=1,10,0))/100*($AL499/100-1))</f>
        <v>0</v>
      </c>
      <c r="R499" s="23">
        <f>SUM(S499:Z499)</f>
        <v>232999.42597478337</v>
      </c>
      <c r="S499" s="29">
        <f>AN499*IF(MID(E499,3,1)="1",IF(G499="생명50%이하",트라이포드!$J$24,트라이포드!$I$24),1)*IF(MID(E499,5,1)="1",0,1)*(1+입력란!$C$34/100)</f>
        <v>58251.350566449648</v>
      </c>
      <c r="T499" s="29">
        <f>AN499*IF(MID(E499,3,1)="1",IF(G499="생명50%이하",트라이포드!$J$24,트라이포드!$I$24),1)*IF(MID(E499,5,1)="1",0,1)*(1+입력란!$C$34/100)</f>
        <v>58251.350566449648</v>
      </c>
      <c r="U499" s="25">
        <f>AO499*IF(MID(E499,3,1)="1",IF(G499="생명50%이하",트라이포드!$J$24,트라이포드!$I$24),1)*IF(MID(E499,3,1)="3",트라이포드!$N$24,트라이포드!$M$24)*IF(MID(E499,5,1)="1",트라이포드!$P$24,트라이포드!$O$24)*IF(MID(E499,5,1)="2",트라이포드!$R$24,트라이포드!$Q$24)*(1+입력란!$C$34/100)</f>
        <v>116496.72484188406</v>
      </c>
      <c r="V499" s="25"/>
      <c r="W499" s="25"/>
      <c r="X499" s="25"/>
      <c r="Y499" s="25"/>
      <c r="Z499" s="26">
        <f>IF(MID(E499,3,1)="3",(AN499*2+AO499)*0.1,0)*(1+입력란!$C$34/100)</f>
        <v>0</v>
      </c>
      <c r="AA499" s="29">
        <f>SUM(AB499:AI499)</f>
        <v>465998.85194956674</v>
      </c>
      <c r="AB499" s="29">
        <f>S499*2</f>
        <v>116502.7011328993</v>
      </c>
      <c r="AC499" s="29">
        <f>T499*2</f>
        <v>116502.7011328993</v>
      </c>
      <c r="AD499" s="29">
        <f>U499*2</f>
        <v>232993.44968376812</v>
      </c>
      <c r="AE499" s="29"/>
      <c r="AF499" s="38"/>
      <c r="AG499" s="38"/>
      <c r="AH499" s="38"/>
      <c r="AI499" s="24">
        <f>Z499*2</f>
        <v>0</v>
      </c>
      <c r="AJ499" s="29">
        <f>AR499*(1-입력란!$C$29/100)</f>
        <v>25.858093516830003</v>
      </c>
      <c r="AK49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499" s="25">
        <f>입력란!$C$37+IF(입력란!$C$17=1,10,IF(입력란!$C$17=2,25,IF(입력란!$C$17=3,50,0)))</f>
        <v>200</v>
      </c>
      <c r="AM499" s="25">
        <f>SUM(AN499:AP499)</f>
        <v>132528.65074917499</v>
      </c>
      <c r="AN499" s="29">
        <f>(VLOOKUP(C499,$B$4:$AK$7,32,FALSE)+VLOOKUP(C499,$B$8:$AK$11,32,FALSE)*입력란!$C$23)*입력란!$C$38/100</f>
        <v>44177.72771945846</v>
      </c>
      <c r="AO499" s="38">
        <f>(VLOOKUP(C499,$B$4:$AK$7,33,FALSE)+VLOOKUP(C499,$B$8:$AK$11,33,FALSE)*입력란!$C$23)*입력란!$C$38/100</f>
        <v>88350.92302971652</v>
      </c>
      <c r="AP499" s="38"/>
      <c r="AQ499" s="38"/>
      <c r="AR499" s="22">
        <v>27</v>
      </c>
    </row>
    <row r="500" spans="2:44" ht="13.5" customHeight="1" x14ac:dyDescent="0.3">
      <c r="B500" s="30">
        <v>485</v>
      </c>
      <c r="C500" s="39">
        <v>7</v>
      </c>
      <c r="D500" s="43" t="s">
        <v>394</v>
      </c>
      <c r="E500" s="37" t="s">
        <v>57</v>
      </c>
      <c r="F500" s="39"/>
      <c r="G500" s="39" t="s">
        <v>403</v>
      </c>
      <c r="H500" s="80">
        <f>I500/AJ500</f>
        <v>11046.680177871745</v>
      </c>
      <c r="I500" s="52">
        <f>SUM(J500:Q500)*IF(입력란!C$15=1,1.04,IF(입력란!C$15=2,1.1,IF(입력란!C$15=3,1.2,1)))*IF(입력란!$C$17&lt;&gt;0,0.98,1)*IF(입력란!$C$12=1,IF(G500="생명50%이하",1.2,1.1),1)*IF(입력란!$C$12=2,IF(G500="생명50%이하",1.3,1.1),1)*IF(입력란!$C$12=3,IF(G500="생명50%이하",1.4,1.1),1)</f>
        <v>285646.08908991987</v>
      </c>
      <c r="J500" s="29">
        <f>S500*(1+IF($AK500+IF(입력란!$C$19=1,10,0)&gt;100,100,$AK500+IF(입력란!$C$19=1,10,0))/100*($AL500/100-1))</f>
        <v>71413.511769468925</v>
      </c>
      <c r="K500" s="29">
        <f>T500*(1+IF($AK500+IF(입력란!$C$19=1,10,0)&gt;100,100,$AK500+IF(입력란!$C$19=1,10,0))/100*($AL500/100-1))</f>
        <v>71413.511769468925</v>
      </c>
      <c r="L500" s="25">
        <f>U500*(1+IF($AK500+IF(입력란!$C$19=1,10,0)&gt;100,100,$AK500+IF(입력란!$C$19=1,10,0))/100*($AL500/100-1))</f>
        <v>142819.06555098202</v>
      </c>
      <c r="M500" s="25"/>
      <c r="N500" s="38"/>
      <c r="O500" s="38"/>
      <c r="P500" s="38"/>
      <c r="Q500" s="34">
        <f>Z500*(1+IF($AK500+IF(입력란!$C$19=1,10,0)&gt;100,100,$AK500+IF(입력란!$C$19=1,10,0))/100*($AL500/100-1))</f>
        <v>0</v>
      </c>
      <c r="R500" s="23">
        <f>SUM(S500:Z500)</f>
        <v>233446.15690891468</v>
      </c>
      <c r="S500" s="29">
        <f>AN500*IF(MID(E500,3,1)="1",IF(G500="생명50%이하",트라이포드!$J$24,트라이포드!$I$24),1)*IF(MID(E500,5,1)="1",0,1)*(1+입력란!$C$34/100)</f>
        <v>58363.165156810741</v>
      </c>
      <c r="T500" s="29">
        <f>AN500*IF(MID(E500,3,1)="1",IF(G500="생명50%이하",트라이포드!$J$24,트라이포드!$I$24),1)*IF(MID(E500,5,1)="1",0,1)*(1+입력란!$C$34/100)</f>
        <v>58363.165156810741</v>
      </c>
      <c r="U500" s="25">
        <f>AO500*IF(MID(E500,3,1)="1",IF(G500="생명50%이하",트라이포드!$J$24,트라이포드!$I$24),1)*IF(MID(E500,3,1)="3",트라이포드!$N$24,트라이포드!$M$24)*IF(MID(E500,5,1)="1",트라이포드!$P$24,트라이포드!$O$24)*IF(MID(E500,5,1)="2",트라이포드!$R$24,트라이포드!$Q$24)*(1+입력란!$C$34/100)</f>
        <v>116719.82659529321</v>
      </c>
      <c r="V500" s="25"/>
      <c r="W500" s="25"/>
      <c r="X500" s="25"/>
      <c r="Y500" s="25"/>
      <c r="Z500" s="26">
        <f>IF(MID(E500,3,1)="3",(AN500*2+AO500)*0.1,0)*(1+입력란!$C$34/100)</f>
        <v>0</v>
      </c>
      <c r="AA500" s="29">
        <f>SUM(AB500:AI500)</f>
        <v>466892.31381782936</v>
      </c>
      <c r="AB500" s="29">
        <f>S500*2</f>
        <v>116726.33031362148</v>
      </c>
      <c r="AC500" s="29">
        <f>T500*2</f>
        <v>116726.33031362148</v>
      </c>
      <c r="AD500" s="29">
        <f>U500*2</f>
        <v>233439.65319058642</v>
      </c>
      <c r="AE500" s="29"/>
      <c r="AF500" s="38"/>
      <c r="AG500" s="38"/>
      <c r="AH500" s="38"/>
      <c r="AI500" s="24">
        <f>Z500*2</f>
        <v>0</v>
      </c>
      <c r="AJ500" s="29">
        <f>AR500*(1-입력란!$C$29/100)</f>
        <v>25.858093516830003</v>
      </c>
      <c r="AK50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0" s="25">
        <f>입력란!$C$37+IF(입력란!$C$17=1,10,IF(입력란!$C$17=2,25,IF(입력란!$C$17=3,50,0)))</f>
        <v>200</v>
      </c>
      <c r="AM500" s="25">
        <f>SUM(AN500:AP500)</f>
        <v>132782.65074917499</v>
      </c>
      <c r="AN500" s="29">
        <f>(VLOOKUP(C500,$B$4:$AK$7,32,FALSE)+VLOOKUP(C500,$B$8:$AK$11,32,FALSE)*입력란!$C$23)*입력란!$C$38/100</f>
        <v>44262.527719458463</v>
      </c>
      <c r="AO500" s="38">
        <f>(VLOOKUP(C500,$B$4:$AK$7,33,FALSE)+VLOOKUP(C500,$B$8:$AK$11,33,FALSE)*입력란!$C$23)*입력란!$C$38/100</f>
        <v>88520.123029716517</v>
      </c>
      <c r="AP500" s="38"/>
      <c r="AQ500" s="38"/>
      <c r="AR500" s="22">
        <v>27</v>
      </c>
    </row>
    <row r="501" spans="2:44" ht="13.5" customHeight="1" x14ac:dyDescent="0.3">
      <c r="B501" s="30">
        <v>486</v>
      </c>
      <c r="C501" s="39">
        <v>7</v>
      </c>
      <c r="D501" s="43" t="s">
        <v>394</v>
      </c>
      <c r="E501" s="37" t="s">
        <v>337</v>
      </c>
      <c r="F501" s="39"/>
      <c r="G501" s="39" t="s">
        <v>403</v>
      </c>
      <c r="H501" s="80">
        <f>I501/AJ501</f>
        <v>17674.688284594795</v>
      </c>
      <c r="I501" s="52">
        <f>SUM(J501:Q501)*IF(입력란!C$15=1,1.04,IF(입력란!C$15=2,1.1,IF(입력란!C$15=3,1.2,1)))*IF(입력란!$C$17&lt;&gt;0,0.98,1)*IF(입력란!$C$12=1,IF(G501="생명50%이하",1.2,1.1),1)*IF(입력란!$C$12=2,IF(G501="생명50%이하",1.3,1.1),1)*IF(입력란!$C$12=3,IF(G501="생명50%이하",1.4,1.1),1)</f>
        <v>457033.74254387186</v>
      </c>
      <c r="J501" s="29">
        <f>S501*(1+IF($AK501+IF(입력란!$C$19=1,10,0)&gt;100,100,$AK501+IF(입력란!$C$19=1,10,0))/100*($AL501/100-1))</f>
        <v>114261.61883115029</v>
      </c>
      <c r="K501" s="29">
        <f>T501*(1+IF($AK501+IF(입력란!$C$19=1,10,0)&gt;100,100,$AK501+IF(입력란!$C$19=1,10,0))/100*($AL501/100-1))</f>
        <v>114261.61883115029</v>
      </c>
      <c r="L501" s="25">
        <f>U501*(1+IF($AK501+IF(입력란!$C$19=1,10,0)&gt;100,100,$AK501+IF(입력란!$C$19=1,10,0))/100*($AL501/100-1))</f>
        <v>228510.50488157125</v>
      </c>
      <c r="M501" s="25"/>
      <c r="N501" s="38"/>
      <c r="O501" s="38"/>
      <c r="P501" s="38"/>
      <c r="Q501" s="34">
        <f>Z501*(1+IF($AK501+IF(입력란!$C$19=1,10,0)&gt;100,100,$AK501+IF(입력란!$C$19=1,10,0))/100*($AL501/100-1))</f>
        <v>0</v>
      </c>
      <c r="R501" s="23">
        <f>SUM(S501:Z501)</f>
        <v>373513.85105426353</v>
      </c>
      <c r="S501" s="29">
        <f>AN501*IF(MID(E501,3,1)="1",IF(G501="생명50%이하",트라이포드!$J$24,트라이포드!$I$24),1)*IF(MID(E501,5,1)="1",0,1)*(1+입력란!$C$34/100)</f>
        <v>93381.064250897194</v>
      </c>
      <c r="T501" s="29">
        <f>AN501*IF(MID(E501,3,1)="1",IF(G501="생명50%이하",트라이포드!$J$24,트라이포드!$I$24),1)*IF(MID(E501,5,1)="1",0,1)*(1+입력란!$C$34/100)</f>
        <v>93381.064250897194</v>
      </c>
      <c r="U501" s="25">
        <f>AO501*IF(MID(E501,3,1)="1",IF(G501="생명50%이하",트라이포드!$J$24,트라이포드!$I$24),1)*IF(MID(E501,3,1)="3",트라이포드!$N$24,트라이포드!$M$24)*IF(MID(E501,5,1)="1",트라이포드!$P$24,트라이포드!$O$24)*IF(MID(E501,5,1)="2",트라이포드!$R$24,트라이포드!$Q$24)*(1+입력란!$C$34/100)</f>
        <v>186751.72255246915</v>
      </c>
      <c r="V501" s="25"/>
      <c r="W501" s="25"/>
      <c r="X501" s="25"/>
      <c r="Y501" s="25"/>
      <c r="Z501" s="26">
        <f>IF(MID(E501,3,1)="3",(AN501*2+AO501)*0.1,0)*(1+입력란!$C$34/100)</f>
        <v>0</v>
      </c>
      <c r="AA501" s="29">
        <f>SUM(AB501:AI501)</f>
        <v>747027.70210852707</v>
      </c>
      <c r="AB501" s="29">
        <f>S501*2</f>
        <v>186762.12850179439</v>
      </c>
      <c r="AC501" s="29">
        <f>T501*2</f>
        <v>186762.12850179439</v>
      </c>
      <c r="AD501" s="29">
        <f>U501*2</f>
        <v>373503.44510493829</v>
      </c>
      <c r="AE501" s="29"/>
      <c r="AF501" s="38"/>
      <c r="AG501" s="38"/>
      <c r="AH501" s="38"/>
      <c r="AI501" s="24">
        <f>Z501*2</f>
        <v>0</v>
      </c>
      <c r="AJ501" s="29">
        <f>AR501*(1-입력란!$C$29/100)</f>
        <v>25.858093516830003</v>
      </c>
      <c r="AK50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1" s="25">
        <f>입력란!$C$37+IF(입력란!$C$17=1,10,IF(입력란!$C$17=2,25,IF(입력란!$C$17=3,50,0)))</f>
        <v>200</v>
      </c>
      <c r="AM501" s="25">
        <f>SUM(AN501:AP501)</f>
        <v>132782.65074917499</v>
      </c>
      <c r="AN501" s="29">
        <f>(VLOOKUP(C501,$B$4:$AK$7,32,FALSE)+VLOOKUP(C501,$B$8:$AK$11,32,FALSE)*입력란!$C$23)*입력란!$C$38/100</f>
        <v>44262.527719458463</v>
      </c>
      <c r="AO501" s="38">
        <f>(VLOOKUP(C501,$B$4:$AK$7,33,FALSE)+VLOOKUP(C501,$B$8:$AK$11,33,FALSE)*입력란!$C$23)*입력란!$C$38/100</f>
        <v>88520.123029716517</v>
      </c>
      <c r="AP501" s="38"/>
      <c r="AQ501" s="38"/>
      <c r="AR501" s="22">
        <v>27</v>
      </c>
    </row>
    <row r="502" spans="2:44" ht="13.5" customHeight="1" x14ac:dyDescent="0.3">
      <c r="B502" s="30">
        <v>487</v>
      </c>
      <c r="C502" s="39">
        <v>7</v>
      </c>
      <c r="D502" s="43" t="s">
        <v>394</v>
      </c>
      <c r="E502" s="37" t="s">
        <v>339</v>
      </c>
      <c r="F502" s="39"/>
      <c r="G502" s="39" t="s">
        <v>403</v>
      </c>
      <c r="H502" s="80">
        <f>I502/AJ502</f>
        <v>14912.941301083083</v>
      </c>
      <c r="I502" s="52">
        <f>SUM(J502:Q502)*IF(입력란!C$15=1,1.04,IF(입력란!C$15=2,1.1,IF(입력란!C$15=3,1.2,1)))*IF(입력란!$C$17&lt;&gt;0,0.98,1)*IF(입력란!$C$12=1,IF(G502="생명50%이하",1.2,1.1),1)*IF(입력란!$C$12=2,IF(G502="생명50%이하",1.3,1.1),1)*IF(입력란!$C$12=3,IF(G502="생명50%이하",1.4,1.1),1)</f>
        <v>385620.23077440285</v>
      </c>
      <c r="J502" s="29">
        <f>S502*(1+IF($AK502+IF(입력란!$C$19=1,10,0)&gt;100,100,$AK502+IF(입력란!$C$19=1,10,0))/100*($AL502/100-1))</f>
        <v>71413.511769468925</v>
      </c>
      <c r="K502" s="29">
        <f>T502*(1+IF($AK502+IF(입력란!$C$19=1,10,0)&gt;100,100,$AK502+IF(입력란!$C$19=1,10,0))/100*($AL502/100-1))</f>
        <v>71413.511769468925</v>
      </c>
      <c r="L502" s="25">
        <f>U502*(1+IF($AK502+IF(입력란!$C$19=1,10,0)&gt;100,100,$AK502+IF(입력란!$C$19=1,10,0))/100*($AL502/100-1))</f>
        <v>214228.59832647303</v>
      </c>
      <c r="M502" s="25"/>
      <c r="N502" s="38"/>
      <c r="O502" s="38"/>
      <c r="P502" s="38"/>
      <c r="Q502" s="34">
        <f>Z502*(1+IF($AK502+IF(입력란!$C$19=1,10,0)&gt;100,100,$AK502+IF(입력란!$C$19=1,10,0))/100*($AL502/100-1))</f>
        <v>28564.608908991988</v>
      </c>
      <c r="R502" s="23">
        <f>SUM(S502:Z502)</f>
        <v>315150.68589745276</v>
      </c>
      <c r="S502" s="29">
        <f>AN502*IF(MID(E502,3,1)="1",IF(G502="생명50%이하",트라이포드!$J$24,트라이포드!$I$24),1)*IF(MID(E502,5,1)="1",0,1)*(1+입력란!$C$34/100)</f>
        <v>58363.165156810741</v>
      </c>
      <c r="T502" s="29">
        <f>AN502*IF(MID(E502,3,1)="1",IF(G502="생명50%이하",트라이포드!$J$24,트라이포드!$I$24),1)*IF(MID(E502,5,1)="1",0,1)*(1+입력란!$C$34/100)</f>
        <v>58363.165156810741</v>
      </c>
      <c r="U502" s="25">
        <f>AO502*IF(MID(E502,3,1)="1",IF(G502="생명50%이하",트라이포드!$J$24,트라이포드!$I$24),1)*IF(MID(E502,3,1)="3",트라이포드!$N$24,트라이포드!$M$24)*IF(MID(E502,5,1)="1",트라이포드!$P$24,트라이포드!$O$24)*IF(MID(E502,5,1)="2",트라이포드!$R$24,트라이포드!$Q$24)*(1+입력란!$C$34/100)</f>
        <v>175079.7398929398</v>
      </c>
      <c r="V502" s="25"/>
      <c r="W502" s="25"/>
      <c r="X502" s="25"/>
      <c r="Y502" s="25"/>
      <c r="Z502" s="26">
        <f>IF(MID(E502,3,1)="3",(AN502*2+AO502)*0.1,0)*(1+입력란!$C$34/100)</f>
        <v>23344.615690891471</v>
      </c>
      <c r="AA502" s="29">
        <f>SUM(AB502:AI502)</f>
        <v>630301.37179490551</v>
      </c>
      <c r="AB502" s="29">
        <f>S502*2</f>
        <v>116726.33031362148</v>
      </c>
      <c r="AC502" s="29">
        <f>T502*2</f>
        <v>116726.33031362148</v>
      </c>
      <c r="AD502" s="29">
        <f>U502*2</f>
        <v>350159.47978587961</v>
      </c>
      <c r="AE502" s="29"/>
      <c r="AF502" s="38"/>
      <c r="AG502" s="38"/>
      <c r="AH502" s="38"/>
      <c r="AI502" s="24">
        <f>Z502*2</f>
        <v>46689.231381782942</v>
      </c>
      <c r="AJ502" s="29">
        <f>AR502*(1-입력란!$C$29/100)</f>
        <v>25.858093516830003</v>
      </c>
      <c r="AK50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2" s="25">
        <f>입력란!$C$37+IF(입력란!$C$17=1,10,IF(입력란!$C$17=2,25,IF(입력란!$C$17=3,50,0)))</f>
        <v>200</v>
      </c>
      <c r="AM502" s="25">
        <f>SUM(AN502:AP502)</f>
        <v>132782.65074917499</v>
      </c>
      <c r="AN502" s="29">
        <f>(VLOOKUP(C502,$B$4:$AK$7,32,FALSE)+VLOOKUP(C502,$B$8:$AK$11,32,FALSE)*입력란!$C$23)*입력란!$C$38/100</f>
        <v>44262.527719458463</v>
      </c>
      <c r="AO502" s="38">
        <f>(VLOOKUP(C502,$B$4:$AK$7,33,FALSE)+VLOOKUP(C502,$B$8:$AK$11,33,FALSE)*입력란!$C$23)*입력란!$C$38/100</f>
        <v>88520.123029716517</v>
      </c>
      <c r="AP502" s="38"/>
      <c r="AQ502" s="38"/>
      <c r="AR502" s="22">
        <v>27</v>
      </c>
    </row>
    <row r="503" spans="2:44" ht="13.5" customHeight="1" x14ac:dyDescent="0.3">
      <c r="B503" s="30">
        <v>488</v>
      </c>
      <c r="C503" s="39">
        <v>10</v>
      </c>
      <c r="D503" s="43" t="s">
        <v>394</v>
      </c>
      <c r="E503" s="37" t="s">
        <v>57</v>
      </c>
      <c r="F503" s="39"/>
      <c r="G503" s="39" t="s">
        <v>403</v>
      </c>
      <c r="H503" s="80">
        <f>I503/AJ503</f>
        <v>11060.772944666573</v>
      </c>
      <c r="I503" s="52">
        <f>SUM(J503:Q503)*IF(입력란!C$15=1,1.04,IF(입력란!C$15=2,1.1,IF(입력란!C$15=3,1.2,1)))*IF(입력란!$C$17&lt;&gt;0,0.98,1)*IF(입력란!$C$12=1,IF(G503="생명50%이하",1.2,1.1),1)*IF(입력란!$C$12=2,IF(G503="생명50%이하",1.3,1.1),1)*IF(입력란!$C$12=3,IF(G503="생명50%이하",1.4,1.1),1)</f>
        <v>286010.50117161142</v>
      </c>
      <c r="J503" s="29">
        <f>S503*(1+IF($AK503+IF(입력란!$C$19=1,10,0)&gt;100,100,$AK503+IF(입력란!$C$19=1,10,0))/100*($AL503/100-1))</f>
        <v>71508.593783869728</v>
      </c>
      <c r="K503" s="29">
        <f>T503*(1+IF($AK503+IF(입력란!$C$19=1,10,0)&gt;100,100,$AK503+IF(입력란!$C$19=1,10,0))/100*($AL503/100-1))</f>
        <v>71508.593783869728</v>
      </c>
      <c r="L503" s="25">
        <f>U503*(1+IF($AK503+IF(입력란!$C$19=1,10,0)&gt;100,100,$AK503+IF(입력란!$C$19=1,10,0))/100*($AL503/100-1))</f>
        <v>142993.31360387197</v>
      </c>
      <c r="M503" s="25"/>
      <c r="N503" s="38"/>
      <c r="O503" s="38"/>
      <c r="P503" s="38"/>
      <c r="Q503" s="34">
        <f>Z503*(1+IF($AK503+IF(입력란!$C$19=1,10,0)&gt;100,100,$AK503+IF(입력란!$C$19=1,10,0))/100*($AL503/100-1))</f>
        <v>0</v>
      </c>
      <c r="R503" s="23">
        <f>SUM(S503:Z503)</f>
        <v>233743.97509460425</v>
      </c>
      <c r="S503" s="29">
        <f>AN503*IF(MID(E503,3,1)="1",IF(G503="생명50%이하",트라이포드!$J$24,트라이포드!$I$24),1)*IF(MID(E503,5,1)="1",0,1)*(1+입력란!$C$34/100)</f>
        <v>58440.871562397268</v>
      </c>
      <c r="T503" s="29">
        <f>AN503*IF(MID(E503,3,1)="1",IF(G503="생명50%이하",트라이포드!$J$24,트라이포드!$I$24),1)*IF(MID(E503,5,1)="1",0,1)*(1+입력란!$C$34/100)</f>
        <v>58440.871562397268</v>
      </c>
      <c r="U503" s="25">
        <f>AO503*IF(MID(E503,3,1)="1",IF(G503="생명50%이하",트라이포드!$J$24,트라이포드!$I$24),1)*IF(MID(E503,3,1)="3",트라이포드!$N$24,트라이포드!$M$24)*IF(MID(E503,5,1)="1",트라이포드!$P$24,트라이포드!$O$24)*IF(MID(E503,5,1)="2",트라이포드!$R$24,트라이포드!$Q$24)*(1+입력란!$C$34/100)</f>
        <v>116862.2319698097</v>
      </c>
      <c r="V503" s="25"/>
      <c r="W503" s="25"/>
      <c r="X503" s="25"/>
      <c r="Y503" s="25"/>
      <c r="Z503" s="26">
        <f>IF(MID(E503,3,1)="3",(AN503*2+AO503)*0.1,0)*(1+입력란!$C$34/100)</f>
        <v>0</v>
      </c>
      <c r="AA503" s="29">
        <f>SUM(AB503:AI503)</f>
        <v>467487.9501892085</v>
      </c>
      <c r="AB503" s="29">
        <f>S503*2</f>
        <v>116881.74312479454</v>
      </c>
      <c r="AC503" s="29">
        <f>T503*2</f>
        <v>116881.74312479454</v>
      </c>
      <c r="AD503" s="29">
        <f>U503*2</f>
        <v>233724.4639396194</v>
      </c>
      <c r="AE503" s="29"/>
      <c r="AF503" s="38"/>
      <c r="AG503" s="38"/>
      <c r="AH503" s="38"/>
      <c r="AI503" s="24">
        <f>Z503*2</f>
        <v>0</v>
      </c>
      <c r="AJ503" s="29">
        <f>AR503*(1-입력란!$C$29/100)</f>
        <v>25.858093516830003</v>
      </c>
      <c r="AK50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3" s="25">
        <f>입력란!$C$37+IF(입력란!$C$17=1,10,IF(입력란!$C$17=2,25,IF(입력란!$C$17=3,50,0)))</f>
        <v>200</v>
      </c>
      <c r="AM503" s="25">
        <f>SUM(AN503:AP503)</f>
        <v>132949.5831583754</v>
      </c>
      <c r="AN503" s="29">
        <f>(VLOOKUP(C503,$B$4:$AK$7,32,FALSE)+VLOOKUP(C503,$B$8:$AK$11,32,FALSE)*입력란!$C$23)*입력란!$C$38/100</f>
        <v>44321.460128658888</v>
      </c>
      <c r="AO503" s="38">
        <f>(VLOOKUP(C503,$B$4:$AK$7,33,FALSE)+VLOOKUP(C503,$B$8:$AK$11,33,FALSE)*입력란!$C$23)*입력란!$C$38/100</f>
        <v>88628.123029716517</v>
      </c>
      <c r="AP503" s="38"/>
      <c r="AQ503" s="38"/>
      <c r="AR503" s="22">
        <v>27</v>
      </c>
    </row>
    <row r="504" spans="2:44" ht="13.5" customHeight="1" x14ac:dyDescent="0.3">
      <c r="B504" s="30">
        <v>489</v>
      </c>
      <c r="C504" s="39">
        <v>10</v>
      </c>
      <c r="D504" s="43" t="s">
        <v>394</v>
      </c>
      <c r="E504" s="37" t="s">
        <v>203</v>
      </c>
      <c r="F504" s="39"/>
      <c r="G504" s="39" t="s">
        <v>403</v>
      </c>
      <c r="H504" s="80">
        <f>I504/AJ504</f>
        <v>13824.812095176634</v>
      </c>
      <c r="I504" s="52">
        <f>SUM(J504:Q504)*IF(입력란!C$15=1,1.04,IF(입력란!C$15=2,1.1,IF(입력란!C$15=3,1.2,1)))*IF(입력란!$C$17&lt;&gt;0,0.98,1)*IF(입력란!$C$12=1,IF(G504="생명50%이하",1.2,1.1),1)*IF(입력란!$C$12=2,IF(G504="생명50%이하",1.3,1.1),1)*IF(입력란!$C$12=3,IF(G504="생명50%이하",1.4,1.1),1)</f>
        <v>357483.28400967992</v>
      </c>
      <c r="J504" s="29">
        <f>S504*(1+IF($AK504+IF(입력란!$C$19=1,10,0)&gt;100,100,$AK504+IF(입력란!$C$19=1,10,0))/100*($AL504/100-1))</f>
        <v>0</v>
      </c>
      <c r="K504" s="29">
        <f>T504*(1+IF($AK504+IF(입력란!$C$19=1,10,0)&gt;100,100,$AK504+IF(입력란!$C$19=1,10,0))/100*($AL504/100-1))</f>
        <v>0</v>
      </c>
      <c r="L504" s="25">
        <f>U504*(1+IF($AK504+IF(입력란!$C$19=1,10,0)&gt;100,100,$AK504+IF(입력란!$C$19=1,10,0))/100*($AL504/100-1))</f>
        <v>357483.28400967992</v>
      </c>
      <c r="M504" s="25"/>
      <c r="N504" s="38"/>
      <c r="O504" s="38"/>
      <c r="P504" s="38"/>
      <c r="Q504" s="34">
        <f>Z504*(1+IF($AK504+IF(입력란!$C$19=1,10,0)&gt;100,100,$AK504+IF(입력란!$C$19=1,10,0))/100*($AL504/100-1))</f>
        <v>0</v>
      </c>
      <c r="R504" s="23">
        <f>SUM(S504:Z504)</f>
        <v>292155.57992452424</v>
      </c>
      <c r="S504" s="29">
        <f>AN504*IF(MID(E504,3,1)="1",IF(G504="생명50%이하",트라이포드!$J$24,트라이포드!$I$24),1)*IF(MID(E504,5,1)="1",0,1)*(1+입력란!$C$34/100)</f>
        <v>0</v>
      </c>
      <c r="T504" s="29">
        <f>AN504*IF(MID(E504,3,1)="1",IF(G504="생명50%이하",트라이포드!$J$24,트라이포드!$I$24),1)*IF(MID(E504,5,1)="1",0,1)*(1+입력란!$C$34/100)</f>
        <v>0</v>
      </c>
      <c r="U504" s="25">
        <f>AO504*IF(MID(E504,3,1)="1",IF(G504="생명50%이하",트라이포드!$J$24,트라이포드!$I$24),1)*IF(MID(E504,3,1)="3",트라이포드!$N$24,트라이포드!$M$24)*IF(MID(E504,5,1)="1",트라이포드!$P$24,트라이포드!$O$24)*IF(MID(E504,5,1)="2",트라이포드!$R$24,트라이포드!$Q$24)*(1+입력란!$C$34/100)</f>
        <v>292155.57992452424</v>
      </c>
      <c r="V504" s="25"/>
      <c r="W504" s="25"/>
      <c r="X504" s="25"/>
      <c r="Y504" s="25"/>
      <c r="Z504" s="26">
        <f>IF(MID(E504,3,1)="3",(AN504*2+AO504)*0.1,0)*(1+입력란!$C$34/100)</f>
        <v>0</v>
      </c>
      <c r="AA504" s="29">
        <f>SUM(AB504:AI504)</f>
        <v>584311.15984904848</v>
      </c>
      <c r="AB504" s="29">
        <f>S504*2</f>
        <v>0</v>
      </c>
      <c r="AC504" s="29">
        <f>T504*2</f>
        <v>0</v>
      </c>
      <c r="AD504" s="29">
        <f>U504*2</f>
        <v>584311.15984904848</v>
      </c>
      <c r="AE504" s="29"/>
      <c r="AF504" s="38"/>
      <c r="AG504" s="38"/>
      <c r="AH504" s="38"/>
      <c r="AI504" s="24">
        <f>Z504*2</f>
        <v>0</v>
      </c>
      <c r="AJ504" s="29">
        <f>AR504*(1-입력란!$C$29/100)</f>
        <v>25.858093516830003</v>
      </c>
      <c r="AK50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4" s="25">
        <f>입력란!$C$37+IF(입력란!$C$17=1,10,IF(입력란!$C$17=2,25,IF(입력란!$C$17=3,50,0)))</f>
        <v>200</v>
      </c>
      <c r="AM504" s="25">
        <f>SUM(AN504:AP504)</f>
        <v>132949.5831583754</v>
      </c>
      <c r="AN504" s="29">
        <f>(VLOOKUP(C504,$B$4:$AK$7,32,FALSE)+VLOOKUP(C504,$B$8:$AK$11,32,FALSE)*입력란!$C$23)*입력란!$C$38/100</f>
        <v>44321.460128658888</v>
      </c>
      <c r="AO504" s="38">
        <f>(VLOOKUP(C504,$B$4:$AK$7,33,FALSE)+VLOOKUP(C504,$B$8:$AK$11,33,FALSE)*입력란!$C$23)*입력란!$C$38/100</f>
        <v>88628.123029716517</v>
      </c>
      <c r="AP504" s="38"/>
      <c r="AQ504" s="38"/>
      <c r="AR504" s="22">
        <v>27</v>
      </c>
    </row>
    <row r="505" spans="2:44" ht="13.5" customHeight="1" x14ac:dyDescent="0.3">
      <c r="B505" s="30">
        <v>490</v>
      </c>
      <c r="C505" s="8">
        <v>10</v>
      </c>
      <c r="D505" s="43" t="s">
        <v>394</v>
      </c>
      <c r="E505" s="37" t="s">
        <v>341</v>
      </c>
      <c r="F505" s="39" t="s">
        <v>404</v>
      </c>
      <c r="G505" s="39" t="s">
        <v>403</v>
      </c>
      <c r="H505" s="80">
        <f>I505/AJ505</f>
        <v>19355.660201772553</v>
      </c>
      <c r="I505" s="52">
        <f>SUM(J505:Q505)*IF(입력란!C$15=1,1.04,IF(입력란!C$15=2,1.1,IF(입력란!C$15=3,1.2,1)))*IF(입력란!$C$17&lt;&gt;0,0.98,1)*IF(입력란!$C$12=1,IF(G505="생명50%이하",1.2,1.1),1)*IF(입력란!$C$12=2,IF(G505="생명50%이하",1.3,1.1),1)*IF(입력란!$C$12=3,IF(G505="생명50%이하",1.4,1.1),1)</f>
        <v>500500.47157741938</v>
      </c>
      <c r="J505" s="29">
        <f>S505*(1+IF($AK505+IF(입력란!$C$19=1,10,0)&gt;100,100,$AK505+IF(입력란!$C$19=1,10,0))/100*($AL505/100-1))</f>
        <v>71508.593783869728</v>
      </c>
      <c r="K505" s="29">
        <f>T505*(1+IF($AK505+IF(입력란!$C$19=1,10,0)&gt;100,100,$AK505+IF(입력란!$C$19=1,10,0))/100*($AL505/100-1))</f>
        <v>71508.593783869728</v>
      </c>
      <c r="L505" s="25">
        <f>U505*(1+IF($AK505+IF(입력란!$C$19=1,10,0)&gt;100,100,$AK505+IF(입력란!$C$19=1,10,0))/100*($AL505/100-1))</f>
        <v>357483.28400967992</v>
      </c>
      <c r="M505" s="25"/>
      <c r="N505" s="38"/>
      <c r="O505" s="38"/>
      <c r="P505" s="38"/>
      <c r="Q505" s="34">
        <f>Z505*(1+IF($AK505+IF(입력란!$C$19=1,10,0)&gt;100,100,$AK505+IF(입력란!$C$19=1,10,0))/100*($AL505/100-1))</f>
        <v>0</v>
      </c>
      <c r="R505" s="23">
        <f>SUM(S505:Z505)</f>
        <v>409037.32304931874</v>
      </c>
      <c r="S505" s="29">
        <f>AN505*IF(MID(E505,3,1)="1",IF(G505="생명50%이하",트라이포드!$J$24,트라이포드!$I$24),1)*IF(MID(E505,5,1)="1",0,1)*(1+입력란!$C$34/100)</f>
        <v>58440.871562397268</v>
      </c>
      <c r="T505" s="29">
        <f>AN505*IF(MID(E505,3,1)="1",IF(G505="생명50%이하",트라이포드!$J$24,트라이포드!$I$24),1)*IF(MID(E505,5,1)="1",0,1)*(1+입력란!$C$34/100)</f>
        <v>58440.871562397268</v>
      </c>
      <c r="U505" s="25">
        <f>AO505*IF(MID(E505,3,1)="1",IF(G505="생명50%이하",트라이포드!$J$24,트라이포드!$I$24),1)*IF(MID(E505,3,1)="3",트라이포드!$N$24,트라이포드!$M$24)*IF(MID(E505,5,1)="1",트라이포드!$P$24,트라이포드!$O$24)*IF(MID(E505,5,1)="2",트라이포드!$R$24,트라이포드!$Q$24)*(1+입력란!$C$34/100)</f>
        <v>292155.57992452424</v>
      </c>
      <c r="V505" s="25"/>
      <c r="W505" s="25"/>
      <c r="X505" s="25"/>
      <c r="Y505" s="25"/>
      <c r="Z505" s="26">
        <f>IF(MID(E505,3,1)="3",(AN505*2+AO505)*0.1,0)*(1+입력란!$C$34/100)</f>
        <v>0</v>
      </c>
      <c r="AA505" s="29">
        <f>SUM(AB505:AI505)</f>
        <v>818074.64609863749</v>
      </c>
      <c r="AB505" s="29">
        <f>S505*2</f>
        <v>116881.74312479454</v>
      </c>
      <c r="AC505" s="29">
        <f>T505*2</f>
        <v>116881.74312479454</v>
      </c>
      <c r="AD505" s="29">
        <f>U505*2</f>
        <v>584311.15984904848</v>
      </c>
      <c r="AE505" s="29"/>
      <c r="AF505" s="38"/>
      <c r="AG505" s="38"/>
      <c r="AH505" s="38"/>
      <c r="AI505" s="24">
        <f>Z505*2</f>
        <v>0</v>
      </c>
      <c r="AJ505" s="29">
        <f>AR505*(1-입력란!$C$29/100)</f>
        <v>25.858093516830003</v>
      </c>
      <c r="AK50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5" s="25">
        <f>입력란!$C$37+IF(입력란!$C$17=1,10,IF(입력란!$C$17=2,25,IF(입력란!$C$17=3,50,0)))</f>
        <v>200</v>
      </c>
      <c r="AM505" s="25">
        <f>SUM(AN505:AP505)</f>
        <v>132949.5831583754</v>
      </c>
      <c r="AN505" s="29">
        <f>(VLOOKUP(C505,$B$4:$AK$7,32,FALSE)+VLOOKUP(C505,$B$8:$AK$11,32,FALSE)*입력란!$C$23)*입력란!$C$38/100</f>
        <v>44321.460128658888</v>
      </c>
      <c r="AO505" s="38">
        <f>(VLOOKUP(C505,$B$4:$AK$7,33,FALSE)+VLOOKUP(C505,$B$8:$AK$11,33,FALSE)*입력란!$C$23)*입력란!$C$38/100</f>
        <v>88628.123029716517</v>
      </c>
      <c r="AP505" s="38"/>
      <c r="AQ505" s="38"/>
      <c r="AR505" s="22">
        <v>27</v>
      </c>
    </row>
    <row r="506" spans="2:44" ht="13.5" customHeight="1" x14ac:dyDescent="0.3">
      <c r="B506" s="30">
        <v>491</v>
      </c>
      <c r="C506" s="8">
        <v>10</v>
      </c>
      <c r="D506" s="43" t="s">
        <v>394</v>
      </c>
      <c r="E506" s="37" t="s">
        <v>402</v>
      </c>
      <c r="F506" s="39"/>
      <c r="G506" s="39" t="s">
        <v>403</v>
      </c>
      <c r="H506" s="80">
        <f>I506/AJ506</f>
        <v>17697.236711466518</v>
      </c>
      <c r="I506" s="52">
        <f>SUM(J506:Q506)*IF(입력란!C$15=1,1.04,IF(입력란!C$15=2,1.1,IF(입력란!C$15=3,1.2,1)))*IF(입력란!$C$17&lt;&gt;0,0.98,1)*IF(입력란!$C$12=1,IF(G506="생명50%이하",1.2,1.1),1)*IF(입력란!$C$12=2,IF(G506="생명50%이하",1.3,1.1),1)*IF(입력란!$C$12=3,IF(G506="생명50%이하",1.4,1.1),1)</f>
        <v>457616.80187457829</v>
      </c>
      <c r="J506" s="29">
        <f>S506*(1+IF($AK506+IF(입력란!$C$19=1,10,0)&gt;100,100,$AK506+IF(입력란!$C$19=1,10,0))/100*($AL506/100-1))</f>
        <v>114413.75005419157</v>
      </c>
      <c r="K506" s="29">
        <f>T506*(1+IF($AK506+IF(입력란!$C$19=1,10,0)&gt;100,100,$AK506+IF(입력란!$C$19=1,10,0))/100*($AL506/100-1))</f>
        <v>114413.75005419157</v>
      </c>
      <c r="L506" s="25">
        <f>U506*(1+IF($AK506+IF(입력란!$C$19=1,10,0)&gt;100,100,$AK506+IF(입력란!$C$19=1,10,0))/100*($AL506/100-1))</f>
        <v>228789.30176619516</v>
      </c>
      <c r="M506" s="25"/>
      <c r="N506" s="38"/>
      <c r="O506" s="38"/>
      <c r="P506" s="38"/>
      <c r="Q506" s="34">
        <f>Z506*(1+IF($AK506+IF(입력란!$C$19=1,10,0)&gt;100,100,$AK506+IF(입력란!$C$19=1,10,0))/100*($AL506/100-1))</f>
        <v>0</v>
      </c>
      <c r="R506" s="23">
        <f>SUM(S506:Z506)</f>
        <v>373990.3601513668</v>
      </c>
      <c r="S506" s="29">
        <f>AN506*IF(MID(E506,3,1)="1",IF(G506="생명50%이하",트라이포드!$J$24,트라이포드!$I$24),1)*IF(MID(E506,5,1)="1",0,1)*(1+입력란!$C$34/100)</f>
        <v>93505.394499835631</v>
      </c>
      <c r="T506" s="29">
        <f>AN506*IF(MID(E506,3,1)="1",IF(G506="생명50%이하",트라이포드!$J$24,트라이포드!$I$24),1)*IF(MID(E506,5,1)="1",0,1)*(1+입력란!$C$34/100)</f>
        <v>93505.394499835631</v>
      </c>
      <c r="U506" s="25">
        <f>AO506*IF(MID(E506,3,1)="1",IF(G506="생명50%이하",트라이포드!$J$24,트라이포드!$I$24),1)*IF(MID(E506,3,1)="3",트라이포드!$N$24,트라이포드!$M$24)*IF(MID(E506,5,1)="1",트라이포드!$P$24,트라이포드!$O$24)*IF(MID(E506,5,1)="2",트라이포드!$R$24,트라이포드!$Q$24)*(1+입력란!$C$34/100)</f>
        <v>186979.57115169551</v>
      </c>
      <c r="V506" s="25"/>
      <c r="W506" s="25"/>
      <c r="X506" s="25"/>
      <c r="Y506" s="25"/>
      <c r="Z506" s="26">
        <f>IF(MID(E506,3,1)="3",(AN506*2+AO506)*0.1,0)*(1+입력란!$C$34/100)</f>
        <v>0</v>
      </c>
      <c r="AA506" s="29">
        <f>SUM(AB506:AI506)</f>
        <v>747980.72030273359</v>
      </c>
      <c r="AB506" s="29">
        <f>S506*2</f>
        <v>187010.78899967126</v>
      </c>
      <c r="AC506" s="29">
        <f>T506*2</f>
        <v>187010.78899967126</v>
      </c>
      <c r="AD506" s="29">
        <f>U506*2</f>
        <v>373959.14230339101</v>
      </c>
      <c r="AE506" s="29"/>
      <c r="AF506" s="38"/>
      <c r="AG506" s="38"/>
      <c r="AH506" s="38"/>
      <c r="AI506" s="24">
        <f>Z506*2</f>
        <v>0</v>
      </c>
      <c r="AJ506" s="29">
        <f>AR506*(1-입력란!$C$29/100)</f>
        <v>25.858093516830003</v>
      </c>
      <c r="AK50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6" s="25">
        <f>입력란!$C$37+IF(입력란!$C$17=1,10,IF(입력란!$C$17=2,25,IF(입력란!$C$17=3,50,0)))</f>
        <v>200</v>
      </c>
      <c r="AM506" s="25">
        <f>SUM(AN506:AP506)</f>
        <v>132949.5831583754</v>
      </c>
      <c r="AN506" s="29">
        <f>(VLOOKUP(C506,$B$4:$AK$7,32,FALSE)+VLOOKUP(C506,$B$8:$AK$11,32,FALSE)*입력란!$C$23)*입력란!$C$38/100</f>
        <v>44321.460128658888</v>
      </c>
      <c r="AO506" s="38">
        <f>(VLOOKUP(C506,$B$4:$AK$7,33,FALSE)+VLOOKUP(C506,$B$8:$AK$11,33,FALSE)*입력란!$C$23)*입력란!$C$38/100</f>
        <v>88628.123029716517</v>
      </c>
      <c r="AP506" s="38"/>
      <c r="AQ506" s="38"/>
      <c r="AR506" s="22">
        <v>27</v>
      </c>
    </row>
    <row r="507" spans="2:44" ht="13.5" customHeight="1" x14ac:dyDescent="0.3">
      <c r="B507" s="30">
        <v>492</v>
      </c>
      <c r="C507" s="8">
        <v>10</v>
      </c>
      <c r="D507" s="43" t="s">
        <v>394</v>
      </c>
      <c r="E507" s="37" t="s">
        <v>60</v>
      </c>
      <c r="F507" s="39"/>
      <c r="G507" s="39" t="s">
        <v>403</v>
      </c>
      <c r="H507" s="80">
        <f>I507/AJ507</f>
        <v>14931.812658168557</v>
      </c>
      <c r="I507" s="52">
        <f>SUM(J507:Q507)*IF(입력란!C$15=1,1.04,IF(입력란!C$15=2,1.1,IF(입력란!C$15=3,1.2,1)))*IF(입력란!$C$17&lt;&gt;0,0.98,1)*IF(입력란!$C$12=1,IF(G507="생명50%이하",1.2,1.1),1)*IF(입력란!$C$12=2,IF(G507="생명50%이하",1.3,1.1),1)*IF(입력란!$C$12=3,IF(G507="생명50%이하",1.4,1.1),1)</f>
        <v>386108.20809070853</v>
      </c>
      <c r="J507" s="29">
        <f>S507*(1+IF($AK507+IF(입력란!$C$19=1,10,0)&gt;100,100,$AK507+IF(입력란!$C$19=1,10,0))/100*($AL507/100-1))</f>
        <v>71508.593783869728</v>
      </c>
      <c r="K507" s="29">
        <f>T507*(1+IF($AK507+IF(입력란!$C$19=1,10,0)&gt;100,100,$AK507+IF(입력란!$C$19=1,10,0))/100*($AL507/100-1))</f>
        <v>71508.593783869728</v>
      </c>
      <c r="L507" s="25">
        <f>U507*(1+IF($AK507+IF(입력란!$C$19=1,10,0)&gt;100,100,$AK507+IF(입력란!$C$19=1,10,0))/100*($AL507/100-1))</f>
        <v>214489.97040580795</v>
      </c>
      <c r="M507" s="25"/>
      <c r="N507" s="38"/>
      <c r="O507" s="38"/>
      <c r="P507" s="38"/>
      <c r="Q507" s="34">
        <f>Z507*(1+IF($AK507+IF(입력란!$C$19=1,10,0)&gt;100,100,$AK507+IF(입력란!$C$19=1,10,0))/100*($AL507/100-1))</f>
        <v>28601.050117161147</v>
      </c>
      <c r="R507" s="23">
        <f>SUM(S507:Z507)</f>
        <v>315549.48858896946</v>
      </c>
      <c r="S507" s="29">
        <f>AN507*IF(MID(E507,3,1)="1",IF(G507="생명50%이하",트라이포드!$J$24,트라이포드!$I$24),1)*IF(MID(E507,5,1)="1",0,1)*(1+입력란!$C$34/100)</f>
        <v>58440.871562397268</v>
      </c>
      <c r="T507" s="29">
        <f>AN507*IF(MID(E507,3,1)="1",IF(G507="생명50%이하",트라이포드!$J$24,트라이포드!$I$24),1)*IF(MID(E507,5,1)="1",0,1)*(1+입력란!$C$34/100)</f>
        <v>58440.871562397268</v>
      </c>
      <c r="U507" s="25">
        <f>AO507*IF(MID(E507,3,1)="1",IF(G507="생명50%이하",트라이포드!$J$24,트라이포드!$I$24),1)*IF(MID(E507,3,1)="3",트라이포드!$N$24,트라이포드!$M$24)*IF(MID(E507,5,1)="1",트라이포드!$P$24,트라이포드!$O$24)*IF(MID(E507,5,1)="2",트라이포드!$R$24,트라이포드!$Q$24)*(1+입력란!$C$34/100)</f>
        <v>175293.34795471453</v>
      </c>
      <c r="V507" s="25"/>
      <c r="W507" s="25"/>
      <c r="X507" s="25"/>
      <c r="Y507" s="25"/>
      <c r="Z507" s="26">
        <f>IF(MID(E507,3,1)="3",(AN507*2+AO507)*0.1,0)*(1+입력란!$C$34/100)</f>
        <v>23374.397509460425</v>
      </c>
      <c r="AA507" s="29">
        <f>SUM(AB507:AI507)</f>
        <v>631098.97717793891</v>
      </c>
      <c r="AB507" s="29">
        <f>S507*2</f>
        <v>116881.74312479454</v>
      </c>
      <c r="AC507" s="29">
        <f>T507*2</f>
        <v>116881.74312479454</v>
      </c>
      <c r="AD507" s="29">
        <f>U507*2</f>
        <v>350586.69590942905</v>
      </c>
      <c r="AE507" s="29"/>
      <c r="AF507" s="38"/>
      <c r="AG507" s="38"/>
      <c r="AH507" s="38"/>
      <c r="AI507" s="24">
        <f>Z507*2</f>
        <v>46748.79501892085</v>
      </c>
      <c r="AJ507" s="29">
        <f>AR507*(1-입력란!$C$29/100)</f>
        <v>25.858093516830003</v>
      </c>
      <c r="AK50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7" s="25">
        <f>입력란!$C$37+IF(입력란!$C$17=1,10,IF(입력란!$C$17=2,25,IF(입력란!$C$17=3,50,0)))</f>
        <v>200</v>
      </c>
      <c r="AM507" s="25">
        <f>SUM(AN507:AP507)</f>
        <v>132949.5831583754</v>
      </c>
      <c r="AN507" s="29">
        <f>(VLOOKUP(C507,$B$4:$AK$7,32,FALSE)+VLOOKUP(C507,$B$8:$AK$11,32,FALSE)*입력란!$C$23)*입력란!$C$38/100</f>
        <v>44321.460128658888</v>
      </c>
      <c r="AO507" s="38">
        <f>(VLOOKUP(C507,$B$4:$AK$7,33,FALSE)+VLOOKUP(C507,$B$8:$AK$11,33,FALSE)*입력란!$C$23)*입력란!$C$38/100</f>
        <v>88628.123029716517</v>
      </c>
      <c r="AP507" s="38"/>
      <c r="AQ507" s="38"/>
      <c r="AR507" s="22">
        <v>27</v>
      </c>
    </row>
    <row r="508" spans="2:44" ht="13.5" customHeight="1" x14ac:dyDescent="0.3">
      <c r="B508" s="30">
        <v>493</v>
      </c>
      <c r="C508" s="8">
        <v>10</v>
      </c>
      <c r="D508" s="43" t="s">
        <v>394</v>
      </c>
      <c r="E508" s="37" t="s">
        <v>399</v>
      </c>
      <c r="F508" s="39"/>
      <c r="G508" s="39" t="s">
        <v>403</v>
      </c>
      <c r="H508" s="80">
        <f>I508/AJ508</f>
        <v>22119.699352282612</v>
      </c>
      <c r="I508" s="52">
        <f>SUM(J508:Q508)*IF(입력란!C$15=1,1.04,IF(입력란!C$15=2,1.1,IF(입력란!C$15=3,1.2,1)))*IF(입력란!$C$17&lt;&gt;0,0.98,1)*IF(입력란!$C$12=1,IF(G508="생명50%이하",1.2,1.1),1)*IF(입력란!$C$12=2,IF(G508="생명50%이하",1.3,1.1),1)*IF(입력란!$C$12=3,IF(G508="생명50%이하",1.4,1.1),1)</f>
        <v>571973.25441548787</v>
      </c>
      <c r="J508" s="29">
        <f>S508*(1+IF($AK508+IF(입력란!$C$19=1,10,0)&gt;100,100,$AK508+IF(입력란!$C$19=1,10,0))/100*($AL508/100-1))</f>
        <v>0</v>
      </c>
      <c r="K508" s="29">
        <f>T508*(1+IF($AK508+IF(입력란!$C$19=1,10,0)&gt;100,100,$AK508+IF(입력란!$C$19=1,10,0))/100*($AL508/100-1))</f>
        <v>0</v>
      </c>
      <c r="L508" s="25">
        <f>U508*(1+IF($AK508+IF(입력란!$C$19=1,10,0)&gt;100,100,$AK508+IF(입력란!$C$19=1,10,0))/100*($AL508/100-1))</f>
        <v>571973.25441548787</v>
      </c>
      <c r="M508" s="25"/>
      <c r="N508" s="38"/>
      <c r="O508" s="38"/>
      <c r="P508" s="38"/>
      <c r="Q508" s="34">
        <f>Z508*(1+IF($AK508+IF(입력란!$C$19=1,10,0)&gt;100,100,$AK508+IF(입력란!$C$19=1,10,0))/100*($AL508/100-1))</f>
        <v>0</v>
      </c>
      <c r="R508" s="23">
        <f>SUM(S508:Z508)</f>
        <v>467448.92787923879</v>
      </c>
      <c r="S508" s="29">
        <f>AN508*IF(MID(E508,3,1)="1",IF(G508="생명50%이하",트라이포드!$J$24,트라이포드!$I$24),1)*IF(MID(E508,5,1)="1",0,1)*(1+입력란!$C$34/100)</f>
        <v>0</v>
      </c>
      <c r="T508" s="29">
        <f>AN508*IF(MID(E508,3,1)="1",IF(G508="생명50%이하",트라이포드!$J$24,트라이포드!$I$24),1)*IF(MID(E508,5,1)="1",0,1)*(1+입력란!$C$34/100)</f>
        <v>0</v>
      </c>
      <c r="U508" s="25">
        <f>AO508*IF(MID(E508,3,1)="1",IF(G508="생명50%이하",트라이포드!$J$24,트라이포드!$I$24),1)*IF(MID(E508,3,1)="3",트라이포드!$N$24,트라이포드!$M$24)*IF(MID(E508,5,1)="1",트라이포드!$P$24,트라이포드!$O$24)*IF(MID(E508,5,1)="2",트라이포드!$R$24,트라이포드!$Q$24)*(1+입력란!$C$34/100)</f>
        <v>467448.92787923879</v>
      </c>
      <c r="V508" s="25"/>
      <c r="W508" s="25"/>
      <c r="X508" s="25"/>
      <c r="Y508" s="25"/>
      <c r="Z508" s="26">
        <f>IF(MID(E508,3,1)="3",(AN508*2+AO508)*0.1,0)*(1+입력란!$C$34/100)</f>
        <v>0</v>
      </c>
      <c r="AA508" s="29">
        <f>SUM(AB508:AI508)</f>
        <v>934897.85575847758</v>
      </c>
      <c r="AB508" s="29">
        <f>S508*2</f>
        <v>0</v>
      </c>
      <c r="AC508" s="29">
        <f>T508*2</f>
        <v>0</v>
      </c>
      <c r="AD508" s="29">
        <f>U508*2</f>
        <v>934897.85575847758</v>
      </c>
      <c r="AE508" s="29"/>
      <c r="AF508" s="38"/>
      <c r="AG508" s="38"/>
      <c r="AH508" s="38"/>
      <c r="AI508" s="24">
        <f>Z508*2</f>
        <v>0</v>
      </c>
      <c r="AJ508" s="29">
        <f>AR508*(1-입력란!$C$29/100)</f>
        <v>25.858093516830003</v>
      </c>
      <c r="AK50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8" s="25">
        <f>입력란!$C$37+IF(입력란!$C$17=1,10,IF(입력란!$C$17=2,25,IF(입력란!$C$17=3,50,0)))</f>
        <v>200</v>
      </c>
      <c r="AM508" s="25">
        <f>SUM(AN508:AP508)</f>
        <v>132949.5831583754</v>
      </c>
      <c r="AN508" s="29">
        <f>(VLOOKUP(C508,$B$4:$AK$7,32,FALSE)+VLOOKUP(C508,$B$8:$AK$11,32,FALSE)*입력란!$C$23)*입력란!$C$38/100</f>
        <v>44321.460128658888</v>
      </c>
      <c r="AO508" s="38">
        <f>(VLOOKUP(C508,$B$4:$AK$7,33,FALSE)+VLOOKUP(C508,$B$8:$AK$11,33,FALSE)*입력란!$C$23)*입력란!$C$38/100</f>
        <v>88628.123029716517</v>
      </c>
      <c r="AP508" s="38"/>
      <c r="AQ508" s="38"/>
      <c r="AR508" s="22">
        <v>27</v>
      </c>
    </row>
    <row r="509" spans="2:44" ht="13.5" customHeight="1" x14ac:dyDescent="0.3">
      <c r="B509" s="30">
        <v>494</v>
      </c>
      <c r="C509" s="8">
        <v>10</v>
      </c>
      <c r="D509" s="43" t="s">
        <v>394</v>
      </c>
      <c r="E509" s="37" t="s">
        <v>391</v>
      </c>
      <c r="F509" s="39" t="s">
        <v>415</v>
      </c>
      <c r="G509" s="39" t="s">
        <v>403</v>
      </c>
      <c r="H509" s="80">
        <f>I509/AJ509</f>
        <v>30969.056322836084</v>
      </c>
      <c r="I509" s="52">
        <f>SUM(J509:Q509)*IF(입력란!C$15=1,1.04,IF(입력란!C$15=2,1.1,IF(입력란!C$15=3,1.2,1)))*IF(입력란!$C$17&lt;&gt;0,0.98,1)*IF(입력란!$C$12=1,IF(G509="생명50%이하",1.2,1.1),1)*IF(입력란!$C$12=2,IF(G509="생명50%이하",1.3,1.1),1)*IF(입력란!$C$12=3,IF(G509="생명50%이하",1.4,1.1),1)</f>
        <v>800800.754523871</v>
      </c>
      <c r="J509" s="29">
        <f>S509*(1+IF($AK509+IF(입력란!$C$19=1,10,0)&gt;100,100,$AK509+IF(입력란!$C$19=1,10,0))/100*($AL509/100-1))</f>
        <v>114413.75005419157</v>
      </c>
      <c r="K509" s="29">
        <f>T509*(1+IF($AK509+IF(입력란!$C$19=1,10,0)&gt;100,100,$AK509+IF(입력란!$C$19=1,10,0))/100*($AL509/100-1))</f>
        <v>114413.75005419157</v>
      </c>
      <c r="L509" s="25">
        <f>U509*(1+IF($AK509+IF(입력란!$C$19=1,10,0)&gt;100,100,$AK509+IF(입력란!$C$19=1,10,0))/100*($AL509/100-1))</f>
        <v>571973.25441548787</v>
      </c>
      <c r="M509" s="25"/>
      <c r="N509" s="38"/>
      <c r="O509" s="38"/>
      <c r="P509" s="38"/>
      <c r="Q509" s="34">
        <f>Z509*(1+IF($AK509+IF(입력란!$C$19=1,10,0)&gt;100,100,$AK509+IF(입력란!$C$19=1,10,0))/100*($AL509/100-1))</f>
        <v>0</v>
      </c>
      <c r="R509" s="23">
        <f>SUM(S509:Z509)</f>
        <v>654459.71687891008</v>
      </c>
      <c r="S509" s="29">
        <f>AN509*IF(MID(E509,3,1)="1",IF(G509="생명50%이하",트라이포드!$J$24,트라이포드!$I$24),1)*IF(MID(E509,5,1)="1",0,1)*(1+입력란!$C$34/100)</f>
        <v>93505.394499835631</v>
      </c>
      <c r="T509" s="29">
        <f>AN509*IF(MID(E509,3,1)="1",IF(G509="생명50%이하",트라이포드!$J$24,트라이포드!$I$24),1)*IF(MID(E509,5,1)="1",0,1)*(1+입력란!$C$34/100)</f>
        <v>93505.394499835631</v>
      </c>
      <c r="U509" s="25">
        <f>AO509*IF(MID(E509,3,1)="1",IF(G509="생명50%이하",트라이포드!$J$24,트라이포드!$I$24),1)*IF(MID(E509,3,1)="3",트라이포드!$N$24,트라이포드!$M$24)*IF(MID(E509,5,1)="1",트라이포드!$P$24,트라이포드!$O$24)*IF(MID(E509,5,1)="2",트라이포드!$R$24,트라이포드!$Q$24)*(1+입력란!$C$34/100)</f>
        <v>467448.92787923879</v>
      </c>
      <c r="V509" s="25"/>
      <c r="W509" s="25"/>
      <c r="X509" s="25"/>
      <c r="Y509" s="25"/>
      <c r="Z509" s="26">
        <f>IF(MID(E509,3,1)="3",(AN509*2+AO509)*0.1,0)*(1+입력란!$C$34/100)</f>
        <v>0</v>
      </c>
      <c r="AA509" s="29">
        <f>SUM(AB509:AI509)</f>
        <v>1308919.4337578202</v>
      </c>
      <c r="AB509" s="29">
        <f>S509*2</f>
        <v>187010.78899967126</v>
      </c>
      <c r="AC509" s="29">
        <f>T509*2</f>
        <v>187010.78899967126</v>
      </c>
      <c r="AD509" s="29">
        <f>U509*2</f>
        <v>934897.85575847758</v>
      </c>
      <c r="AE509" s="29"/>
      <c r="AF509" s="38"/>
      <c r="AG509" s="38"/>
      <c r="AH509" s="38"/>
      <c r="AI509" s="24">
        <f>Z509*2</f>
        <v>0</v>
      </c>
      <c r="AJ509" s="29">
        <f>AR509*(1-입력란!$C$29/100)</f>
        <v>25.858093516830003</v>
      </c>
      <c r="AK50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09" s="25">
        <f>입력란!$C$37+IF(입력란!$C$17=1,10,IF(입력란!$C$17=2,25,IF(입력란!$C$17=3,50,0)))</f>
        <v>200</v>
      </c>
      <c r="AM509" s="25">
        <f>SUM(AN509:AP509)</f>
        <v>132949.5831583754</v>
      </c>
      <c r="AN509" s="29">
        <f>(VLOOKUP(C509,$B$4:$AK$7,32,FALSE)+VLOOKUP(C509,$B$8:$AK$11,32,FALSE)*입력란!$C$23)*입력란!$C$38/100</f>
        <v>44321.460128658888</v>
      </c>
      <c r="AO509" s="38">
        <f>(VLOOKUP(C509,$B$4:$AK$7,33,FALSE)+VLOOKUP(C509,$B$8:$AK$11,33,FALSE)*입력란!$C$23)*입력란!$C$38/100</f>
        <v>88628.123029716517</v>
      </c>
      <c r="AP509" s="38"/>
      <c r="AQ509" s="38"/>
      <c r="AR509" s="22">
        <v>27</v>
      </c>
    </row>
    <row r="510" spans="2:44" ht="13.5" customHeight="1" x14ac:dyDescent="0.3">
      <c r="B510" s="30">
        <v>495</v>
      </c>
      <c r="C510" s="8">
        <v>10</v>
      </c>
      <c r="D510" s="43" t="s">
        <v>394</v>
      </c>
      <c r="E510" s="37" t="s">
        <v>400</v>
      </c>
      <c r="F510" s="39"/>
      <c r="G510" s="39" t="s">
        <v>403</v>
      </c>
      <c r="H510" s="80">
        <f>I510/AJ510</f>
        <v>21843.295437231602</v>
      </c>
      <c r="I510" s="52">
        <f>SUM(J510:Q510)*IF(입력란!C$15=1,1.04,IF(입력란!C$15=2,1.1,IF(입력란!C$15=3,1.2,1)))*IF(입력란!$C$17&lt;&gt;0,0.98,1)*IF(입력란!$C$12=1,IF(G510="생명50%이하",1.2,1.1),1)*IF(입력란!$C$12=2,IF(G510="생명50%이하",1.3,1.1),1)*IF(입력란!$C$12=3,IF(G510="생명50%이하",1.4,1.1),1)</f>
        <v>564825.97613168089</v>
      </c>
      <c r="J510" s="29">
        <f>S510*(1+IF($AK510+IF(입력란!$C$19=1,10,0)&gt;100,100,$AK510+IF(입력란!$C$19=1,10,0))/100*($AL510/100-1))</f>
        <v>0</v>
      </c>
      <c r="K510" s="29">
        <f>T510*(1+IF($AK510+IF(입력란!$C$19=1,10,0)&gt;100,100,$AK510+IF(입력란!$C$19=1,10,0))/100*($AL510/100-1))</f>
        <v>0</v>
      </c>
      <c r="L510" s="25">
        <f>U510*(1+IF($AK510+IF(입력란!$C$19=1,10,0)&gt;100,100,$AK510+IF(입력란!$C$19=1,10,0))/100*($AL510/100-1))</f>
        <v>536224.92601451976</v>
      </c>
      <c r="M510" s="25"/>
      <c r="N510" s="38"/>
      <c r="O510" s="38"/>
      <c r="P510" s="38"/>
      <c r="Q510" s="34">
        <f>Z510*(1+IF($AK510+IF(입력란!$C$19=1,10,0)&gt;100,100,$AK510+IF(입력란!$C$19=1,10,0))/100*($AL510/100-1))</f>
        <v>28601.050117161147</v>
      </c>
      <c r="R510" s="23">
        <f>SUM(S510:Z510)</f>
        <v>461607.76739624667</v>
      </c>
      <c r="S510" s="29">
        <f>AN510*IF(MID(E510,3,1)="1",IF(G510="생명50%이하",트라이포드!$J$24,트라이포드!$I$24),1)*IF(MID(E510,5,1)="1",0,1)*(1+입력란!$C$34/100)</f>
        <v>0</v>
      </c>
      <c r="T510" s="29">
        <f>AN510*IF(MID(E510,3,1)="1",IF(G510="생명50%이하",트라이포드!$J$24,트라이포드!$I$24),1)*IF(MID(E510,5,1)="1",0,1)*(1+입력란!$C$34/100)</f>
        <v>0</v>
      </c>
      <c r="U510" s="25">
        <f>AO510*IF(MID(E510,3,1)="1",IF(G510="생명50%이하",트라이포드!$J$24,트라이포드!$I$24),1)*IF(MID(E510,3,1)="3",트라이포드!$N$24,트라이포드!$M$24)*IF(MID(E510,5,1)="1",트라이포드!$P$24,트라이포드!$O$24)*IF(MID(E510,5,1)="2",트라이포드!$R$24,트라이포드!$Q$24)*(1+입력란!$C$34/100)</f>
        <v>438233.36988678627</v>
      </c>
      <c r="V510" s="25"/>
      <c r="W510" s="25"/>
      <c r="X510" s="25"/>
      <c r="Y510" s="25"/>
      <c r="Z510" s="26">
        <f>IF(MID(E510,3,1)="3",(AN510*2+AO510)*0.1,0)*(1+입력란!$C$34/100)</f>
        <v>23374.397509460425</v>
      </c>
      <c r="AA510" s="29">
        <f>SUM(AB510:AI510)</f>
        <v>923215.53479249333</v>
      </c>
      <c r="AB510" s="29">
        <f>S510*2</f>
        <v>0</v>
      </c>
      <c r="AC510" s="29">
        <f>T510*2</f>
        <v>0</v>
      </c>
      <c r="AD510" s="29">
        <f>U510*2</f>
        <v>876466.73977357254</v>
      </c>
      <c r="AE510" s="29"/>
      <c r="AF510" s="38"/>
      <c r="AG510" s="38"/>
      <c r="AH510" s="38"/>
      <c r="AI510" s="24">
        <f>Z510*2</f>
        <v>46748.79501892085</v>
      </c>
      <c r="AJ510" s="29">
        <f>AR510*(1-입력란!$C$29/100)</f>
        <v>25.858093516830003</v>
      </c>
      <c r="AK51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10" s="25">
        <f>입력란!$C$37+IF(입력란!$C$17=1,10,IF(입력란!$C$17=2,25,IF(입력란!$C$17=3,50,0)))</f>
        <v>200</v>
      </c>
      <c r="AM510" s="25">
        <f>SUM(AN510:AP510)</f>
        <v>132949.5831583754</v>
      </c>
      <c r="AN510" s="29">
        <f>(VLOOKUP(C510,$B$4:$AK$7,32,FALSE)+VLOOKUP(C510,$B$8:$AK$11,32,FALSE)*입력란!$C$23)*입력란!$C$38/100</f>
        <v>44321.460128658888</v>
      </c>
      <c r="AO510" s="38">
        <f>(VLOOKUP(C510,$B$4:$AK$7,33,FALSE)+VLOOKUP(C510,$B$8:$AK$11,33,FALSE)*입력란!$C$23)*입력란!$C$38/100</f>
        <v>88628.123029716517</v>
      </c>
      <c r="AP510" s="38"/>
      <c r="AQ510" s="38"/>
      <c r="AR510" s="22">
        <v>27</v>
      </c>
    </row>
    <row r="511" spans="2:44" ht="13.5" customHeight="1" x14ac:dyDescent="0.3">
      <c r="B511" s="30">
        <v>496</v>
      </c>
      <c r="C511" s="8">
        <v>10</v>
      </c>
      <c r="D511" s="43" t="s">
        <v>394</v>
      </c>
      <c r="E511" s="37" t="s">
        <v>401</v>
      </c>
      <c r="F511" s="39" t="s">
        <v>404</v>
      </c>
      <c r="G511" s="39" t="s">
        <v>403</v>
      </c>
      <c r="H511" s="80">
        <f>I511/AJ511</f>
        <v>27374.143543827526</v>
      </c>
      <c r="I511" s="52">
        <f>SUM(J511:Q511)*IF(입력란!C$15=1,1.04,IF(입력란!C$15=2,1.1,IF(입력란!C$15=3,1.2,1)))*IF(입력란!$C$17&lt;&gt;0,0.98,1)*IF(입력란!$C$12=1,IF(G511="생명50%이하",1.2,1.1),1)*IF(입력란!$C$12=2,IF(G511="생명50%이하",1.3,1.1),1)*IF(입력란!$C$12=3,IF(G511="생명50%이하",1.4,1.1),1)</f>
        <v>707843.1636994204</v>
      </c>
      <c r="J511" s="29">
        <f>S511*(1+IF($AK511+IF(입력란!$C$19=1,10,0)&gt;100,100,$AK511+IF(입력란!$C$19=1,10,0))/100*($AL511/100-1))</f>
        <v>71508.593783869728</v>
      </c>
      <c r="K511" s="29">
        <f>T511*(1+IF($AK511+IF(입력란!$C$19=1,10,0)&gt;100,100,$AK511+IF(입력란!$C$19=1,10,0))/100*($AL511/100-1))</f>
        <v>71508.593783869728</v>
      </c>
      <c r="L511" s="25">
        <f>U511*(1+IF($AK511+IF(입력란!$C$19=1,10,0)&gt;100,100,$AK511+IF(입력란!$C$19=1,10,0))/100*($AL511/100-1))</f>
        <v>536224.92601451976</v>
      </c>
      <c r="M511" s="25"/>
      <c r="N511" s="38"/>
      <c r="O511" s="38"/>
      <c r="P511" s="38"/>
      <c r="Q511" s="34">
        <f>Z511*(1+IF($AK511+IF(입력란!$C$19=1,10,0)&gt;100,100,$AK511+IF(입력란!$C$19=1,10,0))/100*($AL511/100-1))</f>
        <v>28601.050117161147</v>
      </c>
      <c r="R511" s="23">
        <f>SUM(S511:Z511)</f>
        <v>578489.51052104123</v>
      </c>
      <c r="S511" s="29">
        <f>AN511*IF(MID(E511,3,1)="1",IF(G511="생명50%이하",트라이포드!$J$24,트라이포드!$I$24),1)*IF(MID(E511,5,1)="1",0,1)*(1+입력란!$C$34/100)</f>
        <v>58440.871562397268</v>
      </c>
      <c r="T511" s="29">
        <f>AN511*IF(MID(E511,3,1)="1",IF(G511="생명50%이하",트라이포드!$J$24,트라이포드!$I$24),1)*IF(MID(E511,5,1)="1",0,1)*(1+입력란!$C$34/100)</f>
        <v>58440.871562397268</v>
      </c>
      <c r="U511" s="25">
        <f>AO511*IF(MID(E511,3,1)="1",IF(G511="생명50%이하",트라이포드!$J$24,트라이포드!$I$24),1)*IF(MID(E511,3,1)="3",트라이포드!$N$24,트라이포드!$M$24)*IF(MID(E511,5,1)="1",트라이포드!$P$24,트라이포드!$O$24)*IF(MID(E511,5,1)="2",트라이포드!$R$24,트라이포드!$Q$24)*(1+입력란!$C$34/100)</f>
        <v>438233.36988678627</v>
      </c>
      <c r="V511" s="25"/>
      <c r="W511" s="25"/>
      <c r="X511" s="25"/>
      <c r="Y511" s="25"/>
      <c r="Z511" s="26">
        <f>IF(MID(E511,3,1)="3",(AN511*2+AO511)*0.1,0)*(1+입력란!$C$34/100)</f>
        <v>23374.397509460425</v>
      </c>
      <c r="AA511" s="29">
        <f>SUM(AB511:AI511)</f>
        <v>1156979.0210420825</v>
      </c>
      <c r="AB511" s="29">
        <f>S511*2</f>
        <v>116881.74312479454</v>
      </c>
      <c r="AC511" s="29">
        <f>T511*2</f>
        <v>116881.74312479454</v>
      </c>
      <c r="AD511" s="29">
        <f>U511*2</f>
        <v>876466.73977357254</v>
      </c>
      <c r="AE511" s="29"/>
      <c r="AF511" s="38"/>
      <c r="AG511" s="38"/>
      <c r="AH511" s="38"/>
      <c r="AI511" s="24">
        <f>Z511*2</f>
        <v>46748.79501892085</v>
      </c>
      <c r="AJ511" s="29">
        <f>AR511*(1-입력란!$C$29/100)</f>
        <v>25.858093516830003</v>
      </c>
      <c r="AK51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11" s="25">
        <f>입력란!$C$37+IF(입력란!$C$17=1,10,IF(입력란!$C$17=2,25,IF(입력란!$C$17=3,50,0)))</f>
        <v>200</v>
      </c>
      <c r="AM511" s="25">
        <f>SUM(AN511:AP511)</f>
        <v>132949.5831583754</v>
      </c>
      <c r="AN511" s="29">
        <f>(VLOOKUP(C511,$B$4:$AK$7,32,FALSE)+VLOOKUP(C511,$B$8:$AK$11,32,FALSE)*입력란!$C$23)*입력란!$C$38/100</f>
        <v>44321.460128658888</v>
      </c>
      <c r="AO511" s="38">
        <f>(VLOOKUP(C511,$B$4:$AK$7,33,FALSE)+VLOOKUP(C511,$B$8:$AK$11,33,FALSE)*입력란!$C$23)*입력란!$C$38/100</f>
        <v>88628.123029716517</v>
      </c>
      <c r="AP511" s="38"/>
      <c r="AQ511" s="38"/>
      <c r="AR511" s="22">
        <v>27</v>
      </c>
    </row>
    <row r="512" spans="2:44" ht="13.5" customHeight="1" x14ac:dyDescent="0.3">
      <c r="B512" s="30">
        <v>497</v>
      </c>
      <c r="C512" s="39">
        <v>1</v>
      </c>
      <c r="D512" s="43" t="s">
        <v>394</v>
      </c>
      <c r="E512" s="37" t="s">
        <v>57</v>
      </c>
      <c r="F512" s="39"/>
      <c r="G512" s="39" t="s">
        <v>430</v>
      </c>
      <c r="H512" s="80">
        <f>J512*2/(1+1/(K512/J512))</f>
        <v>10980.857817385519</v>
      </c>
      <c r="I512" s="80"/>
      <c r="J512" s="29">
        <f t="array" ref="J512">IFERROR(INDEX($H$16:$H$582,MATCH(1,(C512=$C$16:$C$582)*(D512=$D$16:$D$582)*(E512=$E$16:$E$582)*(""=$G$16:$G$582),0)),"값이없음")</f>
        <v>10980.857817385519</v>
      </c>
      <c r="K512" s="29">
        <f t="array" ref="K512">IFERROR(INDEX($H$16:$H$582,MATCH(1,(C512=$C$16:$C$582)*(D512=$D$16:$D$582)*(E512=$E$16:$E$582)*("생명50%이하"=$G$16:$G$582),0)),"값이없음")</f>
        <v>10980.857817385519</v>
      </c>
      <c r="L512" s="25"/>
      <c r="M512" s="25"/>
      <c r="N512" s="38"/>
      <c r="O512" s="38"/>
      <c r="P512" s="38"/>
      <c r="Q512" s="34"/>
      <c r="R512" s="23"/>
      <c r="S512" s="29"/>
      <c r="T512" s="29"/>
      <c r="U512" s="25"/>
      <c r="V512" s="25"/>
      <c r="W512" s="25"/>
      <c r="X512" s="25"/>
      <c r="Y512" s="25"/>
      <c r="Z512" s="26"/>
      <c r="AA512" s="29"/>
      <c r="AB512" s="29"/>
      <c r="AC512" s="29"/>
      <c r="AD512" s="29"/>
      <c r="AE512" s="29"/>
      <c r="AF512" s="38"/>
      <c r="AG512" s="38"/>
      <c r="AH512" s="38"/>
      <c r="AI512" s="24"/>
      <c r="AJ512" s="29"/>
      <c r="AK512" s="25"/>
      <c r="AL512" s="25"/>
      <c r="AM512" s="25"/>
      <c r="AN512" s="29"/>
      <c r="AO512" s="38"/>
      <c r="AP512" s="38"/>
      <c r="AQ512" s="38"/>
      <c r="AR512" s="22"/>
    </row>
    <row r="513" spans="2:44" ht="13.5" customHeight="1" x14ac:dyDescent="0.3">
      <c r="B513" s="30">
        <v>498</v>
      </c>
      <c r="C513" s="39">
        <v>4</v>
      </c>
      <c r="D513" s="43" t="s">
        <v>394</v>
      </c>
      <c r="E513" s="37" t="s">
        <v>57</v>
      </c>
      <c r="F513" s="39"/>
      <c r="G513" s="39" t="s">
        <v>430</v>
      </c>
      <c r="H513" s="80">
        <f>J513*2/(1+1/(K513/J513))</f>
        <v>11025.540854696525</v>
      </c>
      <c r="I513" s="80"/>
      <c r="J513" s="29">
        <f t="array" ref="J513">IFERROR(INDEX($H$16:$H$582,MATCH(1,(C513=$C$16:$C$582)*(D513=$D$16:$D$582)*(E513=$E$16:$E$582)*(""=$G$16:$G$582),0)),"값이없음")</f>
        <v>11025.540854696525</v>
      </c>
      <c r="K513" s="29">
        <f t="array" ref="K513">IFERROR(INDEX($H$16:$H$582,MATCH(1,(C513=$C$16:$C$582)*(D513=$D$16:$D$582)*(E513=$E$16:$E$582)*("생명50%이하"=$G$16:$G$582),0)),"값이없음")</f>
        <v>11025.540854696525</v>
      </c>
      <c r="L513" s="25"/>
      <c r="M513" s="25"/>
      <c r="N513" s="38"/>
      <c r="O513" s="38"/>
      <c r="P513" s="38"/>
      <c r="Q513" s="34"/>
      <c r="R513" s="23"/>
      <c r="S513" s="29"/>
      <c r="T513" s="29"/>
      <c r="U513" s="25"/>
      <c r="V513" s="25"/>
      <c r="W513" s="25"/>
      <c r="X513" s="25"/>
      <c r="Y513" s="25"/>
      <c r="Z513" s="26"/>
      <c r="AA513" s="29"/>
      <c r="AB513" s="29"/>
      <c r="AC513" s="29"/>
      <c r="AD513" s="29"/>
      <c r="AE513" s="29"/>
      <c r="AF513" s="38"/>
      <c r="AG513" s="38"/>
      <c r="AH513" s="38"/>
      <c r="AI513" s="24"/>
      <c r="AJ513" s="29"/>
      <c r="AK513" s="25"/>
      <c r="AL513" s="25"/>
      <c r="AM513" s="25"/>
      <c r="AN513" s="29"/>
      <c r="AO513" s="38"/>
      <c r="AP513" s="38"/>
      <c r="AQ513" s="38"/>
      <c r="AR513" s="22"/>
    </row>
    <row r="514" spans="2:44" ht="13.5" customHeight="1" x14ac:dyDescent="0.3">
      <c r="B514" s="30">
        <v>499</v>
      </c>
      <c r="C514" s="39">
        <v>7</v>
      </c>
      <c r="D514" s="43" t="s">
        <v>394</v>
      </c>
      <c r="E514" s="37" t="s">
        <v>57</v>
      </c>
      <c r="F514" s="39"/>
      <c r="G514" s="39" t="s">
        <v>430</v>
      </c>
      <c r="H514" s="80">
        <f>J514*2/(1+1/(K514/J514))</f>
        <v>11046.680177871745</v>
      </c>
      <c r="I514" s="80"/>
      <c r="J514" s="29">
        <f t="array" ref="J514">IFERROR(INDEX($H$16:$H$582,MATCH(1,(C514=$C$16:$C$582)*(D514=$D$16:$D$582)*(E514=$E$16:$E$582)*(""=$G$16:$G$582),0)),"값이없음")</f>
        <v>11046.680177871745</v>
      </c>
      <c r="K514" s="29">
        <f t="array" ref="K514">IFERROR(INDEX($H$16:$H$582,MATCH(1,(C514=$C$16:$C$582)*(D514=$D$16:$D$582)*(E514=$E$16:$E$582)*("생명50%이하"=$G$16:$G$582),0)),"값이없음")</f>
        <v>11046.680177871745</v>
      </c>
      <c r="L514" s="25"/>
      <c r="M514" s="25"/>
      <c r="N514" s="38"/>
      <c r="O514" s="38"/>
      <c r="P514" s="38"/>
      <c r="Q514" s="34"/>
      <c r="R514" s="23"/>
      <c r="S514" s="29"/>
      <c r="T514" s="29"/>
      <c r="U514" s="25"/>
      <c r="V514" s="25"/>
      <c r="W514" s="25"/>
      <c r="X514" s="25"/>
      <c r="Y514" s="25"/>
      <c r="Z514" s="26"/>
      <c r="AA514" s="29"/>
      <c r="AB514" s="29"/>
      <c r="AC514" s="29"/>
      <c r="AD514" s="29"/>
      <c r="AE514" s="29"/>
      <c r="AF514" s="38"/>
      <c r="AG514" s="38"/>
      <c r="AH514" s="38"/>
      <c r="AI514" s="24"/>
      <c r="AJ514" s="29"/>
      <c r="AK514" s="25"/>
      <c r="AL514" s="25"/>
      <c r="AM514" s="25"/>
      <c r="AN514" s="29"/>
      <c r="AO514" s="38"/>
      <c r="AP514" s="38"/>
      <c r="AQ514" s="38"/>
      <c r="AR514" s="22"/>
    </row>
    <row r="515" spans="2:44" ht="13.5" customHeight="1" x14ac:dyDescent="0.3">
      <c r="B515" s="30">
        <v>500</v>
      </c>
      <c r="C515" s="39">
        <v>7</v>
      </c>
      <c r="D515" s="43" t="s">
        <v>394</v>
      </c>
      <c r="E515" s="37" t="s">
        <v>337</v>
      </c>
      <c r="F515" s="39"/>
      <c r="G515" s="39" t="s">
        <v>430</v>
      </c>
      <c r="H515" s="80">
        <f>J515*2/(1+1/(K515/J515))</f>
        <v>13595.914065072917</v>
      </c>
      <c r="I515" s="80"/>
      <c r="J515" s="29">
        <f t="array" ref="J515">IFERROR(INDEX($H$16:$H$582,MATCH(1,(C515=$C$16:$C$582)*(D515=$D$16:$D$582)*(E515=$E$16:$E$582)*(""=$G$16:$G$582),0)),"값이없음")</f>
        <v>11046.680177871745</v>
      </c>
      <c r="K515" s="29">
        <f t="array" ref="K515">IFERROR(INDEX($H$16:$H$582,MATCH(1,(C515=$C$16:$C$582)*(D515=$D$16:$D$582)*(E515=$E$16:$E$582)*("생명50%이하"=$G$16:$G$582),0)),"값이없음")</f>
        <v>17674.688284594795</v>
      </c>
      <c r="L515" s="25"/>
      <c r="M515" s="25"/>
      <c r="N515" s="38"/>
      <c r="O515" s="38"/>
      <c r="P515" s="38"/>
      <c r="Q515" s="34"/>
      <c r="R515" s="23"/>
      <c r="S515" s="29"/>
      <c r="T515" s="29"/>
      <c r="U515" s="25"/>
      <c r="V515" s="25"/>
      <c r="W515" s="25"/>
      <c r="X515" s="25"/>
      <c r="Y515" s="25"/>
      <c r="Z515" s="26"/>
      <c r="AA515" s="29"/>
      <c r="AB515" s="29"/>
      <c r="AC515" s="29"/>
      <c r="AD515" s="29"/>
      <c r="AE515" s="29"/>
      <c r="AF515" s="38"/>
      <c r="AG515" s="38"/>
      <c r="AH515" s="38"/>
      <c r="AI515" s="24"/>
      <c r="AJ515" s="29"/>
      <c r="AK515" s="25"/>
      <c r="AL515" s="25"/>
      <c r="AM515" s="25"/>
      <c r="AN515" s="29"/>
      <c r="AO515" s="38"/>
      <c r="AP515" s="38"/>
      <c r="AQ515" s="38"/>
      <c r="AR515" s="22"/>
    </row>
    <row r="516" spans="2:44" ht="13.5" customHeight="1" x14ac:dyDescent="0.3">
      <c r="B516" s="30">
        <v>501</v>
      </c>
      <c r="C516" s="39">
        <v>7</v>
      </c>
      <c r="D516" s="43" t="s">
        <v>394</v>
      </c>
      <c r="E516" s="37" t="s">
        <v>339</v>
      </c>
      <c r="F516" s="39"/>
      <c r="G516" s="39" t="s">
        <v>430</v>
      </c>
      <c r="H516" s="80">
        <f>J516*2/(1+1/(K516/J516))</f>
        <v>14912.941301083083</v>
      </c>
      <c r="I516" s="80"/>
      <c r="J516" s="29">
        <f t="array" ref="J516">IFERROR(INDEX($H$16:$H$582,MATCH(1,(C516=$C$16:$C$582)*(D516=$D$16:$D$582)*(E516=$E$16:$E$582)*(""=$G$16:$G$582),0)),"값이없음")</f>
        <v>14912.941301083083</v>
      </c>
      <c r="K516" s="29">
        <f t="array" ref="K516">IFERROR(INDEX($H$16:$H$582,MATCH(1,(C516=$C$16:$C$582)*(D516=$D$16:$D$582)*(E516=$E$16:$E$582)*("생명50%이하"=$G$16:$G$582),0)),"값이없음")</f>
        <v>14912.941301083083</v>
      </c>
      <c r="L516" s="25"/>
      <c r="M516" s="25"/>
      <c r="N516" s="38"/>
      <c r="O516" s="38"/>
      <c r="P516" s="38"/>
      <c r="Q516" s="34"/>
      <c r="R516" s="23"/>
      <c r="S516" s="29"/>
      <c r="T516" s="29"/>
      <c r="U516" s="25"/>
      <c r="V516" s="25"/>
      <c r="W516" s="25"/>
      <c r="X516" s="25"/>
      <c r="Y516" s="25"/>
      <c r="Z516" s="26"/>
      <c r="AA516" s="29"/>
      <c r="AB516" s="29"/>
      <c r="AC516" s="29"/>
      <c r="AD516" s="29"/>
      <c r="AE516" s="29"/>
      <c r="AF516" s="38"/>
      <c r="AG516" s="38"/>
      <c r="AH516" s="38"/>
      <c r="AI516" s="24"/>
      <c r="AJ516" s="29"/>
      <c r="AK516" s="25"/>
      <c r="AL516" s="25"/>
      <c r="AM516" s="25"/>
      <c r="AN516" s="29"/>
      <c r="AO516" s="38"/>
      <c r="AP516" s="38"/>
      <c r="AQ516" s="38"/>
      <c r="AR516" s="22"/>
    </row>
    <row r="517" spans="2:44" ht="13.5" customHeight="1" x14ac:dyDescent="0.3">
      <c r="B517" s="30">
        <v>502</v>
      </c>
      <c r="C517" s="39">
        <v>10</v>
      </c>
      <c r="D517" s="43" t="s">
        <v>394</v>
      </c>
      <c r="E517" s="37" t="s">
        <v>57</v>
      </c>
      <c r="F517" s="39"/>
      <c r="G517" s="39" t="s">
        <v>430</v>
      </c>
      <c r="H517" s="80">
        <f>J517*2/(1+1/(K517/J517))</f>
        <v>11060.772944666573</v>
      </c>
      <c r="I517" s="80"/>
      <c r="J517" s="29">
        <f t="array" ref="J517">IFERROR(INDEX($H$16:$H$582,MATCH(1,(C517=$C$16:$C$582)*(D517=$D$16:$D$582)*(E517=$E$16:$E$582)*(""=$G$16:$G$582),0)),"값이없음")</f>
        <v>11060.772944666573</v>
      </c>
      <c r="K517" s="29">
        <f t="array" ref="K517">IFERROR(INDEX($H$16:$H$582,MATCH(1,(C517=$C$16:$C$582)*(D517=$D$16:$D$582)*(E517=$E$16:$E$582)*("생명50%이하"=$G$16:$G$582),0)),"값이없음")</f>
        <v>11060.772944666573</v>
      </c>
      <c r="L517" s="25"/>
      <c r="M517" s="25"/>
      <c r="N517" s="38"/>
      <c r="O517" s="38"/>
      <c r="P517" s="38"/>
      <c r="Q517" s="34"/>
      <c r="R517" s="23"/>
      <c r="S517" s="29"/>
      <c r="T517" s="29"/>
      <c r="U517" s="25"/>
      <c r="V517" s="25"/>
      <c r="W517" s="25"/>
      <c r="X517" s="25"/>
      <c r="Y517" s="25"/>
      <c r="Z517" s="26"/>
      <c r="AA517" s="29"/>
      <c r="AB517" s="29"/>
      <c r="AC517" s="29"/>
      <c r="AD517" s="29"/>
      <c r="AE517" s="29"/>
      <c r="AF517" s="38"/>
      <c r="AG517" s="38"/>
      <c r="AH517" s="38"/>
      <c r="AI517" s="24"/>
      <c r="AJ517" s="29"/>
      <c r="AK517" s="25"/>
      <c r="AL517" s="25"/>
      <c r="AM517" s="25"/>
      <c r="AN517" s="29"/>
      <c r="AO517" s="38"/>
      <c r="AP517" s="38"/>
      <c r="AQ517" s="38"/>
      <c r="AR517" s="22"/>
    </row>
    <row r="518" spans="2:44" ht="13.5" customHeight="1" x14ac:dyDescent="0.3">
      <c r="B518" s="30">
        <v>503</v>
      </c>
      <c r="C518" s="39">
        <v>10</v>
      </c>
      <c r="D518" s="43" t="s">
        <v>394</v>
      </c>
      <c r="E518" s="37" t="s">
        <v>100</v>
      </c>
      <c r="F518" s="39"/>
      <c r="G518" s="39" t="s">
        <v>430</v>
      </c>
      <c r="H518" s="80">
        <f>J518*2/(1+1/(K518/J518))</f>
        <v>13824.812095176634</v>
      </c>
      <c r="I518" s="80"/>
      <c r="J518" s="29">
        <f t="array" ref="J518">IFERROR(INDEX($H$16:$H$582,MATCH(1,(C518=$C$16:$C$582)*(D518=$D$16:$D$582)*(E518=$E$16:$E$582)*(""=$G$16:$G$582),0)),"값이없음")</f>
        <v>13824.812095176634</v>
      </c>
      <c r="K518" s="29">
        <f t="array" ref="K518">IFERROR(INDEX($H$16:$H$582,MATCH(1,(C518=$C$16:$C$582)*(D518=$D$16:$D$582)*(E518=$E$16:$E$582)*("생명50%이하"=$G$16:$G$582),0)),"값이없음")</f>
        <v>13824.812095176634</v>
      </c>
      <c r="L518" s="25"/>
      <c r="M518" s="25"/>
      <c r="N518" s="38"/>
      <c r="O518" s="38"/>
      <c r="P518" s="38"/>
      <c r="Q518" s="34"/>
      <c r="R518" s="23"/>
      <c r="S518" s="29"/>
      <c r="T518" s="29"/>
      <c r="U518" s="25"/>
      <c r="V518" s="25"/>
      <c r="W518" s="25"/>
      <c r="X518" s="25"/>
      <c r="Y518" s="25"/>
      <c r="Z518" s="26"/>
      <c r="AA518" s="29"/>
      <c r="AB518" s="29"/>
      <c r="AC518" s="29"/>
      <c r="AD518" s="29"/>
      <c r="AE518" s="29"/>
      <c r="AF518" s="38"/>
      <c r="AG518" s="38"/>
      <c r="AH518" s="38"/>
      <c r="AI518" s="24"/>
      <c r="AJ518" s="29"/>
      <c r="AK518" s="25"/>
      <c r="AL518" s="25"/>
      <c r="AM518" s="25"/>
      <c r="AN518" s="29"/>
      <c r="AO518" s="38"/>
      <c r="AP518" s="38"/>
      <c r="AQ518" s="38"/>
      <c r="AR518" s="22"/>
    </row>
    <row r="519" spans="2:44" ht="13.5" customHeight="1" x14ac:dyDescent="0.3">
      <c r="B519" s="30">
        <v>504</v>
      </c>
      <c r="C519" s="8">
        <v>10</v>
      </c>
      <c r="D519" s="43" t="s">
        <v>394</v>
      </c>
      <c r="E519" s="37" t="s">
        <v>341</v>
      </c>
      <c r="F519" s="39" t="s">
        <v>404</v>
      </c>
      <c r="G519" s="39" t="s">
        <v>430</v>
      </c>
      <c r="H519" s="80">
        <f>J519*2/(1+1/(K519/J519))</f>
        <v>19355.660201772553</v>
      </c>
      <c r="I519" s="80"/>
      <c r="J519" s="29">
        <f t="array" ref="J519">IFERROR(INDEX($H$16:$H$582,MATCH(1,(C519=$C$16:$C$582)*(D519=$D$16:$D$582)*(E519=$E$16:$E$582)*(""=$G$16:$G$582),0)),"값이없음")</f>
        <v>19355.660201772553</v>
      </c>
      <c r="K519" s="29">
        <f t="array" ref="K519">IFERROR(INDEX($H$16:$H$582,MATCH(1,(C519=$C$16:$C$582)*(D519=$D$16:$D$582)*(E519=$E$16:$E$582)*("생명50%이하"=$G$16:$G$582),0)),"값이없음")</f>
        <v>19355.660201772553</v>
      </c>
      <c r="L519" s="25"/>
      <c r="M519" s="25"/>
      <c r="N519" s="38"/>
      <c r="O519" s="38"/>
      <c r="P519" s="38"/>
      <c r="Q519" s="34"/>
      <c r="R519" s="23"/>
      <c r="S519" s="29"/>
      <c r="T519" s="29"/>
      <c r="U519" s="25"/>
      <c r="V519" s="25"/>
      <c r="W519" s="25"/>
      <c r="X519" s="25"/>
      <c r="Y519" s="25"/>
      <c r="Z519" s="26"/>
      <c r="AA519" s="29"/>
      <c r="AB519" s="29"/>
      <c r="AC519" s="29"/>
      <c r="AD519" s="29"/>
      <c r="AE519" s="29"/>
      <c r="AF519" s="38"/>
      <c r="AG519" s="38"/>
      <c r="AH519" s="38"/>
      <c r="AI519" s="24"/>
      <c r="AJ519" s="29"/>
      <c r="AK519" s="25"/>
      <c r="AL519" s="25"/>
      <c r="AM519" s="25"/>
      <c r="AN519" s="29"/>
      <c r="AO519" s="38"/>
      <c r="AP519" s="38"/>
      <c r="AQ519" s="38"/>
      <c r="AR519" s="22"/>
    </row>
    <row r="520" spans="2:44" ht="13.5" customHeight="1" x14ac:dyDescent="0.3">
      <c r="B520" s="30">
        <v>505</v>
      </c>
      <c r="C520" s="8">
        <v>10</v>
      </c>
      <c r="D520" s="43" t="s">
        <v>394</v>
      </c>
      <c r="E520" s="37" t="s">
        <v>402</v>
      </c>
      <c r="F520" s="39"/>
      <c r="G520" s="39" t="s">
        <v>430</v>
      </c>
      <c r="H520" s="80">
        <f>J520*2/(1+1/(K520/J520))</f>
        <v>13613.259008820398</v>
      </c>
      <c r="I520" s="80"/>
      <c r="J520" s="29">
        <f t="array" ref="J520">IFERROR(INDEX($H$16:$H$582,MATCH(1,(C520=$C$16:$C$582)*(D520=$D$16:$D$582)*(E520=$E$16:$E$582)*(""=$G$16:$G$582),0)),"값이없음")</f>
        <v>11060.772944666573</v>
      </c>
      <c r="K520" s="29">
        <f t="array" ref="K520">IFERROR(INDEX($H$16:$H$582,MATCH(1,(C520=$C$16:$C$582)*(D520=$D$16:$D$582)*(E520=$E$16:$E$582)*("생명50%이하"=$G$16:$G$582),0)),"값이없음")</f>
        <v>17697.236711466518</v>
      </c>
      <c r="L520" s="25"/>
      <c r="M520" s="25"/>
      <c r="N520" s="38"/>
      <c r="O520" s="38"/>
      <c r="P520" s="38"/>
      <c r="Q520" s="34"/>
      <c r="R520" s="23"/>
      <c r="S520" s="29"/>
      <c r="T520" s="29"/>
      <c r="U520" s="25"/>
      <c r="V520" s="25"/>
      <c r="W520" s="25"/>
      <c r="X520" s="25"/>
      <c r="Y520" s="25"/>
      <c r="Z520" s="26"/>
      <c r="AA520" s="29"/>
      <c r="AB520" s="29"/>
      <c r="AC520" s="29"/>
      <c r="AD520" s="29"/>
      <c r="AE520" s="29"/>
      <c r="AF520" s="38"/>
      <c r="AG520" s="38"/>
      <c r="AH520" s="38"/>
      <c r="AI520" s="24"/>
      <c r="AJ520" s="29"/>
      <c r="AK520" s="25"/>
      <c r="AL520" s="25"/>
      <c r="AM520" s="25"/>
      <c r="AN520" s="29"/>
      <c r="AO520" s="38"/>
      <c r="AP520" s="38"/>
      <c r="AQ520" s="38"/>
      <c r="AR520" s="22"/>
    </row>
    <row r="521" spans="2:44" ht="13.5" customHeight="1" x14ac:dyDescent="0.3">
      <c r="B521" s="30">
        <v>506</v>
      </c>
      <c r="C521" s="8">
        <v>10</v>
      </c>
      <c r="D521" s="43" t="s">
        <v>394</v>
      </c>
      <c r="E521" s="37" t="s">
        <v>60</v>
      </c>
      <c r="F521" s="39"/>
      <c r="G521" s="39" t="s">
        <v>430</v>
      </c>
      <c r="H521" s="80">
        <f>J521*2/(1+1/(K521/J521))</f>
        <v>14931.812658168557</v>
      </c>
      <c r="I521" s="80"/>
      <c r="J521" s="29">
        <f t="array" ref="J521">IFERROR(INDEX($H$16:$H$582,MATCH(1,(C521=$C$16:$C$582)*(D521=$D$16:$D$582)*(E521=$E$16:$E$582)*(""=$G$16:$G$582),0)),"값이없음")</f>
        <v>14931.812658168557</v>
      </c>
      <c r="K521" s="29">
        <f t="array" ref="K521">IFERROR(INDEX($H$16:$H$582,MATCH(1,(C521=$C$16:$C$582)*(D521=$D$16:$D$582)*(E521=$E$16:$E$582)*("생명50%이하"=$G$16:$G$582),0)),"값이없음")</f>
        <v>14931.812658168557</v>
      </c>
      <c r="L521" s="25"/>
      <c r="M521" s="25"/>
      <c r="N521" s="38"/>
      <c r="O521" s="38"/>
      <c r="P521" s="38"/>
      <c r="Q521" s="34"/>
      <c r="R521" s="23"/>
      <c r="S521" s="29"/>
      <c r="T521" s="29"/>
      <c r="U521" s="25"/>
      <c r="V521" s="25"/>
      <c r="W521" s="25"/>
      <c r="X521" s="25"/>
      <c r="Y521" s="25"/>
      <c r="Z521" s="26"/>
      <c r="AA521" s="29"/>
      <c r="AB521" s="29"/>
      <c r="AC521" s="29"/>
      <c r="AD521" s="29"/>
      <c r="AE521" s="29"/>
      <c r="AF521" s="38"/>
      <c r="AG521" s="38"/>
      <c r="AH521" s="38"/>
      <c r="AI521" s="24"/>
      <c r="AJ521" s="29"/>
      <c r="AK521" s="25"/>
      <c r="AL521" s="25"/>
      <c r="AM521" s="25"/>
      <c r="AN521" s="29"/>
      <c r="AO521" s="38"/>
      <c r="AP521" s="38"/>
      <c r="AQ521" s="38"/>
      <c r="AR521" s="22"/>
    </row>
    <row r="522" spans="2:44" ht="13.5" customHeight="1" x14ac:dyDescent="0.3">
      <c r="B522" s="30">
        <v>507</v>
      </c>
      <c r="C522" s="8">
        <v>10</v>
      </c>
      <c r="D522" s="43" t="s">
        <v>394</v>
      </c>
      <c r="E522" s="37" t="s">
        <v>390</v>
      </c>
      <c r="F522" s="39"/>
      <c r="G522" s="39" t="s">
        <v>430</v>
      </c>
      <c r="H522" s="80">
        <f>J522*2/(1+1/(K522/J522))</f>
        <v>17015.153347909705</v>
      </c>
      <c r="I522" s="80"/>
      <c r="J522" s="29">
        <f t="array" ref="J522">IFERROR(INDEX($H$16:$H$582,MATCH(1,(C522=$C$16:$C$582)*(D522=$D$16:$D$582)*(E522=$E$16:$E$582)*(""=$G$16:$G$582),0)),"값이없음")</f>
        <v>13824.812095176634</v>
      </c>
      <c r="K522" s="29">
        <f t="array" ref="K522">IFERROR(INDEX($H$16:$H$582,MATCH(1,(C522=$C$16:$C$582)*(D522=$D$16:$D$582)*(E522=$E$16:$E$582)*("생명50%이하"=$G$16:$G$582),0)),"값이없음")</f>
        <v>22119.699352282612</v>
      </c>
      <c r="L522" s="25"/>
      <c r="M522" s="25"/>
      <c r="N522" s="38"/>
      <c r="O522" s="38"/>
      <c r="P522" s="38"/>
      <c r="Q522" s="34"/>
      <c r="R522" s="23"/>
      <c r="S522" s="29"/>
      <c r="T522" s="29"/>
      <c r="U522" s="25"/>
      <c r="V522" s="25"/>
      <c r="W522" s="25"/>
      <c r="X522" s="25"/>
      <c r="Y522" s="25"/>
      <c r="Z522" s="26"/>
      <c r="AA522" s="29"/>
      <c r="AB522" s="29"/>
      <c r="AC522" s="29"/>
      <c r="AD522" s="29"/>
      <c r="AE522" s="29"/>
      <c r="AF522" s="38"/>
      <c r="AG522" s="38"/>
      <c r="AH522" s="38"/>
      <c r="AI522" s="24"/>
      <c r="AJ522" s="29"/>
      <c r="AK522" s="25"/>
      <c r="AL522" s="25"/>
      <c r="AM522" s="25"/>
      <c r="AN522" s="29"/>
      <c r="AO522" s="38"/>
      <c r="AP522" s="38"/>
      <c r="AQ522" s="38"/>
      <c r="AR522" s="22"/>
    </row>
    <row r="523" spans="2:44" ht="13.5" customHeight="1" x14ac:dyDescent="0.3">
      <c r="B523" s="30">
        <v>508</v>
      </c>
      <c r="C523" s="8">
        <v>10</v>
      </c>
      <c r="D523" s="43" t="s">
        <v>394</v>
      </c>
      <c r="E523" s="37" t="s">
        <v>391</v>
      </c>
      <c r="F523" s="39" t="s">
        <v>415</v>
      </c>
      <c r="G523" s="39" t="s">
        <v>430</v>
      </c>
      <c r="H523" s="80">
        <f>J523*2/(1+1/(K523/J523))</f>
        <v>23822.35101756622</v>
      </c>
      <c r="I523" s="80"/>
      <c r="J523" s="29">
        <f t="array" ref="J523">IFERROR(INDEX($H$16:$H$582,MATCH(1,(C523=$C$16:$C$582)*(D523=$D$16:$D$582)*(E523=$E$16:$E$582)*(""=$G$16:$G$582),0)),"값이없음")</f>
        <v>19355.660201772553</v>
      </c>
      <c r="K523" s="29">
        <f t="array" ref="K523">IFERROR(INDEX($H$16:$H$582,MATCH(1,(C523=$C$16:$C$582)*(D523=$D$16:$D$582)*(E523=$E$16:$E$582)*("생명50%이하"=$G$16:$G$582),0)),"값이없음")</f>
        <v>30969.056322836084</v>
      </c>
      <c r="L523" s="25"/>
      <c r="M523" s="25"/>
      <c r="N523" s="38"/>
      <c r="O523" s="38"/>
      <c r="P523" s="38"/>
      <c r="Q523" s="34"/>
      <c r="R523" s="23"/>
      <c r="S523" s="29"/>
      <c r="T523" s="29"/>
      <c r="U523" s="25"/>
      <c r="V523" s="25"/>
      <c r="W523" s="25"/>
      <c r="X523" s="25"/>
      <c r="Y523" s="25"/>
      <c r="Z523" s="26"/>
      <c r="AA523" s="29"/>
      <c r="AB523" s="29"/>
      <c r="AC523" s="29"/>
      <c r="AD523" s="29"/>
      <c r="AE523" s="29"/>
      <c r="AF523" s="38"/>
      <c r="AG523" s="38"/>
      <c r="AH523" s="38"/>
      <c r="AI523" s="24"/>
      <c r="AJ523" s="29"/>
      <c r="AK523" s="25"/>
      <c r="AL523" s="25"/>
      <c r="AM523" s="25"/>
      <c r="AN523" s="29"/>
      <c r="AO523" s="38"/>
      <c r="AP523" s="38"/>
      <c r="AQ523" s="38"/>
      <c r="AR523" s="22"/>
    </row>
    <row r="524" spans="2:44" ht="13.5" customHeight="1" x14ac:dyDescent="0.3">
      <c r="B524" s="30">
        <v>509</v>
      </c>
      <c r="C524" s="8">
        <v>10</v>
      </c>
      <c r="D524" s="43" t="s">
        <v>394</v>
      </c>
      <c r="E524" s="37" t="s">
        <v>400</v>
      </c>
      <c r="F524" s="39"/>
      <c r="G524" s="39" t="s">
        <v>430</v>
      </c>
      <c r="H524" s="80">
        <f>J524*2/(1+1/(K524/J524))</f>
        <v>21843.295437231602</v>
      </c>
      <c r="I524" s="80"/>
      <c r="J524" s="29">
        <f t="array" ref="J524">IFERROR(INDEX($H$16:$H$582,MATCH(1,(C524=$C$16:$C$582)*(D524=$D$16:$D$582)*(E524=$E$16:$E$582)*(""=$G$16:$G$582),0)),"값이없음")</f>
        <v>21843.295437231602</v>
      </c>
      <c r="K524" s="29">
        <f t="array" ref="K524">IFERROR(INDEX($H$16:$H$582,MATCH(1,(C524=$C$16:$C$582)*(D524=$D$16:$D$582)*(E524=$E$16:$E$582)*("생명50%이하"=$G$16:$G$582),0)),"값이없음")</f>
        <v>21843.295437231602</v>
      </c>
      <c r="L524" s="25"/>
      <c r="M524" s="25"/>
      <c r="N524" s="38"/>
      <c r="O524" s="38"/>
      <c r="P524" s="38"/>
      <c r="Q524" s="34"/>
      <c r="R524" s="23"/>
      <c r="S524" s="29"/>
      <c r="T524" s="29"/>
      <c r="U524" s="25"/>
      <c r="V524" s="25"/>
      <c r="W524" s="25"/>
      <c r="X524" s="25"/>
      <c r="Y524" s="25"/>
      <c r="Z524" s="26"/>
      <c r="AA524" s="29"/>
      <c r="AB524" s="29"/>
      <c r="AC524" s="29"/>
      <c r="AD524" s="29"/>
      <c r="AE524" s="29"/>
      <c r="AF524" s="38"/>
      <c r="AG524" s="38"/>
      <c r="AH524" s="38"/>
      <c r="AI524" s="24"/>
      <c r="AJ524" s="29"/>
      <c r="AK524" s="25"/>
      <c r="AL524" s="25"/>
      <c r="AM524" s="25"/>
      <c r="AN524" s="29"/>
      <c r="AO524" s="38"/>
      <c r="AP524" s="38"/>
      <c r="AQ524" s="38"/>
      <c r="AR524" s="22"/>
    </row>
    <row r="525" spans="2:44" ht="13.5" customHeight="1" x14ac:dyDescent="0.3">
      <c r="B525" s="30">
        <v>510</v>
      </c>
      <c r="C525" s="8">
        <v>10</v>
      </c>
      <c r="D525" s="43" t="s">
        <v>394</v>
      </c>
      <c r="E525" s="37" t="s">
        <v>401</v>
      </c>
      <c r="F525" s="39" t="s">
        <v>404</v>
      </c>
      <c r="G525" s="39" t="s">
        <v>430</v>
      </c>
      <c r="H525" s="80">
        <f>J525*2/(1+1/(K525/J525))</f>
        <v>27374.143543827526</v>
      </c>
      <c r="I525" s="80"/>
      <c r="J525" s="29">
        <f t="array" ref="J525">IFERROR(INDEX($H$16:$H$582,MATCH(1,(C525=$C$16:$C$582)*(D525=$D$16:$D$582)*(E525=$E$16:$E$582)*(""=$G$16:$G$582),0)),"값이없음")</f>
        <v>27374.143543827526</v>
      </c>
      <c r="K525" s="29">
        <f t="array" ref="K525">IFERROR(INDEX($H$16:$H$582,MATCH(1,(C525=$C$16:$C$582)*(D525=$D$16:$D$582)*(E525=$E$16:$E$582)*("생명50%이하"=$G$16:$G$582),0)),"값이없음")</f>
        <v>27374.143543827526</v>
      </c>
      <c r="L525" s="25"/>
      <c r="M525" s="25"/>
      <c r="N525" s="38"/>
      <c r="O525" s="38"/>
      <c r="P525" s="38"/>
      <c r="Q525" s="34"/>
      <c r="R525" s="23"/>
      <c r="S525" s="29"/>
      <c r="T525" s="29"/>
      <c r="U525" s="25"/>
      <c r="V525" s="25"/>
      <c r="W525" s="25"/>
      <c r="X525" s="25"/>
      <c r="Y525" s="25"/>
      <c r="Z525" s="26"/>
      <c r="AA525" s="29"/>
      <c r="AB525" s="29"/>
      <c r="AC525" s="29"/>
      <c r="AD525" s="29"/>
      <c r="AE525" s="29"/>
      <c r="AF525" s="38"/>
      <c r="AG525" s="38"/>
      <c r="AH525" s="38"/>
      <c r="AI525" s="24"/>
      <c r="AJ525" s="29"/>
      <c r="AK525" s="25"/>
      <c r="AL525" s="25"/>
      <c r="AM525" s="25"/>
      <c r="AN525" s="29"/>
      <c r="AO525" s="38"/>
      <c r="AP525" s="38"/>
      <c r="AQ525" s="38"/>
      <c r="AR525" s="22"/>
    </row>
    <row r="526" spans="2:44" ht="13.5" customHeight="1" x14ac:dyDescent="0.3">
      <c r="B526" s="30">
        <v>511</v>
      </c>
      <c r="C526" s="39">
        <v>1</v>
      </c>
      <c r="D526" s="43" t="s">
        <v>405</v>
      </c>
      <c r="E526" s="37" t="s">
        <v>196</v>
      </c>
      <c r="F526" s="39"/>
      <c r="G526" s="39"/>
      <c r="H526" s="80">
        <f>I526/AJ526</f>
        <v>9533.4720306957515</v>
      </c>
      <c r="I526" s="52">
        <f>SUM(J526:Q526)*IF(입력란!C$15=1,1.04,IF(입력란!C$15=2,1.1,IF(입력란!C$15=3,1.2,1)))*IF(입력란!$C$17&lt;&gt;0,0.98,1)*IF(입력란!$C$12=1,IF(G526="생명50%이하",1.2,1.1),1)*IF(입력란!$C$12=2,IF(G526="생명50%이하",1.3,1.1),1)*IF(입력란!$C$12=3,IF(G526="생명50%이하",1.4,1.1),1)</f>
        <v>328689.88174641866</v>
      </c>
      <c r="J526" s="25">
        <f>S526*(1+IF($AK526+IF(입력란!$C$19=1,10,0)+IF(MID(E526,5,1)="2",35,0)&gt;100,100,$AK526+IF(입력란!$C$19=1,10,0)+IF(MID(E526,5,1)="2",35,0))/100*($AL526/100-1))</f>
        <v>109563.2939154729</v>
      </c>
      <c r="K526" s="25">
        <f>T526*(1+IF($AK526+IF(입력란!$C$19=1,10,0)+IF(MID(E526,5,1)="2",35,0)&gt;100,100,$AK526+IF(입력란!$C$19=1,10,0)+IF(MID(E526,5,1)="2",35,0))/100*(($AL526+IF(MID(E526,5,1)="2",IF(G526="생명50%이하",트라이포드!$R$25,트라이포드!$Q$25),0))/100-1))</f>
        <v>109563.2939154729</v>
      </c>
      <c r="L526" s="25">
        <f>U526*(1+IF($AK526+IF(입력란!$C$19=1,10,0)+IF(MID(E526,5,1)="2",35,0)&gt;100,100,$AK526+IF(입력란!$C$19=1,10,0)+IF(MID(E526,5,1)="2",35,0))/100*(($AL526+IF(MID(E526,5,1)="2",IF(G526="생명50%이하",트라이포드!$R$25*2,트라이포드!$Q$25),0))/100-1))</f>
        <v>109563.2939154729</v>
      </c>
      <c r="M526" s="25">
        <f>V526*(1+IF($AK526+IF(입력란!$C$19=1,10,0)+IF(MID(E526,5,1)="2",35,0)&gt;100,100,$AK526+IF(입력란!$C$19=1,10,0)+IF(MID(E526,5,1)="2",35,0))/100*(($AL526+IF(MID(E526,5,1)="2",IF(G526="생명50%이하",트라이포드!$R$25*3,트라이포드!$Q$25),0))/100-1))</f>
        <v>0</v>
      </c>
      <c r="N526" s="38"/>
      <c r="O526" s="38"/>
      <c r="P526" s="38"/>
      <c r="Q526" s="34">
        <f>Z526*(1+IF($AK526+IF(입력란!$C$19=1,10,0)&gt;100,100,$AK526+IF(입력란!$C$19=1,10,0))/100*($AL526/100-1))</f>
        <v>0</v>
      </c>
      <c r="R526" s="23">
        <f>SUM(S526:Z526)</f>
        <v>268623.98135054612</v>
      </c>
      <c r="S526" s="29">
        <f>AN526*IF(MID(E526,3,1)="3",트라이포드!$N$25,트라이포드!$M$25)*IF(MID(E526,5,1)="1",트라이포드!$P$25,트라이포드!$O$25)*(1+입력란!$C$34/100)</f>
        <v>89541.327116848712</v>
      </c>
      <c r="T526" s="25">
        <f>AN526*IF(MID(E526,3,1)="3",트라이포드!$N$25,트라이포드!$M$25)*IF(MID(E526,5,1)="1",트라이포드!$P$25,트라이포드!$O$25)*(1+입력란!$C$34/100)</f>
        <v>89541.327116848712</v>
      </c>
      <c r="U526" s="25">
        <f>AN526*IF(MID(E526,3,1)="3",트라이포드!$N$25,트라이포드!$M$25)*IF(MID(E526,5,1)="1",트라이포드!$P$25,트라이포드!$O$25)*(1+입력란!$C$34/100)</f>
        <v>89541.327116848712</v>
      </c>
      <c r="V526" s="25">
        <f>AN526*IF(MID(E526,3,1)="1",트라이포드!$J$25,트라이포드!$I$25)*IF(MID(E526,5,1)="1",트라이포드!$P$25,트라이포드!$O$25)*(1+입력란!$C$34/100)</f>
        <v>0</v>
      </c>
      <c r="W526" s="25"/>
      <c r="X526" s="25"/>
      <c r="Y526" s="25"/>
      <c r="Z526" s="24">
        <f>IF(MID(E526,3,1)="2",AN526*0.075*3*4+AN526*3*트라이포드!$L$25,0)</f>
        <v>0</v>
      </c>
      <c r="AA526" s="29">
        <f>SUM(AB526:AI526)</f>
        <v>537247.96270109224</v>
      </c>
      <c r="AB526" s="29">
        <f>S526*2</f>
        <v>179082.65423369742</v>
      </c>
      <c r="AC526" s="29">
        <f>T526*2</f>
        <v>179082.65423369742</v>
      </c>
      <c r="AD526" s="29">
        <f>U526*2</f>
        <v>179082.65423369742</v>
      </c>
      <c r="AE526" s="29">
        <f>V526*2</f>
        <v>0</v>
      </c>
      <c r="AF526" s="38"/>
      <c r="AG526" s="38"/>
      <c r="AH526" s="38"/>
      <c r="AI526" s="24"/>
      <c r="AJ526" s="29">
        <f>AR526*(1-입력란!$C$29/100)</f>
        <v>34.477458022440004</v>
      </c>
      <c r="AK52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26" s="25">
        <f>입력란!$C$37+IF(입력란!$C$17=1,10,IF(입력란!$C$17=2,25,IF(입력란!$C$17=3,50,0)))</f>
        <v>200</v>
      </c>
      <c r="AM526" s="25">
        <f>SUM(AN526:AP526)</f>
        <v>67907.994072938149</v>
      </c>
      <c r="AN526" s="29">
        <f>(VLOOKUP(C526,$B$4:$AK$7,34,FALSE)+VLOOKUP(C526,$B$8:$AK$11,34,FALSE)*입력란!$C$23)*입력란!$C$38/100</f>
        <v>67907.994072938149</v>
      </c>
      <c r="AO526" s="38"/>
      <c r="AP526" s="38"/>
      <c r="AQ526" s="38"/>
      <c r="AR526" s="22">
        <v>36</v>
      </c>
    </row>
    <row r="527" spans="2:44" ht="13.5" customHeight="1" x14ac:dyDescent="0.3">
      <c r="B527" s="30">
        <v>512</v>
      </c>
      <c r="C527" s="39">
        <v>4</v>
      </c>
      <c r="D527" s="43" t="s">
        <v>405</v>
      </c>
      <c r="E527" s="37" t="s">
        <v>196</v>
      </c>
      <c r="F527" s="39"/>
      <c r="G527" s="39"/>
      <c r="H527" s="80">
        <f>I527/AJ527</f>
        <v>9572.9491551732099</v>
      </c>
      <c r="I527" s="52">
        <f>SUM(J527:Q527)*IF(입력란!C$15=1,1.04,IF(입력란!C$15=2,1.1,IF(입력란!C$15=3,1.2,1)))*IF(입력란!$C$17&lt;&gt;0,0.98,1)*IF(입력란!$C$12=1,IF(G527="생명50%이하",1.2,1.1),1)*IF(입력란!$C$12=2,IF(G527="생명50%이하",1.3,1.1),1)*IF(입력란!$C$12=3,IF(G527="생명50%이하",1.4,1.1),1)</f>
        <v>330050.95264843683</v>
      </c>
      <c r="J527" s="25">
        <f>S527*(1+IF($AK527+IF(입력란!$C$19=1,10,0)+IF(MID(E527,5,1)="2",35,0)&gt;100,100,$AK527+IF(입력란!$C$19=1,10,0)+IF(MID(E527,5,1)="2",35,0))/100*($AL527/100-1))</f>
        <v>110016.9842161456</v>
      </c>
      <c r="K527" s="25">
        <f>T527*(1+IF($AK527+IF(입력란!$C$19=1,10,0)+IF(MID(E527,5,1)="2",35,0)&gt;100,100,$AK527+IF(입력란!$C$19=1,10,0)+IF(MID(E527,5,1)="2",35,0))/100*(($AL527+IF(MID(E527,5,1)="2",IF(G527="생명50%이하",트라이포드!$R$25,트라이포드!$Q$25),0))/100-1))</f>
        <v>110016.9842161456</v>
      </c>
      <c r="L527" s="25">
        <f>U527*(1+IF($AK527+IF(입력란!$C$19=1,10,0)+IF(MID(E527,5,1)="2",35,0)&gt;100,100,$AK527+IF(입력란!$C$19=1,10,0)+IF(MID(E527,5,1)="2",35,0))/100*(($AL527+IF(MID(E527,5,1)="2",IF(G527="생명50%이하",트라이포드!$R$25*2,트라이포드!$Q$25),0))/100-1))</f>
        <v>110016.9842161456</v>
      </c>
      <c r="M527" s="25">
        <f>V527*(1+IF($AK527+IF(입력란!$C$19=1,10,0)+IF(MID(E527,5,1)="2",35,0)&gt;100,100,$AK527+IF(입력란!$C$19=1,10,0)+IF(MID(E527,5,1)="2",35,0))/100*(($AL527+IF(MID(E527,5,1)="2",IF(G527="생명50%이하",트라이포드!$R$25*3,트라이포드!$Q$25),0))/100-1))</f>
        <v>0</v>
      </c>
      <c r="N527" s="38"/>
      <c r="O527" s="38"/>
      <c r="P527" s="38"/>
      <c r="Q527" s="34">
        <f>Z527*(1+IF($AK527+IF(입력란!$C$19=1,10,0)&gt;100,100,$AK527+IF(입력란!$C$19=1,10,0))/100*($AL527/100-1))</f>
        <v>0</v>
      </c>
      <c r="R527" s="23">
        <f>SUM(S527:Z527)</f>
        <v>269736.32555371377</v>
      </c>
      <c r="S527" s="29">
        <f>AN527*IF(MID(E527,3,1)="3",트라이포드!$N$25,트라이포드!$M$25)*IF(MID(E527,5,1)="1",트라이포드!$P$25,트라이포드!$O$25)*(1+입력란!$C$34/100)</f>
        <v>89912.108517904591</v>
      </c>
      <c r="T527" s="25">
        <f>AN527*IF(MID(E527,3,1)="3",트라이포드!$N$25,트라이포드!$M$25)*IF(MID(E527,5,1)="1",트라이포드!$P$25,트라이포드!$O$25)*(1+입력란!$C$34/100)</f>
        <v>89912.108517904591</v>
      </c>
      <c r="U527" s="25">
        <f>AN527*IF(MID(E527,3,1)="3",트라이포드!$N$25,트라이포드!$M$25)*IF(MID(E527,5,1)="1",트라이포드!$P$25,트라이포드!$O$25)*(1+입력란!$C$34/100)</f>
        <v>89912.108517904591</v>
      </c>
      <c r="V527" s="25">
        <f>AN527*IF(MID(E527,3,1)="1",트라이포드!$J$25,트라이포드!$I$25)*IF(MID(E527,5,1)="1",트라이포드!$P$25,트라이포드!$O$25)*(1+입력란!$C$34/100)</f>
        <v>0</v>
      </c>
      <c r="W527" s="25"/>
      <c r="X527" s="25"/>
      <c r="Y527" s="25"/>
      <c r="Z527" s="24">
        <f>IF(MID(E527,3,1)="2",AN527*0.075*3*4+AN527*3*트라이포드!$L$25,0)</f>
        <v>0</v>
      </c>
      <c r="AA527" s="29">
        <f>SUM(AB527:AI527)</f>
        <v>539472.65110742755</v>
      </c>
      <c r="AB527" s="29">
        <f>S527*2</f>
        <v>179824.21703580918</v>
      </c>
      <c r="AC527" s="25">
        <f>T527*2</f>
        <v>179824.21703580918</v>
      </c>
      <c r="AD527" s="25">
        <f>U527*2</f>
        <v>179824.21703580918</v>
      </c>
      <c r="AE527" s="25">
        <f>V527*2</f>
        <v>0</v>
      </c>
      <c r="AF527" s="29"/>
      <c r="AG527" s="25"/>
      <c r="AH527" s="38"/>
      <c r="AI527" s="24"/>
      <c r="AJ527" s="29">
        <f>AR527*(1-입력란!$C$29/100)</f>
        <v>34.477458022440004</v>
      </c>
      <c r="AK52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27" s="25">
        <f>입력란!$C$37+IF(입력란!$C$17=1,10,IF(입력란!$C$17=2,25,IF(입력란!$C$17=3,50,0)))</f>
        <v>200</v>
      </c>
      <c r="AM527" s="25">
        <f>SUM(AN527:AP527)</f>
        <v>68189.194072938146</v>
      </c>
      <c r="AN527" s="29">
        <f>(VLOOKUP(C527,$B$4:$AK$7,34,FALSE)+VLOOKUP(C527,$B$8:$AK$11,34,FALSE)*입력란!$C$23)*입력란!$C$38/100</f>
        <v>68189.194072938146</v>
      </c>
      <c r="AO527" s="38"/>
      <c r="AP527" s="38"/>
      <c r="AQ527" s="38"/>
      <c r="AR527" s="22">
        <v>36</v>
      </c>
    </row>
    <row r="528" spans="2:44" ht="13.5" customHeight="1" x14ac:dyDescent="0.3">
      <c r="B528" s="30">
        <v>513</v>
      </c>
      <c r="C528" s="39">
        <v>7</v>
      </c>
      <c r="D528" s="43" t="s">
        <v>405</v>
      </c>
      <c r="E528" s="37" t="s">
        <v>196</v>
      </c>
      <c r="F528" s="39"/>
      <c r="G528" s="39"/>
      <c r="H528" s="80">
        <f>I528/AJ528</f>
        <v>9591.2557591271907</v>
      </c>
      <c r="I528" s="52">
        <f>SUM(J528:Q528)*IF(입력란!C$15=1,1.04,IF(입력란!C$15=2,1.1,IF(입력란!C$15=3,1.2,1)))*IF(입력란!$C$17&lt;&gt;0,0.98,1)*IF(입력란!$C$12=1,IF(G528="생명50%이하",1.2,1.1),1)*IF(입력란!$C$12=2,IF(G528="생명50%이하",1.3,1.1),1)*IF(입력란!$C$12=3,IF(G528="생명50%이하",1.4,1.1),1)</f>
        <v>330682.11781779362</v>
      </c>
      <c r="J528" s="25">
        <f>S528*(1+IF($AK528+IF(입력란!$C$19=1,10,0)+IF(MID(E528,5,1)="2",35,0)&gt;100,100,$AK528+IF(입력란!$C$19=1,10,0)+IF(MID(E528,5,1)="2",35,0))/100*($AL528/100-1))</f>
        <v>110227.37260593122</v>
      </c>
      <c r="K528" s="25">
        <f>T528*(1+IF($AK528+IF(입력란!$C$19=1,10,0)+IF(MID(E528,5,1)="2",35,0)&gt;100,100,$AK528+IF(입력란!$C$19=1,10,0)+IF(MID(E528,5,1)="2",35,0))/100*(($AL528+IF(MID(E528,5,1)="2",IF(G528="생명50%이하",트라이포드!$R$25,트라이포드!$Q$25),0))/100-1))</f>
        <v>110227.37260593122</v>
      </c>
      <c r="L528" s="25">
        <f>U528*(1+IF($AK528+IF(입력란!$C$19=1,10,0)+IF(MID(E528,5,1)="2",35,0)&gt;100,100,$AK528+IF(입력란!$C$19=1,10,0)+IF(MID(E528,5,1)="2",35,0))/100*(($AL528+IF(MID(E528,5,1)="2",IF(G528="생명50%이하",트라이포드!$R$25*2,트라이포드!$Q$25),0))/100-1))</f>
        <v>110227.37260593122</v>
      </c>
      <c r="M528" s="25">
        <f>V528*(1+IF($AK528+IF(입력란!$C$19=1,10,0)+IF(MID(E528,5,1)="2",35,0)&gt;100,100,$AK528+IF(입력란!$C$19=1,10,0)+IF(MID(E528,5,1)="2",35,0))/100*(($AL528+IF(MID(E528,5,1)="2",IF(G528="생명50%이하",트라이포드!$R$25*3,트라이포드!$Q$25),0))/100-1))</f>
        <v>0</v>
      </c>
      <c r="N528" s="38"/>
      <c r="O528" s="38"/>
      <c r="P528" s="38"/>
      <c r="Q528" s="34">
        <f>Z528*(1+IF($AK528+IF(입력란!$C$19=1,10,0)&gt;100,100,$AK528+IF(입력란!$C$19=1,10,0))/100*($AL528/100-1))</f>
        <v>0</v>
      </c>
      <c r="R528" s="23">
        <f>SUM(S528:Z528)</f>
        <v>270252.14946585119</v>
      </c>
      <c r="S528" s="29">
        <f>AN528*IF(MID(E528,3,1)="3",트라이포드!$N$25,트라이포드!$M$25)*IF(MID(E528,5,1)="1",트라이포드!$P$25,트라이포드!$O$25)*(1+입력란!$C$34/100)</f>
        <v>90084.049821950393</v>
      </c>
      <c r="T528" s="25">
        <f>AN528*IF(MID(E528,3,1)="3",트라이포드!$N$25,트라이포드!$M$25)*IF(MID(E528,5,1)="1",트라이포드!$P$25,트라이포드!$O$25)*(1+입력란!$C$34/100)</f>
        <v>90084.049821950393</v>
      </c>
      <c r="U528" s="25">
        <f>AN528*IF(MID(E528,3,1)="3",트라이포드!$N$25,트라이포드!$M$25)*IF(MID(E528,5,1)="1",트라이포드!$P$25,트라이포드!$O$25)*(1+입력란!$C$34/100)</f>
        <v>90084.049821950393</v>
      </c>
      <c r="V528" s="25">
        <f>AN528*IF(MID(E528,3,1)="1",트라이포드!$J$25,트라이포드!$I$25)*IF(MID(E528,5,1)="1",트라이포드!$P$25,트라이포드!$O$25)*(1+입력란!$C$34/100)</f>
        <v>0</v>
      </c>
      <c r="W528" s="25"/>
      <c r="X528" s="25"/>
      <c r="Y528" s="25"/>
      <c r="Z528" s="24">
        <f>IF(MID(E528,3,1)="2",AN528*0.075*3*4+AN528*3*트라이포드!$L$25,0)</f>
        <v>0</v>
      </c>
      <c r="AA528" s="29">
        <f>SUM(AB528:AI528)</f>
        <v>540504.29893170239</v>
      </c>
      <c r="AB528" s="29">
        <f>S528*2</f>
        <v>180168.09964390079</v>
      </c>
      <c r="AC528" s="25">
        <f>T528*2</f>
        <v>180168.09964390079</v>
      </c>
      <c r="AD528" s="25">
        <f>U528*2</f>
        <v>180168.09964390079</v>
      </c>
      <c r="AE528" s="25">
        <f>V528*2</f>
        <v>0</v>
      </c>
      <c r="AF528" s="29"/>
      <c r="AG528" s="25"/>
      <c r="AH528" s="38"/>
      <c r="AI528" s="24"/>
      <c r="AJ528" s="29">
        <f>AR528*(1-입력란!$C$29/100)</f>
        <v>34.477458022440004</v>
      </c>
      <c r="AK52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28" s="25">
        <f>입력란!$C$37+IF(입력란!$C$17=1,10,IF(입력란!$C$17=2,25,IF(입력란!$C$17=3,50,0)))</f>
        <v>200</v>
      </c>
      <c r="AM528" s="25">
        <f>SUM(AN528:AP528)</f>
        <v>68319.59407293814</v>
      </c>
      <c r="AN528" s="29">
        <f>(VLOOKUP(C528,$B$4:$AK$7,34,FALSE)+VLOOKUP(C528,$B$8:$AK$11,34,FALSE)*입력란!$C$23)*입력란!$C$38/100</f>
        <v>68319.59407293814</v>
      </c>
      <c r="AO528" s="38"/>
      <c r="AP528" s="38"/>
      <c r="AQ528" s="38"/>
      <c r="AR528" s="22">
        <v>36</v>
      </c>
    </row>
    <row r="529" spans="2:44" ht="13.5" customHeight="1" x14ac:dyDescent="0.3">
      <c r="B529" s="30">
        <v>514</v>
      </c>
      <c r="C529" s="39">
        <v>7</v>
      </c>
      <c r="D529" s="43" t="s">
        <v>405</v>
      </c>
      <c r="E529" s="37" t="s">
        <v>337</v>
      </c>
      <c r="F529" s="39"/>
      <c r="G529" s="39"/>
      <c r="H529" s="80">
        <f>I529/AJ529</f>
        <v>14386.883638690784</v>
      </c>
      <c r="I529" s="52">
        <f>SUM(J529:Q529)*IF(입력란!C$15=1,1.04,IF(입력란!C$15=2,1.1,IF(입력란!C$15=3,1.2,1)))*IF(입력란!$C$17&lt;&gt;0,0.98,1)*IF(입력란!$C$12=1,IF(G529="생명50%이하",1.2,1.1),1)*IF(입력란!$C$12=2,IF(G529="생명50%이하",1.3,1.1),1)*IF(입력란!$C$12=3,IF(G529="생명50%이하",1.4,1.1),1)</f>
        <v>496023.17672669044</v>
      </c>
      <c r="J529" s="25">
        <f>S529*(1+IF($AK529+IF(입력란!$C$19=1,10,0)+IF(MID(E529,5,1)="2",35,0)&gt;100,100,$AK529+IF(입력란!$C$19=1,10,0)+IF(MID(E529,5,1)="2",35,0))/100*($AL529/100-1))</f>
        <v>110227.37260593122</v>
      </c>
      <c r="K529" s="25">
        <f>T529*(1+IF($AK529+IF(입력란!$C$19=1,10,0)+IF(MID(E529,5,1)="2",35,0)&gt;100,100,$AK529+IF(입력란!$C$19=1,10,0)+IF(MID(E529,5,1)="2",35,0))/100*(($AL529+IF(MID(E529,5,1)="2",IF(G529="생명50%이하",트라이포드!$R$25,트라이포드!$Q$25),0))/100-1))</f>
        <v>110227.37260593122</v>
      </c>
      <c r="L529" s="25">
        <f>U529*(1+IF($AK529+IF(입력란!$C$19=1,10,0)+IF(MID(E529,5,1)="2",35,0)&gt;100,100,$AK529+IF(입력란!$C$19=1,10,0)+IF(MID(E529,5,1)="2",35,0))/100*(($AL529+IF(MID(E529,5,1)="2",IF(G529="생명50%이하",트라이포드!$R$25*2,트라이포드!$Q$25),0))/100-1))</f>
        <v>110227.37260593122</v>
      </c>
      <c r="M529" s="25">
        <f>V529*(1+IF($AK529+IF(입력란!$C$19=1,10,0)+IF(MID(E529,5,1)="2",35,0)&gt;100,100,$AK529+IF(입력란!$C$19=1,10,0)+IF(MID(E529,5,1)="2",35,0))/100*(($AL529+IF(MID(E529,5,1)="2",IF(G529="생명50%이하",트라이포드!$R$25*3,트라이포드!$Q$25),0))/100-1))</f>
        <v>165341.05890889681</v>
      </c>
      <c r="N529" s="38"/>
      <c r="O529" s="38"/>
      <c r="P529" s="38"/>
      <c r="Q529" s="34">
        <f>Z529*(1+IF($AK529+IF(입력란!$C$19=1,10,0)&gt;100,100,$AK529+IF(입력란!$C$19=1,10,0))/100*($AL529/100-1))</f>
        <v>0</v>
      </c>
      <c r="R529" s="23">
        <f>SUM(S529:Z529)</f>
        <v>405378.22419877676</v>
      </c>
      <c r="S529" s="29">
        <f>AN529*IF(MID(E529,3,1)="3",트라이포드!$N$25,트라이포드!$M$25)*IF(MID(E529,5,1)="1",트라이포드!$P$25,트라이포드!$O$25)*(1+입력란!$C$34/100)</f>
        <v>90084.049821950393</v>
      </c>
      <c r="T529" s="25">
        <f>AN529*IF(MID(E529,3,1)="3",트라이포드!$N$25,트라이포드!$M$25)*IF(MID(E529,5,1)="1",트라이포드!$P$25,트라이포드!$O$25)*(1+입력란!$C$34/100)</f>
        <v>90084.049821950393</v>
      </c>
      <c r="U529" s="25">
        <f>AN529*IF(MID(E529,3,1)="3",트라이포드!$N$25,트라이포드!$M$25)*IF(MID(E529,5,1)="1",트라이포드!$P$25,트라이포드!$O$25)*(1+입력란!$C$34/100)</f>
        <v>90084.049821950393</v>
      </c>
      <c r="V529" s="25">
        <f>AN529*IF(MID(E529,3,1)="1",트라이포드!$J$25,트라이포드!$I$25)*IF(MID(E529,5,1)="1",트라이포드!$P$25,트라이포드!$O$25)*(1+입력란!$C$34/100)</f>
        <v>135126.0747329256</v>
      </c>
      <c r="W529" s="25"/>
      <c r="X529" s="25"/>
      <c r="Y529" s="25"/>
      <c r="Z529" s="24">
        <f>IF(MID(E529,3,1)="2",AN529*0.075*3*4+AN529*3*트라이포드!$L$25,0)</f>
        <v>0</v>
      </c>
      <c r="AA529" s="29">
        <f>SUM(AB529:AI529)</f>
        <v>810756.44839755353</v>
      </c>
      <c r="AB529" s="29">
        <f>S529*2</f>
        <v>180168.09964390079</v>
      </c>
      <c r="AC529" s="25">
        <f>T529*2</f>
        <v>180168.09964390079</v>
      </c>
      <c r="AD529" s="25">
        <f>U529*2</f>
        <v>180168.09964390079</v>
      </c>
      <c r="AE529" s="25">
        <f>V529*2</f>
        <v>270252.14946585119</v>
      </c>
      <c r="AF529" s="29"/>
      <c r="AG529" s="25"/>
      <c r="AH529" s="38"/>
      <c r="AI529" s="24"/>
      <c r="AJ529" s="29">
        <f>AR529*(1-입력란!$C$29/100)</f>
        <v>34.477458022440004</v>
      </c>
      <c r="AK52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29" s="25">
        <f>입력란!$C$37+IF(입력란!$C$17=1,10,IF(입력란!$C$17=2,25,IF(입력란!$C$17=3,50,0)))</f>
        <v>200</v>
      </c>
      <c r="AM529" s="25">
        <f>SUM(AN529:AP529)</f>
        <v>68319.59407293814</v>
      </c>
      <c r="AN529" s="29">
        <f>(VLOOKUP(C529,$B$4:$AK$7,34,FALSE)+VLOOKUP(C529,$B$8:$AK$11,34,FALSE)*입력란!$C$23)*입력란!$C$38/100</f>
        <v>68319.59407293814</v>
      </c>
      <c r="AO529" s="38"/>
      <c r="AP529" s="38"/>
      <c r="AQ529" s="38"/>
      <c r="AR529" s="22">
        <v>36</v>
      </c>
    </row>
    <row r="530" spans="2:44" ht="13.5" customHeight="1" x14ac:dyDescent="0.3">
      <c r="B530" s="30">
        <v>515</v>
      </c>
      <c r="C530" s="39">
        <v>7</v>
      </c>
      <c r="D530" s="43" t="s">
        <v>405</v>
      </c>
      <c r="E530" s="37" t="s">
        <v>338</v>
      </c>
      <c r="F530" s="39" t="s">
        <v>412</v>
      </c>
      <c r="G530" s="39"/>
      <c r="H530" s="80">
        <f>I530/AJ530</f>
        <v>13228.251994356575</v>
      </c>
      <c r="I530" s="52">
        <f>SUM(J530:Q530)*IF(입력란!C$15=1,1.04,IF(입력란!C$15=2,1.1,IF(입력란!C$15=3,1.2,1)))*IF(입력란!$C$17&lt;&gt;0,0.98,1)*IF(입력란!$C$12=1,IF(G530="생명50%이하",1.2,1.1),1)*IF(입력란!$C$12=2,IF(G530="생명50%이하",1.3,1.1),1)*IF(입력란!$C$12=3,IF(G530="생명50%이하",1.4,1.1),1)</f>
        <v>456076.50284568709</v>
      </c>
      <c r="J530" s="25">
        <f>S530*(1+IF($AK530+IF(입력란!$C$19=1,10,0)+IF(MID(E530,5,1)="2",35,0)&gt;100,100,$AK530+IF(입력란!$C$19=1,10,0)+IF(MID(E530,5,1)="2",35,0))/100*($AL530/100-1))</f>
        <v>110227.37260593122</v>
      </c>
      <c r="K530" s="25">
        <f>T530*(1+IF($AK530+IF(입력란!$C$19=1,10,0)+IF(MID(E530,5,1)="2",35,0)&gt;100,100,$AK530+IF(입력란!$C$19=1,10,0)+IF(MID(E530,5,1)="2",35,0))/100*(($AL530+IF(MID(E530,5,1)="2",IF(G530="생명50%이하",트라이포드!$R$25,트라이포드!$Q$25),0))/100-1))</f>
        <v>110227.37260593122</v>
      </c>
      <c r="L530" s="25">
        <f>U530*(1+IF($AK530+IF(입력란!$C$19=1,10,0)+IF(MID(E530,5,1)="2",35,0)&gt;100,100,$AK530+IF(입력란!$C$19=1,10,0)+IF(MID(E530,5,1)="2",35,0))/100*(($AL530+IF(MID(E530,5,1)="2",IF(G530="생명50%이하",트라이포드!$R$25*2,트라이포드!$Q$25),0))/100-1))</f>
        <v>110227.37260593122</v>
      </c>
      <c r="M530" s="25">
        <f>V530*(1+IF($AK530+IF(입력란!$C$19=1,10,0)+IF(MID(E530,5,1)="2",35,0)&gt;100,100,$AK530+IF(입력란!$C$19=1,10,0)+IF(MID(E530,5,1)="2",35,0))/100*(($AL530+IF(MID(E530,5,1)="2",IF(G530="생명50%이하",트라이포드!$R$25*3,트라이포드!$Q$25),0))/100-1))</f>
        <v>0</v>
      </c>
      <c r="N530" s="38"/>
      <c r="O530" s="38"/>
      <c r="P530" s="38"/>
      <c r="Q530" s="34">
        <f>Z530*(1+IF($AK530+IF(입력란!$C$19=1,10,0)&gt;100,100,$AK530+IF(입력란!$C$19=1,10,0))/100*($AL530/100-1))</f>
        <v>125394.38502789344</v>
      </c>
      <c r="R530" s="23">
        <f>SUM(S530:Z530)</f>
        <v>372731.54057525843</v>
      </c>
      <c r="S530" s="29">
        <f>AN530*IF(MID(E530,3,1)="3",트라이포드!$N$25,트라이포드!$M$25)*IF(MID(E530,5,1)="1",트라이포드!$P$25,트라이포드!$O$25)*(1+입력란!$C$34/100)</f>
        <v>90084.049821950393</v>
      </c>
      <c r="T530" s="25">
        <f>AN530*IF(MID(E530,3,1)="3",트라이포드!$N$25,트라이포드!$M$25)*IF(MID(E530,5,1)="1",트라이포드!$P$25,트라이포드!$O$25)*(1+입력란!$C$34/100)</f>
        <v>90084.049821950393</v>
      </c>
      <c r="U530" s="25">
        <f>AN530*IF(MID(E530,3,1)="3",트라이포드!$N$25,트라이포드!$M$25)*IF(MID(E530,5,1)="1",트라이포드!$P$25,트라이포드!$O$25)*(1+입력란!$C$34/100)</f>
        <v>90084.049821950393</v>
      </c>
      <c r="V530" s="25">
        <f>AN530*IF(MID(E530,3,1)="1",트라이포드!$J$25,트라이포드!$I$25)*IF(MID(E530,5,1)="1",트라이포드!$P$25,트라이포드!$O$25)*(1+입력란!$C$34/100)</f>
        <v>0</v>
      </c>
      <c r="W530" s="25"/>
      <c r="X530" s="25"/>
      <c r="Y530" s="25"/>
      <c r="Z530" s="24">
        <f>IF(MID(E530,3,1)="2",AN530*0.075*3*4+AN530*3*트라이포드!$L$25,0)</f>
        <v>102479.39110940721</v>
      </c>
      <c r="AA530" s="29">
        <f>SUM(AB530:AI530)</f>
        <v>540504.29893170239</v>
      </c>
      <c r="AB530" s="29">
        <f>S530*2</f>
        <v>180168.09964390079</v>
      </c>
      <c r="AC530" s="25">
        <f>T530*2</f>
        <v>180168.09964390079</v>
      </c>
      <c r="AD530" s="25">
        <f>U530*2</f>
        <v>180168.09964390079</v>
      </c>
      <c r="AE530" s="25">
        <f>V530*2</f>
        <v>0</v>
      </c>
      <c r="AF530" s="29"/>
      <c r="AG530" s="25"/>
      <c r="AH530" s="38"/>
      <c r="AI530" s="24"/>
      <c r="AJ530" s="29">
        <f>AR530*(1-입력란!$C$29/100)</f>
        <v>34.477458022440004</v>
      </c>
      <c r="AK53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0" s="25">
        <f>입력란!$C$37+IF(입력란!$C$17=1,10,IF(입력란!$C$17=2,25,IF(입력란!$C$17=3,50,0)))</f>
        <v>200</v>
      </c>
      <c r="AM530" s="25">
        <f>SUM(AN530:AP530)</f>
        <v>68319.59407293814</v>
      </c>
      <c r="AN530" s="29">
        <f>(VLOOKUP(C530,$B$4:$AK$7,34,FALSE)+VLOOKUP(C530,$B$8:$AK$11,34,FALSE)*입력란!$C$23)*입력란!$C$38/100</f>
        <v>68319.59407293814</v>
      </c>
      <c r="AO530" s="38"/>
      <c r="AP530" s="38"/>
      <c r="AQ530" s="38"/>
      <c r="AR530" s="22">
        <v>36</v>
      </c>
    </row>
    <row r="531" spans="2:44" ht="13.5" customHeight="1" x14ac:dyDescent="0.3">
      <c r="B531" s="30">
        <v>516</v>
      </c>
      <c r="C531" s="39">
        <v>7</v>
      </c>
      <c r="D531" s="43" t="s">
        <v>405</v>
      </c>
      <c r="E531" s="37" t="s">
        <v>339</v>
      </c>
      <c r="F531" s="39"/>
      <c r="G531" s="39"/>
      <c r="H531" s="80">
        <f>I531/AJ531</f>
        <v>11989.06969890899</v>
      </c>
      <c r="I531" s="52">
        <f>SUM(J531:Q531)*IF(입력란!C$15=1,1.04,IF(입력란!C$15=2,1.1,IF(입력란!C$15=3,1.2,1)))*IF(입력란!$C$17&lt;&gt;0,0.98,1)*IF(입력란!$C$12=1,IF(G531="생명50%이하",1.2,1.1),1)*IF(입력란!$C$12=2,IF(G531="생명50%이하",1.3,1.1),1)*IF(입력란!$C$12=3,IF(G531="생명50%이하",1.4,1.1),1)</f>
        <v>413352.64727224212</v>
      </c>
      <c r="J531" s="25">
        <f>S531*(1+IF($AK531+IF(입력란!$C$19=1,10,0)+IF(MID(E531,5,1)="2",35,0)&gt;100,100,$AK531+IF(입력란!$C$19=1,10,0)+IF(MID(E531,5,1)="2",35,0))/100*($AL531/100-1))</f>
        <v>137784.21575741403</v>
      </c>
      <c r="K531" s="25">
        <f>T531*(1+IF($AK531+IF(입력란!$C$19=1,10,0)+IF(MID(E531,5,1)="2",35,0)&gt;100,100,$AK531+IF(입력란!$C$19=1,10,0)+IF(MID(E531,5,1)="2",35,0))/100*(($AL531+IF(MID(E531,5,1)="2",IF(G531="생명50%이하",트라이포드!$R$25,트라이포드!$Q$25),0))/100-1))</f>
        <v>137784.21575741403</v>
      </c>
      <c r="L531" s="25">
        <f>U531*(1+IF($AK531+IF(입력란!$C$19=1,10,0)+IF(MID(E531,5,1)="2",35,0)&gt;100,100,$AK531+IF(입력란!$C$19=1,10,0)+IF(MID(E531,5,1)="2",35,0))/100*(($AL531+IF(MID(E531,5,1)="2",IF(G531="생명50%이하",트라이포드!$R$25*2,트라이포드!$Q$25),0))/100-1))</f>
        <v>137784.21575741403</v>
      </c>
      <c r="M531" s="25">
        <f>V531*(1+IF($AK531+IF(입력란!$C$19=1,10,0)+IF(MID(E531,5,1)="2",35,0)&gt;100,100,$AK531+IF(입력란!$C$19=1,10,0)+IF(MID(E531,5,1)="2",35,0))/100*(($AL531+IF(MID(E531,5,1)="2",IF(G531="생명50%이하",트라이포드!$R$25*3,트라이포드!$Q$25),0))/100-1))</f>
        <v>0</v>
      </c>
      <c r="N531" s="38"/>
      <c r="O531" s="38"/>
      <c r="P531" s="38"/>
      <c r="Q531" s="34">
        <f>Z531*(1+IF($AK531+IF(입력란!$C$19=1,10,0)&gt;100,100,$AK531+IF(입력란!$C$19=1,10,0))/100*($AL531/100-1))</f>
        <v>0</v>
      </c>
      <c r="R531" s="23">
        <f>SUM(S531:Z531)</f>
        <v>337815.18683231401</v>
      </c>
      <c r="S531" s="29">
        <f>AN531*IF(MID(E531,3,1)="3",트라이포드!$N$25,트라이포드!$M$25)*IF(MID(E531,5,1)="1",트라이포드!$P$25,트라이포드!$O$25)*(1+입력란!$C$34/100)</f>
        <v>112605.062277438</v>
      </c>
      <c r="T531" s="25">
        <f>AN531*IF(MID(E531,3,1)="3",트라이포드!$N$25,트라이포드!$M$25)*IF(MID(E531,5,1)="1",트라이포드!$P$25,트라이포드!$O$25)*(1+입력란!$C$34/100)</f>
        <v>112605.062277438</v>
      </c>
      <c r="U531" s="25">
        <f>AN531*IF(MID(E531,3,1)="3",트라이포드!$N$25,트라이포드!$M$25)*IF(MID(E531,5,1)="1",트라이포드!$P$25,트라이포드!$O$25)*(1+입력란!$C$34/100)</f>
        <v>112605.062277438</v>
      </c>
      <c r="V531" s="25">
        <f>AN531*IF(MID(E531,3,1)="1",트라이포드!$J$25,트라이포드!$I$25)*IF(MID(E531,5,1)="1",트라이포드!$P$25,트라이포드!$O$25)*(1+입력란!$C$34/100)</f>
        <v>0</v>
      </c>
      <c r="W531" s="25"/>
      <c r="X531" s="25"/>
      <c r="Y531" s="25"/>
      <c r="Z531" s="24">
        <f>IF(MID(E531,3,1)="2",AN531*0.075*3*4+AN531*3*트라이포드!$L$25,0)</f>
        <v>0</v>
      </c>
      <c r="AA531" s="29">
        <f>SUM(AB531:AI531)</f>
        <v>675630.37366462802</v>
      </c>
      <c r="AB531" s="29">
        <f>S531*2</f>
        <v>225210.12455487601</v>
      </c>
      <c r="AC531" s="25">
        <f>T531*2</f>
        <v>225210.12455487601</v>
      </c>
      <c r="AD531" s="25">
        <f>U531*2</f>
        <v>225210.12455487601</v>
      </c>
      <c r="AE531" s="25">
        <f>V531*2</f>
        <v>0</v>
      </c>
      <c r="AF531" s="29"/>
      <c r="AG531" s="25"/>
      <c r="AH531" s="38"/>
      <c r="AI531" s="24"/>
      <c r="AJ531" s="29">
        <f>AR531*(1-입력란!$C$29/100)</f>
        <v>34.477458022440004</v>
      </c>
      <c r="AK53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1" s="25">
        <f>입력란!$C$37+IF(입력란!$C$17=1,10,IF(입력란!$C$17=2,25,IF(입력란!$C$17=3,50,0)))</f>
        <v>200</v>
      </c>
      <c r="AM531" s="25">
        <f>SUM(AN531:AP531)</f>
        <v>68319.59407293814</v>
      </c>
      <c r="AN531" s="29">
        <f>(VLOOKUP(C531,$B$4:$AK$7,34,FALSE)+VLOOKUP(C531,$B$8:$AK$11,34,FALSE)*입력란!$C$23)*입력란!$C$38/100</f>
        <v>68319.59407293814</v>
      </c>
      <c r="AO531" s="38"/>
      <c r="AP531" s="38"/>
      <c r="AQ531" s="38"/>
      <c r="AR531" s="22">
        <v>36</v>
      </c>
    </row>
    <row r="532" spans="2:44" ht="13.5" customHeight="1" x14ac:dyDescent="0.3">
      <c r="B532" s="30">
        <v>517</v>
      </c>
      <c r="C532" s="39">
        <v>10</v>
      </c>
      <c r="D532" s="43" t="s">
        <v>405</v>
      </c>
      <c r="E532" s="37" t="s">
        <v>196</v>
      </c>
      <c r="F532" s="39"/>
      <c r="G532" s="39"/>
      <c r="H532" s="80">
        <f>I532/AJ532</f>
        <v>9602.936046312554</v>
      </c>
      <c r="I532" s="52">
        <f>SUM(J532:Q532)*IF(입력란!C$15=1,1.04,IF(입력란!C$15=2,1.1,IF(입력란!C$15=3,1.2,1)))*IF(입력란!$C$17&lt;&gt;0,0.98,1)*IF(입력란!$C$12=1,IF(G532="생명50%이하",1.2,1.1),1)*IF(입력란!$C$12=2,IF(G532="생명50%이하",1.3,1.1),1)*IF(입력란!$C$12=3,IF(G532="생명50%이하",1.4,1.1),1)</f>
        <v>331084.82442891708</v>
      </c>
      <c r="J532" s="25">
        <f>S532*(1+IF($AK532+IF(입력란!$C$19=1,10,0)+IF(MID(E532,5,1)="2",35,0)&gt;100,100,$AK532+IF(입력란!$C$19=1,10,0)+IF(MID(E532,5,1)="2",35,0))/100*($AL532/100-1))</f>
        <v>110361.60814297236</v>
      </c>
      <c r="K532" s="25">
        <f>T532*(1+IF($AK532+IF(입력란!$C$19=1,10,0)+IF(MID(E532,5,1)="2",35,0)&gt;100,100,$AK532+IF(입력란!$C$19=1,10,0)+IF(MID(E532,5,1)="2",35,0))/100*(($AL532+IF(MID(E532,5,1)="2",IF(G532="생명50%이하",트라이포드!$R$25,트라이포드!$Q$25),0))/100-1))</f>
        <v>110361.60814297236</v>
      </c>
      <c r="L532" s="25">
        <f>U532*(1+IF($AK532+IF(입력란!$C$19=1,10,0)+IF(MID(E532,5,1)="2",35,0)&gt;100,100,$AK532+IF(입력란!$C$19=1,10,0)+IF(MID(E532,5,1)="2",35,0))/100*(($AL532+IF(MID(E532,5,1)="2",IF(G532="생명50%이하",트라이포드!$R$25*2,트라이포드!$Q$25),0))/100-1))</f>
        <v>110361.60814297236</v>
      </c>
      <c r="M532" s="25">
        <f>V532*(1+IF($AK532+IF(입력란!$C$19=1,10,0)+IF(MID(E532,5,1)="2",35,0)&gt;100,100,$AK532+IF(입력란!$C$19=1,10,0)+IF(MID(E532,5,1)="2",35,0))/100*(($AL532+IF(MID(E532,5,1)="2",IF(G532="생명50%이하",트라이포드!$R$25*3,트라이포드!$Q$25),0))/100-1))</f>
        <v>0</v>
      </c>
      <c r="N532" s="38"/>
      <c r="O532" s="38"/>
      <c r="P532" s="38"/>
      <c r="Q532" s="34">
        <f>Z532*(1+IF($AK532+IF(입력란!$C$19=1,10,0)&gt;100,100,$AK532+IF(입력란!$C$19=1,10,0))/100*($AL532/100-1))</f>
        <v>0</v>
      </c>
      <c r="R532" s="23">
        <f>SUM(S532:Z532)</f>
        <v>270581.26410917816</v>
      </c>
      <c r="S532" s="29">
        <f>AN532*IF(MID(E532,3,1)="3",트라이포드!$N$25,트라이포드!$M$25)*IF(MID(E532,5,1)="1",트라이포드!$P$25,트라이포드!$O$25)*(1+입력란!$C$34/100)</f>
        <v>90193.754703059385</v>
      </c>
      <c r="T532" s="25">
        <f>AN532*IF(MID(E532,3,1)="3",트라이포드!$N$25,트라이포드!$M$25)*IF(MID(E532,5,1)="1",트라이포드!$P$25,트라이포드!$O$25)*(1+입력란!$C$34/100)</f>
        <v>90193.754703059385</v>
      </c>
      <c r="U532" s="25">
        <f>AN532*IF(MID(E532,3,1)="3",트라이포드!$N$25,트라이포드!$M$25)*IF(MID(E532,5,1)="1",트라이포드!$P$25,트라이포드!$O$25)*(1+입력란!$C$34/100)</f>
        <v>90193.754703059385</v>
      </c>
      <c r="V532" s="25">
        <f>AN532*IF(MID(E532,3,1)="1",트라이포드!$J$25,트라이포드!$I$25)*IF(MID(E532,5,1)="1",트라이포드!$P$25,트라이포드!$O$25)*(1+입력란!$C$34/100)</f>
        <v>0</v>
      </c>
      <c r="W532" s="25"/>
      <c r="X532" s="25"/>
      <c r="Y532" s="25"/>
      <c r="Z532" s="24">
        <f>IF(MID(E532,3,1)="2",AN532*0.075*3*4+AN532*3*트라이포드!$L$25,0)</f>
        <v>0</v>
      </c>
      <c r="AA532" s="29">
        <f>SUM(AB532:AI532)</f>
        <v>541162.52821835631</v>
      </c>
      <c r="AB532" s="29">
        <f>S532*2</f>
        <v>180387.50940611877</v>
      </c>
      <c r="AC532" s="25">
        <f>T532*2</f>
        <v>180387.50940611877</v>
      </c>
      <c r="AD532" s="25">
        <f>U532*2</f>
        <v>180387.50940611877</v>
      </c>
      <c r="AE532" s="25">
        <f>V532*2</f>
        <v>0</v>
      </c>
      <c r="AF532" s="29"/>
      <c r="AG532" s="25"/>
      <c r="AH532" s="38"/>
      <c r="AI532" s="24"/>
      <c r="AJ532" s="29">
        <f>AR532*(1-입력란!$C$29/100)</f>
        <v>34.477458022440004</v>
      </c>
      <c r="AK53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2" s="25">
        <f>입력란!$C$37+IF(입력란!$C$17=1,10,IF(입력란!$C$17=2,25,IF(입력란!$C$17=3,50,0)))</f>
        <v>200</v>
      </c>
      <c r="AM532" s="25">
        <f>SUM(AN532:AP532)</f>
        <v>68402.794072938137</v>
      </c>
      <c r="AN532" s="29">
        <f>(VLOOKUP(C532,$B$4:$AK$7,34,FALSE)+VLOOKUP(C532,$B$8:$AK$11,34,FALSE)*입력란!$C$23)*입력란!$C$38/100</f>
        <v>68402.794072938137</v>
      </c>
      <c r="AO532" s="38"/>
      <c r="AP532" s="38"/>
      <c r="AQ532" s="38"/>
      <c r="AR532" s="22">
        <v>36</v>
      </c>
    </row>
    <row r="533" spans="2:44" ht="13.5" customHeight="1" x14ac:dyDescent="0.3">
      <c r="B533" s="30">
        <v>518</v>
      </c>
      <c r="C533" s="39">
        <v>10</v>
      </c>
      <c r="D533" s="43" t="s">
        <v>405</v>
      </c>
      <c r="E533" s="37" t="s">
        <v>340</v>
      </c>
      <c r="F533" s="39" t="s">
        <v>404</v>
      </c>
      <c r="G533" s="39"/>
      <c r="H533" s="80">
        <f>I533/AJ533</f>
        <v>17285.284883362598</v>
      </c>
      <c r="I533" s="52">
        <f>SUM(J533:Q533)*IF(입력란!C$15=1,1.04,IF(입력란!C$15=2,1.1,IF(입력란!C$15=3,1.2,1)))*IF(입력란!$C$17&lt;&gt;0,0.98,1)*IF(입력란!$C$12=1,IF(G533="생명50%이하",1.2,1.1),1)*IF(입력란!$C$12=2,IF(G533="생명50%이하",1.3,1.1),1)*IF(입력란!$C$12=3,IF(G533="생명50%이하",1.4,1.1),1)</f>
        <v>595952.68397205067</v>
      </c>
      <c r="J533" s="25">
        <f>S533*(1+IF($AK533+IF(입력란!$C$19=1,10,0)+IF(MID(E533,5,1)="2",35,0)&gt;100,100,$AK533+IF(입력란!$C$19=1,10,0)+IF(MID(E533,5,1)="2",35,0))/100*($AL533/100-1))</f>
        <v>198650.89465735023</v>
      </c>
      <c r="K533" s="25">
        <f>T533*(1+IF($AK533+IF(입력란!$C$19=1,10,0)+IF(MID(E533,5,1)="2",35,0)&gt;100,100,$AK533+IF(입력란!$C$19=1,10,0)+IF(MID(E533,5,1)="2",35,0))/100*(($AL533+IF(MID(E533,5,1)="2",IF(G533="생명50%이하",트라이포드!$R$25,트라이포드!$Q$25),0))/100-1))</f>
        <v>198650.89465735023</v>
      </c>
      <c r="L533" s="25">
        <f>U533*(1+IF($AK533+IF(입력란!$C$19=1,10,0)+IF(MID(E533,5,1)="2",35,0)&gt;100,100,$AK533+IF(입력란!$C$19=1,10,0)+IF(MID(E533,5,1)="2",35,0))/100*(($AL533+IF(MID(E533,5,1)="2",IF(G533="생명50%이하",트라이포드!$R$25*2,트라이포드!$Q$25),0))/100-1))</f>
        <v>198650.89465735023</v>
      </c>
      <c r="M533" s="25">
        <f>V533*(1+IF($AK533+IF(입력란!$C$19=1,10,0)+IF(MID(E533,5,1)="2",35,0)&gt;100,100,$AK533+IF(입력란!$C$19=1,10,0)+IF(MID(E533,5,1)="2",35,0))/100*(($AL533+IF(MID(E533,5,1)="2",IF(G533="생명50%이하",트라이포드!$R$25*3,트라이포드!$Q$25),0))/100-1))</f>
        <v>0</v>
      </c>
      <c r="N533" s="38"/>
      <c r="O533" s="38"/>
      <c r="P533" s="38"/>
      <c r="Q533" s="34">
        <f>Z533*(1+IF($AK533+IF(입력란!$C$19=1,10,0)&gt;100,100,$AK533+IF(입력란!$C$19=1,10,0))/100*($AL533/100-1))</f>
        <v>0</v>
      </c>
      <c r="R533" s="23">
        <f>SUM(S533:Z533)</f>
        <v>487046.27539652068</v>
      </c>
      <c r="S533" s="29">
        <f>AN533*IF(MID(E533,3,1)="3",트라이포드!$N$25,트라이포드!$M$25)*IF(MID(E533,5,1)="1",트라이포드!$P$25,트라이포드!$O$25)*(1+입력란!$C$34/100)</f>
        <v>162348.75846550689</v>
      </c>
      <c r="T533" s="25">
        <f>AN533*IF(MID(E533,3,1)="3",트라이포드!$N$25,트라이포드!$M$25)*IF(MID(E533,5,1)="1",트라이포드!$P$25,트라이포드!$O$25)*(1+입력란!$C$34/100)</f>
        <v>162348.75846550689</v>
      </c>
      <c r="U533" s="25">
        <f>AN533*IF(MID(E533,3,1)="3",트라이포드!$N$25,트라이포드!$M$25)*IF(MID(E533,5,1)="1",트라이포드!$P$25,트라이포드!$O$25)*(1+입력란!$C$34/100)</f>
        <v>162348.75846550689</v>
      </c>
      <c r="V533" s="25">
        <f>AN533*IF(MID(E533,3,1)="1",트라이포드!$J$25,트라이포드!$I$25)*IF(MID(E533,5,1)="1",트라이포드!$P$25,트라이포드!$O$25)*(1+입력란!$C$34/100)</f>
        <v>0</v>
      </c>
      <c r="W533" s="25"/>
      <c r="X533" s="25"/>
      <c r="Y533" s="25"/>
      <c r="Z533" s="24">
        <f>IF(MID(E533,3,1)="2",AN533*0.075*3*4+AN533*3*트라이포드!$L$25,0)</f>
        <v>0</v>
      </c>
      <c r="AA533" s="29">
        <f>SUM(AB533:AI533)</f>
        <v>974092.55079304136</v>
      </c>
      <c r="AB533" s="29">
        <f>S533*2</f>
        <v>324697.51693101379</v>
      </c>
      <c r="AC533" s="25">
        <f>T533*2</f>
        <v>324697.51693101379</v>
      </c>
      <c r="AD533" s="25">
        <f>U533*2</f>
        <v>324697.51693101379</v>
      </c>
      <c r="AE533" s="25">
        <f>V533*2</f>
        <v>0</v>
      </c>
      <c r="AF533" s="29"/>
      <c r="AG533" s="25"/>
      <c r="AH533" s="38"/>
      <c r="AI533" s="24"/>
      <c r="AJ533" s="29">
        <f>AR533*(1-입력란!$C$29/100)</f>
        <v>34.477458022440004</v>
      </c>
      <c r="AK53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3" s="25">
        <f>입력란!$C$37+IF(입력란!$C$17=1,10,IF(입력란!$C$17=2,25,IF(입력란!$C$17=3,50,0)))</f>
        <v>200</v>
      </c>
      <c r="AM533" s="25">
        <f>SUM(AN533:AP533)</f>
        <v>68402.794072938137</v>
      </c>
      <c r="AN533" s="29">
        <f>(VLOOKUP(C533,$B$4:$AK$7,34,FALSE)+VLOOKUP(C533,$B$8:$AK$11,34,FALSE)*입력란!$C$23)*입력란!$C$38/100</f>
        <v>68402.794072938137</v>
      </c>
      <c r="AO533" s="38"/>
      <c r="AP533" s="38"/>
      <c r="AQ533" s="38"/>
      <c r="AR533" s="22">
        <v>36</v>
      </c>
    </row>
    <row r="534" spans="2:44" ht="13.5" customHeight="1" x14ac:dyDescent="0.3">
      <c r="B534" s="30">
        <v>519</v>
      </c>
      <c r="C534" s="39">
        <v>10</v>
      </c>
      <c r="D534" s="43" t="s">
        <v>405</v>
      </c>
      <c r="E534" s="37" t="s">
        <v>341</v>
      </c>
      <c r="F534" s="39"/>
      <c r="G534" s="39"/>
      <c r="H534" s="80">
        <f>I534/AJ534</f>
        <v>12349.758111227366</v>
      </c>
      <c r="I534" s="52">
        <f>SUM(J534:Q534)*IF(입력란!C$15=1,1.04,IF(입력란!C$15=2,1.1,IF(입력란!C$15=3,1.2,1)))*IF(입력란!$C$17&lt;&gt;0,0.98,1)*IF(입력란!$C$12=1,IF(G534="생명50%이하",1.2,1.1),1)*IF(입력란!$C$12=2,IF(G534="생명50%이하",1.3,1.1),1)*IF(입력란!$C$12=3,IF(G534="생명50%이하",1.4,1.1),1)</f>
        <v>425788.26686712942</v>
      </c>
      <c r="J534" s="25">
        <f>S534*(1+IF($AK534+IF(입력란!$C$19=1,10,0)+IF(MID(E534,5,1)="2",35,0)&gt;100,100,$AK534+IF(입력란!$C$19=1,10,0)+IF(MID(E534,5,1)="2",35,0))/100*($AL534/100-1))</f>
        <v>141929.42228904314</v>
      </c>
      <c r="K534" s="25">
        <f>T534*(1+IF($AK534+IF(입력란!$C$19=1,10,0)+IF(MID(E534,5,1)="2",35,0)&gt;100,100,$AK534+IF(입력란!$C$19=1,10,0)+IF(MID(E534,5,1)="2",35,0))/100*(($AL534+IF(MID(E534,5,1)="2",IF(G534="생명50%이하",트라이포드!$R$25,트라이포드!$Q$25),0))/100-1))</f>
        <v>141929.42228904314</v>
      </c>
      <c r="L534" s="25">
        <f>U534*(1+IF($AK534+IF(입력란!$C$19=1,10,0)+IF(MID(E534,5,1)="2",35,0)&gt;100,100,$AK534+IF(입력란!$C$19=1,10,0)+IF(MID(E534,5,1)="2",35,0))/100*(($AL534+IF(MID(E534,5,1)="2",IF(G534="생명50%이하",트라이포드!$R$25*2,트라이포드!$Q$25),0))/100-1))</f>
        <v>141929.42228904314</v>
      </c>
      <c r="M534" s="25">
        <f>V534*(1+IF($AK534+IF(입력란!$C$19=1,10,0)+IF(MID(E534,5,1)="2",35,0)&gt;100,100,$AK534+IF(입력란!$C$19=1,10,0)+IF(MID(E534,5,1)="2",35,0))/100*(($AL534+IF(MID(E534,5,1)="2",IF(G534="생명50%이하",트라이포드!$R$25*3,트라이포드!$Q$25),0))/100-1))</f>
        <v>0</v>
      </c>
      <c r="N534" s="38"/>
      <c r="O534" s="38"/>
      <c r="P534" s="38"/>
      <c r="Q534" s="34">
        <f>Z534*(1+IF($AK534+IF(입력란!$C$19=1,10,0)&gt;100,100,$AK534+IF(입력란!$C$19=1,10,0))/100*($AL534/100-1))</f>
        <v>0</v>
      </c>
      <c r="R534" s="23">
        <f>SUM(S534:Z534)</f>
        <v>270581.26410917816</v>
      </c>
      <c r="S534" s="29">
        <f>AN534*IF(MID(E534,3,1)="3",트라이포드!$N$25,트라이포드!$M$25)*IF(MID(E534,5,1)="1",트라이포드!$P$25,트라이포드!$O$25)*(1+입력란!$C$34/100)</f>
        <v>90193.754703059385</v>
      </c>
      <c r="T534" s="25">
        <f>AN534*IF(MID(E534,3,1)="3",트라이포드!$N$25,트라이포드!$M$25)*IF(MID(E534,5,1)="1",트라이포드!$P$25,트라이포드!$O$25)*(1+입력란!$C$34/100)</f>
        <v>90193.754703059385</v>
      </c>
      <c r="U534" s="25">
        <f>AN534*IF(MID(E534,3,1)="3",트라이포드!$N$25,트라이포드!$M$25)*IF(MID(E534,5,1)="1",트라이포드!$P$25,트라이포드!$O$25)*(1+입력란!$C$34/100)</f>
        <v>90193.754703059385</v>
      </c>
      <c r="V534" s="25">
        <f>AN534*IF(MID(E534,3,1)="1",트라이포드!$J$25,트라이포드!$I$25)*IF(MID(E534,5,1)="1",트라이포드!$P$25,트라이포드!$O$25)*(1+입력란!$C$34/100)</f>
        <v>0</v>
      </c>
      <c r="W534" s="25"/>
      <c r="X534" s="25"/>
      <c r="Y534" s="25"/>
      <c r="Z534" s="24">
        <f>IF(MID(E534,3,1)="2",AN534*0.075*3*4+AN534*3*트라이포드!$L$25,0)</f>
        <v>0</v>
      </c>
      <c r="AA534" s="29">
        <f>SUM(AB534:AI534)</f>
        <v>541162.52821835631</v>
      </c>
      <c r="AB534" s="29">
        <f>S534*2</f>
        <v>180387.50940611877</v>
      </c>
      <c r="AC534" s="25">
        <f>T534*2</f>
        <v>180387.50940611877</v>
      </c>
      <c r="AD534" s="25">
        <f>U534*2</f>
        <v>180387.50940611877</v>
      </c>
      <c r="AE534" s="25">
        <f>V534*2</f>
        <v>0</v>
      </c>
      <c r="AF534" s="29"/>
      <c r="AG534" s="25"/>
      <c r="AH534" s="38"/>
      <c r="AI534" s="24"/>
      <c r="AJ534" s="29">
        <f>AR534*(1-입력란!$C$29/100)</f>
        <v>34.477458022440004</v>
      </c>
      <c r="AK53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4" s="25">
        <f>입력란!$C$37+IF(입력란!$C$17=1,10,IF(입력란!$C$17=2,25,IF(입력란!$C$17=3,50,0)))</f>
        <v>200</v>
      </c>
      <c r="AM534" s="25">
        <f>SUM(AN534:AP534)</f>
        <v>68402.794072938137</v>
      </c>
      <c r="AN534" s="29">
        <f>(VLOOKUP(C534,$B$4:$AK$7,34,FALSE)+VLOOKUP(C534,$B$8:$AK$11,34,FALSE)*입력란!$C$23)*입력란!$C$38/100</f>
        <v>68402.794072938137</v>
      </c>
      <c r="AO534" s="38"/>
      <c r="AP534" s="38"/>
      <c r="AQ534" s="38"/>
      <c r="AR534" s="22">
        <v>36</v>
      </c>
    </row>
    <row r="535" spans="2:44" ht="13.5" customHeight="1" x14ac:dyDescent="0.3">
      <c r="B535" s="30">
        <v>520</v>
      </c>
      <c r="C535" s="39">
        <v>10</v>
      </c>
      <c r="D535" s="43" t="s">
        <v>405</v>
      </c>
      <c r="E535" s="37" t="s">
        <v>77</v>
      </c>
      <c r="F535" s="39"/>
      <c r="G535" s="39"/>
      <c r="H535" s="80">
        <f>I535/AJ535</f>
        <v>14404.404069468832</v>
      </c>
      <c r="I535" s="52">
        <f>SUM(J535:Q535)*IF(입력란!C$15=1,1.04,IF(입력란!C$15=2,1.1,IF(입력란!C$15=3,1.2,1)))*IF(입력란!$C$17&lt;&gt;0,0.98,1)*IF(입력란!$C$12=1,IF(G535="생명50%이하",1.2,1.1),1)*IF(입력란!$C$12=2,IF(G535="생명50%이하",1.3,1.1),1)*IF(입력란!$C$12=3,IF(G535="생명50%이하",1.4,1.1),1)</f>
        <v>496627.2366433756</v>
      </c>
      <c r="J535" s="25">
        <f>S535*(1+IF($AK535+IF(입력란!$C$19=1,10,0)+IF(MID(E535,5,1)="2",35,0)&gt;100,100,$AK535+IF(입력란!$C$19=1,10,0)+IF(MID(E535,5,1)="2",35,0))/100*($AL535/100-1))</f>
        <v>110361.60814297236</v>
      </c>
      <c r="K535" s="25">
        <f>T535*(1+IF($AK535+IF(입력란!$C$19=1,10,0)+IF(MID(E535,5,1)="2",35,0)&gt;100,100,$AK535+IF(입력란!$C$19=1,10,0)+IF(MID(E535,5,1)="2",35,0))/100*(($AL535+IF(MID(E535,5,1)="2",IF(G535="생명50%이하",트라이포드!$R$25,트라이포드!$Q$25),0))/100-1))</f>
        <v>110361.60814297236</v>
      </c>
      <c r="L535" s="25">
        <f>U535*(1+IF($AK535+IF(입력란!$C$19=1,10,0)+IF(MID(E535,5,1)="2",35,0)&gt;100,100,$AK535+IF(입력란!$C$19=1,10,0)+IF(MID(E535,5,1)="2",35,0))/100*(($AL535+IF(MID(E535,5,1)="2",IF(G535="생명50%이하",트라이포드!$R$25*2,트라이포드!$Q$25),0))/100-1))</f>
        <v>110361.60814297236</v>
      </c>
      <c r="M535" s="25">
        <f>V535*(1+IF($AK535+IF(입력란!$C$19=1,10,0)+IF(MID(E535,5,1)="2",35,0)&gt;100,100,$AK535+IF(입력란!$C$19=1,10,0)+IF(MID(E535,5,1)="2",35,0))/100*(($AL535+IF(MID(E535,5,1)="2",IF(G535="생명50%이하",트라이포드!$R$25*3,트라이포드!$Q$25),0))/100-1))</f>
        <v>165542.41221445851</v>
      </c>
      <c r="N535" s="38"/>
      <c r="O535" s="38"/>
      <c r="P535" s="38"/>
      <c r="Q535" s="34">
        <f>Z535*(1+IF($AK535+IF(입력란!$C$19=1,10,0)&gt;100,100,$AK535+IF(입력란!$C$19=1,10,0))/100*($AL535/100-1))</f>
        <v>0</v>
      </c>
      <c r="R535" s="23">
        <f>SUM(S535:Z535)</f>
        <v>405871.8961637672</v>
      </c>
      <c r="S535" s="29">
        <f>AN535*IF(MID(E535,3,1)="3",트라이포드!$N$25,트라이포드!$M$25)*IF(MID(E535,5,1)="1",트라이포드!$P$25,트라이포드!$O$25)*(1+입력란!$C$34/100)</f>
        <v>90193.754703059385</v>
      </c>
      <c r="T535" s="25">
        <f>AN535*IF(MID(E535,3,1)="3",트라이포드!$N$25,트라이포드!$M$25)*IF(MID(E535,5,1)="1",트라이포드!$P$25,트라이포드!$O$25)*(1+입력란!$C$34/100)</f>
        <v>90193.754703059385</v>
      </c>
      <c r="U535" s="25">
        <f>AN535*IF(MID(E535,3,1)="3",트라이포드!$N$25,트라이포드!$M$25)*IF(MID(E535,5,1)="1",트라이포드!$P$25,트라이포드!$O$25)*(1+입력란!$C$34/100)</f>
        <v>90193.754703059385</v>
      </c>
      <c r="V535" s="25">
        <f>AN535*IF(MID(E535,3,1)="1",트라이포드!$J$25,트라이포드!$I$25)*IF(MID(E535,5,1)="1",트라이포드!$P$25,트라이포드!$O$25)*(1+입력란!$C$34/100)</f>
        <v>135290.63205458908</v>
      </c>
      <c r="W535" s="25"/>
      <c r="X535" s="25"/>
      <c r="Y535" s="25"/>
      <c r="Z535" s="24">
        <f>IF(MID(E535,3,1)="2",AN535*0.075*3*4+AN535*3*트라이포드!$L$25,0)</f>
        <v>0</v>
      </c>
      <c r="AA535" s="29">
        <f>SUM(AB535:AI535)</f>
        <v>811743.79232753441</v>
      </c>
      <c r="AB535" s="29">
        <f>S535*2</f>
        <v>180387.50940611877</v>
      </c>
      <c r="AC535" s="25">
        <f>T535*2</f>
        <v>180387.50940611877</v>
      </c>
      <c r="AD535" s="25">
        <f>U535*2</f>
        <v>180387.50940611877</v>
      </c>
      <c r="AE535" s="25">
        <f>V535*2</f>
        <v>270581.26410917816</v>
      </c>
      <c r="AF535" s="29"/>
      <c r="AG535" s="25"/>
      <c r="AH535" s="38"/>
      <c r="AI535" s="24"/>
      <c r="AJ535" s="29">
        <f>AR535*(1-입력란!$C$29/100)</f>
        <v>34.477458022440004</v>
      </c>
      <c r="AK53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5" s="25">
        <f>입력란!$C$37+IF(입력란!$C$17=1,10,IF(입력란!$C$17=2,25,IF(입력란!$C$17=3,50,0)))</f>
        <v>200</v>
      </c>
      <c r="AM535" s="25">
        <f>SUM(AN535:AP535)</f>
        <v>68402.794072938137</v>
      </c>
      <c r="AN535" s="29">
        <f>(VLOOKUP(C535,$B$4:$AK$7,34,FALSE)+VLOOKUP(C535,$B$8:$AK$11,34,FALSE)*입력란!$C$23)*입력란!$C$38/100</f>
        <v>68402.794072938137</v>
      </c>
      <c r="AO535" s="38"/>
      <c r="AP535" s="38"/>
      <c r="AQ535" s="38"/>
      <c r="AR535" s="22">
        <v>36</v>
      </c>
    </row>
    <row r="536" spans="2:44" ht="13.5" customHeight="1" x14ac:dyDescent="0.3">
      <c r="B536" s="30">
        <v>521</v>
      </c>
      <c r="C536" s="39">
        <v>10</v>
      </c>
      <c r="D536" s="43" t="s">
        <v>405</v>
      </c>
      <c r="E536" s="37" t="s">
        <v>390</v>
      </c>
      <c r="F536" s="39" t="s">
        <v>404</v>
      </c>
      <c r="G536" s="39"/>
      <c r="H536" s="80">
        <f>I536/AJ536</f>
        <v>25927.927325043896</v>
      </c>
      <c r="I536" s="52">
        <f>SUM(J536:Q536)*IF(입력란!C$15=1,1.04,IF(입력란!C$15=2,1.1,IF(입력란!C$15=3,1.2,1)))*IF(입력란!$C$17&lt;&gt;0,0.98,1)*IF(입력란!$C$12=1,IF(G536="생명50%이하",1.2,1.1),1)*IF(입력란!$C$12=2,IF(G536="생명50%이하",1.3,1.1),1)*IF(입력란!$C$12=3,IF(G536="생명50%이하",1.4,1.1),1)</f>
        <v>893929.02595807612</v>
      </c>
      <c r="J536" s="25">
        <f>S536*(1+IF($AK536+IF(입력란!$C$19=1,10,0)+IF(MID(E536,5,1)="2",35,0)&gt;100,100,$AK536+IF(입력란!$C$19=1,10,0)+IF(MID(E536,5,1)="2",35,0))/100*($AL536/100-1))</f>
        <v>198650.89465735023</v>
      </c>
      <c r="K536" s="25">
        <f>T536*(1+IF($AK536+IF(입력란!$C$19=1,10,0)+IF(MID(E536,5,1)="2",35,0)&gt;100,100,$AK536+IF(입력란!$C$19=1,10,0)+IF(MID(E536,5,1)="2",35,0))/100*(($AL536+IF(MID(E536,5,1)="2",IF(G536="생명50%이하",트라이포드!$R$25,트라이포드!$Q$25),0))/100-1))</f>
        <v>198650.89465735023</v>
      </c>
      <c r="L536" s="25">
        <f>U536*(1+IF($AK536+IF(입력란!$C$19=1,10,0)+IF(MID(E536,5,1)="2",35,0)&gt;100,100,$AK536+IF(입력란!$C$19=1,10,0)+IF(MID(E536,5,1)="2",35,0))/100*(($AL536+IF(MID(E536,5,1)="2",IF(G536="생명50%이하",트라이포드!$R$25*2,트라이포드!$Q$25),0))/100-1))</f>
        <v>198650.89465735023</v>
      </c>
      <c r="M536" s="25">
        <f>V536*(1+IF($AK536+IF(입력란!$C$19=1,10,0)+IF(MID(E536,5,1)="2",35,0)&gt;100,100,$AK536+IF(입력란!$C$19=1,10,0)+IF(MID(E536,5,1)="2",35,0))/100*(($AL536+IF(MID(E536,5,1)="2",IF(G536="생명50%이하",트라이포드!$R$25*3,트라이포드!$Q$25),0))/100-1))</f>
        <v>297976.34198602539</v>
      </c>
      <c r="N536" s="38"/>
      <c r="O536" s="38"/>
      <c r="P536" s="38"/>
      <c r="Q536" s="34">
        <f>Z536*(1+IF($AK536+IF(입력란!$C$19=1,10,0)&gt;100,100,$AK536+IF(입력란!$C$19=1,10,0))/100*($AL536/100-1))</f>
        <v>0</v>
      </c>
      <c r="R536" s="23">
        <f>SUM(S536:Z536)</f>
        <v>730569.41309478111</v>
      </c>
      <c r="S536" s="29">
        <f>AN536*IF(MID(E536,3,1)="3",트라이포드!$N$25,트라이포드!$M$25)*IF(MID(E536,5,1)="1",트라이포드!$P$25,트라이포드!$O$25)*(1+입력란!$C$34/100)</f>
        <v>162348.75846550689</v>
      </c>
      <c r="T536" s="25">
        <f>AN536*IF(MID(E536,3,1)="3",트라이포드!$N$25,트라이포드!$M$25)*IF(MID(E536,5,1)="1",트라이포드!$P$25,트라이포드!$O$25)*(1+입력란!$C$34/100)</f>
        <v>162348.75846550689</v>
      </c>
      <c r="U536" s="25">
        <f>AN536*IF(MID(E536,3,1)="3",트라이포드!$N$25,트라이포드!$M$25)*IF(MID(E536,5,1)="1",트라이포드!$P$25,트라이포드!$O$25)*(1+입력란!$C$34/100)</f>
        <v>162348.75846550689</v>
      </c>
      <c r="V536" s="25">
        <f>AN536*IF(MID(E536,3,1)="1",트라이포드!$J$25,트라이포드!$I$25)*IF(MID(E536,5,1)="1",트라이포드!$P$25,트라이포드!$O$25)*(1+입력란!$C$34/100)</f>
        <v>243523.13769826037</v>
      </c>
      <c r="W536" s="25"/>
      <c r="X536" s="25"/>
      <c r="Y536" s="25"/>
      <c r="Z536" s="24">
        <f>IF(MID(E536,3,1)="2",AN536*0.075*3*4+AN536*3*트라이포드!$L$25,0)</f>
        <v>0</v>
      </c>
      <c r="AA536" s="29">
        <f>SUM(AB536:AI536)</f>
        <v>1461138.8261895622</v>
      </c>
      <c r="AB536" s="29">
        <f>S536*2</f>
        <v>324697.51693101379</v>
      </c>
      <c r="AC536" s="25">
        <f>T536*2</f>
        <v>324697.51693101379</v>
      </c>
      <c r="AD536" s="25">
        <f>U536*2</f>
        <v>324697.51693101379</v>
      </c>
      <c r="AE536" s="25">
        <f>V536*2</f>
        <v>487046.27539652074</v>
      </c>
      <c r="AF536" s="29"/>
      <c r="AG536" s="25"/>
      <c r="AH536" s="38"/>
      <c r="AI536" s="24"/>
      <c r="AJ536" s="29">
        <f>AR536*(1-입력란!$C$29/100)</f>
        <v>34.477458022440004</v>
      </c>
      <c r="AK53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6" s="25">
        <f>입력란!$C$37+IF(입력란!$C$17=1,10,IF(입력란!$C$17=2,25,IF(입력란!$C$17=3,50,0)))</f>
        <v>200</v>
      </c>
      <c r="AM536" s="25">
        <f>SUM(AN536:AP536)</f>
        <v>68402.794072938137</v>
      </c>
      <c r="AN536" s="29">
        <f>(VLOOKUP(C536,$B$4:$AK$7,34,FALSE)+VLOOKUP(C536,$B$8:$AK$11,34,FALSE)*입력란!$C$23)*입력란!$C$38/100</f>
        <v>68402.794072938137</v>
      </c>
      <c r="AO536" s="38"/>
      <c r="AP536" s="38"/>
      <c r="AQ536" s="38"/>
      <c r="AR536" s="22">
        <v>36</v>
      </c>
    </row>
    <row r="537" spans="2:44" ht="13.5" customHeight="1" x14ac:dyDescent="0.3">
      <c r="B537" s="30">
        <v>522</v>
      </c>
      <c r="C537" s="39">
        <v>10</v>
      </c>
      <c r="D537" s="43" t="s">
        <v>405</v>
      </c>
      <c r="E537" s="37" t="s">
        <v>391</v>
      </c>
      <c r="F537" s="39"/>
      <c r="G537" s="39"/>
      <c r="H537" s="80">
        <f>I537/AJ537</f>
        <v>18524.637166841047</v>
      </c>
      <c r="I537" s="52">
        <f>SUM(J537:Q537)*IF(입력란!C$15=1,1.04,IF(입력란!C$15=2,1.1,IF(입력란!C$15=3,1.2,1)))*IF(입력란!$C$17&lt;&gt;0,0.98,1)*IF(입력란!$C$12=1,IF(G537="생명50%이하",1.2,1.1),1)*IF(입력란!$C$12=2,IF(G537="생명50%이하",1.3,1.1),1)*IF(입력란!$C$12=3,IF(G537="생명50%이하",1.4,1.1),1)</f>
        <v>638682.40030069416</v>
      </c>
      <c r="J537" s="25">
        <f>S537*(1+IF($AK537+IF(입력란!$C$19=1,10,0)+IF(MID(E537,5,1)="2",35,0)&gt;100,100,$AK537+IF(입력란!$C$19=1,10,0)+IF(MID(E537,5,1)="2",35,0))/100*($AL537/100-1))</f>
        <v>141929.42228904314</v>
      </c>
      <c r="K537" s="25">
        <f>T537*(1+IF($AK537+IF(입력란!$C$19=1,10,0)+IF(MID(E537,5,1)="2",35,0)&gt;100,100,$AK537+IF(입력란!$C$19=1,10,0)+IF(MID(E537,5,1)="2",35,0))/100*(($AL537+IF(MID(E537,5,1)="2",IF(G537="생명50%이하",트라이포드!$R$25,트라이포드!$Q$25),0))/100-1))</f>
        <v>141929.42228904314</v>
      </c>
      <c r="L537" s="25">
        <f>U537*(1+IF($AK537+IF(입력란!$C$19=1,10,0)+IF(MID(E537,5,1)="2",35,0)&gt;100,100,$AK537+IF(입력란!$C$19=1,10,0)+IF(MID(E537,5,1)="2",35,0))/100*(($AL537+IF(MID(E537,5,1)="2",IF(G537="생명50%이하",트라이포드!$R$25*2,트라이포드!$Q$25),0))/100-1))</f>
        <v>141929.42228904314</v>
      </c>
      <c r="M537" s="25">
        <f>V537*(1+IF($AK537+IF(입력란!$C$19=1,10,0)+IF(MID(E537,5,1)="2",35,0)&gt;100,100,$AK537+IF(입력란!$C$19=1,10,0)+IF(MID(E537,5,1)="2",35,0))/100*(($AL537+IF(MID(E537,5,1)="2",IF(G537="생명50%이하",트라이포드!$R$25*3,트라이포드!$Q$25),0))/100-1))</f>
        <v>212894.13343356471</v>
      </c>
      <c r="N537" s="38"/>
      <c r="O537" s="38"/>
      <c r="P537" s="38"/>
      <c r="Q537" s="34">
        <f>Z537*(1+IF($AK537+IF(입력란!$C$19=1,10,0)&gt;100,100,$AK537+IF(입력란!$C$19=1,10,0))/100*($AL537/100-1))</f>
        <v>0</v>
      </c>
      <c r="R537" s="23">
        <f>SUM(S537:Z537)</f>
        <v>405871.8961637672</v>
      </c>
      <c r="S537" s="29">
        <f>AN537*IF(MID(E537,3,1)="3",트라이포드!$N$25,트라이포드!$M$25)*IF(MID(E537,5,1)="1",트라이포드!$P$25,트라이포드!$O$25)*(1+입력란!$C$34/100)</f>
        <v>90193.754703059385</v>
      </c>
      <c r="T537" s="25">
        <f>AN537*IF(MID(E537,3,1)="3",트라이포드!$N$25,트라이포드!$M$25)*IF(MID(E537,5,1)="1",트라이포드!$P$25,트라이포드!$O$25)*(1+입력란!$C$34/100)</f>
        <v>90193.754703059385</v>
      </c>
      <c r="U537" s="25">
        <f>AN537*IF(MID(E537,3,1)="3",트라이포드!$N$25,트라이포드!$M$25)*IF(MID(E537,5,1)="1",트라이포드!$P$25,트라이포드!$O$25)*(1+입력란!$C$34/100)</f>
        <v>90193.754703059385</v>
      </c>
      <c r="V537" s="25">
        <f>AN537*IF(MID(E537,3,1)="1",트라이포드!$J$25,트라이포드!$I$25)*IF(MID(E537,5,1)="1",트라이포드!$P$25,트라이포드!$O$25)*(1+입력란!$C$34/100)</f>
        <v>135290.63205458908</v>
      </c>
      <c r="W537" s="25"/>
      <c r="X537" s="25"/>
      <c r="Y537" s="25"/>
      <c r="Z537" s="24">
        <f>IF(MID(E537,3,1)="2",AN537*0.075*3*4+AN537*3*트라이포드!$L$25,0)</f>
        <v>0</v>
      </c>
      <c r="AA537" s="29">
        <f>SUM(AB537:AI537)</f>
        <v>811743.79232753441</v>
      </c>
      <c r="AB537" s="29">
        <f>S537*2</f>
        <v>180387.50940611877</v>
      </c>
      <c r="AC537" s="25">
        <f>T537*2</f>
        <v>180387.50940611877</v>
      </c>
      <c r="AD537" s="25">
        <f>U537*2</f>
        <v>180387.50940611877</v>
      </c>
      <c r="AE537" s="25">
        <f>V537*2</f>
        <v>270581.26410917816</v>
      </c>
      <c r="AF537" s="29"/>
      <c r="AG537" s="25"/>
      <c r="AH537" s="38"/>
      <c r="AI537" s="24"/>
      <c r="AJ537" s="29">
        <f>AR537*(1-입력란!$C$29/100)</f>
        <v>34.477458022440004</v>
      </c>
      <c r="AK53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7" s="25">
        <f>입력란!$C$37+IF(입력란!$C$17=1,10,IF(입력란!$C$17=2,25,IF(입력란!$C$17=3,50,0)))</f>
        <v>200</v>
      </c>
      <c r="AM537" s="25">
        <f>SUM(AN537:AP537)</f>
        <v>68402.794072938137</v>
      </c>
      <c r="AN537" s="29">
        <f>(VLOOKUP(C537,$B$4:$AK$7,34,FALSE)+VLOOKUP(C537,$B$8:$AK$11,34,FALSE)*입력란!$C$23)*입력란!$C$38/100</f>
        <v>68402.794072938137</v>
      </c>
      <c r="AO537" s="38"/>
      <c r="AP537" s="38"/>
      <c r="AQ537" s="38"/>
      <c r="AR537" s="22">
        <v>36</v>
      </c>
    </row>
    <row r="538" spans="2:44" ht="13.5" customHeight="1" x14ac:dyDescent="0.3">
      <c r="B538" s="30">
        <v>523</v>
      </c>
      <c r="C538" s="39">
        <v>10</v>
      </c>
      <c r="D538" s="43" t="s">
        <v>405</v>
      </c>
      <c r="E538" s="37" t="s">
        <v>338</v>
      </c>
      <c r="F538" s="39" t="s">
        <v>412</v>
      </c>
      <c r="G538" s="39"/>
      <c r="H538" s="80">
        <f>I538/AJ538</f>
        <v>13244.361436762738</v>
      </c>
      <c r="I538" s="52">
        <f>SUM(J538:Q538)*IF(입력란!C$15=1,1.04,IF(입력란!C$15=2,1.1,IF(입력란!C$15=3,1.2,1)))*IF(입력란!$C$17&lt;&gt;0,0.98,1)*IF(입력란!$C$12=1,IF(G538="생명50%이하",1.2,1.1),1)*IF(입력란!$C$12=2,IF(G538="생명50%이하",1.3,1.1),1)*IF(입력란!$C$12=3,IF(G538="생명50%이하",1.4,1.1),1)</f>
        <v>456631.91547001048</v>
      </c>
      <c r="J538" s="25">
        <f>S538*(1+IF($AK538+IF(입력란!$C$19=1,10,0)+IF(MID(E538,5,1)="2",35,0)&gt;100,100,$AK538+IF(입력란!$C$19=1,10,0)+IF(MID(E538,5,1)="2",35,0))/100*($AL538/100-1))</f>
        <v>110361.60814297236</v>
      </c>
      <c r="K538" s="25">
        <f>T538*(1+IF($AK538+IF(입력란!$C$19=1,10,0)+IF(MID(E538,5,1)="2",35,0)&gt;100,100,$AK538+IF(입력란!$C$19=1,10,0)+IF(MID(E538,5,1)="2",35,0))/100*(($AL538+IF(MID(E538,5,1)="2",IF(G538="생명50%이하",트라이포드!$R$25,트라이포드!$Q$25),0))/100-1))</f>
        <v>110361.60814297236</v>
      </c>
      <c r="L538" s="25">
        <f>U538*(1+IF($AK538+IF(입력란!$C$19=1,10,0)+IF(MID(E538,5,1)="2",35,0)&gt;100,100,$AK538+IF(입력란!$C$19=1,10,0)+IF(MID(E538,5,1)="2",35,0))/100*(($AL538+IF(MID(E538,5,1)="2",IF(G538="생명50%이하",트라이포드!$R$25*2,트라이포드!$Q$25),0))/100-1))</f>
        <v>110361.60814297236</v>
      </c>
      <c r="M538" s="25">
        <f>V538*(1+IF($AK538+IF(입력란!$C$19=1,10,0)+IF(MID(E538,5,1)="2",35,0)&gt;100,100,$AK538+IF(입력란!$C$19=1,10,0)+IF(MID(E538,5,1)="2",35,0))/100*(($AL538+IF(MID(E538,5,1)="2",IF(G538="생명50%이하",트라이포드!$R$25*3,트라이포드!$Q$25),0))/100-1))</f>
        <v>0</v>
      </c>
      <c r="N538" s="38"/>
      <c r="O538" s="38"/>
      <c r="P538" s="38"/>
      <c r="Q538" s="34">
        <f>Z538*(1+IF($AK538+IF(입력란!$C$19=1,10,0)&gt;100,100,$AK538+IF(입력란!$C$19=1,10,0))/100*($AL538/100-1))</f>
        <v>125547.09104109342</v>
      </c>
      <c r="R538" s="23">
        <f>SUM(S538:Z538)</f>
        <v>373185.45521858532</v>
      </c>
      <c r="S538" s="29">
        <f>AN538*IF(MID(E538,3,1)="3",트라이포드!$N$25,트라이포드!$M$25)*IF(MID(E538,5,1)="1",트라이포드!$P$25,트라이포드!$O$25)*(1+입력란!$C$34/100)</f>
        <v>90193.754703059385</v>
      </c>
      <c r="T538" s="25">
        <f>AN538*IF(MID(E538,3,1)="3",트라이포드!$N$25,트라이포드!$M$25)*IF(MID(E538,5,1)="1",트라이포드!$P$25,트라이포드!$O$25)*(1+입력란!$C$34/100)</f>
        <v>90193.754703059385</v>
      </c>
      <c r="U538" s="25">
        <f>AN538*IF(MID(E538,3,1)="3",트라이포드!$N$25,트라이포드!$M$25)*IF(MID(E538,5,1)="1",트라이포드!$P$25,트라이포드!$O$25)*(1+입력란!$C$34/100)</f>
        <v>90193.754703059385</v>
      </c>
      <c r="V538" s="25">
        <f>AN538*IF(MID(E538,3,1)="1",트라이포드!$J$25,트라이포드!$I$25)*IF(MID(E538,5,1)="1",트라이포드!$P$25,트라이포드!$O$25)*(1+입력란!$C$34/100)</f>
        <v>0</v>
      </c>
      <c r="W538" s="25"/>
      <c r="X538" s="25"/>
      <c r="Y538" s="25"/>
      <c r="Z538" s="24">
        <f>IF(MID(E538,3,1)="2",AN538*0.075*3*4+AN538*3*트라이포드!$L$25,0)</f>
        <v>102604.1911094072</v>
      </c>
      <c r="AA538" s="29">
        <f>SUM(AB538:AI538)</f>
        <v>541162.52821835631</v>
      </c>
      <c r="AB538" s="29">
        <f>S538*2</f>
        <v>180387.50940611877</v>
      </c>
      <c r="AC538" s="25">
        <f>T538*2</f>
        <v>180387.50940611877</v>
      </c>
      <c r="AD538" s="25">
        <f>U538*2</f>
        <v>180387.50940611877</v>
      </c>
      <c r="AE538" s="25">
        <f>V538*2</f>
        <v>0</v>
      </c>
      <c r="AF538" s="29"/>
      <c r="AG538" s="25"/>
      <c r="AH538" s="38"/>
      <c r="AI538" s="24"/>
      <c r="AJ538" s="29">
        <f>AR538*(1-입력란!$C$29/100)</f>
        <v>34.477458022440004</v>
      </c>
      <c r="AK53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8" s="25">
        <f>입력란!$C$37+IF(입력란!$C$17=1,10,IF(입력란!$C$17=2,25,IF(입력란!$C$17=3,50,0)))</f>
        <v>200</v>
      </c>
      <c r="AM538" s="25">
        <f>SUM(AN538:AP538)</f>
        <v>68402.794072938137</v>
      </c>
      <c r="AN538" s="29">
        <f>(VLOOKUP(C538,$B$4:$AK$7,34,FALSE)+VLOOKUP(C538,$B$8:$AK$11,34,FALSE)*입력란!$C$23)*입력란!$C$38/100</f>
        <v>68402.794072938137</v>
      </c>
      <c r="AO538" s="38"/>
      <c r="AP538" s="38"/>
      <c r="AQ538" s="38"/>
      <c r="AR538" s="22">
        <v>36</v>
      </c>
    </row>
    <row r="539" spans="2:44" ht="13.5" customHeight="1" x14ac:dyDescent="0.3">
      <c r="B539" s="30">
        <v>524</v>
      </c>
      <c r="C539" s="39">
        <v>10</v>
      </c>
      <c r="D539" s="43" t="s">
        <v>405</v>
      </c>
      <c r="E539" s="37" t="s">
        <v>214</v>
      </c>
      <c r="F539" s="39" t="s">
        <v>413</v>
      </c>
      <c r="G539" s="39"/>
      <c r="H539" s="80">
        <f>I539/AJ539</f>
        <v>20926.71027381278</v>
      </c>
      <c r="I539" s="52">
        <f>SUM(J539:Q539)*IF(입력란!C$15=1,1.04,IF(입력란!C$15=2,1.1,IF(입력란!C$15=3,1.2,1)))*IF(입력란!$C$17&lt;&gt;0,0.98,1)*IF(입력란!$C$12=1,IF(G539="생명50%이하",1.2,1.1),1)*IF(입력란!$C$12=2,IF(G539="생명50%이하",1.3,1.1),1)*IF(입력란!$C$12=3,IF(G539="생명50%이하",1.4,1.1),1)</f>
        <v>721499.77501314413</v>
      </c>
      <c r="J539" s="25">
        <f>S539*(1+IF($AK539+IF(입력란!$C$19=1,10,0)+IF(MID(E539,5,1)="2",35,0)&gt;100,100,$AK539+IF(입력란!$C$19=1,10,0)+IF(MID(E539,5,1)="2",35,0))/100*($AL539/100-1))</f>
        <v>198650.89465735023</v>
      </c>
      <c r="K539" s="25">
        <f>T539*(1+IF($AK539+IF(입력란!$C$19=1,10,0)+IF(MID(E539,5,1)="2",35,0)&gt;100,100,$AK539+IF(입력란!$C$19=1,10,0)+IF(MID(E539,5,1)="2",35,0))/100*(($AL539+IF(MID(E539,5,1)="2",IF(G539="생명50%이하",트라이포드!$R$25,트라이포드!$Q$25),0))/100-1))</f>
        <v>198650.89465735023</v>
      </c>
      <c r="L539" s="25">
        <f>U539*(1+IF($AK539+IF(입력란!$C$19=1,10,0)+IF(MID(E539,5,1)="2",35,0)&gt;100,100,$AK539+IF(입력란!$C$19=1,10,0)+IF(MID(E539,5,1)="2",35,0))/100*(($AL539+IF(MID(E539,5,1)="2",IF(G539="생명50%이하",트라이포드!$R$25*2,트라이포드!$Q$25),0))/100-1))</f>
        <v>198650.89465735023</v>
      </c>
      <c r="M539" s="25">
        <f>V539*(1+IF($AK539+IF(입력란!$C$19=1,10,0)+IF(MID(E539,5,1)="2",35,0)&gt;100,100,$AK539+IF(입력란!$C$19=1,10,0)+IF(MID(E539,5,1)="2",35,0))/100*(($AL539+IF(MID(E539,5,1)="2",IF(G539="생명50%이하",트라이포드!$R$25*3,트라이포드!$Q$25),0))/100-1))</f>
        <v>0</v>
      </c>
      <c r="N539" s="38"/>
      <c r="O539" s="38"/>
      <c r="P539" s="38"/>
      <c r="Q539" s="34">
        <f>Z539*(1+IF($AK539+IF(입력란!$C$19=1,10,0)&gt;100,100,$AK539+IF(입력란!$C$19=1,10,0))/100*($AL539/100-1))</f>
        <v>125547.09104109342</v>
      </c>
      <c r="R539" s="23">
        <f>SUM(S539:Z539)</f>
        <v>589650.46650592785</v>
      </c>
      <c r="S539" s="29">
        <f>AN539*IF(MID(E539,3,1)="3",트라이포드!$N$25,트라이포드!$M$25)*IF(MID(E539,5,1)="1",트라이포드!$P$25,트라이포드!$O$25)*(1+입력란!$C$34/100)</f>
        <v>162348.75846550689</v>
      </c>
      <c r="T539" s="25">
        <f>AN539*IF(MID(E539,3,1)="3",트라이포드!$N$25,트라이포드!$M$25)*IF(MID(E539,5,1)="1",트라이포드!$P$25,트라이포드!$O$25)*(1+입력란!$C$34/100)</f>
        <v>162348.75846550689</v>
      </c>
      <c r="U539" s="25">
        <f>AN539*IF(MID(E539,3,1)="3",트라이포드!$N$25,트라이포드!$M$25)*IF(MID(E539,5,1)="1",트라이포드!$P$25,트라이포드!$O$25)*(1+입력란!$C$34/100)</f>
        <v>162348.75846550689</v>
      </c>
      <c r="V539" s="25">
        <f>AN539*IF(MID(E539,3,1)="1",트라이포드!$J$25,트라이포드!$I$25)*IF(MID(E539,5,1)="1",트라이포드!$P$25,트라이포드!$O$25)*(1+입력란!$C$34/100)</f>
        <v>0</v>
      </c>
      <c r="W539" s="25"/>
      <c r="X539" s="25"/>
      <c r="Y539" s="25"/>
      <c r="Z539" s="24">
        <f>IF(MID(E539,3,1)="2",AN539*0.075*3*4+AN539*3*트라이포드!$L$25,0)</f>
        <v>102604.1911094072</v>
      </c>
      <c r="AA539" s="29">
        <f>SUM(AB539:AI539)</f>
        <v>974092.55079304136</v>
      </c>
      <c r="AB539" s="29">
        <f>S539*2</f>
        <v>324697.51693101379</v>
      </c>
      <c r="AC539" s="25">
        <f>T539*2</f>
        <v>324697.51693101379</v>
      </c>
      <c r="AD539" s="25">
        <f>U539*2</f>
        <v>324697.51693101379</v>
      </c>
      <c r="AE539" s="25">
        <f>V539*2</f>
        <v>0</v>
      </c>
      <c r="AF539" s="29"/>
      <c r="AG539" s="25"/>
      <c r="AH539" s="38"/>
      <c r="AI539" s="24"/>
      <c r="AJ539" s="29">
        <f>AR539*(1-입력란!$C$29/100)</f>
        <v>34.477458022440004</v>
      </c>
      <c r="AK53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39" s="25">
        <f>입력란!$C$37+IF(입력란!$C$17=1,10,IF(입력란!$C$17=2,25,IF(입력란!$C$17=3,50,0)))</f>
        <v>200</v>
      </c>
      <c r="AM539" s="25">
        <f>SUM(AN539:AP539)</f>
        <v>68402.794072938137</v>
      </c>
      <c r="AN539" s="29">
        <f>(VLOOKUP(C539,$B$4:$AK$7,34,FALSE)+VLOOKUP(C539,$B$8:$AK$11,34,FALSE)*입력란!$C$23)*입력란!$C$38/100</f>
        <v>68402.794072938137</v>
      </c>
      <c r="AO539" s="38"/>
      <c r="AP539" s="38"/>
      <c r="AQ539" s="38"/>
      <c r="AR539" s="22">
        <v>36</v>
      </c>
    </row>
    <row r="540" spans="2:44" ht="13.5" customHeight="1" x14ac:dyDescent="0.3">
      <c r="B540" s="30">
        <v>525</v>
      </c>
      <c r="C540" s="39">
        <v>10</v>
      </c>
      <c r="D540" s="43" t="s">
        <v>405</v>
      </c>
      <c r="E540" s="37" t="s">
        <v>411</v>
      </c>
      <c r="F540" s="39" t="s">
        <v>412</v>
      </c>
      <c r="G540" s="39"/>
      <c r="H540" s="80">
        <f>I540/AJ540</f>
        <v>15991.183501677548</v>
      </c>
      <c r="I540" s="52">
        <f>SUM(J540:Q540)*IF(입력란!C$15=1,1.04,IF(입력란!C$15=2,1.1,IF(입력란!C$15=3,1.2,1)))*IF(입력란!$C$17&lt;&gt;0,0.98,1)*IF(입력란!$C$12=1,IF(G540="생명50%이하",1.2,1.1),1)*IF(입력란!$C$12=2,IF(G540="생명50%이하",1.3,1.1),1)*IF(입력란!$C$12=3,IF(G540="생명50%이하",1.4,1.1),1)</f>
        <v>551335.35790822282</v>
      </c>
      <c r="J540" s="25">
        <f>S540*(1+IF($AK540+IF(입력란!$C$19=1,10,0)+IF(MID(E540,5,1)="2",35,0)&gt;100,100,$AK540+IF(입력란!$C$19=1,10,0)+IF(MID(E540,5,1)="2",35,0))/100*($AL540/100-1))</f>
        <v>141929.42228904314</v>
      </c>
      <c r="K540" s="25">
        <f>T540*(1+IF($AK540+IF(입력란!$C$19=1,10,0)+IF(MID(E540,5,1)="2",35,0)&gt;100,100,$AK540+IF(입력란!$C$19=1,10,0)+IF(MID(E540,5,1)="2",35,0))/100*(($AL540+IF(MID(E540,5,1)="2",IF(G540="생명50%이하",트라이포드!$R$25,트라이포드!$Q$25),0))/100-1))</f>
        <v>141929.42228904314</v>
      </c>
      <c r="L540" s="25">
        <f>U540*(1+IF($AK540+IF(입력란!$C$19=1,10,0)+IF(MID(E540,5,1)="2",35,0)&gt;100,100,$AK540+IF(입력란!$C$19=1,10,0)+IF(MID(E540,5,1)="2",35,0))/100*(($AL540+IF(MID(E540,5,1)="2",IF(G540="생명50%이하",트라이포드!$R$25*2,트라이포드!$Q$25),0))/100-1))</f>
        <v>141929.42228904314</v>
      </c>
      <c r="M540" s="25">
        <f>V540*(1+IF($AK540+IF(입력란!$C$19=1,10,0)+IF(MID(E540,5,1)="2",35,0)&gt;100,100,$AK540+IF(입력란!$C$19=1,10,0)+IF(MID(E540,5,1)="2",35,0))/100*(($AL540+IF(MID(E540,5,1)="2",IF(G540="생명50%이하",트라이포드!$R$25*3,트라이포드!$Q$25),0))/100-1))</f>
        <v>0</v>
      </c>
      <c r="N540" s="38"/>
      <c r="O540" s="38"/>
      <c r="P540" s="38"/>
      <c r="Q540" s="34">
        <f>Z540*(1+IF($AK540+IF(입력란!$C$19=1,10,0)&gt;100,100,$AK540+IF(입력란!$C$19=1,10,0))/100*($AL540/100-1))</f>
        <v>125547.09104109342</v>
      </c>
      <c r="R540" s="23">
        <f>SUM(S540:Z540)</f>
        <v>373185.45521858532</v>
      </c>
      <c r="S540" s="29">
        <f>AN540*IF(MID(E540,3,1)="3",트라이포드!$N$25,트라이포드!$M$25)*IF(MID(E540,5,1)="1",트라이포드!$P$25,트라이포드!$O$25)*(1+입력란!$C$34/100)</f>
        <v>90193.754703059385</v>
      </c>
      <c r="T540" s="25">
        <f>AN540*IF(MID(E540,3,1)="3",트라이포드!$N$25,트라이포드!$M$25)*IF(MID(E540,5,1)="1",트라이포드!$P$25,트라이포드!$O$25)*(1+입력란!$C$34/100)</f>
        <v>90193.754703059385</v>
      </c>
      <c r="U540" s="25">
        <f>AN540*IF(MID(E540,3,1)="3",트라이포드!$N$25,트라이포드!$M$25)*IF(MID(E540,5,1)="1",트라이포드!$P$25,트라이포드!$O$25)*(1+입력란!$C$34/100)</f>
        <v>90193.754703059385</v>
      </c>
      <c r="V540" s="25">
        <f>AN540*IF(MID(E540,3,1)="1",트라이포드!$J$25,트라이포드!$I$25)*IF(MID(E540,5,1)="1",트라이포드!$P$25,트라이포드!$O$25)*(1+입력란!$C$34/100)</f>
        <v>0</v>
      </c>
      <c r="W540" s="25"/>
      <c r="X540" s="25"/>
      <c r="Y540" s="25"/>
      <c r="Z540" s="24">
        <f>IF(MID(E540,3,1)="2",AN540*0.075*3*4+AN540*3*트라이포드!$L$25,0)</f>
        <v>102604.1911094072</v>
      </c>
      <c r="AA540" s="29">
        <f>SUM(AB540:AI540)</f>
        <v>541162.52821835631</v>
      </c>
      <c r="AB540" s="29">
        <f>S540*2</f>
        <v>180387.50940611877</v>
      </c>
      <c r="AC540" s="25">
        <f>T540*2</f>
        <v>180387.50940611877</v>
      </c>
      <c r="AD540" s="25">
        <f>U540*2</f>
        <v>180387.50940611877</v>
      </c>
      <c r="AE540" s="25">
        <f>V540*2</f>
        <v>0</v>
      </c>
      <c r="AF540" s="29"/>
      <c r="AG540" s="25"/>
      <c r="AH540" s="38"/>
      <c r="AI540" s="24"/>
      <c r="AJ540" s="29">
        <f>AR540*(1-입력란!$C$29/100)</f>
        <v>34.477458022440004</v>
      </c>
      <c r="AK54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0" s="25">
        <f>입력란!$C$37+IF(입력란!$C$17=1,10,IF(입력란!$C$17=2,25,IF(입력란!$C$17=3,50,0)))</f>
        <v>200</v>
      </c>
      <c r="AM540" s="25">
        <f>SUM(AN540:AP540)</f>
        <v>68402.794072938137</v>
      </c>
      <c r="AN540" s="29">
        <f>(VLOOKUP(C540,$B$4:$AK$7,34,FALSE)+VLOOKUP(C540,$B$8:$AK$11,34,FALSE)*입력란!$C$23)*입력란!$C$38/100</f>
        <v>68402.794072938137</v>
      </c>
      <c r="AO540" s="38"/>
      <c r="AP540" s="38"/>
      <c r="AQ540" s="38"/>
      <c r="AR540" s="22">
        <v>36</v>
      </c>
    </row>
    <row r="541" spans="2:44" ht="13.5" customHeight="1" x14ac:dyDescent="0.3">
      <c r="B541" s="30">
        <v>526</v>
      </c>
      <c r="C541" s="39">
        <v>10</v>
      </c>
      <c r="D541" s="43" t="s">
        <v>405</v>
      </c>
      <c r="E541" s="37" t="s">
        <v>339</v>
      </c>
      <c r="F541" s="39"/>
      <c r="G541" s="39"/>
      <c r="H541" s="80">
        <f>I541/AJ541</f>
        <v>12003.670057890693</v>
      </c>
      <c r="I541" s="52">
        <f>SUM(J541:Q541)*IF(입력란!C$15=1,1.04,IF(입력란!C$15=2,1.1,IF(입력란!C$15=3,1.2,1)))*IF(입력란!$C$17&lt;&gt;0,0.98,1)*IF(입력란!$C$12=1,IF(G541="생명50%이하",1.2,1.1),1)*IF(입력란!$C$12=2,IF(G541="생명50%이하",1.3,1.1),1)*IF(입력란!$C$12=3,IF(G541="생명50%이하",1.4,1.1),1)</f>
        <v>413856.03053614637</v>
      </c>
      <c r="J541" s="25">
        <f>S541*(1+IF($AK541+IF(입력란!$C$19=1,10,0)+IF(MID(E541,5,1)="2",35,0)&gt;100,100,$AK541+IF(입력란!$C$19=1,10,0)+IF(MID(E541,5,1)="2",35,0))/100*($AL541/100-1))</f>
        <v>137952.01017871546</v>
      </c>
      <c r="K541" s="25">
        <f>T541*(1+IF($AK541+IF(입력란!$C$19=1,10,0)+IF(MID(E541,5,1)="2",35,0)&gt;100,100,$AK541+IF(입력란!$C$19=1,10,0)+IF(MID(E541,5,1)="2",35,0))/100*(($AL541+IF(MID(E541,5,1)="2",IF(G541="생명50%이하",트라이포드!$R$25,트라이포드!$Q$25),0))/100-1))</f>
        <v>137952.01017871546</v>
      </c>
      <c r="L541" s="25">
        <f>U541*(1+IF($AK541+IF(입력란!$C$19=1,10,0)+IF(MID(E541,5,1)="2",35,0)&gt;100,100,$AK541+IF(입력란!$C$19=1,10,0)+IF(MID(E541,5,1)="2",35,0))/100*(($AL541+IF(MID(E541,5,1)="2",IF(G541="생명50%이하",트라이포드!$R$25*2,트라이포드!$Q$25),0))/100-1))</f>
        <v>137952.01017871546</v>
      </c>
      <c r="M541" s="25">
        <f>V541*(1+IF($AK541+IF(입력란!$C$19=1,10,0)+IF(MID(E541,5,1)="2",35,0)&gt;100,100,$AK541+IF(입력란!$C$19=1,10,0)+IF(MID(E541,5,1)="2",35,0))/100*(($AL541+IF(MID(E541,5,1)="2",IF(G541="생명50%이하",트라이포드!$R$25*3,트라이포드!$Q$25),0))/100-1))</f>
        <v>0</v>
      </c>
      <c r="N541" s="38"/>
      <c r="O541" s="38"/>
      <c r="P541" s="38"/>
      <c r="Q541" s="34">
        <f>Z541*(1+IF($AK541+IF(입력란!$C$19=1,10,0)&gt;100,100,$AK541+IF(입력란!$C$19=1,10,0))/100*($AL541/100-1))</f>
        <v>0</v>
      </c>
      <c r="R541" s="23">
        <f>SUM(S541:Z541)</f>
        <v>338226.58013647271</v>
      </c>
      <c r="S541" s="29">
        <f>AN541*IF(MID(E541,3,1)="3",트라이포드!$N$25,트라이포드!$M$25)*IF(MID(E541,5,1)="1",트라이포드!$P$25,트라이포드!$O$25)*(1+입력란!$C$34/100)</f>
        <v>112742.19337882425</v>
      </c>
      <c r="T541" s="25">
        <f>AN541*IF(MID(E541,3,1)="3",트라이포드!$N$25,트라이포드!$M$25)*IF(MID(E541,5,1)="1",트라이포드!$P$25,트라이포드!$O$25)*(1+입력란!$C$34/100)</f>
        <v>112742.19337882425</v>
      </c>
      <c r="U541" s="25">
        <f>AN541*IF(MID(E541,3,1)="3",트라이포드!$N$25,트라이포드!$M$25)*IF(MID(E541,5,1)="1",트라이포드!$P$25,트라이포드!$O$25)*(1+입력란!$C$34/100)</f>
        <v>112742.19337882425</v>
      </c>
      <c r="V541" s="25">
        <f>AN541*IF(MID(E541,3,1)="1",트라이포드!$J$25,트라이포드!$I$25)*IF(MID(E541,5,1)="1",트라이포드!$P$25,트라이포드!$O$25)*(1+입력란!$C$34/100)</f>
        <v>0</v>
      </c>
      <c r="W541" s="25"/>
      <c r="X541" s="25"/>
      <c r="Y541" s="25"/>
      <c r="Z541" s="24">
        <f>IF(MID(E541,3,1)="2",AN541*0.075*3*4+AN541*3*트라이포드!$L$25,0)</f>
        <v>0</v>
      </c>
      <c r="AA541" s="29">
        <f>SUM(AB541:AI541)</f>
        <v>676453.16027294542</v>
      </c>
      <c r="AB541" s="29">
        <f>S541*2</f>
        <v>225484.38675764849</v>
      </c>
      <c r="AC541" s="25">
        <f>T541*2</f>
        <v>225484.38675764849</v>
      </c>
      <c r="AD541" s="25">
        <f>U541*2</f>
        <v>225484.38675764849</v>
      </c>
      <c r="AE541" s="25">
        <f>V541*2</f>
        <v>0</v>
      </c>
      <c r="AF541" s="29"/>
      <c r="AG541" s="25"/>
      <c r="AH541" s="38"/>
      <c r="AI541" s="24"/>
      <c r="AJ541" s="29">
        <f>AR541*(1-입력란!$C$29/100)</f>
        <v>34.477458022440004</v>
      </c>
      <c r="AK54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1" s="25">
        <f>입력란!$C$37+IF(입력란!$C$17=1,10,IF(입력란!$C$17=2,25,IF(입력란!$C$17=3,50,0)))</f>
        <v>200</v>
      </c>
      <c r="AM541" s="25">
        <f>SUM(AN541:AP541)</f>
        <v>68402.794072938137</v>
      </c>
      <c r="AN541" s="29">
        <f>(VLOOKUP(C541,$B$4:$AK$7,34,FALSE)+VLOOKUP(C541,$B$8:$AK$11,34,FALSE)*입력란!$C$23)*입력란!$C$38/100</f>
        <v>68402.794072938137</v>
      </c>
      <c r="AO541" s="38"/>
      <c r="AP541" s="38"/>
      <c r="AQ541" s="38"/>
      <c r="AR541" s="22">
        <v>36</v>
      </c>
    </row>
    <row r="542" spans="2:44" ht="13.5" customHeight="1" x14ac:dyDescent="0.3">
      <c r="B542" s="30">
        <v>527</v>
      </c>
      <c r="C542" s="39">
        <v>10</v>
      </c>
      <c r="D542" s="43" t="s">
        <v>405</v>
      </c>
      <c r="E542" s="37" t="s">
        <v>400</v>
      </c>
      <c r="F542" s="39" t="s">
        <v>404</v>
      </c>
      <c r="G542" s="39"/>
      <c r="H542" s="80">
        <f>I542/AJ542</f>
        <v>21606.606104203245</v>
      </c>
      <c r="I542" s="52">
        <f>SUM(J542:Q542)*IF(입력란!C$15=1,1.04,IF(입력란!C$15=2,1.1,IF(입력란!C$15=3,1.2,1)))*IF(입력란!$C$17&lt;&gt;0,0.98,1)*IF(입력란!$C$12=1,IF(G542="생명50%이하",1.2,1.1),1)*IF(입력란!$C$12=2,IF(G542="생명50%이하",1.3,1.1),1)*IF(입력란!$C$12=3,IF(G542="생명50%이하",1.4,1.1),1)</f>
        <v>744940.85496506339</v>
      </c>
      <c r="J542" s="25">
        <f>S542*(1+IF($AK542+IF(입력란!$C$19=1,10,0)+IF(MID(E542,5,1)="2",35,0)&gt;100,100,$AK542+IF(입력란!$C$19=1,10,0)+IF(MID(E542,5,1)="2",35,0))/100*($AL542/100-1))</f>
        <v>248313.6183216878</v>
      </c>
      <c r="K542" s="25">
        <f>T542*(1+IF($AK542+IF(입력란!$C$19=1,10,0)+IF(MID(E542,5,1)="2",35,0)&gt;100,100,$AK542+IF(입력란!$C$19=1,10,0)+IF(MID(E542,5,1)="2",35,0))/100*(($AL542+IF(MID(E542,5,1)="2",IF(G542="생명50%이하",트라이포드!$R$25,트라이포드!$Q$25),0))/100-1))</f>
        <v>248313.6183216878</v>
      </c>
      <c r="L542" s="25">
        <f>U542*(1+IF($AK542+IF(입력란!$C$19=1,10,0)+IF(MID(E542,5,1)="2",35,0)&gt;100,100,$AK542+IF(입력란!$C$19=1,10,0)+IF(MID(E542,5,1)="2",35,0))/100*(($AL542+IF(MID(E542,5,1)="2",IF(G542="생명50%이하",트라이포드!$R$25*2,트라이포드!$Q$25),0))/100-1))</f>
        <v>248313.6183216878</v>
      </c>
      <c r="M542" s="25">
        <f>V542*(1+IF($AK542+IF(입력란!$C$19=1,10,0)+IF(MID(E542,5,1)="2",35,0)&gt;100,100,$AK542+IF(입력란!$C$19=1,10,0)+IF(MID(E542,5,1)="2",35,0))/100*(($AL542+IF(MID(E542,5,1)="2",IF(G542="생명50%이하",트라이포드!$R$25*3,트라이포드!$Q$25),0))/100-1))</f>
        <v>0</v>
      </c>
      <c r="N542" s="38"/>
      <c r="O542" s="38"/>
      <c r="P542" s="38"/>
      <c r="Q542" s="34">
        <f>Z542*(1+IF($AK542+IF(입력란!$C$19=1,10,0)&gt;100,100,$AK542+IF(입력란!$C$19=1,10,0))/100*($AL542/100-1))</f>
        <v>0</v>
      </c>
      <c r="R542" s="23">
        <f>SUM(S542:Z542)</f>
        <v>608807.84424565092</v>
      </c>
      <c r="S542" s="29">
        <f>AN542*IF(MID(E542,3,1)="3",트라이포드!$N$25,트라이포드!$M$25)*IF(MID(E542,5,1)="1",트라이포드!$P$25,트라이포드!$O$25)*(1+입력란!$C$34/100)</f>
        <v>202935.94808188363</v>
      </c>
      <c r="T542" s="25">
        <f>AN542*IF(MID(E542,3,1)="3",트라이포드!$N$25,트라이포드!$M$25)*IF(MID(E542,5,1)="1",트라이포드!$P$25,트라이포드!$O$25)*(1+입력란!$C$34/100)</f>
        <v>202935.94808188363</v>
      </c>
      <c r="U542" s="25">
        <f>AN542*IF(MID(E542,3,1)="3",트라이포드!$N$25,트라이포드!$M$25)*IF(MID(E542,5,1)="1",트라이포드!$P$25,트라이포드!$O$25)*(1+입력란!$C$34/100)</f>
        <v>202935.94808188363</v>
      </c>
      <c r="V542" s="25">
        <f>AN542*IF(MID(E542,3,1)="1",트라이포드!$J$25,트라이포드!$I$25)*IF(MID(E542,5,1)="1",트라이포드!$P$25,트라이포드!$O$25)*(1+입력란!$C$34/100)</f>
        <v>0</v>
      </c>
      <c r="W542" s="25"/>
      <c r="X542" s="25"/>
      <c r="Y542" s="25"/>
      <c r="Z542" s="24">
        <f>IF(MID(E542,3,1)="2",AN542*0.075*3*4+AN542*3*트라이포드!$L$25,0)</f>
        <v>0</v>
      </c>
      <c r="AA542" s="29">
        <f>SUM(AB542:AI542)</f>
        <v>1217615.6884913018</v>
      </c>
      <c r="AB542" s="29">
        <f>S542*2</f>
        <v>405871.89616376726</v>
      </c>
      <c r="AC542" s="25">
        <f>T542*2</f>
        <v>405871.89616376726</v>
      </c>
      <c r="AD542" s="25">
        <f>U542*2</f>
        <v>405871.89616376726</v>
      </c>
      <c r="AE542" s="25">
        <f>V542*2</f>
        <v>0</v>
      </c>
      <c r="AF542" s="29"/>
      <c r="AG542" s="25"/>
      <c r="AH542" s="38"/>
      <c r="AI542" s="24"/>
      <c r="AJ542" s="29">
        <f>AR542*(1-입력란!$C$29/100)</f>
        <v>34.477458022440004</v>
      </c>
      <c r="AK54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2" s="25">
        <f>입력란!$C$37+IF(입력란!$C$17=1,10,IF(입력란!$C$17=2,25,IF(입력란!$C$17=3,50,0)))</f>
        <v>200</v>
      </c>
      <c r="AM542" s="25">
        <f>SUM(AN542:AP542)</f>
        <v>68402.794072938137</v>
      </c>
      <c r="AN542" s="29">
        <f>(VLOOKUP(C542,$B$4:$AK$7,34,FALSE)+VLOOKUP(C542,$B$8:$AK$11,34,FALSE)*입력란!$C$23)*입력란!$C$38/100</f>
        <v>68402.794072938137</v>
      </c>
      <c r="AO542" s="38"/>
      <c r="AP542" s="38"/>
      <c r="AQ542" s="38"/>
      <c r="AR542" s="22">
        <v>36</v>
      </c>
    </row>
    <row r="543" spans="2:44" ht="13.5" customHeight="1" x14ac:dyDescent="0.3">
      <c r="B543" s="30">
        <v>528</v>
      </c>
      <c r="C543" s="39">
        <v>10</v>
      </c>
      <c r="D543" s="43" t="s">
        <v>405</v>
      </c>
      <c r="E543" s="37" t="s">
        <v>160</v>
      </c>
      <c r="F543" s="39"/>
      <c r="G543" s="39"/>
      <c r="H543" s="80">
        <f>I543/AJ543</f>
        <v>15437.19763903421</v>
      </c>
      <c r="I543" s="52">
        <f>SUM(J543:Q543)*IF(입력란!C$15=1,1.04,IF(입력란!C$15=2,1.1,IF(입력란!C$15=3,1.2,1)))*IF(입력란!$C$17&lt;&gt;0,0.98,1)*IF(입력란!$C$12=1,IF(G543="생명50%이하",1.2,1.1),1)*IF(입력란!$C$12=2,IF(G543="생명50%이하",1.3,1.1),1)*IF(입력란!$C$12=3,IF(G543="생명50%이하",1.4,1.1),1)</f>
        <v>532235.33358391188</v>
      </c>
      <c r="J543" s="25">
        <f>S543*(1+IF($AK543+IF(입력란!$C$19=1,10,0)+IF(MID(E543,5,1)="2",35,0)&gt;100,100,$AK543+IF(입력란!$C$19=1,10,0)+IF(MID(E543,5,1)="2",35,0))/100*($AL543/100-1))</f>
        <v>177411.77786130394</v>
      </c>
      <c r="K543" s="25">
        <f>T543*(1+IF($AK543+IF(입력란!$C$19=1,10,0)+IF(MID(E543,5,1)="2",35,0)&gt;100,100,$AK543+IF(입력란!$C$19=1,10,0)+IF(MID(E543,5,1)="2",35,0))/100*(($AL543+IF(MID(E543,5,1)="2",IF(G543="생명50%이하",트라이포드!$R$25,트라이포드!$Q$25),0))/100-1))</f>
        <v>177411.77786130394</v>
      </c>
      <c r="L543" s="25">
        <f>U543*(1+IF($AK543+IF(입력란!$C$19=1,10,0)+IF(MID(E543,5,1)="2",35,0)&gt;100,100,$AK543+IF(입력란!$C$19=1,10,0)+IF(MID(E543,5,1)="2",35,0))/100*(($AL543+IF(MID(E543,5,1)="2",IF(G543="생명50%이하",트라이포드!$R$25*2,트라이포드!$Q$25),0))/100-1))</f>
        <v>177411.77786130394</v>
      </c>
      <c r="M543" s="25">
        <f>V543*(1+IF($AK543+IF(입력란!$C$19=1,10,0)+IF(MID(E543,5,1)="2",35,0)&gt;100,100,$AK543+IF(입력란!$C$19=1,10,0)+IF(MID(E543,5,1)="2",35,0))/100*(($AL543+IF(MID(E543,5,1)="2",IF(G543="생명50%이하",트라이포드!$R$25*3,트라이포드!$Q$25),0))/100-1))</f>
        <v>0</v>
      </c>
      <c r="N543" s="38"/>
      <c r="O543" s="38"/>
      <c r="P543" s="38"/>
      <c r="Q543" s="34">
        <f>Z543*(1+IF($AK543+IF(입력란!$C$19=1,10,0)&gt;100,100,$AK543+IF(입력란!$C$19=1,10,0))/100*($AL543/100-1))</f>
        <v>0</v>
      </c>
      <c r="R543" s="23">
        <f>SUM(S543:Z543)</f>
        <v>338226.58013647271</v>
      </c>
      <c r="S543" s="29">
        <f>AN543*IF(MID(E543,3,1)="3",트라이포드!$N$25,트라이포드!$M$25)*IF(MID(E543,5,1)="1",트라이포드!$P$25,트라이포드!$O$25)*(1+입력란!$C$34/100)</f>
        <v>112742.19337882425</v>
      </c>
      <c r="T543" s="25">
        <f>AN543*IF(MID(E543,3,1)="3",트라이포드!$N$25,트라이포드!$M$25)*IF(MID(E543,5,1)="1",트라이포드!$P$25,트라이포드!$O$25)*(1+입력란!$C$34/100)</f>
        <v>112742.19337882425</v>
      </c>
      <c r="U543" s="25">
        <f>AN543*IF(MID(E543,3,1)="3",트라이포드!$N$25,트라이포드!$M$25)*IF(MID(E543,5,1)="1",트라이포드!$P$25,트라이포드!$O$25)*(1+입력란!$C$34/100)</f>
        <v>112742.19337882425</v>
      </c>
      <c r="V543" s="25">
        <f>AN543*IF(MID(E543,3,1)="1",트라이포드!$J$25,트라이포드!$I$25)*IF(MID(E543,5,1)="1",트라이포드!$P$25,트라이포드!$O$25)*(1+입력란!$C$34/100)</f>
        <v>0</v>
      </c>
      <c r="W543" s="25"/>
      <c r="X543" s="25"/>
      <c r="Y543" s="25"/>
      <c r="Z543" s="24">
        <f>IF(MID(E543,3,1)="2",AN543*0.075*3*4+AN543*3*트라이포드!$L$25,0)</f>
        <v>0</v>
      </c>
      <c r="AA543" s="29">
        <f>SUM(AB543:AI543)</f>
        <v>676453.16027294542</v>
      </c>
      <c r="AB543" s="29">
        <f>S543*2</f>
        <v>225484.38675764849</v>
      </c>
      <c r="AC543" s="25">
        <f>T543*2</f>
        <v>225484.38675764849</v>
      </c>
      <c r="AD543" s="25">
        <f>U543*2</f>
        <v>225484.38675764849</v>
      </c>
      <c r="AE543" s="25">
        <f>V543*2</f>
        <v>0</v>
      </c>
      <c r="AF543" s="29"/>
      <c r="AG543" s="25"/>
      <c r="AH543" s="38"/>
      <c r="AI543" s="24"/>
      <c r="AJ543" s="29">
        <f>AR543*(1-입력란!$C$29/100)</f>
        <v>34.477458022440004</v>
      </c>
      <c r="AK54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3" s="25">
        <f>입력란!$C$37+IF(입력란!$C$17=1,10,IF(입력란!$C$17=2,25,IF(입력란!$C$17=3,50,0)))</f>
        <v>200</v>
      </c>
      <c r="AM543" s="25">
        <f>SUM(AN543:AP543)</f>
        <v>68402.794072938137</v>
      </c>
      <c r="AN543" s="29">
        <f>(VLOOKUP(C543,$B$4:$AK$7,34,FALSE)+VLOOKUP(C543,$B$8:$AK$11,34,FALSE)*입력란!$C$23)*입력란!$C$38/100</f>
        <v>68402.794072938137</v>
      </c>
      <c r="AO543" s="38"/>
      <c r="AP543" s="38"/>
      <c r="AQ543" s="38"/>
      <c r="AR543" s="22">
        <v>36</v>
      </c>
    </row>
    <row r="544" spans="2:44" ht="13.5" customHeight="1" x14ac:dyDescent="0.3">
      <c r="B544" s="30">
        <v>529</v>
      </c>
      <c r="C544" s="39">
        <v>1</v>
      </c>
      <c r="D544" s="43" t="s">
        <v>405</v>
      </c>
      <c r="E544" s="37" t="s">
        <v>57</v>
      </c>
      <c r="F544" s="39"/>
      <c r="G544" s="39" t="s">
        <v>414</v>
      </c>
      <c r="H544" s="80">
        <f>I544/AJ544</f>
        <v>9533.4720306957515</v>
      </c>
      <c r="I544" s="52">
        <f>SUM(J544:Q544)*IF(입력란!C$15=1,1.04,IF(입력란!C$15=2,1.1,IF(입력란!C$15=3,1.2,1)))*IF(입력란!$C$17&lt;&gt;0,0.98,1)*IF(입력란!$C$12=1,IF(G544="생명50%이하",1.2,1.1),1)*IF(입력란!$C$12=2,IF(G544="생명50%이하",1.3,1.1),1)*IF(입력란!$C$12=3,IF(G544="생명50%이하",1.4,1.1),1)</f>
        <v>328689.88174641866</v>
      </c>
      <c r="J544" s="25">
        <f>S544*(1+IF($AK544+IF(입력란!$C$19=1,10,0)+IF(MID(E544,5,1)="2",35,0)&gt;100,100,$AK544+IF(입력란!$C$19=1,10,0)+IF(MID(E544,5,1)="2",35,0))/100*($AL544/100-1))</f>
        <v>109563.2939154729</v>
      </c>
      <c r="K544" s="25">
        <f>T544*(1+IF($AK544+IF(입력란!$C$19=1,10,0)+IF(MID(E544,5,1)="2",35,0)&gt;100,100,$AK544+IF(입력란!$C$19=1,10,0)+IF(MID(E544,5,1)="2",35,0))/100*(($AL544+IF(MID(E544,5,1)="2",IF(G544="생명50%이하",트라이포드!$R$25,트라이포드!$Q$25),0))/100-1))</f>
        <v>109563.2939154729</v>
      </c>
      <c r="L544" s="25">
        <f>U544*(1+IF($AK544+IF(입력란!$C$19=1,10,0)+IF(MID(E544,5,1)="2",35,0)&gt;100,100,$AK544+IF(입력란!$C$19=1,10,0)+IF(MID(E544,5,1)="2",35,0))/100*(($AL544+IF(MID(E544,5,1)="2",IF(G544="생명50%이하",트라이포드!$R$25*2,트라이포드!$Q$25),0))/100-1))</f>
        <v>109563.2939154729</v>
      </c>
      <c r="M544" s="25">
        <f>V544*(1+IF($AK544+IF(입력란!$C$19=1,10,0)+IF(MID(E544,5,1)="2",35,0)&gt;100,100,$AK544+IF(입력란!$C$19=1,10,0)+IF(MID(E544,5,1)="2",35,0))/100*(($AL544+IF(MID(E544,5,1)="2",IF(G544="생명50%이하",트라이포드!$R$25*3,트라이포드!$Q$25),0))/100-1))</f>
        <v>0</v>
      </c>
      <c r="N544" s="38"/>
      <c r="O544" s="38"/>
      <c r="P544" s="38"/>
      <c r="Q544" s="34">
        <f>Z544*(1+IF($AK544+IF(입력란!$C$19=1,10,0)&gt;100,100,$AK544+IF(입력란!$C$19=1,10,0))/100*($AL544/100-1))</f>
        <v>0</v>
      </c>
      <c r="R544" s="23">
        <f>SUM(S544:Z544)</f>
        <v>268623.98135054612</v>
      </c>
      <c r="S544" s="29">
        <f>AN544*IF(MID(E544,3,1)="3",트라이포드!$N$25,트라이포드!$M$25)*IF(MID(E544,5,1)="1",트라이포드!$P$25,트라이포드!$O$25)*(1+입력란!$C$34/100)</f>
        <v>89541.327116848712</v>
      </c>
      <c r="T544" s="25">
        <f>AN544*IF(MID(E544,3,1)="3",트라이포드!$N$25,트라이포드!$M$25)*IF(MID(E544,5,1)="1",트라이포드!$P$25,트라이포드!$O$25)*(1+입력란!$C$34/100)</f>
        <v>89541.327116848712</v>
      </c>
      <c r="U544" s="25">
        <f>AN544*IF(MID(E544,3,1)="3",트라이포드!$N$25,트라이포드!$M$25)*IF(MID(E544,5,1)="1",트라이포드!$P$25,트라이포드!$O$25)*(1+입력란!$C$34/100)</f>
        <v>89541.327116848712</v>
      </c>
      <c r="V544" s="25">
        <f>AN544*IF(MID(E544,3,1)="1",트라이포드!$J$25,트라이포드!$I$25)*IF(MID(E544,5,1)="1",트라이포드!$P$25,트라이포드!$O$25)*(1+입력란!$C$34/100)</f>
        <v>0</v>
      </c>
      <c r="W544" s="25"/>
      <c r="X544" s="25"/>
      <c r="Y544" s="25"/>
      <c r="Z544" s="24">
        <f>IF(MID(E544,3,1)="2",AN544*0.075*3*4+AN544*3*트라이포드!$L$25,0)</f>
        <v>0</v>
      </c>
      <c r="AA544" s="29">
        <f>SUM(AB544:AI544)</f>
        <v>537247.96270109224</v>
      </c>
      <c r="AB544" s="29">
        <f>S544*2</f>
        <v>179082.65423369742</v>
      </c>
      <c r="AC544" s="29">
        <f>T544*2</f>
        <v>179082.65423369742</v>
      </c>
      <c r="AD544" s="29">
        <f>U544*2</f>
        <v>179082.65423369742</v>
      </c>
      <c r="AE544" s="29">
        <f>V544*2</f>
        <v>0</v>
      </c>
      <c r="AF544" s="38"/>
      <c r="AG544" s="38"/>
      <c r="AH544" s="38"/>
      <c r="AI544" s="24"/>
      <c r="AJ544" s="29">
        <f>AR544*(1-입력란!$C$29/100)</f>
        <v>34.477458022440004</v>
      </c>
      <c r="AK54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4" s="25">
        <f>입력란!$C$37+IF(입력란!$C$17=1,10,IF(입력란!$C$17=2,25,IF(입력란!$C$17=3,50,0)))</f>
        <v>200</v>
      </c>
      <c r="AM544" s="25">
        <f>SUM(AN544:AP544)</f>
        <v>67907.994072938149</v>
      </c>
      <c r="AN544" s="29">
        <f>(VLOOKUP(C544,$B$4:$AK$7,34,FALSE)+VLOOKUP(C544,$B$8:$AK$11,34,FALSE)*입력란!$C$23)*입력란!$C$38/100</f>
        <v>67907.994072938149</v>
      </c>
      <c r="AO544" s="38"/>
      <c r="AP544" s="38"/>
      <c r="AQ544" s="38"/>
      <c r="AR544" s="22">
        <v>36</v>
      </c>
    </row>
    <row r="545" spans="2:44" ht="13.5" customHeight="1" x14ac:dyDescent="0.3">
      <c r="B545" s="30">
        <v>530</v>
      </c>
      <c r="C545" s="39">
        <v>4</v>
      </c>
      <c r="D545" s="43" t="s">
        <v>405</v>
      </c>
      <c r="E545" s="37" t="s">
        <v>57</v>
      </c>
      <c r="F545" s="39"/>
      <c r="G545" s="39" t="s">
        <v>414</v>
      </c>
      <c r="H545" s="80">
        <f>I545/AJ545</f>
        <v>9572.9491551732099</v>
      </c>
      <c r="I545" s="52">
        <f>SUM(J545:Q545)*IF(입력란!C$15=1,1.04,IF(입력란!C$15=2,1.1,IF(입력란!C$15=3,1.2,1)))*IF(입력란!$C$17&lt;&gt;0,0.98,1)*IF(입력란!$C$12=1,IF(G545="생명50%이하",1.2,1.1),1)*IF(입력란!$C$12=2,IF(G545="생명50%이하",1.3,1.1),1)*IF(입력란!$C$12=3,IF(G545="생명50%이하",1.4,1.1),1)</f>
        <v>330050.95264843683</v>
      </c>
      <c r="J545" s="25">
        <f>S545*(1+IF($AK545+IF(입력란!$C$19=1,10,0)+IF(MID(E545,5,1)="2",35,0)&gt;100,100,$AK545+IF(입력란!$C$19=1,10,0)+IF(MID(E545,5,1)="2",35,0))/100*($AL545/100-1))</f>
        <v>110016.9842161456</v>
      </c>
      <c r="K545" s="25">
        <f>T545*(1+IF($AK545+IF(입력란!$C$19=1,10,0)+IF(MID(E545,5,1)="2",35,0)&gt;100,100,$AK545+IF(입력란!$C$19=1,10,0)+IF(MID(E545,5,1)="2",35,0))/100*(($AL545+IF(MID(E545,5,1)="2",IF(G545="생명50%이하",트라이포드!$R$25,트라이포드!$Q$25),0))/100-1))</f>
        <v>110016.9842161456</v>
      </c>
      <c r="L545" s="25">
        <f>U545*(1+IF($AK545+IF(입력란!$C$19=1,10,0)+IF(MID(E545,5,1)="2",35,0)&gt;100,100,$AK545+IF(입력란!$C$19=1,10,0)+IF(MID(E545,5,1)="2",35,0))/100*(($AL545+IF(MID(E545,5,1)="2",IF(G545="생명50%이하",트라이포드!$R$25*2,트라이포드!$Q$25),0))/100-1))</f>
        <v>110016.9842161456</v>
      </c>
      <c r="M545" s="25">
        <f>V545*(1+IF($AK545+IF(입력란!$C$19=1,10,0)+IF(MID(E545,5,1)="2",35,0)&gt;100,100,$AK545+IF(입력란!$C$19=1,10,0)+IF(MID(E545,5,1)="2",35,0))/100*(($AL545+IF(MID(E545,5,1)="2",IF(G545="생명50%이하",트라이포드!$R$25*3,트라이포드!$Q$25),0))/100-1))</f>
        <v>0</v>
      </c>
      <c r="N545" s="38"/>
      <c r="O545" s="38"/>
      <c r="P545" s="38"/>
      <c r="Q545" s="34">
        <f>Z545*(1+IF($AK545+IF(입력란!$C$19=1,10,0)&gt;100,100,$AK545+IF(입력란!$C$19=1,10,0))/100*($AL545/100-1))</f>
        <v>0</v>
      </c>
      <c r="R545" s="23">
        <f>SUM(S545:Z545)</f>
        <v>269736.32555371377</v>
      </c>
      <c r="S545" s="29">
        <f>AN545*IF(MID(E545,3,1)="3",트라이포드!$N$25,트라이포드!$M$25)*IF(MID(E545,5,1)="1",트라이포드!$P$25,트라이포드!$O$25)*(1+입력란!$C$34/100)</f>
        <v>89912.108517904591</v>
      </c>
      <c r="T545" s="25">
        <f>AN545*IF(MID(E545,3,1)="3",트라이포드!$N$25,트라이포드!$M$25)*IF(MID(E545,5,1)="1",트라이포드!$P$25,트라이포드!$O$25)*(1+입력란!$C$34/100)</f>
        <v>89912.108517904591</v>
      </c>
      <c r="U545" s="25">
        <f>AN545*IF(MID(E545,3,1)="3",트라이포드!$N$25,트라이포드!$M$25)*IF(MID(E545,5,1)="1",트라이포드!$P$25,트라이포드!$O$25)*(1+입력란!$C$34/100)</f>
        <v>89912.108517904591</v>
      </c>
      <c r="V545" s="25">
        <f>AN545*IF(MID(E545,3,1)="1",트라이포드!$J$25,트라이포드!$I$25)*IF(MID(E545,5,1)="1",트라이포드!$P$25,트라이포드!$O$25)*(1+입력란!$C$34/100)</f>
        <v>0</v>
      </c>
      <c r="W545" s="25"/>
      <c r="X545" s="25"/>
      <c r="Y545" s="25"/>
      <c r="Z545" s="24">
        <f>IF(MID(E545,3,1)="2",AN545*0.075*3*4+AN545*3*트라이포드!$L$25,0)</f>
        <v>0</v>
      </c>
      <c r="AA545" s="29">
        <f>SUM(AB545:AI545)</f>
        <v>539472.65110742755</v>
      </c>
      <c r="AB545" s="29">
        <f>S545*2</f>
        <v>179824.21703580918</v>
      </c>
      <c r="AC545" s="25">
        <f>T545*2</f>
        <v>179824.21703580918</v>
      </c>
      <c r="AD545" s="25">
        <f>U545*2</f>
        <v>179824.21703580918</v>
      </c>
      <c r="AE545" s="25">
        <f>V545*2</f>
        <v>0</v>
      </c>
      <c r="AF545" s="29"/>
      <c r="AG545" s="25"/>
      <c r="AH545" s="38"/>
      <c r="AI545" s="24"/>
      <c r="AJ545" s="29">
        <f>AR545*(1-입력란!$C$29/100)</f>
        <v>34.477458022440004</v>
      </c>
      <c r="AK54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5" s="25">
        <f>입력란!$C$37+IF(입력란!$C$17=1,10,IF(입력란!$C$17=2,25,IF(입력란!$C$17=3,50,0)))</f>
        <v>200</v>
      </c>
      <c r="AM545" s="25">
        <f>SUM(AN545:AP545)</f>
        <v>68189.194072938146</v>
      </c>
      <c r="AN545" s="29">
        <f>(VLOOKUP(C545,$B$4:$AK$7,34,FALSE)+VLOOKUP(C545,$B$8:$AK$11,34,FALSE)*입력란!$C$23)*입력란!$C$38/100</f>
        <v>68189.194072938146</v>
      </c>
      <c r="AO545" s="38"/>
      <c r="AP545" s="38"/>
      <c r="AQ545" s="38"/>
      <c r="AR545" s="22">
        <v>36</v>
      </c>
    </row>
    <row r="546" spans="2:44" ht="13.5" customHeight="1" x14ac:dyDescent="0.3">
      <c r="B546" s="30">
        <v>531</v>
      </c>
      <c r="C546" s="39">
        <v>7</v>
      </c>
      <c r="D546" s="43" t="s">
        <v>405</v>
      </c>
      <c r="E546" s="37" t="s">
        <v>57</v>
      </c>
      <c r="F546" s="39"/>
      <c r="G546" s="39" t="s">
        <v>403</v>
      </c>
      <c r="H546" s="80">
        <f>I546/AJ546</f>
        <v>9591.2557591271907</v>
      </c>
      <c r="I546" s="52">
        <f>SUM(J546:Q546)*IF(입력란!C$15=1,1.04,IF(입력란!C$15=2,1.1,IF(입력란!C$15=3,1.2,1)))*IF(입력란!$C$17&lt;&gt;0,0.98,1)*IF(입력란!$C$12=1,IF(G546="생명50%이하",1.2,1.1),1)*IF(입력란!$C$12=2,IF(G546="생명50%이하",1.3,1.1),1)*IF(입력란!$C$12=3,IF(G546="생명50%이하",1.4,1.1),1)</f>
        <v>330682.11781779362</v>
      </c>
      <c r="J546" s="25">
        <f>S546*(1+IF($AK546+IF(입력란!$C$19=1,10,0)+IF(MID(E546,5,1)="2",35,0)&gt;100,100,$AK546+IF(입력란!$C$19=1,10,0)+IF(MID(E546,5,1)="2",35,0))/100*($AL546/100-1))</f>
        <v>110227.37260593122</v>
      </c>
      <c r="K546" s="25">
        <f>T546*(1+IF($AK546+IF(입력란!$C$19=1,10,0)+IF(MID(E546,5,1)="2",35,0)&gt;100,100,$AK546+IF(입력란!$C$19=1,10,0)+IF(MID(E546,5,1)="2",35,0))/100*(($AL546+IF(MID(E546,5,1)="2",IF(G546="생명50%이하",트라이포드!$R$25,트라이포드!$Q$25),0))/100-1))</f>
        <v>110227.37260593122</v>
      </c>
      <c r="L546" s="25">
        <f>U546*(1+IF($AK546+IF(입력란!$C$19=1,10,0)+IF(MID(E546,5,1)="2",35,0)&gt;100,100,$AK546+IF(입력란!$C$19=1,10,0)+IF(MID(E546,5,1)="2",35,0))/100*(($AL546+IF(MID(E546,5,1)="2",IF(G546="생명50%이하",트라이포드!$R$25*2,트라이포드!$Q$25),0))/100-1))</f>
        <v>110227.37260593122</v>
      </c>
      <c r="M546" s="25">
        <f>V546*(1+IF($AK546+IF(입력란!$C$19=1,10,0)+IF(MID(E546,5,1)="2",35,0)&gt;100,100,$AK546+IF(입력란!$C$19=1,10,0)+IF(MID(E546,5,1)="2",35,0))/100*(($AL546+IF(MID(E546,5,1)="2",IF(G546="생명50%이하",트라이포드!$R$25*3,트라이포드!$Q$25),0))/100-1))</f>
        <v>0</v>
      </c>
      <c r="N546" s="38"/>
      <c r="O546" s="38"/>
      <c r="P546" s="38"/>
      <c r="Q546" s="34">
        <f>Z546*(1+IF($AK546+IF(입력란!$C$19=1,10,0)&gt;100,100,$AK546+IF(입력란!$C$19=1,10,0))/100*($AL546/100-1))</f>
        <v>0</v>
      </c>
      <c r="R546" s="23">
        <f>SUM(S546:Z546)</f>
        <v>270252.14946585119</v>
      </c>
      <c r="S546" s="29">
        <f>AN546*IF(MID(E546,3,1)="3",트라이포드!$N$25,트라이포드!$M$25)*IF(MID(E546,5,1)="1",트라이포드!$P$25,트라이포드!$O$25)*(1+입력란!$C$34/100)</f>
        <v>90084.049821950393</v>
      </c>
      <c r="T546" s="25">
        <f>AN546*IF(MID(E546,3,1)="3",트라이포드!$N$25,트라이포드!$M$25)*IF(MID(E546,5,1)="1",트라이포드!$P$25,트라이포드!$O$25)*(1+입력란!$C$34/100)</f>
        <v>90084.049821950393</v>
      </c>
      <c r="U546" s="25">
        <f>AN546*IF(MID(E546,3,1)="3",트라이포드!$N$25,트라이포드!$M$25)*IF(MID(E546,5,1)="1",트라이포드!$P$25,트라이포드!$O$25)*(1+입력란!$C$34/100)</f>
        <v>90084.049821950393</v>
      </c>
      <c r="V546" s="25">
        <f>AN546*IF(MID(E546,3,1)="1",트라이포드!$J$25,트라이포드!$I$25)*IF(MID(E546,5,1)="1",트라이포드!$P$25,트라이포드!$O$25)*(1+입력란!$C$34/100)</f>
        <v>0</v>
      </c>
      <c r="W546" s="25"/>
      <c r="X546" s="25"/>
      <c r="Y546" s="25"/>
      <c r="Z546" s="24">
        <f>IF(MID(E546,3,1)="2",AN546*0.075*3*4+AN546*3*트라이포드!$L$25,0)</f>
        <v>0</v>
      </c>
      <c r="AA546" s="29">
        <f>SUM(AB546:AI546)</f>
        <v>540504.29893170239</v>
      </c>
      <c r="AB546" s="29">
        <f>S546*2</f>
        <v>180168.09964390079</v>
      </c>
      <c r="AC546" s="25">
        <f>T546*2</f>
        <v>180168.09964390079</v>
      </c>
      <c r="AD546" s="25">
        <f>U546*2</f>
        <v>180168.09964390079</v>
      </c>
      <c r="AE546" s="25">
        <f>V546*2</f>
        <v>0</v>
      </c>
      <c r="AF546" s="29"/>
      <c r="AG546" s="25"/>
      <c r="AH546" s="38"/>
      <c r="AI546" s="24"/>
      <c r="AJ546" s="29">
        <f>AR546*(1-입력란!$C$29/100)</f>
        <v>34.477458022440004</v>
      </c>
      <c r="AK54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6" s="25">
        <f>입력란!$C$37+IF(입력란!$C$17=1,10,IF(입력란!$C$17=2,25,IF(입력란!$C$17=3,50,0)))</f>
        <v>200</v>
      </c>
      <c r="AM546" s="25">
        <f>SUM(AN546:AP546)</f>
        <v>68319.59407293814</v>
      </c>
      <c r="AN546" s="29">
        <f>(VLOOKUP(C546,$B$4:$AK$7,34,FALSE)+VLOOKUP(C546,$B$8:$AK$11,34,FALSE)*입력란!$C$23)*입력란!$C$38/100</f>
        <v>68319.59407293814</v>
      </c>
      <c r="AO546" s="38"/>
      <c r="AP546" s="38"/>
      <c r="AQ546" s="38"/>
      <c r="AR546" s="22">
        <v>36</v>
      </c>
    </row>
    <row r="547" spans="2:44" ht="13.5" customHeight="1" x14ac:dyDescent="0.3">
      <c r="B547" s="30">
        <v>532</v>
      </c>
      <c r="C547" s="39">
        <v>7</v>
      </c>
      <c r="D547" s="43" t="s">
        <v>405</v>
      </c>
      <c r="E547" s="37" t="s">
        <v>337</v>
      </c>
      <c r="F547" s="39"/>
      <c r="G547" s="39" t="s">
        <v>403</v>
      </c>
      <c r="H547" s="80">
        <f>I547/AJ547</f>
        <v>14386.883638690784</v>
      </c>
      <c r="I547" s="52">
        <f>SUM(J547:Q547)*IF(입력란!C$15=1,1.04,IF(입력란!C$15=2,1.1,IF(입력란!C$15=3,1.2,1)))*IF(입력란!$C$17&lt;&gt;0,0.98,1)*IF(입력란!$C$12=1,IF(G547="생명50%이하",1.2,1.1),1)*IF(입력란!$C$12=2,IF(G547="생명50%이하",1.3,1.1),1)*IF(입력란!$C$12=3,IF(G547="생명50%이하",1.4,1.1),1)</f>
        <v>496023.17672669044</v>
      </c>
      <c r="J547" s="25">
        <f>S547*(1+IF($AK547+IF(입력란!$C$19=1,10,0)+IF(MID(E547,5,1)="2",35,0)&gt;100,100,$AK547+IF(입력란!$C$19=1,10,0)+IF(MID(E547,5,1)="2",35,0))/100*($AL547/100-1))</f>
        <v>110227.37260593122</v>
      </c>
      <c r="K547" s="25">
        <f>T547*(1+IF($AK547+IF(입력란!$C$19=1,10,0)+IF(MID(E547,5,1)="2",35,0)&gt;100,100,$AK547+IF(입력란!$C$19=1,10,0)+IF(MID(E547,5,1)="2",35,0))/100*(($AL547+IF(MID(E547,5,1)="2",IF(G547="생명50%이하",트라이포드!$R$25,트라이포드!$Q$25),0))/100-1))</f>
        <v>110227.37260593122</v>
      </c>
      <c r="L547" s="25">
        <f>U547*(1+IF($AK547+IF(입력란!$C$19=1,10,0)+IF(MID(E547,5,1)="2",35,0)&gt;100,100,$AK547+IF(입력란!$C$19=1,10,0)+IF(MID(E547,5,1)="2",35,0))/100*(($AL547+IF(MID(E547,5,1)="2",IF(G547="생명50%이하",트라이포드!$R$25*2,트라이포드!$Q$25),0))/100-1))</f>
        <v>110227.37260593122</v>
      </c>
      <c r="M547" s="25">
        <f>V547*(1+IF($AK547+IF(입력란!$C$19=1,10,0)+IF(MID(E547,5,1)="2",35,0)&gt;100,100,$AK547+IF(입력란!$C$19=1,10,0)+IF(MID(E547,5,1)="2",35,0))/100*(($AL547+IF(MID(E547,5,1)="2",IF(G547="생명50%이하",트라이포드!$R$25*3,트라이포드!$Q$25),0))/100-1))</f>
        <v>165341.05890889681</v>
      </c>
      <c r="N547" s="38"/>
      <c r="O547" s="38"/>
      <c r="P547" s="38"/>
      <c r="Q547" s="34">
        <f>Z547*(1+IF($AK547+IF(입력란!$C$19=1,10,0)&gt;100,100,$AK547+IF(입력란!$C$19=1,10,0))/100*($AL547/100-1))</f>
        <v>0</v>
      </c>
      <c r="R547" s="23">
        <f>SUM(S547:Z547)</f>
        <v>405378.22419877676</v>
      </c>
      <c r="S547" s="29">
        <f>AN547*IF(MID(E547,3,1)="3",트라이포드!$N$25,트라이포드!$M$25)*IF(MID(E547,5,1)="1",트라이포드!$P$25,트라이포드!$O$25)*(1+입력란!$C$34/100)</f>
        <v>90084.049821950393</v>
      </c>
      <c r="T547" s="25">
        <f>AN547*IF(MID(E547,3,1)="3",트라이포드!$N$25,트라이포드!$M$25)*IF(MID(E547,5,1)="1",트라이포드!$P$25,트라이포드!$O$25)*(1+입력란!$C$34/100)</f>
        <v>90084.049821950393</v>
      </c>
      <c r="U547" s="25">
        <f>AN547*IF(MID(E547,3,1)="3",트라이포드!$N$25,트라이포드!$M$25)*IF(MID(E547,5,1)="1",트라이포드!$P$25,트라이포드!$O$25)*(1+입력란!$C$34/100)</f>
        <v>90084.049821950393</v>
      </c>
      <c r="V547" s="25">
        <f>AN547*IF(MID(E547,3,1)="1",트라이포드!$J$25,트라이포드!$I$25)*IF(MID(E547,5,1)="1",트라이포드!$P$25,트라이포드!$O$25)*(1+입력란!$C$34/100)</f>
        <v>135126.0747329256</v>
      </c>
      <c r="W547" s="25"/>
      <c r="X547" s="25"/>
      <c r="Y547" s="25"/>
      <c r="Z547" s="24">
        <f>IF(MID(E547,3,1)="2",AN547*0.075*3*4+AN547*3*트라이포드!$L$25,0)</f>
        <v>0</v>
      </c>
      <c r="AA547" s="29">
        <f>SUM(AB547:AI547)</f>
        <v>810756.44839755353</v>
      </c>
      <c r="AB547" s="29">
        <f>S547*2</f>
        <v>180168.09964390079</v>
      </c>
      <c r="AC547" s="25">
        <f>T547*2</f>
        <v>180168.09964390079</v>
      </c>
      <c r="AD547" s="25">
        <f>U547*2</f>
        <v>180168.09964390079</v>
      </c>
      <c r="AE547" s="25">
        <f>V547*2</f>
        <v>270252.14946585119</v>
      </c>
      <c r="AF547" s="29"/>
      <c r="AG547" s="25"/>
      <c r="AH547" s="38"/>
      <c r="AI547" s="24"/>
      <c r="AJ547" s="29">
        <f>AR547*(1-입력란!$C$29/100)</f>
        <v>34.477458022440004</v>
      </c>
      <c r="AK54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7" s="25">
        <f>입력란!$C$37+IF(입력란!$C$17=1,10,IF(입력란!$C$17=2,25,IF(입력란!$C$17=3,50,0)))</f>
        <v>200</v>
      </c>
      <c r="AM547" s="25">
        <f>SUM(AN547:AP547)</f>
        <v>68319.59407293814</v>
      </c>
      <c r="AN547" s="29">
        <f>(VLOOKUP(C547,$B$4:$AK$7,34,FALSE)+VLOOKUP(C547,$B$8:$AK$11,34,FALSE)*입력란!$C$23)*입력란!$C$38/100</f>
        <v>68319.59407293814</v>
      </c>
      <c r="AO547" s="38"/>
      <c r="AP547" s="38"/>
      <c r="AQ547" s="38"/>
      <c r="AR547" s="22">
        <v>36</v>
      </c>
    </row>
    <row r="548" spans="2:44" ht="13.5" customHeight="1" x14ac:dyDescent="0.3">
      <c r="B548" s="30">
        <v>533</v>
      </c>
      <c r="C548" s="39">
        <v>7</v>
      </c>
      <c r="D548" s="43" t="s">
        <v>405</v>
      </c>
      <c r="E548" s="37" t="s">
        <v>338</v>
      </c>
      <c r="F548" s="39" t="s">
        <v>412</v>
      </c>
      <c r="G548" s="39" t="s">
        <v>403</v>
      </c>
      <c r="H548" s="80">
        <f>I548/AJ548</f>
        <v>13228.251994356575</v>
      </c>
      <c r="I548" s="52">
        <f>SUM(J548:Q548)*IF(입력란!C$15=1,1.04,IF(입력란!C$15=2,1.1,IF(입력란!C$15=3,1.2,1)))*IF(입력란!$C$17&lt;&gt;0,0.98,1)*IF(입력란!$C$12=1,IF(G548="생명50%이하",1.2,1.1),1)*IF(입력란!$C$12=2,IF(G548="생명50%이하",1.3,1.1),1)*IF(입력란!$C$12=3,IF(G548="생명50%이하",1.4,1.1),1)</f>
        <v>456076.50284568709</v>
      </c>
      <c r="J548" s="25">
        <f>S548*(1+IF($AK548+IF(입력란!$C$19=1,10,0)+IF(MID(E548,5,1)="2",35,0)&gt;100,100,$AK548+IF(입력란!$C$19=1,10,0)+IF(MID(E548,5,1)="2",35,0))/100*($AL548/100-1))</f>
        <v>110227.37260593122</v>
      </c>
      <c r="K548" s="25">
        <f>T548*(1+IF($AK548+IF(입력란!$C$19=1,10,0)+IF(MID(E548,5,1)="2",35,0)&gt;100,100,$AK548+IF(입력란!$C$19=1,10,0)+IF(MID(E548,5,1)="2",35,0))/100*(($AL548+IF(MID(E548,5,1)="2",IF(G548="생명50%이하",트라이포드!$R$25,트라이포드!$Q$25),0))/100-1))</f>
        <v>110227.37260593122</v>
      </c>
      <c r="L548" s="25">
        <f>U548*(1+IF($AK548+IF(입력란!$C$19=1,10,0)+IF(MID(E548,5,1)="2",35,0)&gt;100,100,$AK548+IF(입력란!$C$19=1,10,0)+IF(MID(E548,5,1)="2",35,0))/100*(($AL548+IF(MID(E548,5,1)="2",IF(G548="생명50%이하",트라이포드!$R$25*2,트라이포드!$Q$25),0))/100-1))</f>
        <v>110227.37260593122</v>
      </c>
      <c r="M548" s="25">
        <f>V548*(1+IF($AK548+IF(입력란!$C$19=1,10,0)+IF(MID(E548,5,1)="2",35,0)&gt;100,100,$AK548+IF(입력란!$C$19=1,10,0)+IF(MID(E548,5,1)="2",35,0))/100*(($AL548+IF(MID(E548,5,1)="2",IF(G548="생명50%이하",트라이포드!$R$25*3,트라이포드!$Q$25),0))/100-1))</f>
        <v>0</v>
      </c>
      <c r="N548" s="38"/>
      <c r="O548" s="38"/>
      <c r="P548" s="38"/>
      <c r="Q548" s="34">
        <f>Z548*(1+IF($AK548+IF(입력란!$C$19=1,10,0)&gt;100,100,$AK548+IF(입력란!$C$19=1,10,0))/100*($AL548/100-1))</f>
        <v>125394.38502789344</v>
      </c>
      <c r="R548" s="23">
        <f>SUM(S548:Z548)</f>
        <v>372731.54057525843</v>
      </c>
      <c r="S548" s="29">
        <f>AN548*IF(MID(E548,3,1)="3",트라이포드!$N$25,트라이포드!$M$25)*IF(MID(E548,5,1)="1",트라이포드!$P$25,트라이포드!$O$25)*(1+입력란!$C$34/100)</f>
        <v>90084.049821950393</v>
      </c>
      <c r="T548" s="25">
        <f>AN548*IF(MID(E548,3,1)="3",트라이포드!$N$25,트라이포드!$M$25)*IF(MID(E548,5,1)="1",트라이포드!$P$25,트라이포드!$O$25)*(1+입력란!$C$34/100)</f>
        <v>90084.049821950393</v>
      </c>
      <c r="U548" s="25">
        <f>AN548*IF(MID(E548,3,1)="3",트라이포드!$N$25,트라이포드!$M$25)*IF(MID(E548,5,1)="1",트라이포드!$P$25,트라이포드!$O$25)*(1+입력란!$C$34/100)</f>
        <v>90084.049821950393</v>
      </c>
      <c r="V548" s="25">
        <f>AN548*IF(MID(E548,3,1)="1",트라이포드!$J$25,트라이포드!$I$25)*IF(MID(E548,5,1)="1",트라이포드!$P$25,트라이포드!$O$25)*(1+입력란!$C$34/100)</f>
        <v>0</v>
      </c>
      <c r="W548" s="25"/>
      <c r="X548" s="25"/>
      <c r="Y548" s="25"/>
      <c r="Z548" s="24">
        <f>IF(MID(E548,3,1)="2",AN548*0.075*3*4+AN548*3*트라이포드!$L$25,0)</f>
        <v>102479.39110940721</v>
      </c>
      <c r="AA548" s="29">
        <f>SUM(AB548:AI548)</f>
        <v>540504.29893170239</v>
      </c>
      <c r="AB548" s="29">
        <f>S548*2</f>
        <v>180168.09964390079</v>
      </c>
      <c r="AC548" s="25">
        <f>T548*2</f>
        <v>180168.09964390079</v>
      </c>
      <c r="AD548" s="25">
        <f>U548*2</f>
        <v>180168.09964390079</v>
      </c>
      <c r="AE548" s="25">
        <f>V548*2</f>
        <v>0</v>
      </c>
      <c r="AF548" s="29"/>
      <c r="AG548" s="25"/>
      <c r="AH548" s="38"/>
      <c r="AI548" s="24"/>
      <c r="AJ548" s="29">
        <f>AR548*(1-입력란!$C$29/100)</f>
        <v>34.477458022440004</v>
      </c>
      <c r="AK54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8" s="25">
        <f>입력란!$C$37+IF(입력란!$C$17=1,10,IF(입력란!$C$17=2,25,IF(입력란!$C$17=3,50,0)))</f>
        <v>200</v>
      </c>
      <c r="AM548" s="25">
        <f>SUM(AN548:AP548)</f>
        <v>68319.59407293814</v>
      </c>
      <c r="AN548" s="29">
        <f>(VLOOKUP(C548,$B$4:$AK$7,34,FALSE)+VLOOKUP(C548,$B$8:$AK$11,34,FALSE)*입력란!$C$23)*입력란!$C$38/100</f>
        <v>68319.59407293814</v>
      </c>
      <c r="AO548" s="38"/>
      <c r="AP548" s="38"/>
      <c r="AQ548" s="38"/>
      <c r="AR548" s="22">
        <v>36</v>
      </c>
    </row>
    <row r="549" spans="2:44" ht="13.5" customHeight="1" x14ac:dyDescent="0.3">
      <c r="B549" s="30">
        <v>534</v>
      </c>
      <c r="C549" s="39">
        <v>7</v>
      </c>
      <c r="D549" s="43" t="s">
        <v>405</v>
      </c>
      <c r="E549" s="37" t="s">
        <v>339</v>
      </c>
      <c r="F549" s="39"/>
      <c r="G549" s="39" t="s">
        <v>403</v>
      </c>
      <c r="H549" s="80">
        <f>I549/AJ549</f>
        <v>11989.06969890899</v>
      </c>
      <c r="I549" s="52">
        <f>SUM(J549:Q549)*IF(입력란!C$15=1,1.04,IF(입력란!C$15=2,1.1,IF(입력란!C$15=3,1.2,1)))*IF(입력란!$C$17&lt;&gt;0,0.98,1)*IF(입력란!$C$12=1,IF(G549="생명50%이하",1.2,1.1),1)*IF(입력란!$C$12=2,IF(G549="생명50%이하",1.3,1.1),1)*IF(입력란!$C$12=3,IF(G549="생명50%이하",1.4,1.1),1)</f>
        <v>413352.64727224212</v>
      </c>
      <c r="J549" s="25">
        <f>S549*(1+IF($AK549+IF(입력란!$C$19=1,10,0)+IF(MID(E549,5,1)="2",35,0)&gt;100,100,$AK549+IF(입력란!$C$19=1,10,0)+IF(MID(E549,5,1)="2",35,0))/100*($AL549/100-1))</f>
        <v>137784.21575741403</v>
      </c>
      <c r="K549" s="25">
        <f>T549*(1+IF($AK549+IF(입력란!$C$19=1,10,0)+IF(MID(E549,5,1)="2",35,0)&gt;100,100,$AK549+IF(입력란!$C$19=1,10,0)+IF(MID(E549,5,1)="2",35,0))/100*(($AL549+IF(MID(E549,5,1)="2",IF(G549="생명50%이하",트라이포드!$R$25,트라이포드!$Q$25),0))/100-1))</f>
        <v>137784.21575741403</v>
      </c>
      <c r="L549" s="25">
        <f>U549*(1+IF($AK549+IF(입력란!$C$19=1,10,0)+IF(MID(E549,5,1)="2",35,0)&gt;100,100,$AK549+IF(입력란!$C$19=1,10,0)+IF(MID(E549,5,1)="2",35,0))/100*(($AL549+IF(MID(E549,5,1)="2",IF(G549="생명50%이하",트라이포드!$R$25*2,트라이포드!$Q$25),0))/100-1))</f>
        <v>137784.21575741403</v>
      </c>
      <c r="M549" s="25">
        <f>V549*(1+IF($AK549+IF(입력란!$C$19=1,10,0)+IF(MID(E549,5,1)="2",35,0)&gt;100,100,$AK549+IF(입력란!$C$19=1,10,0)+IF(MID(E549,5,1)="2",35,0))/100*(($AL549+IF(MID(E549,5,1)="2",IF(G549="생명50%이하",트라이포드!$R$25*3,트라이포드!$Q$25),0))/100-1))</f>
        <v>0</v>
      </c>
      <c r="N549" s="38"/>
      <c r="O549" s="38"/>
      <c r="P549" s="38"/>
      <c r="Q549" s="34">
        <f>Z549*(1+IF($AK549+IF(입력란!$C$19=1,10,0)&gt;100,100,$AK549+IF(입력란!$C$19=1,10,0))/100*($AL549/100-1))</f>
        <v>0</v>
      </c>
      <c r="R549" s="23">
        <f>SUM(S549:Z549)</f>
        <v>337815.18683231401</v>
      </c>
      <c r="S549" s="29">
        <f>AN549*IF(MID(E549,3,1)="3",트라이포드!$N$25,트라이포드!$M$25)*IF(MID(E549,5,1)="1",트라이포드!$P$25,트라이포드!$O$25)*(1+입력란!$C$34/100)</f>
        <v>112605.062277438</v>
      </c>
      <c r="T549" s="25">
        <f>AN549*IF(MID(E549,3,1)="3",트라이포드!$N$25,트라이포드!$M$25)*IF(MID(E549,5,1)="1",트라이포드!$P$25,트라이포드!$O$25)*(1+입력란!$C$34/100)</f>
        <v>112605.062277438</v>
      </c>
      <c r="U549" s="25">
        <f>AN549*IF(MID(E549,3,1)="3",트라이포드!$N$25,트라이포드!$M$25)*IF(MID(E549,5,1)="1",트라이포드!$P$25,트라이포드!$O$25)*(1+입력란!$C$34/100)</f>
        <v>112605.062277438</v>
      </c>
      <c r="V549" s="25">
        <f>AN549*IF(MID(E549,3,1)="1",트라이포드!$J$25,트라이포드!$I$25)*IF(MID(E549,5,1)="1",트라이포드!$P$25,트라이포드!$O$25)*(1+입력란!$C$34/100)</f>
        <v>0</v>
      </c>
      <c r="W549" s="25"/>
      <c r="X549" s="25"/>
      <c r="Y549" s="25"/>
      <c r="Z549" s="24">
        <f>IF(MID(E549,3,1)="2",AN549*0.075*3*4+AN549*3*트라이포드!$L$25,0)</f>
        <v>0</v>
      </c>
      <c r="AA549" s="29">
        <f>SUM(AB549:AI549)</f>
        <v>675630.37366462802</v>
      </c>
      <c r="AB549" s="29">
        <f>S549*2</f>
        <v>225210.12455487601</v>
      </c>
      <c r="AC549" s="25">
        <f>T549*2</f>
        <v>225210.12455487601</v>
      </c>
      <c r="AD549" s="25">
        <f>U549*2</f>
        <v>225210.12455487601</v>
      </c>
      <c r="AE549" s="25">
        <f>V549*2</f>
        <v>0</v>
      </c>
      <c r="AF549" s="29"/>
      <c r="AG549" s="25"/>
      <c r="AH549" s="38"/>
      <c r="AI549" s="24"/>
      <c r="AJ549" s="29">
        <f>AR549*(1-입력란!$C$29/100)</f>
        <v>34.477458022440004</v>
      </c>
      <c r="AK54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49" s="25">
        <f>입력란!$C$37+IF(입력란!$C$17=1,10,IF(입력란!$C$17=2,25,IF(입력란!$C$17=3,50,0)))</f>
        <v>200</v>
      </c>
      <c r="AM549" s="25">
        <f>SUM(AN549:AP549)</f>
        <v>68319.59407293814</v>
      </c>
      <c r="AN549" s="29">
        <f>(VLOOKUP(C549,$B$4:$AK$7,34,FALSE)+VLOOKUP(C549,$B$8:$AK$11,34,FALSE)*입력란!$C$23)*입력란!$C$38/100</f>
        <v>68319.59407293814</v>
      </c>
      <c r="AO549" s="38"/>
      <c r="AP549" s="38"/>
      <c r="AQ549" s="38"/>
      <c r="AR549" s="22">
        <v>36</v>
      </c>
    </row>
    <row r="550" spans="2:44" ht="13.5" customHeight="1" x14ac:dyDescent="0.3">
      <c r="B550" s="30">
        <v>535</v>
      </c>
      <c r="C550" s="39">
        <v>10</v>
      </c>
      <c r="D550" s="43" t="s">
        <v>405</v>
      </c>
      <c r="E550" s="37" t="s">
        <v>57</v>
      </c>
      <c r="F550" s="39"/>
      <c r="G550" s="39" t="s">
        <v>403</v>
      </c>
      <c r="H550" s="80">
        <f>I550/AJ550</f>
        <v>9602.936046312554</v>
      </c>
      <c r="I550" s="52">
        <f>SUM(J550:Q550)*IF(입력란!C$15=1,1.04,IF(입력란!C$15=2,1.1,IF(입력란!C$15=3,1.2,1)))*IF(입력란!$C$17&lt;&gt;0,0.98,1)*IF(입력란!$C$12=1,IF(G550="생명50%이하",1.2,1.1),1)*IF(입력란!$C$12=2,IF(G550="생명50%이하",1.3,1.1),1)*IF(입력란!$C$12=3,IF(G550="생명50%이하",1.4,1.1),1)</f>
        <v>331084.82442891708</v>
      </c>
      <c r="J550" s="25">
        <f>S550*(1+IF($AK550+IF(입력란!$C$19=1,10,0)+IF(MID(E550,5,1)="2",35,0)&gt;100,100,$AK550+IF(입력란!$C$19=1,10,0)+IF(MID(E550,5,1)="2",35,0))/100*($AL550/100-1))</f>
        <v>110361.60814297236</v>
      </c>
      <c r="K550" s="25">
        <f>T550*(1+IF($AK550+IF(입력란!$C$19=1,10,0)+IF(MID(E550,5,1)="2",35,0)&gt;100,100,$AK550+IF(입력란!$C$19=1,10,0)+IF(MID(E550,5,1)="2",35,0))/100*(($AL550+IF(MID(E550,5,1)="2",IF(G550="생명50%이하",트라이포드!$R$25,트라이포드!$Q$25),0))/100-1))</f>
        <v>110361.60814297236</v>
      </c>
      <c r="L550" s="25">
        <f>U550*(1+IF($AK550+IF(입력란!$C$19=1,10,0)+IF(MID(E550,5,1)="2",35,0)&gt;100,100,$AK550+IF(입력란!$C$19=1,10,0)+IF(MID(E550,5,1)="2",35,0))/100*(($AL550+IF(MID(E550,5,1)="2",IF(G550="생명50%이하",트라이포드!$R$25*2,트라이포드!$Q$25),0))/100-1))</f>
        <v>110361.60814297236</v>
      </c>
      <c r="M550" s="25">
        <f>V550*(1+IF($AK550+IF(입력란!$C$19=1,10,0)+IF(MID(E550,5,1)="2",35,0)&gt;100,100,$AK550+IF(입력란!$C$19=1,10,0)+IF(MID(E550,5,1)="2",35,0))/100*(($AL550+IF(MID(E550,5,1)="2",IF(G550="생명50%이하",트라이포드!$R$25*3,트라이포드!$Q$25),0))/100-1))</f>
        <v>0</v>
      </c>
      <c r="N550" s="38"/>
      <c r="O550" s="38"/>
      <c r="P550" s="38"/>
      <c r="Q550" s="34">
        <f>Z550*(1+IF($AK550+IF(입력란!$C$19=1,10,0)&gt;100,100,$AK550+IF(입력란!$C$19=1,10,0))/100*($AL550/100-1))</f>
        <v>0</v>
      </c>
      <c r="R550" s="23">
        <f>SUM(S550:Z550)</f>
        <v>270581.26410917816</v>
      </c>
      <c r="S550" s="29">
        <f>AN550*IF(MID(E550,3,1)="3",트라이포드!$N$25,트라이포드!$M$25)*IF(MID(E550,5,1)="1",트라이포드!$P$25,트라이포드!$O$25)*(1+입력란!$C$34/100)</f>
        <v>90193.754703059385</v>
      </c>
      <c r="T550" s="25">
        <f>AN550*IF(MID(E550,3,1)="3",트라이포드!$N$25,트라이포드!$M$25)*IF(MID(E550,5,1)="1",트라이포드!$P$25,트라이포드!$O$25)*(1+입력란!$C$34/100)</f>
        <v>90193.754703059385</v>
      </c>
      <c r="U550" s="25">
        <f>AN550*IF(MID(E550,3,1)="3",트라이포드!$N$25,트라이포드!$M$25)*IF(MID(E550,5,1)="1",트라이포드!$P$25,트라이포드!$O$25)*(1+입력란!$C$34/100)</f>
        <v>90193.754703059385</v>
      </c>
      <c r="V550" s="25">
        <f>AN550*IF(MID(E550,3,1)="1",트라이포드!$J$25,트라이포드!$I$25)*IF(MID(E550,5,1)="1",트라이포드!$P$25,트라이포드!$O$25)*(1+입력란!$C$34/100)</f>
        <v>0</v>
      </c>
      <c r="W550" s="25"/>
      <c r="X550" s="25"/>
      <c r="Y550" s="25"/>
      <c r="Z550" s="24">
        <f>IF(MID(E550,3,1)="2",AN550*0.075*3*4+AN550*3*트라이포드!$L$25,0)</f>
        <v>0</v>
      </c>
      <c r="AA550" s="29">
        <f>SUM(AB550:AI550)</f>
        <v>541162.52821835631</v>
      </c>
      <c r="AB550" s="29">
        <f>S550*2</f>
        <v>180387.50940611877</v>
      </c>
      <c r="AC550" s="25">
        <f>T550*2</f>
        <v>180387.50940611877</v>
      </c>
      <c r="AD550" s="25">
        <f>U550*2</f>
        <v>180387.50940611877</v>
      </c>
      <c r="AE550" s="25">
        <f>V550*2</f>
        <v>0</v>
      </c>
      <c r="AF550" s="29"/>
      <c r="AG550" s="25"/>
      <c r="AH550" s="38"/>
      <c r="AI550" s="24"/>
      <c r="AJ550" s="29">
        <f>AR550*(1-입력란!$C$29/100)</f>
        <v>34.477458022440004</v>
      </c>
      <c r="AK55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0" s="25">
        <f>입력란!$C$37+IF(입력란!$C$17=1,10,IF(입력란!$C$17=2,25,IF(입력란!$C$17=3,50,0)))</f>
        <v>200</v>
      </c>
      <c r="AM550" s="25">
        <f>SUM(AN550:AP550)</f>
        <v>68402.794072938137</v>
      </c>
      <c r="AN550" s="29">
        <f>(VLOOKUP(C550,$B$4:$AK$7,34,FALSE)+VLOOKUP(C550,$B$8:$AK$11,34,FALSE)*입력란!$C$23)*입력란!$C$38/100</f>
        <v>68402.794072938137</v>
      </c>
      <c r="AO550" s="38"/>
      <c r="AP550" s="38"/>
      <c r="AQ550" s="38"/>
      <c r="AR550" s="22">
        <v>36</v>
      </c>
    </row>
    <row r="551" spans="2:44" ht="13.5" customHeight="1" x14ac:dyDescent="0.3">
      <c r="B551" s="30">
        <v>536</v>
      </c>
      <c r="C551" s="39">
        <v>10</v>
      </c>
      <c r="D551" s="43" t="s">
        <v>405</v>
      </c>
      <c r="E551" s="37" t="s">
        <v>340</v>
      </c>
      <c r="F551" s="39" t="s">
        <v>404</v>
      </c>
      <c r="G551" s="39" t="s">
        <v>403</v>
      </c>
      <c r="H551" s="80">
        <f>I551/AJ551</f>
        <v>17285.284883362598</v>
      </c>
      <c r="I551" s="52">
        <f>SUM(J551:Q551)*IF(입력란!C$15=1,1.04,IF(입력란!C$15=2,1.1,IF(입력란!C$15=3,1.2,1)))*IF(입력란!$C$17&lt;&gt;0,0.98,1)*IF(입력란!$C$12=1,IF(G551="생명50%이하",1.2,1.1),1)*IF(입력란!$C$12=2,IF(G551="생명50%이하",1.3,1.1),1)*IF(입력란!$C$12=3,IF(G551="생명50%이하",1.4,1.1),1)</f>
        <v>595952.68397205067</v>
      </c>
      <c r="J551" s="25">
        <f>S551*(1+IF($AK551+IF(입력란!$C$19=1,10,0)+IF(MID(E551,5,1)="2",35,0)&gt;100,100,$AK551+IF(입력란!$C$19=1,10,0)+IF(MID(E551,5,1)="2",35,0))/100*($AL551/100-1))</f>
        <v>198650.89465735023</v>
      </c>
      <c r="K551" s="25">
        <f>T551*(1+IF($AK551+IF(입력란!$C$19=1,10,0)+IF(MID(E551,5,1)="2",35,0)&gt;100,100,$AK551+IF(입력란!$C$19=1,10,0)+IF(MID(E551,5,1)="2",35,0))/100*(($AL551+IF(MID(E551,5,1)="2",IF(G551="생명50%이하",트라이포드!$R$25,트라이포드!$Q$25),0))/100-1))</f>
        <v>198650.89465735023</v>
      </c>
      <c r="L551" s="25">
        <f>U551*(1+IF($AK551+IF(입력란!$C$19=1,10,0)+IF(MID(E551,5,1)="2",35,0)&gt;100,100,$AK551+IF(입력란!$C$19=1,10,0)+IF(MID(E551,5,1)="2",35,0))/100*(($AL551+IF(MID(E551,5,1)="2",IF(G551="생명50%이하",트라이포드!$R$25*2,트라이포드!$Q$25),0))/100-1))</f>
        <v>198650.89465735023</v>
      </c>
      <c r="M551" s="25">
        <f>V551*(1+IF($AK551+IF(입력란!$C$19=1,10,0)+IF(MID(E551,5,1)="2",35,0)&gt;100,100,$AK551+IF(입력란!$C$19=1,10,0)+IF(MID(E551,5,1)="2",35,0))/100*(($AL551+IF(MID(E551,5,1)="2",IF(G551="생명50%이하",트라이포드!$R$25*3,트라이포드!$Q$25),0))/100-1))</f>
        <v>0</v>
      </c>
      <c r="N551" s="38"/>
      <c r="O551" s="38"/>
      <c r="P551" s="38"/>
      <c r="Q551" s="34">
        <f>Z551*(1+IF($AK551+IF(입력란!$C$19=1,10,0)&gt;100,100,$AK551+IF(입력란!$C$19=1,10,0))/100*($AL551/100-1))</f>
        <v>0</v>
      </c>
      <c r="R551" s="23">
        <f>SUM(S551:Z551)</f>
        <v>487046.27539652068</v>
      </c>
      <c r="S551" s="29">
        <f>AN551*IF(MID(E551,3,1)="3",트라이포드!$N$25,트라이포드!$M$25)*IF(MID(E551,5,1)="1",트라이포드!$P$25,트라이포드!$O$25)*(1+입력란!$C$34/100)</f>
        <v>162348.75846550689</v>
      </c>
      <c r="T551" s="25">
        <f>AN551*IF(MID(E551,3,1)="3",트라이포드!$N$25,트라이포드!$M$25)*IF(MID(E551,5,1)="1",트라이포드!$P$25,트라이포드!$O$25)*(1+입력란!$C$34/100)</f>
        <v>162348.75846550689</v>
      </c>
      <c r="U551" s="25">
        <f>AN551*IF(MID(E551,3,1)="3",트라이포드!$N$25,트라이포드!$M$25)*IF(MID(E551,5,1)="1",트라이포드!$P$25,트라이포드!$O$25)*(1+입력란!$C$34/100)</f>
        <v>162348.75846550689</v>
      </c>
      <c r="V551" s="25">
        <f>AN551*IF(MID(E551,3,1)="1",트라이포드!$J$25,트라이포드!$I$25)*IF(MID(E551,5,1)="1",트라이포드!$P$25,트라이포드!$O$25)*(1+입력란!$C$34/100)</f>
        <v>0</v>
      </c>
      <c r="W551" s="25"/>
      <c r="X551" s="25"/>
      <c r="Y551" s="25"/>
      <c r="Z551" s="24">
        <f>IF(MID(E551,3,1)="2",AN551*0.075*3*4+AN551*3*트라이포드!$L$25,0)</f>
        <v>0</v>
      </c>
      <c r="AA551" s="29">
        <f>SUM(AB551:AI551)</f>
        <v>974092.55079304136</v>
      </c>
      <c r="AB551" s="29">
        <f>S551*2</f>
        <v>324697.51693101379</v>
      </c>
      <c r="AC551" s="25">
        <f>T551*2</f>
        <v>324697.51693101379</v>
      </c>
      <c r="AD551" s="25">
        <f>U551*2</f>
        <v>324697.51693101379</v>
      </c>
      <c r="AE551" s="25">
        <f>V551*2</f>
        <v>0</v>
      </c>
      <c r="AF551" s="29"/>
      <c r="AG551" s="25"/>
      <c r="AH551" s="38"/>
      <c r="AI551" s="24"/>
      <c r="AJ551" s="29">
        <f>AR551*(1-입력란!$C$29/100)</f>
        <v>34.477458022440004</v>
      </c>
      <c r="AK55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1" s="25">
        <f>입력란!$C$37+IF(입력란!$C$17=1,10,IF(입력란!$C$17=2,25,IF(입력란!$C$17=3,50,0)))</f>
        <v>200</v>
      </c>
      <c r="AM551" s="25">
        <f>SUM(AN551:AP551)</f>
        <v>68402.794072938137</v>
      </c>
      <c r="AN551" s="29">
        <f>(VLOOKUP(C551,$B$4:$AK$7,34,FALSE)+VLOOKUP(C551,$B$8:$AK$11,34,FALSE)*입력란!$C$23)*입력란!$C$38/100</f>
        <v>68402.794072938137</v>
      </c>
      <c r="AO551" s="38"/>
      <c r="AP551" s="38"/>
      <c r="AQ551" s="38"/>
      <c r="AR551" s="22">
        <v>36</v>
      </c>
    </row>
    <row r="552" spans="2:44" ht="13.5" customHeight="1" x14ac:dyDescent="0.3">
      <c r="B552" s="30">
        <v>537</v>
      </c>
      <c r="C552" s="39">
        <v>10</v>
      </c>
      <c r="D552" s="43" t="s">
        <v>405</v>
      </c>
      <c r="E552" s="37" t="s">
        <v>341</v>
      </c>
      <c r="F552" s="39"/>
      <c r="G552" s="39" t="s">
        <v>403</v>
      </c>
      <c r="H552" s="80">
        <f>I552/AJ552</f>
        <v>17976.876946994387</v>
      </c>
      <c r="I552" s="52">
        <f>SUM(J552:Q552)*IF(입력란!C$15=1,1.04,IF(입력란!C$15=2,1.1,IF(입력란!C$15=3,1.2,1)))*IF(입력란!$C$17&lt;&gt;0,0.98,1)*IF(입력란!$C$12=1,IF(G552="생명50%이하",1.2,1.1),1)*IF(입력란!$C$12=2,IF(G552="생명50%이하",1.3,1.1),1)*IF(입력란!$C$12=3,IF(G552="생명50%이하",1.4,1.1),1)</f>
        <v>619797.02031456842</v>
      </c>
      <c r="J552" s="25">
        <f>S552*(1+IF($AK552+IF(입력란!$C$19=1,10,0)+IF(MID(E552,5,1)="2",35,0)&gt;100,100,$AK552+IF(입력란!$C$19=1,10,0)+IF(MID(E552,5,1)="2",35,0))/100*($AL552/100-1))</f>
        <v>141929.42228904314</v>
      </c>
      <c r="K552" s="25">
        <f>T552*(1+IF($AK552+IF(입력란!$C$19=1,10,0)+IF(MID(E552,5,1)="2",35,0)&gt;100,100,$AK552+IF(입력란!$C$19=1,10,0)+IF(MID(E552,5,1)="2",35,0))/100*(($AL552+IF(MID(E552,5,1)="2",IF(G552="생명50%이하",트라이포드!$R$25,트라이포드!$Q$25),0))/100-1))</f>
        <v>206599.00677152281</v>
      </c>
      <c r="L552" s="25">
        <f>U552*(1+IF($AK552+IF(입력란!$C$19=1,10,0)+IF(MID(E552,5,1)="2",35,0)&gt;100,100,$AK552+IF(입력란!$C$19=1,10,0)+IF(MID(E552,5,1)="2",35,0))/100*(($AL552+IF(MID(E552,5,1)="2",IF(G552="생명50%이하",트라이포드!$R$25*2,트라이포드!$Q$25),0))/100-1))</f>
        <v>271268.59125400247</v>
      </c>
      <c r="M552" s="25">
        <f>V552*(1+IF($AK552+IF(입력란!$C$19=1,10,0)+IF(MID(E552,5,1)="2",35,0)&gt;100,100,$AK552+IF(입력란!$C$19=1,10,0)+IF(MID(E552,5,1)="2",35,0))/100*(($AL552+IF(MID(E552,5,1)="2",IF(G552="생명50%이하",트라이포드!$R$25*3,트라이포드!$Q$25),0))/100-1))</f>
        <v>0</v>
      </c>
      <c r="N552" s="38"/>
      <c r="O552" s="38"/>
      <c r="P552" s="38"/>
      <c r="Q552" s="34">
        <f>Z552*(1+IF($AK552+IF(입력란!$C$19=1,10,0)&gt;100,100,$AK552+IF(입력란!$C$19=1,10,0))/100*($AL552/100-1))</f>
        <v>0</v>
      </c>
      <c r="R552" s="23">
        <f>SUM(S552:Z552)</f>
        <v>270581.26410917816</v>
      </c>
      <c r="S552" s="29">
        <f>AN552*IF(MID(E552,3,1)="3",트라이포드!$N$25,트라이포드!$M$25)*IF(MID(E552,5,1)="1",트라이포드!$P$25,트라이포드!$O$25)*(1+입력란!$C$34/100)</f>
        <v>90193.754703059385</v>
      </c>
      <c r="T552" s="25">
        <f>AN552*IF(MID(E552,3,1)="3",트라이포드!$N$25,트라이포드!$M$25)*IF(MID(E552,5,1)="1",트라이포드!$P$25,트라이포드!$O$25)*(1+입력란!$C$34/100)</f>
        <v>90193.754703059385</v>
      </c>
      <c r="U552" s="25">
        <f>AN552*IF(MID(E552,3,1)="3",트라이포드!$N$25,트라이포드!$M$25)*IF(MID(E552,5,1)="1",트라이포드!$P$25,트라이포드!$O$25)*(1+입력란!$C$34/100)</f>
        <v>90193.754703059385</v>
      </c>
      <c r="V552" s="25">
        <f>AN552*IF(MID(E552,3,1)="1",트라이포드!$J$25,트라이포드!$I$25)*IF(MID(E552,5,1)="1",트라이포드!$P$25,트라이포드!$O$25)*(1+입력란!$C$34/100)</f>
        <v>0</v>
      </c>
      <c r="W552" s="25"/>
      <c r="X552" s="25"/>
      <c r="Y552" s="25"/>
      <c r="Z552" s="24">
        <f>IF(MID(E552,3,1)="2",AN552*0.075*3*4+AN552*3*트라이포드!$L$25,0)</f>
        <v>0</v>
      </c>
      <c r="AA552" s="29">
        <f>SUM(AB552:AI552)</f>
        <v>541162.52821835631</v>
      </c>
      <c r="AB552" s="29">
        <f>S552*2</f>
        <v>180387.50940611877</v>
      </c>
      <c r="AC552" s="25">
        <f>T552*2</f>
        <v>180387.50940611877</v>
      </c>
      <c r="AD552" s="25">
        <f>U552*2</f>
        <v>180387.50940611877</v>
      </c>
      <c r="AE552" s="25">
        <f>V552*2</f>
        <v>0</v>
      </c>
      <c r="AF552" s="29"/>
      <c r="AG552" s="25"/>
      <c r="AH552" s="38"/>
      <c r="AI552" s="24"/>
      <c r="AJ552" s="29">
        <f>AR552*(1-입력란!$C$29/100)</f>
        <v>34.477458022440004</v>
      </c>
      <c r="AK552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2" s="25">
        <f>입력란!$C$37+IF(입력란!$C$17=1,10,IF(입력란!$C$17=2,25,IF(입력란!$C$17=3,50,0)))</f>
        <v>200</v>
      </c>
      <c r="AM552" s="25">
        <f>SUM(AN552:AP552)</f>
        <v>68402.794072938137</v>
      </c>
      <c r="AN552" s="29">
        <f>(VLOOKUP(C552,$B$4:$AK$7,34,FALSE)+VLOOKUP(C552,$B$8:$AK$11,34,FALSE)*입력란!$C$23)*입력란!$C$38/100</f>
        <v>68402.794072938137</v>
      </c>
      <c r="AO552" s="38"/>
      <c r="AP552" s="38"/>
      <c r="AQ552" s="38"/>
      <c r="AR552" s="22">
        <v>36</v>
      </c>
    </row>
    <row r="553" spans="2:44" ht="13.5" customHeight="1" x14ac:dyDescent="0.3">
      <c r="B553" s="30">
        <v>538</v>
      </c>
      <c r="C553" s="39">
        <v>10</v>
      </c>
      <c r="D553" s="43" t="s">
        <v>405</v>
      </c>
      <c r="E553" s="37" t="s">
        <v>77</v>
      </c>
      <c r="F553" s="39"/>
      <c r="G553" s="39" t="s">
        <v>403</v>
      </c>
      <c r="H553" s="80">
        <f>I553/AJ553</f>
        <v>14404.404069468832</v>
      </c>
      <c r="I553" s="52">
        <f>SUM(J553:Q553)*IF(입력란!C$15=1,1.04,IF(입력란!C$15=2,1.1,IF(입력란!C$15=3,1.2,1)))*IF(입력란!$C$17&lt;&gt;0,0.98,1)*IF(입력란!$C$12=1,IF(G553="생명50%이하",1.2,1.1),1)*IF(입력란!$C$12=2,IF(G553="생명50%이하",1.3,1.1),1)*IF(입력란!$C$12=3,IF(G553="생명50%이하",1.4,1.1),1)</f>
        <v>496627.2366433756</v>
      </c>
      <c r="J553" s="25">
        <f>S553*(1+IF($AK553+IF(입력란!$C$19=1,10,0)+IF(MID(E553,5,1)="2",35,0)&gt;100,100,$AK553+IF(입력란!$C$19=1,10,0)+IF(MID(E553,5,1)="2",35,0))/100*($AL553/100-1))</f>
        <v>110361.60814297236</v>
      </c>
      <c r="K553" s="25">
        <f>T553*(1+IF($AK553+IF(입력란!$C$19=1,10,0)+IF(MID(E553,5,1)="2",35,0)&gt;100,100,$AK553+IF(입력란!$C$19=1,10,0)+IF(MID(E553,5,1)="2",35,0))/100*(($AL553+IF(MID(E553,5,1)="2",IF(G553="생명50%이하",트라이포드!$R$25,트라이포드!$Q$25),0))/100-1))</f>
        <v>110361.60814297236</v>
      </c>
      <c r="L553" s="25">
        <f>U553*(1+IF($AK553+IF(입력란!$C$19=1,10,0)+IF(MID(E553,5,1)="2",35,0)&gt;100,100,$AK553+IF(입력란!$C$19=1,10,0)+IF(MID(E553,5,1)="2",35,0))/100*(($AL553+IF(MID(E553,5,1)="2",IF(G553="생명50%이하",트라이포드!$R$25*2,트라이포드!$Q$25),0))/100-1))</f>
        <v>110361.60814297236</v>
      </c>
      <c r="M553" s="25">
        <f>V553*(1+IF($AK553+IF(입력란!$C$19=1,10,0)+IF(MID(E553,5,1)="2",35,0)&gt;100,100,$AK553+IF(입력란!$C$19=1,10,0)+IF(MID(E553,5,1)="2",35,0))/100*(($AL553+IF(MID(E553,5,1)="2",IF(G553="생명50%이하",트라이포드!$R$25*3,트라이포드!$Q$25),0))/100-1))</f>
        <v>165542.41221445851</v>
      </c>
      <c r="N553" s="38"/>
      <c r="O553" s="38"/>
      <c r="P553" s="38"/>
      <c r="Q553" s="34">
        <f>Z553*(1+IF($AK553+IF(입력란!$C$19=1,10,0)&gt;100,100,$AK553+IF(입력란!$C$19=1,10,0))/100*($AL553/100-1))</f>
        <v>0</v>
      </c>
      <c r="R553" s="23">
        <f>SUM(S553:Z553)</f>
        <v>405871.8961637672</v>
      </c>
      <c r="S553" s="29">
        <f>AN553*IF(MID(E553,3,1)="3",트라이포드!$N$25,트라이포드!$M$25)*IF(MID(E553,5,1)="1",트라이포드!$P$25,트라이포드!$O$25)*(1+입력란!$C$34/100)</f>
        <v>90193.754703059385</v>
      </c>
      <c r="T553" s="25">
        <f>AN553*IF(MID(E553,3,1)="3",트라이포드!$N$25,트라이포드!$M$25)*IF(MID(E553,5,1)="1",트라이포드!$P$25,트라이포드!$O$25)*(1+입력란!$C$34/100)</f>
        <v>90193.754703059385</v>
      </c>
      <c r="U553" s="25">
        <f>AN553*IF(MID(E553,3,1)="3",트라이포드!$N$25,트라이포드!$M$25)*IF(MID(E553,5,1)="1",트라이포드!$P$25,트라이포드!$O$25)*(1+입력란!$C$34/100)</f>
        <v>90193.754703059385</v>
      </c>
      <c r="V553" s="25">
        <f>AN553*IF(MID(E553,3,1)="1",트라이포드!$J$25,트라이포드!$I$25)*IF(MID(E553,5,1)="1",트라이포드!$P$25,트라이포드!$O$25)*(1+입력란!$C$34/100)</f>
        <v>135290.63205458908</v>
      </c>
      <c r="W553" s="25"/>
      <c r="X553" s="25"/>
      <c r="Y553" s="25"/>
      <c r="Z553" s="24">
        <f>IF(MID(E553,3,1)="2",AN553*0.075*3*4+AN553*3*트라이포드!$L$25,0)</f>
        <v>0</v>
      </c>
      <c r="AA553" s="29">
        <f>SUM(AB553:AI553)</f>
        <v>811743.79232753441</v>
      </c>
      <c r="AB553" s="29">
        <f>S553*2</f>
        <v>180387.50940611877</v>
      </c>
      <c r="AC553" s="25">
        <f>T553*2</f>
        <v>180387.50940611877</v>
      </c>
      <c r="AD553" s="25">
        <f>U553*2</f>
        <v>180387.50940611877</v>
      </c>
      <c r="AE553" s="25">
        <f>V553*2</f>
        <v>270581.26410917816</v>
      </c>
      <c r="AF553" s="29"/>
      <c r="AG553" s="25"/>
      <c r="AH553" s="38"/>
      <c r="AI553" s="24"/>
      <c r="AJ553" s="29">
        <f>AR553*(1-입력란!$C$29/100)</f>
        <v>34.477458022440004</v>
      </c>
      <c r="AK553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3" s="25">
        <f>입력란!$C$37+IF(입력란!$C$17=1,10,IF(입력란!$C$17=2,25,IF(입력란!$C$17=3,50,0)))</f>
        <v>200</v>
      </c>
      <c r="AM553" s="25">
        <f>SUM(AN553:AP553)</f>
        <v>68402.794072938137</v>
      </c>
      <c r="AN553" s="29">
        <f>(VLOOKUP(C553,$B$4:$AK$7,34,FALSE)+VLOOKUP(C553,$B$8:$AK$11,34,FALSE)*입력란!$C$23)*입력란!$C$38/100</f>
        <v>68402.794072938137</v>
      </c>
      <c r="AO553" s="38"/>
      <c r="AP553" s="38"/>
      <c r="AQ553" s="38"/>
      <c r="AR553" s="22">
        <v>36</v>
      </c>
    </row>
    <row r="554" spans="2:44" ht="13.5" customHeight="1" x14ac:dyDescent="0.3">
      <c r="B554" s="30">
        <v>539</v>
      </c>
      <c r="C554" s="39">
        <v>10</v>
      </c>
      <c r="D554" s="43" t="s">
        <v>405</v>
      </c>
      <c r="E554" s="37" t="s">
        <v>390</v>
      </c>
      <c r="F554" s="39" t="s">
        <v>404</v>
      </c>
      <c r="G554" s="39" t="s">
        <v>403</v>
      </c>
      <c r="H554" s="80">
        <f>I554/AJ554</f>
        <v>25927.927325043896</v>
      </c>
      <c r="I554" s="52">
        <f>SUM(J554:Q554)*IF(입력란!C$15=1,1.04,IF(입력란!C$15=2,1.1,IF(입력란!C$15=3,1.2,1)))*IF(입력란!$C$17&lt;&gt;0,0.98,1)*IF(입력란!$C$12=1,IF(G554="생명50%이하",1.2,1.1),1)*IF(입력란!$C$12=2,IF(G554="생명50%이하",1.3,1.1),1)*IF(입력란!$C$12=3,IF(G554="생명50%이하",1.4,1.1),1)</f>
        <v>893929.02595807612</v>
      </c>
      <c r="J554" s="25">
        <f>S554*(1+IF($AK554+IF(입력란!$C$19=1,10,0)+IF(MID(E554,5,1)="2",35,0)&gt;100,100,$AK554+IF(입력란!$C$19=1,10,0)+IF(MID(E554,5,1)="2",35,0))/100*($AL554/100-1))</f>
        <v>198650.89465735023</v>
      </c>
      <c r="K554" s="25">
        <f>T554*(1+IF($AK554+IF(입력란!$C$19=1,10,0)+IF(MID(E554,5,1)="2",35,0)&gt;100,100,$AK554+IF(입력란!$C$19=1,10,0)+IF(MID(E554,5,1)="2",35,0))/100*(($AL554+IF(MID(E554,5,1)="2",IF(G554="생명50%이하",트라이포드!$R$25,트라이포드!$Q$25),0))/100-1))</f>
        <v>198650.89465735023</v>
      </c>
      <c r="L554" s="25">
        <f>U554*(1+IF($AK554+IF(입력란!$C$19=1,10,0)+IF(MID(E554,5,1)="2",35,0)&gt;100,100,$AK554+IF(입력란!$C$19=1,10,0)+IF(MID(E554,5,1)="2",35,0))/100*(($AL554+IF(MID(E554,5,1)="2",IF(G554="생명50%이하",트라이포드!$R$25*2,트라이포드!$Q$25),0))/100-1))</f>
        <v>198650.89465735023</v>
      </c>
      <c r="M554" s="25">
        <f>V554*(1+IF($AK554+IF(입력란!$C$19=1,10,0)+IF(MID(E554,5,1)="2",35,0)&gt;100,100,$AK554+IF(입력란!$C$19=1,10,0)+IF(MID(E554,5,1)="2",35,0))/100*(($AL554+IF(MID(E554,5,1)="2",IF(G554="생명50%이하",트라이포드!$R$25*3,트라이포드!$Q$25),0))/100-1))</f>
        <v>297976.34198602539</v>
      </c>
      <c r="N554" s="38"/>
      <c r="O554" s="38"/>
      <c r="P554" s="38"/>
      <c r="Q554" s="34">
        <f>Z554*(1+IF($AK554+IF(입력란!$C$19=1,10,0)&gt;100,100,$AK554+IF(입력란!$C$19=1,10,0))/100*($AL554/100-1))</f>
        <v>0</v>
      </c>
      <c r="R554" s="23">
        <f>SUM(S554:Z554)</f>
        <v>730569.41309478111</v>
      </c>
      <c r="S554" s="29">
        <f>AN554*IF(MID(E554,3,1)="3",트라이포드!$N$25,트라이포드!$M$25)*IF(MID(E554,5,1)="1",트라이포드!$P$25,트라이포드!$O$25)*(1+입력란!$C$34/100)</f>
        <v>162348.75846550689</v>
      </c>
      <c r="T554" s="25">
        <f>AN554*IF(MID(E554,3,1)="3",트라이포드!$N$25,트라이포드!$M$25)*IF(MID(E554,5,1)="1",트라이포드!$P$25,트라이포드!$O$25)*(1+입력란!$C$34/100)</f>
        <v>162348.75846550689</v>
      </c>
      <c r="U554" s="25">
        <f>AN554*IF(MID(E554,3,1)="3",트라이포드!$N$25,트라이포드!$M$25)*IF(MID(E554,5,1)="1",트라이포드!$P$25,트라이포드!$O$25)*(1+입력란!$C$34/100)</f>
        <v>162348.75846550689</v>
      </c>
      <c r="V554" s="25">
        <f>AN554*IF(MID(E554,3,1)="1",트라이포드!$J$25,트라이포드!$I$25)*IF(MID(E554,5,1)="1",트라이포드!$P$25,트라이포드!$O$25)*(1+입력란!$C$34/100)</f>
        <v>243523.13769826037</v>
      </c>
      <c r="W554" s="25"/>
      <c r="X554" s="25"/>
      <c r="Y554" s="25"/>
      <c r="Z554" s="24">
        <f>IF(MID(E554,3,1)="2",AN554*0.075*3*4+AN554*3*트라이포드!$L$25,0)</f>
        <v>0</v>
      </c>
      <c r="AA554" s="29">
        <f>SUM(AB554:AI554)</f>
        <v>1461138.8261895622</v>
      </c>
      <c r="AB554" s="29">
        <f>S554*2</f>
        <v>324697.51693101379</v>
      </c>
      <c r="AC554" s="25">
        <f>T554*2</f>
        <v>324697.51693101379</v>
      </c>
      <c r="AD554" s="25">
        <f>U554*2</f>
        <v>324697.51693101379</v>
      </c>
      <c r="AE554" s="25">
        <f>V554*2</f>
        <v>487046.27539652074</v>
      </c>
      <c r="AF554" s="29"/>
      <c r="AG554" s="25"/>
      <c r="AH554" s="38"/>
      <c r="AI554" s="24"/>
      <c r="AJ554" s="29">
        <f>AR554*(1-입력란!$C$29/100)</f>
        <v>34.477458022440004</v>
      </c>
      <c r="AK554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4" s="25">
        <f>입력란!$C$37+IF(입력란!$C$17=1,10,IF(입력란!$C$17=2,25,IF(입력란!$C$17=3,50,0)))</f>
        <v>200</v>
      </c>
      <c r="AM554" s="25">
        <f>SUM(AN554:AP554)</f>
        <v>68402.794072938137</v>
      </c>
      <c r="AN554" s="29">
        <f>(VLOOKUP(C554,$B$4:$AK$7,34,FALSE)+VLOOKUP(C554,$B$8:$AK$11,34,FALSE)*입력란!$C$23)*입력란!$C$38/100</f>
        <v>68402.794072938137</v>
      </c>
      <c r="AO554" s="38"/>
      <c r="AP554" s="38"/>
      <c r="AQ554" s="38"/>
      <c r="AR554" s="22">
        <v>36</v>
      </c>
    </row>
    <row r="555" spans="2:44" ht="13.5" customHeight="1" x14ac:dyDescent="0.3">
      <c r="B555" s="30">
        <v>540</v>
      </c>
      <c r="C555" s="39">
        <v>10</v>
      </c>
      <c r="D555" s="43" t="s">
        <v>405</v>
      </c>
      <c r="E555" s="37" t="s">
        <v>391</v>
      </c>
      <c r="F555" s="39"/>
      <c r="G555" s="39" t="s">
        <v>403</v>
      </c>
      <c r="H555" s="80">
        <f>I555/AJ555</f>
        <v>32592.434256258603</v>
      </c>
      <c r="I555" s="52">
        <f>SUM(J555:Q555)*IF(입력란!C$15=1,1.04,IF(입력란!C$15=2,1.1,IF(입력란!C$15=3,1.2,1)))*IF(입력란!$C$17&lt;&gt;0,0.98,1)*IF(입력란!$C$12=1,IF(G555="생명50%이하",1.2,1.1),1)*IF(입력란!$C$12=2,IF(G555="생명50%이하",1.3,1.1),1)*IF(입력란!$C$12=3,IF(G555="생명50%이하",1.4,1.1),1)</f>
        <v>1123704.2839192916</v>
      </c>
      <c r="J555" s="25">
        <f>S555*(1+IF($AK555+IF(입력란!$C$19=1,10,0)+IF(MID(E555,5,1)="2",35,0)&gt;100,100,$AK555+IF(입력란!$C$19=1,10,0)+IF(MID(E555,5,1)="2",35,0))/100*($AL555/100-1))</f>
        <v>141929.42228904314</v>
      </c>
      <c r="K555" s="25">
        <f>T555*(1+IF($AK555+IF(입력란!$C$19=1,10,0)+IF(MID(E555,5,1)="2",35,0)&gt;100,100,$AK555+IF(입력란!$C$19=1,10,0)+IF(MID(E555,5,1)="2",35,0))/100*(($AL555+IF(MID(E555,5,1)="2",IF(G555="생명50%이하",트라이포드!$R$25,트라이포드!$Q$25),0))/100-1))</f>
        <v>206599.00677152281</v>
      </c>
      <c r="L555" s="25">
        <f>U555*(1+IF($AK555+IF(입력란!$C$19=1,10,0)+IF(MID(E555,5,1)="2",35,0)&gt;100,100,$AK555+IF(입력란!$C$19=1,10,0)+IF(MID(E555,5,1)="2",35,0))/100*(($AL555+IF(MID(E555,5,1)="2",IF(G555="생명50%이하",트라이포드!$R$25*2,트라이포드!$Q$25),0))/100-1))</f>
        <v>271268.59125400247</v>
      </c>
      <c r="M555" s="25">
        <f>V555*(1+IF($AK555+IF(입력란!$C$19=1,10,0)+IF(MID(E555,5,1)="2",35,0)&gt;100,100,$AK555+IF(입력란!$C$19=1,10,0)+IF(MID(E555,5,1)="2",35,0))/100*(($AL555+IF(MID(E555,5,1)="2",IF(G555="생명50%이하",트라이포드!$R$25*3,트라이포드!$Q$25),0))/100-1))</f>
        <v>503907.26360472327</v>
      </c>
      <c r="N555" s="38"/>
      <c r="O555" s="38"/>
      <c r="P555" s="38"/>
      <c r="Q555" s="34">
        <f>Z555*(1+IF($AK555+IF(입력란!$C$19=1,10,0)&gt;100,100,$AK555+IF(입력란!$C$19=1,10,0))/100*($AL555/100-1))</f>
        <v>0</v>
      </c>
      <c r="R555" s="23">
        <f>SUM(S555:Z555)</f>
        <v>405871.8961637672</v>
      </c>
      <c r="S555" s="29">
        <f>AN555*IF(MID(E555,3,1)="3",트라이포드!$N$25,트라이포드!$M$25)*IF(MID(E555,5,1)="1",트라이포드!$P$25,트라이포드!$O$25)*(1+입력란!$C$34/100)</f>
        <v>90193.754703059385</v>
      </c>
      <c r="T555" s="25">
        <f>AN555*IF(MID(E555,3,1)="3",트라이포드!$N$25,트라이포드!$M$25)*IF(MID(E555,5,1)="1",트라이포드!$P$25,트라이포드!$O$25)*(1+입력란!$C$34/100)</f>
        <v>90193.754703059385</v>
      </c>
      <c r="U555" s="25">
        <f>AN555*IF(MID(E555,3,1)="3",트라이포드!$N$25,트라이포드!$M$25)*IF(MID(E555,5,1)="1",트라이포드!$P$25,트라이포드!$O$25)*(1+입력란!$C$34/100)</f>
        <v>90193.754703059385</v>
      </c>
      <c r="V555" s="25">
        <f>AN555*IF(MID(E555,3,1)="1",트라이포드!$J$25,트라이포드!$I$25)*IF(MID(E555,5,1)="1",트라이포드!$P$25,트라이포드!$O$25)*(1+입력란!$C$34/100)</f>
        <v>135290.63205458908</v>
      </c>
      <c r="W555" s="25"/>
      <c r="X555" s="25"/>
      <c r="Y555" s="25"/>
      <c r="Z555" s="24">
        <f>IF(MID(E555,3,1)="2",AN555*0.075*3*4+AN555*3*트라이포드!$L$25,0)</f>
        <v>0</v>
      </c>
      <c r="AA555" s="29">
        <f>SUM(AB555:AI555)</f>
        <v>811743.79232753441</v>
      </c>
      <c r="AB555" s="29">
        <f>S555*2</f>
        <v>180387.50940611877</v>
      </c>
      <c r="AC555" s="25">
        <f>T555*2</f>
        <v>180387.50940611877</v>
      </c>
      <c r="AD555" s="25">
        <f>U555*2</f>
        <v>180387.50940611877</v>
      </c>
      <c r="AE555" s="25">
        <f>V555*2</f>
        <v>270581.26410917816</v>
      </c>
      <c r="AF555" s="29"/>
      <c r="AG555" s="25"/>
      <c r="AH555" s="38"/>
      <c r="AI555" s="24"/>
      <c r="AJ555" s="29">
        <f>AR555*(1-입력란!$C$29/100)</f>
        <v>34.477458022440004</v>
      </c>
      <c r="AK555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5" s="25">
        <f>입력란!$C$37+IF(입력란!$C$17=1,10,IF(입력란!$C$17=2,25,IF(입력란!$C$17=3,50,0)))</f>
        <v>200</v>
      </c>
      <c r="AM555" s="25">
        <f>SUM(AN555:AP555)</f>
        <v>68402.794072938137</v>
      </c>
      <c r="AN555" s="29">
        <f>(VLOOKUP(C555,$B$4:$AK$7,34,FALSE)+VLOOKUP(C555,$B$8:$AK$11,34,FALSE)*입력란!$C$23)*입력란!$C$38/100</f>
        <v>68402.794072938137</v>
      </c>
      <c r="AO555" s="38"/>
      <c r="AP555" s="38"/>
      <c r="AQ555" s="38"/>
      <c r="AR555" s="22">
        <v>36</v>
      </c>
    </row>
    <row r="556" spans="2:44" ht="13.5" customHeight="1" x14ac:dyDescent="0.3">
      <c r="B556" s="30">
        <v>541</v>
      </c>
      <c r="C556" s="39">
        <v>10</v>
      </c>
      <c r="D556" s="43" t="s">
        <v>405</v>
      </c>
      <c r="E556" s="37" t="s">
        <v>338</v>
      </c>
      <c r="F556" s="39" t="s">
        <v>412</v>
      </c>
      <c r="G556" s="39" t="s">
        <v>403</v>
      </c>
      <c r="H556" s="80">
        <f>I556/AJ556</f>
        <v>13244.361436762738</v>
      </c>
      <c r="I556" s="52">
        <f>SUM(J556:Q556)*IF(입력란!C$15=1,1.04,IF(입력란!C$15=2,1.1,IF(입력란!C$15=3,1.2,1)))*IF(입력란!$C$17&lt;&gt;0,0.98,1)*IF(입력란!$C$12=1,IF(G556="생명50%이하",1.2,1.1),1)*IF(입력란!$C$12=2,IF(G556="생명50%이하",1.3,1.1),1)*IF(입력란!$C$12=3,IF(G556="생명50%이하",1.4,1.1),1)</f>
        <v>456631.91547001048</v>
      </c>
      <c r="J556" s="25">
        <f>S556*(1+IF($AK556+IF(입력란!$C$19=1,10,0)+IF(MID(E556,5,1)="2",35,0)&gt;100,100,$AK556+IF(입력란!$C$19=1,10,0)+IF(MID(E556,5,1)="2",35,0))/100*($AL556/100-1))</f>
        <v>110361.60814297236</v>
      </c>
      <c r="K556" s="25">
        <f>T556*(1+IF($AK556+IF(입력란!$C$19=1,10,0)+IF(MID(E556,5,1)="2",35,0)&gt;100,100,$AK556+IF(입력란!$C$19=1,10,0)+IF(MID(E556,5,1)="2",35,0))/100*(($AL556+IF(MID(E556,5,1)="2",IF(G556="생명50%이하",트라이포드!$R$25,트라이포드!$Q$25),0))/100-1))</f>
        <v>110361.60814297236</v>
      </c>
      <c r="L556" s="25">
        <f>U556*(1+IF($AK556+IF(입력란!$C$19=1,10,0)+IF(MID(E556,5,1)="2",35,0)&gt;100,100,$AK556+IF(입력란!$C$19=1,10,0)+IF(MID(E556,5,1)="2",35,0))/100*(($AL556+IF(MID(E556,5,1)="2",IF(G556="생명50%이하",트라이포드!$R$25*2,트라이포드!$Q$25),0))/100-1))</f>
        <v>110361.60814297236</v>
      </c>
      <c r="M556" s="25">
        <f>V556*(1+IF($AK556+IF(입력란!$C$19=1,10,0)+IF(MID(E556,5,1)="2",35,0)&gt;100,100,$AK556+IF(입력란!$C$19=1,10,0)+IF(MID(E556,5,1)="2",35,0))/100*(($AL556+IF(MID(E556,5,1)="2",IF(G556="생명50%이하",트라이포드!$R$25*3,트라이포드!$Q$25),0))/100-1))</f>
        <v>0</v>
      </c>
      <c r="N556" s="38"/>
      <c r="O556" s="38"/>
      <c r="P556" s="38"/>
      <c r="Q556" s="34">
        <f>Z556*(1+IF($AK556+IF(입력란!$C$19=1,10,0)&gt;100,100,$AK556+IF(입력란!$C$19=1,10,0))/100*($AL556/100-1))</f>
        <v>125547.09104109342</v>
      </c>
      <c r="R556" s="23">
        <f>SUM(S556:Z556)</f>
        <v>373185.45521858532</v>
      </c>
      <c r="S556" s="29">
        <f>AN556*IF(MID(E556,3,1)="3",트라이포드!$N$25,트라이포드!$M$25)*IF(MID(E556,5,1)="1",트라이포드!$P$25,트라이포드!$O$25)*(1+입력란!$C$34/100)</f>
        <v>90193.754703059385</v>
      </c>
      <c r="T556" s="25">
        <f>AN556*IF(MID(E556,3,1)="3",트라이포드!$N$25,트라이포드!$M$25)*IF(MID(E556,5,1)="1",트라이포드!$P$25,트라이포드!$O$25)*(1+입력란!$C$34/100)</f>
        <v>90193.754703059385</v>
      </c>
      <c r="U556" s="25">
        <f>AN556*IF(MID(E556,3,1)="3",트라이포드!$N$25,트라이포드!$M$25)*IF(MID(E556,5,1)="1",트라이포드!$P$25,트라이포드!$O$25)*(1+입력란!$C$34/100)</f>
        <v>90193.754703059385</v>
      </c>
      <c r="V556" s="25">
        <f>AN556*IF(MID(E556,3,1)="1",트라이포드!$J$25,트라이포드!$I$25)*IF(MID(E556,5,1)="1",트라이포드!$P$25,트라이포드!$O$25)*(1+입력란!$C$34/100)</f>
        <v>0</v>
      </c>
      <c r="W556" s="25"/>
      <c r="X556" s="25"/>
      <c r="Y556" s="25"/>
      <c r="Z556" s="24">
        <f>IF(MID(E556,3,1)="2",AN556*0.075*3*4+AN556*3*트라이포드!$L$25,0)</f>
        <v>102604.1911094072</v>
      </c>
      <c r="AA556" s="29">
        <f>SUM(AB556:AI556)</f>
        <v>541162.52821835631</v>
      </c>
      <c r="AB556" s="29">
        <f>S556*2</f>
        <v>180387.50940611877</v>
      </c>
      <c r="AC556" s="25">
        <f>T556*2</f>
        <v>180387.50940611877</v>
      </c>
      <c r="AD556" s="25">
        <f>U556*2</f>
        <v>180387.50940611877</v>
      </c>
      <c r="AE556" s="25">
        <f>V556*2</f>
        <v>0</v>
      </c>
      <c r="AF556" s="29"/>
      <c r="AG556" s="25"/>
      <c r="AH556" s="38"/>
      <c r="AI556" s="24"/>
      <c r="AJ556" s="29">
        <f>AR556*(1-입력란!$C$29/100)</f>
        <v>34.477458022440004</v>
      </c>
      <c r="AK556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6" s="25">
        <f>입력란!$C$37+IF(입력란!$C$17=1,10,IF(입력란!$C$17=2,25,IF(입력란!$C$17=3,50,0)))</f>
        <v>200</v>
      </c>
      <c r="AM556" s="25">
        <f>SUM(AN556:AP556)</f>
        <v>68402.794072938137</v>
      </c>
      <c r="AN556" s="29">
        <f>(VLOOKUP(C556,$B$4:$AK$7,34,FALSE)+VLOOKUP(C556,$B$8:$AK$11,34,FALSE)*입력란!$C$23)*입력란!$C$38/100</f>
        <v>68402.794072938137</v>
      </c>
      <c r="AO556" s="38"/>
      <c r="AP556" s="38"/>
      <c r="AQ556" s="38"/>
      <c r="AR556" s="22">
        <v>36</v>
      </c>
    </row>
    <row r="557" spans="2:44" ht="13.5" customHeight="1" x14ac:dyDescent="0.3">
      <c r="B557" s="30">
        <v>542</v>
      </c>
      <c r="C557" s="39">
        <v>10</v>
      </c>
      <c r="D557" s="43" t="s">
        <v>405</v>
      </c>
      <c r="E557" s="37" t="s">
        <v>214</v>
      </c>
      <c r="F557" s="39" t="s">
        <v>413</v>
      </c>
      <c r="G557" s="39" t="s">
        <v>403</v>
      </c>
      <c r="H557" s="80">
        <f>I557/AJ557</f>
        <v>20926.71027381278</v>
      </c>
      <c r="I557" s="52">
        <f>SUM(J557:Q557)*IF(입력란!C$15=1,1.04,IF(입력란!C$15=2,1.1,IF(입력란!C$15=3,1.2,1)))*IF(입력란!$C$17&lt;&gt;0,0.98,1)*IF(입력란!$C$12=1,IF(G557="생명50%이하",1.2,1.1),1)*IF(입력란!$C$12=2,IF(G557="생명50%이하",1.3,1.1),1)*IF(입력란!$C$12=3,IF(G557="생명50%이하",1.4,1.1),1)</f>
        <v>721499.77501314413</v>
      </c>
      <c r="J557" s="25">
        <f>S557*(1+IF($AK557+IF(입력란!$C$19=1,10,0)+IF(MID(E557,5,1)="2",35,0)&gt;100,100,$AK557+IF(입력란!$C$19=1,10,0)+IF(MID(E557,5,1)="2",35,0))/100*($AL557/100-1))</f>
        <v>198650.89465735023</v>
      </c>
      <c r="K557" s="25">
        <f>T557*(1+IF($AK557+IF(입력란!$C$19=1,10,0)+IF(MID(E557,5,1)="2",35,0)&gt;100,100,$AK557+IF(입력란!$C$19=1,10,0)+IF(MID(E557,5,1)="2",35,0))/100*(($AL557+IF(MID(E557,5,1)="2",IF(G557="생명50%이하",트라이포드!$R$25,트라이포드!$Q$25),0))/100-1))</f>
        <v>198650.89465735023</v>
      </c>
      <c r="L557" s="25">
        <f>U557*(1+IF($AK557+IF(입력란!$C$19=1,10,0)+IF(MID(E557,5,1)="2",35,0)&gt;100,100,$AK557+IF(입력란!$C$19=1,10,0)+IF(MID(E557,5,1)="2",35,0))/100*(($AL557+IF(MID(E557,5,1)="2",IF(G557="생명50%이하",트라이포드!$R$25*2,트라이포드!$Q$25),0))/100-1))</f>
        <v>198650.89465735023</v>
      </c>
      <c r="M557" s="25">
        <f>V557*(1+IF($AK557+IF(입력란!$C$19=1,10,0)+IF(MID(E557,5,1)="2",35,0)&gt;100,100,$AK557+IF(입력란!$C$19=1,10,0)+IF(MID(E557,5,1)="2",35,0))/100*(($AL557+IF(MID(E557,5,1)="2",IF(G557="생명50%이하",트라이포드!$R$25*3,트라이포드!$Q$25),0))/100-1))</f>
        <v>0</v>
      </c>
      <c r="N557" s="38"/>
      <c r="O557" s="38"/>
      <c r="P557" s="38"/>
      <c r="Q557" s="34">
        <f>Z557*(1+IF($AK557+IF(입력란!$C$19=1,10,0)&gt;100,100,$AK557+IF(입력란!$C$19=1,10,0))/100*($AL557/100-1))</f>
        <v>125547.09104109342</v>
      </c>
      <c r="R557" s="23">
        <f>SUM(S557:Z557)</f>
        <v>589650.46650592785</v>
      </c>
      <c r="S557" s="29">
        <f>AN557*IF(MID(E557,3,1)="3",트라이포드!$N$25,트라이포드!$M$25)*IF(MID(E557,5,1)="1",트라이포드!$P$25,트라이포드!$O$25)*(1+입력란!$C$34/100)</f>
        <v>162348.75846550689</v>
      </c>
      <c r="T557" s="25">
        <f>AN557*IF(MID(E557,3,1)="3",트라이포드!$N$25,트라이포드!$M$25)*IF(MID(E557,5,1)="1",트라이포드!$P$25,트라이포드!$O$25)*(1+입력란!$C$34/100)</f>
        <v>162348.75846550689</v>
      </c>
      <c r="U557" s="25">
        <f>AN557*IF(MID(E557,3,1)="3",트라이포드!$N$25,트라이포드!$M$25)*IF(MID(E557,5,1)="1",트라이포드!$P$25,트라이포드!$O$25)*(1+입력란!$C$34/100)</f>
        <v>162348.75846550689</v>
      </c>
      <c r="V557" s="25">
        <f>AN557*IF(MID(E557,3,1)="1",트라이포드!$J$25,트라이포드!$I$25)*IF(MID(E557,5,1)="1",트라이포드!$P$25,트라이포드!$O$25)*(1+입력란!$C$34/100)</f>
        <v>0</v>
      </c>
      <c r="W557" s="25"/>
      <c r="X557" s="25"/>
      <c r="Y557" s="25"/>
      <c r="Z557" s="24">
        <f>IF(MID(E557,3,1)="2",AN557*0.075*3*4+AN557*3*트라이포드!$L$25,0)</f>
        <v>102604.1911094072</v>
      </c>
      <c r="AA557" s="29">
        <f>SUM(AB557:AI557)</f>
        <v>974092.55079304136</v>
      </c>
      <c r="AB557" s="29">
        <f>S557*2</f>
        <v>324697.51693101379</v>
      </c>
      <c r="AC557" s="25">
        <f>T557*2</f>
        <v>324697.51693101379</v>
      </c>
      <c r="AD557" s="25">
        <f>U557*2</f>
        <v>324697.51693101379</v>
      </c>
      <c r="AE557" s="25">
        <f>V557*2</f>
        <v>0</v>
      </c>
      <c r="AF557" s="29"/>
      <c r="AG557" s="25"/>
      <c r="AH557" s="38"/>
      <c r="AI557" s="24"/>
      <c r="AJ557" s="29">
        <f>AR557*(1-입력란!$C$29/100)</f>
        <v>34.477458022440004</v>
      </c>
      <c r="AK557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7" s="25">
        <f>입력란!$C$37+IF(입력란!$C$17=1,10,IF(입력란!$C$17=2,25,IF(입력란!$C$17=3,50,0)))</f>
        <v>200</v>
      </c>
      <c r="AM557" s="25">
        <f>SUM(AN557:AP557)</f>
        <v>68402.794072938137</v>
      </c>
      <c r="AN557" s="29">
        <f>(VLOOKUP(C557,$B$4:$AK$7,34,FALSE)+VLOOKUP(C557,$B$8:$AK$11,34,FALSE)*입력란!$C$23)*입력란!$C$38/100</f>
        <v>68402.794072938137</v>
      </c>
      <c r="AO557" s="38"/>
      <c r="AP557" s="38"/>
      <c r="AQ557" s="38"/>
      <c r="AR557" s="22">
        <v>36</v>
      </c>
    </row>
    <row r="558" spans="2:44" ht="13.5" customHeight="1" x14ac:dyDescent="0.3">
      <c r="B558" s="30">
        <v>543</v>
      </c>
      <c r="C558" s="39">
        <v>10</v>
      </c>
      <c r="D558" s="43" t="s">
        <v>405</v>
      </c>
      <c r="E558" s="37" t="s">
        <v>411</v>
      </c>
      <c r="F558" s="39" t="s">
        <v>412</v>
      </c>
      <c r="G558" s="39" t="s">
        <v>403</v>
      </c>
      <c r="H558" s="80">
        <f>I558/AJ558</f>
        <v>21618.302337444573</v>
      </c>
      <c r="I558" s="52">
        <f>SUM(J558:Q558)*IF(입력란!C$15=1,1.04,IF(입력란!C$15=2,1.1,IF(입력란!C$15=3,1.2,1)))*IF(입력란!$C$17&lt;&gt;0,0.98,1)*IF(입력란!$C$12=1,IF(G558="생명50%이하",1.2,1.1),1)*IF(입력란!$C$12=2,IF(G558="생명50%이하",1.3,1.1),1)*IF(입력란!$C$12=3,IF(G558="생명50%이하",1.4,1.1),1)</f>
        <v>745344.11135566188</v>
      </c>
      <c r="J558" s="25">
        <f>S558*(1+IF($AK558+IF(입력란!$C$19=1,10,0)+IF(MID(E558,5,1)="2",35,0)&gt;100,100,$AK558+IF(입력란!$C$19=1,10,0)+IF(MID(E558,5,1)="2",35,0))/100*($AL558/100-1))</f>
        <v>141929.42228904314</v>
      </c>
      <c r="K558" s="25">
        <f>T558*(1+IF($AK558+IF(입력란!$C$19=1,10,0)+IF(MID(E558,5,1)="2",35,0)&gt;100,100,$AK558+IF(입력란!$C$19=1,10,0)+IF(MID(E558,5,1)="2",35,0))/100*(($AL558+IF(MID(E558,5,1)="2",IF(G558="생명50%이하",트라이포드!$R$25,트라이포드!$Q$25),0))/100-1))</f>
        <v>206599.00677152281</v>
      </c>
      <c r="L558" s="25">
        <f>U558*(1+IF($AK558+IF(입력란!$C$19=1,10,0)+IF(MID(E558,5,1)="2",35,0)&gt;100,100,$AK558+IF(입력란!$C$19=1,10,0)+IF(MID(E558,5,1)="2",35,0))/100*(($AL558+IF(MID(E558,5,1)="2",IF(G558="생명50%이하",트라이포드!$R$25*2,트라이포드!$Q$25),0))/100-1))</f>
        <v>271268.59125400247</v>
      </c>
      <c r="M558" s="25">
        <f>V558*(1+IF($AK558+IF(입력란!$C$19=1,10,0)+IF(MID(E558,5,1)="2",35,0)&gt;100,100,$AK558+IF(입력란!$C$19=1,10,0)+IF(MID(E558,5,1)="2",35,0))/100*(($AL558+IF(MID(E558,5,1)="2",IF(G558="생명50%이하",트라이포드!$R$25*3,트라이포드!$Q$25),0))/100-1))</f>
        <v>0</v>
      </c>
      <c r="N558" s="38"/>
      <c r="O558" s="38"/>
      <c r="P558" s="38"/>
      <c r="Q558" s="34">
        <f>Z558*(1+IF($AK558+IF(입력란!$C$19=1,10,0)&gt;100,100,$AK558+IF(입력란!$C$19=1,10,0))/100*($AL558/100-1))</f>
        <v>125547.09104109342</v>
      </c>
      <c r="R558" s="23">
        <f>SUM(S558:Z558)</f>
        <v>373185.45521858532</v>
      </c>
      <c r="S558" s="29">
        <f>AN558*IF(MID(E558,3,1)="3",트라이포드!$N$25,트라이포드!$M$25)*IF(MID(E558,5,1)="1",트라이포드!$P$25,트라이포드!$O$25)*(1+입력란!$C$34/100)</f>
        <v>90193.754703059385</v>
      </c>
      <c r="T558" s="25">
        <f>AN558*IF(MID(E558,3,1)="3",트라이포드!$N$25,트라이포드!$M$25)*IF(MID(E558,5,1)="1",트라이포드!$P$25,트라이포드!$O$25)*(1+입력란!$C$34/100)</f>
        <v>90193.754703059385</v>
      </c>
      <c r="U558" s="25">
        <f>AN558*IF(MID(E558,3,1)="3",트라이포드!$N$25,트라이포드!$M$25)*IF(MID(E558,5,1)="1",트라이포드!$P$25,트라이포드!$O$25)*(1+입력란!$C$34/100)</f>
        <v>90193.754703059385</v>
      </c>
      <c r="V558" s="25">
        <f>AN558*IF(MID(E558,3,1)="1",트라이포드!$J$25,트라이포드!$I$25)*IF(MID(E558,5,1)="1",트라이포드!$P$25,트라이포드!$O$25)*(1+입력란!$C$34/100)</f>
        <v>0</v>
      </c>
      <c r="W558" s="25"/>
      <c r="X558" s="25"/>
      <c r="Y558" s="25"/>
      <c r="Z558" s="24">
        <f>IF(MID(E558,3,1)="2",AN558*0.075*3*4+AN558*3*트라이포드!$L$25,0)</f>
        <v>102604.1911094072</v>
      </c>
      <c r="AA558" s="29">
        <f>SUM(AB558:AI558)</f>
        <v>541162.52821835631</v>
      </c>
      <c r="AB558" s="29">
        <f>S558*2</f>
        <v>180387.50940611877</v>
      </c>
      <c r="AC558" s="25">
        <f>T558*2</f>
        <v>180387.50940611877</v>
      </c>
      <c r="AD558" s="25">
        <f>U558*2</f>
        <v>180387.50940611877</v>
      </c>
      <c r="AE558" s="25">
        <f>V558*2</f>
        <v>0</v>
      </c>
      <c r="AF558" s="29"/>
      <c r="AG558" s="25"/>
      <c r="AH558" s="38"/>
      <c r="AI558" s="24"/>
      <c r="AJ558" s="29">
        <f>AR558*(1-입력란!$C$29/100)</f>
        <v>34.477458022440004</v>
      </c>
      <c r="AK558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8" s="25">
        <f>입력란!$C$37+IF(입력란!$C$17=1,10,IF(입력란!$C$17=2,25,IF(입력란!$C$17=3,50,0)))</f>
        <v>200</v>
      </c>
      <c r="AM558" s="25">
        <f>SUM(AN558:AP558)</f>
        <v>68402.794072938137</v>
      </c>
      <c r="AN558" s="29">
        <f>(VLOOKUP(C558,$B$4:$AK$7,34,FALSE)+VLOOKUP(C558,$B$8:$AK$11,34,FALSE)*입력란!$C$23)*입력란!$C$38/100</f>
        <v>68402.794072938137</v>
      </c>
      <c r="AO558" s="38"/>
      <c r="AP558" s="38"/>
      <c r="AQ558" s="38"/>
      <c r="AR558" s="22">
        <v>36</v>
      </c>
    </row>
    <row r="559" spans="2:44" ht="13.5" customHeight="1" x14ac:dyDescent="0.3">
      <c r="B559" s="30">
        <v>544</v>
      </c>
      <c r="C559" s="39">
        <v>10</v>
      </c>
      <c r="D559" s="43" t="s">
        <v>405</v>
      </c>
      <c r="E559" s="37" t="s">
        <v>339</v>
      </c>
      <c r="F559" s="39"/>
      <c r="G559" s="39" t="s">
        <v>403</v>
      </c>
      <c r="H559" s="80">
        <f>I559/AJ559</f>
        <v>12003.670057890693</v>
      </c>
      <c r="I559" s="52">
        <f>SUM(J559:Q559)*IF(입력란!C$15=1,1.04,IF(입력란!C$15=2,1.1,IF(입력란!C$15=3,1.2,1)))*IF(입력란!$C$17&lt;&gt;0,0.98,1)*IF(입력란!$C$12=1,IF(G559="생명50%이하",1.2,1.1),1)*IF(입력란!$C$12=2,IF(G559="생명50%이하",1.3,1.1),1)*IF(입력란!$C$12=3,IF(G559="생명50%이하",1.4,1.1),1)</f>
        <v>413856.03053614637</v>
      </c>
      <c r="J559" s="25">
        <f>S559*(1+IF($AK559+IF(입력란!$C$19=1,10,0)+IF(MID(E559,5,1)="2",35,0)&gt;100,100,$AK559+IF(입력란!$C$19=1,10,0)+IF(MID(E559,5,1)="2",35,0))/100*($AL559/100-1))</f>
        <v>137952.01017871546</v>
      </c>
      <c r="K559" s="25">
        <f>T559*(1+IF($AK559+IF(입력란!$C$19=1,10,0)+IF(MID(E559,5,1)="2",35,0)&gt;100,100,$AK559+IF(입력란!$C$19=1,10,0)+IF(MID(E559,5,1)="2",35,0))/100*(($AL559+IF(MID(E559,5,1)="2",IF(G559="생명50%이하",트라이포드!$R$25,트라이포드!$Q$25),0))/100-1))</f>
        <v>137952.01017871546</v>
      </c>
      <c r="L559" s="25">
        <f>U559*(1+IF($AK559+IF(입력란!$C$19=1,10,0)+IF(MID(E559,5,1)="2",35,0)&gt;100,100,$AK559+IF(입력란!$C$19=1,10,0)+IF(MID(E559,5,1)="2",35,0))/100*(($AL559+IF(MID(E559,5,1)="2",IF(G559="생명50%이하",트라이포드!$R$25*2,트라이포드!$Q$25),0))/100-1))</f>
        <v>137952.01017871546</v>
      </c>
      <c r="M559" s="25">
        <f>V559*(1+IF($AK559+IF(입력란!$C$19=1,10,0)+IF(MID(E559,5,1)="2",35,0)&gt;100,100,$AK559+IF(입력란!$C$19=1,10,0)+IF(MID(E559,5,1)="2",35,0))/100*(($AL559+IF(MID(E559,5,1)="2",IF(G559="생명50%이하",트라이포드!$R$25*3,트라이포드!$Q$25),0))/100-1))</f>
        <v>0</v>
      </c>
      <c r="N559" s="38"/>
      <c r="O559" s="38"/>
      <c r="P559" s="38"/>
      <c r="Q559" s="34">
        <f>Z559*(1+IF($AK559+IF(입력란!$C$19=1,10,0)&gt;100,100,$AK559+IF(입력란!$C$19=1,10,0))/100*($AL559/100-1))</f>
        <v>0</v>
      </c>
      <c r="R559" s="23">
        <f>SUM(S559:Z559)</f>
        <v>338226.58013647271</v>
      </c>
      <c r="S559" s="29">
        <f>AN559*IF(MID(E559,3,1)="3",트라이포드!$N$25,트라이포드!$M$25)*IF(MID(E559,5,1)="1",트라이포드!$P$25,트라이포드!$O$25)*(1+입력란!$C$34/100)</f>
        <v>112742.19337882425</v>
      </c>
      <c r="T559" s="25">
        <f>AN559*IF(MID(E559,3,1)="3",트라이포드!$N$25,트라이포드!$M$25)*IF(MID(E559,5,1)="1",트라이포드!$P$25,트라이포드!$O$25)*(1+입력란!$C$34/100)</f>
        <v>112742.19337882425</v>
      </c>
      <c r="U559" s="25">
        <f>AN559*IF(MID(E559,3,1)="3",트라이포드!$N$25,트라이포드!$M$25)*IF(MID(E559,5,1)="1",트라이포드!$P$25,트라이포드!$O$25)*(1+입력란!$C$34/100)</f>
        <v>112742.19337882425</v>
      </c>
      <c r="V559" s="25">
        <f>AN559*IF(MID(E559,3,1)="1",트라이포드!$J$25,트라이포드!$I$25)*IF(MID(E559,5,1)="1",트라이포드!$P$25,트라이포드!$O$25)*(1+입력란!$C$34/100)</f>
        <v>0</v>
      </c>
      <c r="W559" s="25"/>
      <c r="X559" s="25"/>
      <c r="Y559" s="25"/>
      <c r="Z559" s="24">
        <f>IF(MID(E559,3,1)="2",AN559*0.075*3*4+AN559*3*트라이포드!$L$25,0)</f>
        <v>0</v>
      </c>
      <c r="AA559" s="29">
        <f>SUM(AB559:AI559)</f>
        <v>676453.16027294542</v>
      </c>
      <c r="AB559" s="29">
        <f>S559*2</f>
        <v>225484.38675764849</v>
      </c>
      <c r="AC559" s="25">
        <f>T559*2</f>
        <v>225484.38675764849</v>
      </c>
      <c r="AD559" s="25">
        <f>U559*2</f>
        <v>225484.38675764849</v>
      </c>
      <c r="AE559" s="25">
        <f>V559*2</f>
        <v>0</v>
      </c>
      <c r="AF559" s="29"/>
      <c r="AG559" s="25"/>
      <c r="AH559" s="38"/>
      <c r="AI559" s="24"/>
      <c r="AJ559" s="29">
        <f>AR559*(1-입력란!$C$29/100)</f>
        <v>34.477458022440004</v>
      </c>
      <c r="AK559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59" s="25">
        <f>입력란!$C$37+IF(입력란!$C$17=1,10,IF(입력란!$C$17=2,25,IF(입력란!$C$17=3,50,0)))</f>
        <v>200</v>
      </c>
      <c r="AM559" s="25">
        <f>SUM(AN559:AP559)</f>
        <v>68402.794072938137</v>
      </c>
      <c r="AN559" s="29">
        <f>(VLOOKUP(C559,$B$4:$AK$7,34,FALSE)+VLOOKUP(C559,$B$8:$AK$11,34,FALSE)*입력란!$C$23)*입력란!$C$38/100</f>
        <v>68402.794072938137</v>
      </c>
      <c r="AO559" s="38"/>
      <c r="AP559" s="38"/>
      <c r="AQ559" s="38"/>
      <c r="AR559" s="22">
        <v>36</v>
      </c>
    </row>
    <row r="560" spans="2:44" ht="13.5" customHeight="1" x14ac:dyDescent="0.3">
      <c r="B560" s="30">
        <v>545</v>
      </c>
      <c r="C560" s="39">
        <v>10</v>
      </c>
      <c r="D560" s="43" t="s">
        <v>405</v>
      </c>
      <c r="E560" s="37" t="s">
        <v>400</v>
      </c>
      <c r="F560" s="39" t="s">
        <v>404</v>
      </c>
      <c r="G560" s="39" t="s">
        <v>403</v>
      </c>
      <c r="H560" s="80">
        <f>I560/AJ560</f>
        <v>21606.606104203245</v>
      </c>
      <c r="I560" s="52">
        <f>SUM(J560:Q560)*IF(입력란!C$15=1,1.04,IF(입력란!C$15=2,1.1,IF(입력란!C$15=3,1.2,1)))*IF(입력란!$C$17&lt;&gt;0,0.98,1)*IF(입력란!$C$12=1,IF(G560="생명50%이하",1.2,1.1),1)*IF(입력란!$C$12=2,IF(G560="생명50%이하",1.3,1.1),1)*IF(입력란!$C$12=3,IF(G560="생명50%이하",1.4,1.1),1)</f>
        <v>744940.85496506339</v>
      </c>
      <c r="J560" s="25">
        <f>S560*(1+IF($AK560+IF(입력란!$C$19=1,10,0)+IF(MID(E560,5,1)="2",35,0)&gt;100,100,$AK560+IF(입력란!$C$19=1,10,0)+IF(MID(E560,5,1)="2",35,0))/100*($AL560/100-1))</f>
        <v>248313.6183216878</v>
      </c>
      <c r="K560" s="25">
        <f>T560*(1+IF($AK560+IF(입력란!$C$19=1,10,0)+IF(MID(E560,5,1)="2",35,0)&gt;100,100,$AK560+IF(입력란!$C$19=1,10,0)+IF(MID(E560,5,1)="2",35,0))/100*(($AL560+IF(MID(E560,5,1)="2",IF(G560="생명50%이하",트라이포드!$R$25,트라이포드!$Q$25),0))/100-1))</f>
        <v>248313.6183216878</v>
      </c>
      <c r="L560" s="25">
        <f>U560*(1+IF($AK560+IF(입력란!$C$19=1,10,0)+IF(MID(E560,5,1)="2",35,0)&gt;100,100,$AK560+IF(입력란!$C$19=1,10,0)+IF(MID(E560,5,1)="2",35,0))/100*(($AL560+IF(MID(E560,5,1)="2",IF(G560="생명50%이하",트라이포드!$R$25*2,트라이포드!$Q$25),0))/100-1))</f>
        <v>248313.6183216878</v>
      </c>
      <c r="M560" s="25">
        <f>V560*(1+IF($AK560+IF(입력란!$C$19=1,10,0)+IF(MID(E560,5,1)="2",35,0)&gt;100,100,$AK560+IF(입력란!$C$19=1,10,0)+IF(MID(E560,5,1)="2",35,0))/100*(($AL560+IF(MID(E560,5,1)="2",IF(G560="생명50%이하",트라이포드!$R$25*3,트라이포드!$Q$25),0))/100-1))</f>
        <v>0</v>
      </c>
      <c r="N560" s="38"/>
      <c r="O560" s="38"/>
      <c r="P560" s="38"/>
      <c r="Q560" s="34">
        <f>Z560*(1+IF($AK560+IF(입력란!$C$19=1,10,0)&gt;100,100,$AK560+IF(입력란!$C$19=1,10,0))/100*($AL560/100-1))</f>
        <v>0</v>
      </c>
      <c r="R560" s="23">
        <f>SUM(S560:Z560)</f>
        <v>608807.84424565092</v>
      </c>
      <c r="S560" s="29">
        <f>AN560*IF(MID(E560,3,1)="3",트라이포드!$N$25,트라이포드!$M$25)*IF(MID(E560,5,1)="1",트라이포드!$P$25,트라이포드!$O$25)*(1+입력란!$C$34/100)</f>
        <v>202935.94808188363</v>
      </c>
      <c r="T560" s="25">
        <f>AN560*IF(MID(E560,3,1)="3",트라이포드!$N$25,트라이포드!$M$25)*IF(MID(E560,5,1)="1",트라이포드!$P$25,트라이포드!$O$25)*(1+입력란!$C$34/100)</f>
        <v>202935.94808188363</v>
      </c>
      <c r="U560" s="25">
        <f>AN560*IF(MID(E560,3,1)="3",트라이포드!$N$25,트라이포드!$M$25)*IF(MID(E560,5,1)="1",트라이포드!$P$25,트라이포드!$O$25)*(1+입력란!$C$34/100)</f>
        <v>202935.94808188363</v>
      </c>
      <c r="V560" s="25">
        <f>AN560*IF(MID(E560,3,1)="1",트라이포드!$J$25,트라이포드!$I$25)*IF(MID(E560,5,1)="1",트라이포드!$P$25,트라이포드!$O$25)*(1+입력란!$C$34/100)</f>
        <v>0</v>
      </c>
      <c r="W560" s="25"/>
      <c r="X560" s="25"/>
      <c r="Y560" s="25"/>
      <c r="Z560" s="24">
        <f>IF(MID(E560,3,1)="2",AN560*0.075*3*4+AN560*3*트라이포드!$L$25,0)</f>
        <v>0</v>
      </c>
      <c r="AA560" s="29">
        <f>SUM(AB560:AI560)</f>
        <v>1217615.6884913018</v>
      </c>
      <c r="AB560" s="29">
        <f>S560*2</f>
        <v>405871.89616376726</v>
      </c>
      <c r="AC560" s="25">
        <f>T560*2</f>
        <v>405871.89616376726</v>
      </c>
      <c r="AD560" s="25">
        <f>U560*2</f>
        <v>405871.89616376726</v>
      </c>
      <c r="AE560" s="25">
        <f>V560*2</f>
        <v>0</v>
      </c>
      <c r="AF560" s="29"/>
      <c r="AG560" s="25"/>
      <c r="AH560" s="38"/>
      <c r="AI560" s="24"/>
      <c r="AJ560" s="29">
        <f>AR560*(1-입력란!$C$29/100)</f>
        <v>34.477458022440004</v>
      </c>
      <c r="AK56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60" s="25">
        <f>입력란!$C$37+IF(입력란!$C$17=1,10,IF(입력란!$C$17=2,25,IF(입력란!$C$17=3,50,0)))</f>
        <v>200</v>
      </c>
      <c r="AM560" s="25">
        <f>SUM(AN560:AP560)</f>
        <v>68402.794072938137</v>
      </c>
      <c r="AN560" s="29">
        <f>(VLOOKUP(C560,$B$4:$AK$7,34,FALSE)+VLOOKUP(C560,$B$8:$AK$11,34,FALSE)*입력란!$C$23)*입력란!$C$38/100</f>
        <v>68402.794072938137</v>
      </c>
      <c r="AO560" s="38"/>
      <c r="AP560" s="38"/>
      <c r="AQ560" s="38"/>
      <c r="AR560" s="22">
        <v>36</v>
      </c>
    </row>
    <row r="561" spans="2:44" ht="13.5" customHeight="1" x14ac:dyDescent="0.3">
      <c r="B561" s="30">
        <v>546</v>
      </c>
      <c r="C561" s="39">
        <v>10</v>
      </c>
      <c r="D561" s="43" t="s">
        <v>405</v>
      </c>
      <c r="E561" s="37" t="s">
        <v>160</v>
      </c>
      <c r="F561" s="39"/>
      <c r="G561" s="39" t="s">
        <v>403</v>
      </c>
      <c r="H561" s="80">
        <f>I561/AJ561</f>
        <v>22471.096183742986</v>
      </c>
      <c r="I561" s="52">
        <f>SUM(J561:Q561)*IF(입력란!C$15=1,1.04,IF(입력란!C$15=2,1.1,IF(입력란!C$15=3,1.2,1)))*IF(입력란!$C$17&lt;&gt;0,0.98,1)*IF(입력란!$C$12=1,IF(G561="생명50%이하",1.2,1.1),1)*IF(입력란!$C$12=2,IF(G561="생명50%이하",1.3,1.1),1)*IF(입력란!$C$12=3,IF(G561="생명50%이하",1.4,1.1),1)</f>
        <v>774746.27539321058</v>
      </c>
      <c r="J561" s="25">
        <f>S561*(1+IF($AK561+IF(입력란!$C$19=1,10,0)+IF(MID(E561,5,1)="2",35,0)&gt;100,100,$AK561+IF(입력란!$C$19=1,10,0)+IF(MID(E561,5,1)="2",35,0))/100*($AL561/100-1))</f>
        <v>177411.77786130394</v>
      </c>
      <c r="K561" s="25">
        <f>T561*(1+IF($AK561+IF(입력란!$C$19=1,10,0)+IF(MID(E561,5,1)="2",35,0)&gt;100,100,$AK561+IF(입력란!$C$19=1,10,0)+IF(MID(E561,5,1)="2",35,0))/100*(($AL561+IF(MID(E561,5,1)="2",IF(G561="생명50%이하",트라이포드!$R$25,트라이포드!$Q$25),0))/100-1))</f>
        <v>258248.75846440354</v>
      </c>
      <c r="L561" s="25">
        <f>U561*(1+IF($AK561+IF(입력란!$C$19=1,10,0)+IF(MID(E561,5,1)="2",35,0)&gt;100,100,$AK561+IF(입력란!$C$19=1,10,0)+IF(MID(E561,5,1)="2",35,0))/100*(($AL561+IF(MID(E561,5,1)="2",IF(G561="생명50%이하",트라이포드!$R$25*2,트라이포드!$Q$25),0))/100-1))</f>
        <v>339085.73906750319</v>
      </c>
      <c r="M561" s="25">
        <f>V561*(1+IF($AK561+IF(입력란!$C$19=1,10,0)+IF(MID(E561,5,1)="2",35,0)&gt;100,100,$AK561+IF(입력란!$C$19=1,10,0)+IF(MID(E561,5,1)="2",35,0))/100*(($AL561+IF(MID(E561,5,1)="2",IF(G561="생명50%이하",트라이포드!$R$25*3,트라이포드!$Q$25),0))/100-1))</f>
        <v>0</v>
      </c>
      <c r="N561" s="38"/>
      <c r="O561" s="38"/>
      <c r="P561" s="38"/>
      <c r="Q561" s="34">
        <f>Z561*(1+IF($AK561+IF(입력란!$C$19=1,10,0)&gt;100,100,$AK561+IF(입력란!$C$19=1,10,0))/100*($AL561/100-1))</f>
        <v>0</v>
      </c>
      <c r="R561" s="23">
        <f>SUM(S561:Z561)</f>
        <v>338226.58013647271</v>
      </c>
      <c r="S561" s="29">
        <f>AN561*IF(MID(E561,3,1)="3",트라이포드!$N$25,트라이포드!$M$25)*IF(MID(E561,5,1)="1",트라이포드!$P$25,트라이포드!$O$25)*(1+입력란!$C$34/100)</f>
        <v>112742.19337882425</v>
      </c>
      <c r="T561" s="25">
        <f>AN561*IF(MID(E561,3,1)="3",트라이포드!$N$25,트라이포드!$M$25)*IF(MID(E561,5,1)="1",트라이포드!$P$25,트라이포드!$O$25)*(1+입력란!$C$34/100)</f>
        <v>112742.19337882425</v>
      </c>
      <c r="U561" s="25">
        <f>AN561*IF(MID(E561,3,1)="3",트라이포드!$N$25,트라이포드!$M$25)*IF(MID(E561,5,1)="1",트라이포드!$P$25,트라이포드!$O$25)*(1+입력란!$C$34/100)</f>
        <v>112742.19337882425</v>
      </c>
      <c r="V561" s="25">
        <f>AN561*IF(MID(E561,3,1)="1",트라이포드!$J$25,트라이포드!$I$25)*IF(MID(E561,5,1)="1",트라이포드!$P$25,트라이포드!$O$25)*(1+입력란!$C$34/100)</f>
        <v>0</v>
      </c>
      <c r="W561" s="25"/>
      <c r="X561" s="25"/>
      <c r="Y561" s="25"/>
      <c r="Z561" s="24">
        <f>IF(MID(E561,3,1)="2",AN561*0.075*3*4+AN561*3*트라이포드!$L$25,0)</f>
        <v>0</v>
      </c>
      <c r="AA561" s="29">
        <f>SUM(AB561:AI561)</f>
        <v>676453.16027294542</v>
      </c>
      <c r="AB561" s="29">
        <f>S561*2</f>
        <v>225484.38675764849</v>
      </c>
      <c r="AC561" s="25">
        <f>T561*2</f>
        <v>225484.38675764849</v>
      </c>
      <c r="AD561" s="25">
        <f>U561*2</f>
        <v>225484.38675764849</v>
      </c>
      <c r="AE561" s="25">
        <f>V561*2</f>
        <v>0</v>
      </c>
      <c r="AF561" s="29"/>
      <c r="AG561" s="25"/>
      <c r="AH561" s="38"/>
      <c r="AI561" s="24"/>
      <c r="AJ561" s="29">
        <f>AR561*(1-입력란!$C$29/100)</f>
        <v>34.477458022440004</v>
      </c>
      <c r="AK56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61" s="25">
        <f>입력란!$C$37+IF(입력란!$C$17=1,10,IF(입력란!$C$17=2,25,IF(입력란!$C$17=3,50,0)))</f>
        <v>200</v>
      </c>
      <c r="AM561" s="25">
        <f>SUM(AN561:AP561)</f>
        <v>68402.794072938137</v>
      </c>
      <c r="AN561" s="29">
        <f>(VLOOKUP(C561,$B$4:$AK$7,34,FALSE)+VLOOKUP(C561,$B$8:$AK$11,34,FALSE)*입력란!$C$23)*입력란!$C$38/100</f>
        <v>68402.794072938137</v>
      </c>
      <c r="AO561" s="38"/>
      <c r="AP561" s="38"/>
      <c r="AQ561" s="38"/>
      <c r="AR561" s="22">
        <v>36</v>
      </c>
    </row>
    <row r="562" spans="2:44" ht="13.5" customHeight="1" x14ac:dyDescent="0.3">
      <c r="B562" s="30">
        <v>547</v>
      </c>
      <c r="C562" s="39">
        <v>1</v>
      </c>
      <c r="D562" s="43" t="s">
        <v>405</v>
      </c>
      <c r="E562" s="37" t="s">
        <v>57</v>
      </c>
      <c r="F562" s="39"/>
      <c r="G562" s="39" t="s">
        <v>430</v>
      </c>
      <c r="H562" s="80">
        <f>J562*2/(1+1/(K562/J562))</f>
        <v>9533.4720306957515</v>
      </c>
      <c r="I562" s="80"/>
      <c r="J562" s="25">
        <f t="array" ref="J562">IFERROR(INDEX($H$16:$H$582,MATCH(1,(C562=$C$16:$C$582)*(D562=$D$16:$D$582)*(E562=$E$16:$E$582)*(""=$G$16:$G$582),0)),"값이없음")</f>
        <v>9533.4720306957515</v>
      </c>
      <c r="K562" s="25">
        <f t="array" ref="K562">IFERROR(INDEX($H$16:$H$582,MATCH(1,(C562=$C$16:$C$582)*(D562=$D$16:$D$582)*(E562=$E$16:$E$582)*("생명50%이하"=$G$16:$G$582),0)),"값이없음")</f>
        <v>9533.4720306957515</v>
      </c>
      <c r="L562" s="25"/>
      <c r="M562" s="25"/>
      <c r="N562" s="38"/>
      <c r="O562" s="38"/>
      <c r="P562" s="38"/>
      <c r="Q562" s="34"/>
      <c r="R562" s="23"/>
      <c r="S562" s="29"/>
      <c r="T562" s="25"/>
      <c r="U562" s="25"/>
      <c r="V562" s="25"/>
      <c r="W562" s="25"/>
      <c r="X562" s="25"/>
      <c r="Y562" s="25"/>
      <c r="Z562" s="24"/>
      <c r="AA562" s="29"/>
      <c r="AB562" s="29"/>
      <c r="AC562" s="29"/>
      <c r="AD562" s="29"/>
      <c r="AE562" s="29"/>
      <c r="AF562" s="38"/>
      <c r="AG562" s="38"/>
      <c r="AH562" s="38"/>
      <c r="AI562" s="24"/>
      <c r="AJ562" s="29"/>
      <c r="AK562" s="25"/>
      <c r="AL562" s="25"/>
      <c r="AM562" s="25"/>
      <c r="AN562" s="29"/>
      <c r="AO562" s="38"/>
      <c r="AP562" s="38"/>
      <c r="AQ562" s="38"/>
      <c r="AR562" s="22"/>
    </row>
    <row r="563" spans="2:44" ht="13.5" customHeight="1" x14ac:dyDescent="0.3">
      <c r="B563" s="30">
        <v>548</v>
      </c>
      <c r="C563" s="39">
        <v>4</v>
      </c>
      <c r="D563" s="43" t="s">
        <v>405</v>
      </c>
      <c r="E563" s="37" t="s">
        <v>57</v>
      </c>
      <c r="F563" s="39"/>
      <c r="G563" s="39" t="s">
        <v>430</v>
      </c>
      <c r="H563" s="80">
        <f>J563*2/(1+1/(K563/J563))</f>
        <v>9572.9491551732099</v>
      </c>
      <c r="I563" s="80"/>
      <c r="J563" s="25">
        <f t="array" ref="J563">IFERROR(INDEX($H$16:$H$582,MATCH(1,(C563=$C$16:$C$582)*(D563=$D$16:$D$582)*(E563=$E$16:$E$582)*(""=$G$16:$G$582),0)),"값이없음")</f>
        <v>9572.9491551732099</v>
      </c>
      <c r="K563" s="25">
        <f t="array" ref="K563">IFERROR(INDEX($H$16:$H$582,MATCH(1,(C563=$C$16:$C$582)*(D563=$D$16:$D$582)*(E563=$E$16:$E$582)*("생명50%이하"=$G$16:$G$582),0)),"값이없음")</f>
        <v>9572.9491551732099</v>
      </c>
      <c r="L563" s="25"/>
      <c r="M563" s="25"/>
      <c r="N563" s="38"/>
      <c r="O563" s="38"/>
      <c r="P563" s="38"/>
      <c r="Q563" s="34"/>
      <c r="R563" s="23"/>
      <c r="S563" s="29"/>
      <c r="T563" s="25"/>
      <c r="U563" s="25"/>
      <c r="V563" s="25"/>
      <c r="W563" s="25"/>
      <c r="X563" s="25"/>
      <c r="Y563" s="25"/>
      <c r="Z563" s="24"/>
      <c r="AA563" s="29"/>
      <c r="AB563" s="29"/>
      <c r="AC563" s="25"/>
      <c r="AD563" s="25"/>
      <c r="AE563" s="25"/>
      <c r="AF563" s="29"/>
      <c r="AG563" s="25"/>
      <c r="AH563" s="38"/>
      <c r="AI563" s="24"/>
      <c r="AJ563" s="29"/>
      <c r="AK563" s="25"/>
      <c r="AL563" s="25"/>
      <c r="AM563" s="25"/>
      <c r="AN563" s="29"/>
      <c r="AO563" s="38"/>
      <c r="AP563" s="38"/>
      <c r="AQ563" s="38"/>
      <c r="AR563" s="22"/>
    </row>
    <row r="564" spans="2:44" ht="13.5" customHeight="1" x14ac:dyDescent="0.3">
      <c r="B564" s="30">
        <v>549</v>
      </c>
      <c r="C564" s="39">
        <v>7</v>
      </c>
      <c r="D564" s="43" t="s">
        <v>405</v>
      </c>
      <c r="E564" s="37" t="s">
        <v>57</v>
      </c>
      <c r="F564" s="39"/>
      <c r="G564" s="39" t="s">
        <v>430</v>
      </c>
      <c r="H564" s="80">
        <f>J564*2/(1+1/(K564/J564))</f>
        <v>9591.2557591271907</v>
      </c>
      <c r="I564" s="80"/>
      <c r="J564" s="25">
        <f t="array" ref="J564">IFERROR(INDEX($H$16:$H$582,MATCH(1,(C564=$C$16:$C$582)*(D564=$D$16:$D$582)*(E564=$E$16:$E$582)*(""=$G$16:$G$582),0)),"값이없음")</f>
        <v>9591.2557591271907</v>
      </c>
      <c r="K564" s="25">
        <f t="array" ref="K564">IFERROR(INDEX($H$16:$H$582,MATCH(1,(C564=$C$16:$C$582)*(D564=$D$16:$D$582)*(E564=$E$16:$E$582)*("생명50%이하"=$G$16:$G$582),0)),"값이없음")</f>
        <v>9591.2557591271907</v>
      </c>
      <c r="L564" s="25"/>
      <c r="M564" s="25"/>
      <c r="N564" s="38"/>
      <c r="O564" s="38"/>
      <c r="P564" s="38"/>
      <c r="Q564" s="34"/>
      <c r="R564" s="23"/>
      <c r="S564" s="29"/>
      <c r="T564" s="25"/>
      <c r="U564" s="25"/>
      <c r="V564" s="25"/>
      <c r="W564" s="25"/>
      <c r="X564" s="25"/>
      <c r="Y564" s="25"/>
      <c r="Z564" s="24"/>
      <c r="AA564" s="29"/>
      <c r="AB564" s="29"/>
      <c r="AC564" s="25"/>
      <c r="AD564" s="25"/>
      <c r="AE564" s="25"/>
      <c r="AF564" s="29"/>
      <c r="AG564" s="25"/>
      <c r="AH564" s="38"/>
      <c r="AI564" s="24"/>
      <c r="AJ564" s="29"/>
      <c r="AK564" s="25"/>
      <c r="AL564" s="25"/>
      <c r="AM564" s="25"/>
      <c r="AN564" s="29"/>
      <c r="AO564" s="38"/>
      <c r="AP564" s="38"/>
      <c r="AQ564" s="38"/>
      <c r="AR564" s="22"/>
    </row>
    <row r="565" spans="2:44" ht="13.5" customHeight="1" x14ac:dyDescent="0.3">
      <c r="B565" s="30">
        <v>550</v>
      </c>
      <c r="C565" s="39">
        <v>7</v>
      </c>
      <c r="D565" s="43" t="s">
        <v>405</v>
      </c>
      <c r="E565" s="37" t="s">
        <v>337</v>
      </c>
      <c r="F565" s="39"/>
      <c r="G565" s="39" t="s">
        <v>430</v>
      </c>
      <c r="H565" s="80">
        <f>J565*2/(1+1/(K565/J565))</f>
        <v>14386.883638690784</v>
      </c>
      <c r="I565" s="80"/>
      <c r="J565" s="25">
        <f t="array" ref="J565">IFERROR(INDEX($H$16:$H$582,MATCH(1,(C565=$C$16:$C$582)*(D565=$D$16:$D$582)*(E565=$E$16:$E$582)*(""=$G$16:$G$582),0)),"값이없음")</f>
        <v>14386.883638690784</v>
      </c>
      <c r="K565" s="25">
        <f t="array" ref="K565">IFERROR(INDEX($H$16:$H$582,MATCH(1,(C565=$C$16:$C$582)*(D565=$D$16:$D$582)*(E565=$E$16:$E$582)*("생명50%이하"=$G$16:$G$582),0)),"값이없음")</f>
        <v>14386.883638690784</v>
      </c>
      <c r="L565" s="25"/>
      <c r="M565" s="25"/>
      <c r="N565" s="38"/>
      <c r="O565" s="38"/>
      <c r="P565" s="38"/>
      <c r="Q565" s="34"/>
      <c r="R565" s="23"/>
      <c r="S565" s="29"/>
      <c r="T565" s="25"/>
      <c r="U565" s="25"/>
      <c r="V565" s="25"/>
      <c r="W565" s="25"/>
      <c r="X565" s="25"/>
      <c r="Y565" s="25"/>
      <c r="Z565" s="24"/>
      <c r="AA565" s="29"/>
      <c r="AB565" s="29"/>
      <c r="AC565" s="25"/>
      <c r="AD565" s="25"/>
      <c r="AE565" s="25"/>
      <c r="AF565" s="29"/>
      <c r="AG565" s="25"/>
      <c r="AH565" s="38"/>
      <c r="AI565" s="24"/>
      <c r="AJ565" s="29"/>
      <c r="AK565" s="25"/>
      <c r="AL565" s="25"/>
      <c r="AM565" s="25"/>
      <c r="AN565" s="29"/>
      <c r="AO565" s="38"/>
      <c r="AP565" s="38"/>
      <c r="AQ565" s="38"/>
      <c r="AR565" s="22"/>
    </row>
    <row r="566" spans="2:44" ht="13.5" customHeight="1" x14ac:dyDescent="0.3">
      <c r="B566" s="30">
        <v>551</v>
      </c>
      <c r="C566" s="39">
        <v>7</v>
      </c>
      <c r="D566" s="43" t="s">
        <v>405</v>
      </c>
      <c r="E566" s="37" t="s">
        <v>338</v>
      </c>
      <c r="F566" s="39" t="s">
        <v>412</v>
      </c>
      <c r="G566" s="39" t="s">
        <v>430</v>
      </c>
      <c r="H566" s="80">
        <f>J566*2/(1+1/(K566/J566))</f>
        <v>13228.251994356575</v>
      </c>
      <c r="I566" s="80"/>
      <c r="J566" s="25">
        <f t="array" ref="J566">IFERROR(INDEX($H$16:$H$582,MATCH(1,(C566=$C$16:$C$582)*(D566=$D$16:$D$582)*(E566=$E$16:$E$582)*(""=$G$16:$G$582),0)),"값이없음")</f>
        <v>13228.251994356575</v>
      </c>
      <c r="K566" s="25">
        <f t="array" ref="K566">IFERROR(INDEX($H$16:$H$582,MATCH(1,(C566=$C$16:$C$582)*(D566=$D$16:$D$582)*(E566=$E$16:$E$582)*("생명50%이하"=$G$16:$G$582),0)),"값이없음")</f>
        <v>13228.251994356575</v>
      </c>
      <c r="L566" s="25"/>
      <c r="M566" s="25"/>
      <c r="N566" s="38"/>
      <c r="O566" s="38"/>
      <c r="P566" s="38"/>
      <c r="Q566" s="34"/>
      <c r="R566" s="23"/>
      <c r="S566" s="29"/>
      <c r="T566" s="25"/>
      <c r="U566" s="25"/>
      <c r="V566" s="25"/>
      <c r="W566" s="25"/>
      <c r="X566" s="25"/>
      <c r="Y566" s="25"/>
      <c r="Z566" s="24"/>
      <c r="AA566" s="29"/>
      <c r="AB566" s="29"/>
      <c r="AC566" s="25"/>
      <c r="AD566" s="25"/>
      <c r="AE566" s="25"/>
      <c r="AF566" s="29"/>
      <c r="AG566" s="25"/>
      <c r="AH566" s="38"/>
      <c r="AI566" s="24"/>
      <c r="AJ566" s="29"/>
      <c r="AK566" s="25"/>
      <c r="AL566" s="25"/>
      <c r="AM566" s="25"/>
      <c r="AN566" s="29"/>
      <c r="AO566" s="38"/>
      <c r="AP566" s="38"/>
      <c r="AQ566" s="38"/>
      <c r="AR566" s="22"/>
    </row>
    <row r="567" spans="2:44" ht="13.5" customHeight="1" x14ac:dyDescent="0.3">
      <c r="B567" s="30">
        <v>552</v>
      </c>
      <c r="C567" s="39">
        <v>7</v>
      </c>
      <c r="D567" s="43" t="s">
        <v>405</v>
      </c>
      <c r="E567" s="37" t="s">
        <v>339</v>
      </c>
      <c r="F567" s="39"/>
      <c r="G567" s="39" t="s">
        <v>430</v>
      </c>
      <c r="H567" s="80">
        <f>J567*2/(1+1/(K567/J567))</f>
        <v>11989.06969890899</v>
      </c>
      <c r="I567" s="80"/>
      <c r="J567" s="25">
        <f t="array" ref="J567">IFERROR(INDEX($H$16:$H$582,MATCH(1,(C567=$C$16:$C$582)*(D567=$D$16:$D$582)*(E567=$E$16:$E$582)*(""=$G$16:$G$582),0)),"값이없음")</f>
        <v>11989.06969890899</v>
      </c>
      <c r="K567" s="25">
        <f t="array" ref="K567">IFERROR(INDEX($H$16:$H$582,MATCH(1,(C567=$C$16:$C$582)*(D567=$D$16:$D$582)*(E567=$E$16:$E$582)*("생명50%이하"=$G$16:$G$582),0)),"값이없음")</f>
        <v>11989.06969890899</v>
      </c>
      <c r="L567" s="25"/>
      <c r="M567" s="25"/>
      <c r="N567" s="38"/>
      <c r="O567" s="38"/>
      <c r="P567" s="38"/>
      <c r="Q567" s="34"/>
      <c r="R567" s="23"/>
      <c r="S567" s="29"/>
      <c r="T567" s="25"/>
      <c r="U567" s="25"/>
      <c r="V567" s="25"/>
      <c r="W567" s="25"/>
      <c r="X567" s="25"/>
      <c r="Y567" s="25"/>
      <c r="Z567" s="24"/>
      <c r="AA567" s="29"/>
      <c r="AB567" s="29"/>
      <c r="AC567" s="25"/>
      <c r="AD567" s="25"/>
      <c r="AE567" s="25"/>
      <c r="AF567" s="29"/>
      <c r="AG567" s="25"/>
      <c r="AH567" s="38"/>
      <c r="AI567" s="24"/>
      <c r="AJ567" s="29"/>
      <c r="AK567" s="25"/>
      <c r="AL567" s="25"/>
      <c r="AM567" s="25"/>
      <c r="AN567" s="29"/>
      <c r="AO567" s="38"/>
      <c r="AP567" s="38"/>
      <c r="AQ567" s="38"/>
      <c r="AR567" s="22"/>
    </row>
    <row r="568" spans="2:44" ht="13.5" customHeight="1" x14ac:dyDescent="0.3">
      <c r="B568" s="30">
        <v>553</v>
      </c>
      <c r="C568" s="39">
        <v>10</v>
      </c>
      <c r="D568" s="43" t="s">
        <v>405</v>
      </c>
      <c r="E568" s="37" t="s">
        <v>57</v>
      </c>
      <c r="F568" s="39"/>
      <c r="G568" s="39" t="s">
        <v>430</v>
      </c>
      <c r="H568" s="80">
        <f>J568*2/(1+1/(K568/J568))</f>
        <v>9602.936046312554</v>
      </c>
      <c r="I568" s="80"/>
      <c r="J568" s="25">
        <f t="array" ref="J568">IFERROR(INDEX($H$16:$H$582,MATCH(1,(C568=$C$16:$C$582)*(D568=$D$16:$D$582)*(E568=$E$16:$E$582)*(""=$G$16:$G$582),0)),"값이없음")</f>
        <v>9602.936046312554</v>
      </c>
      <c r="K568" s="25">
        <f t="array" ref="K568">IFERROR(INDEX($H$16:$H$582,MATCH(1,(C568=$C$16:$C$582)*(D568=$D$16:$D$582)*(E568=$E$16:$E$582)*("생명50%이하"=$G$16:$G$582),0)),"값이없음")</f>
        <v>9602.936046312554</v>
      </c>
      <c r="L568" s="25"/>
      <c r="M568" s="25"/>
      <c r="N568" s="38"/>
      <c r="O568" s="38"/>
      <c r="P568" s="38"/>
      <c r="Q568" s="34"/>
      <c r="R568" s="23"/>
      <c r="S568" s="29"/>
      <c r="T568" s="25"/>
      <c r="U568" s="25"/>
      <c r="V568" s="25"/>
      <c r="W568" s="25"/>
      <c r="X568" s="25"/>
      <c r="Y568" s="25"/>
      <c r="Z568" s="24"/>
      <c r="AA568" s="29"/>
      <c r="AB568" s="29"/>
      <c r="AC568" s="25"/>
      <c r="AD568" s="25"/>
      <c r="AE568" s="25"/>
      <c r="AF568" s="29"/>
      <c r="AG568" s="25"/>
      <c r="AH568" s="38"/>
      <c r="AI568" s="24"/>
      <c r="AJ568" s="29"/>
      <c r="AK568" s="25"/>
      <c r="AL568" s="25"/>
      <c r="AM568" s="25"/>
      <c r="AN568" s="29"/>
      <c r="AO568" s="38"/>
      <c r="AP568" s="38"/>
      <c r="AQ568" s="38"/>
      <c r="AR568" s="22"/>
    </row>
    <row r="569" spans="2:44" ht="13.5" customHeight="1" x14ac:dyDescent="0.3">
      <c r="B569" s="30">
        <v>554</v>
      </c>
      <c r="C569" s="39">
        <v>10</v>
      </c>
      <c r="D569" s="43" t="s">
        <v>405</v>
      </c>
      <c r="E569" s="37" t="s">
        <v>340</v>
      </c>
      <c r="F569" s="39" t="s">
        <v>404</v>
      </c>
      <c r="G569" s="39" t="s">
        <v>430</v>
      </c>
      <c r="H569" s="80">
        <f>J569*2/(1+1/(K569/J569))</f>
        <v>17285.284883362598</v>
      </c>
      <c r="I569" s="80"/>
      <c r="J569" s="25">
        <f t="array" ref="J569">IFERROR(INDEX($H$16:$H$582,MATCH(1,(C569=$C$16:$C$582)*(D569=$D$16:$D$582)*(E569=$E$16:$E$582)*(""=$G$16:$G$582),0)),"값이없음")</f>
        <v>17285.284883362598</v>
      </c>
      <c r="K569" s="25">
        <f t="array" ref="K569">IFERROR(INDEX($H$16:$H$582,MATCH(1,(C569=$C$16:$C$582)*(D569=$D$16:$D$582)*(E569=$E$16:$E$582)*("생명50%이하"=$G$16:$G$582),0)),"값이없음")</f>
        <v>17285.284883362598</v>
      </c>
      <c r="L569" s="25"/>
      <c r="M569" s="25"/>
      <c r="N569" s="38"/>
      <c r="O569" s="38"/>
      <c r="P569" s="38"/>
      <c r="Q569" s="34"/>
      <c r="R569" s="23"/>
      <c r="S569" s="29"/>
      <c r="T569" s="25"/>
      <c r="U569" s="25"/>
      <c r="V569" s="25"/>
      <c r="W569" s="25"/>
      <c r="X569" s="25"/>
      <c r="Y569" s="25"/>
      <c r="Z569" s="24"/>
      <c r="AA569" s="29"/>
      <c r="AB569" s="29"/>
      <c r="AC569" s="25"/>
      <c r="AD569" s="25"/>
      <c r="AE569" s="25"/>
      <c r="AF569" s="29"/>
      <c r="AG569" s="25"/>
      <c r="AH569" s="38"/>
      <c r="AI569" s="24"/>
      <c r="AJ569" s="29"/>
      <c r="AK569" s="25"/>
      <c r="AL569" s="25"/>
      <c r="AM569" s="25"/>
      <c r="AN569" s="29"/>
      <c r="AO569" s="38"/>
      <c r="AP569" s="38"/>
      <c r="AQ569" s="38"/>
      <c r="AR569" s="22"/>
    </row>
    <row r="570" spans="2:44" ht="13.5" customHeight="1" x14ac:dyDescent="0.3">
      <c r="B570" s="30">
        <v>555</v>
      </c>
      <c r="C570" s="39">
        <v>10</v>
      </c>
      <c r="D570" s="43" t="s">
        <v>405</v>
      </c>
      <c r="E570" s="37" t="s">
        <v>341</v>
      </c>
      <c r="F570" s="39"/>
      <c r="G570" s="39" t="s">
        <v>430</v>
      </c>
      <c r="H570" s="80">
        <f>J570*2/(1+1/(K570/J570))</f>
        <v>14641.260493586595</v>
      </c>
      <c r="I570" s="80"/>
      <c r="J570" s="25">
        <f t="array" ref="J570">IFERROR(INDEX($H$16:$H$582,MATCH(1,(C570=$C$16:$C$582)*(D570=$D$16:$D$582)*(E570=$E$16:$E$582)*(""=$G$16:$G$582),0)),"값이없음")</f>
        <v>12349.758111227366</v>
      </c>
      <c r="K570" s="25">
        <f t="array" ref="K570">IFERROR(INDEX($H$16:$H$582,MATCH(1,(C570=$C$16:$C$582)*(D570=$D$16:$D$582)*(E570=$E$16:$E$582)*("생명50%이하"=$G$16:$G$582),0)),"값이없음")</f>
        <v>17976.876946994387</v>
      </c>
      <c r="L570" s="25"/>
      <c r="M570" s="25"/>
      <c r="N570" s="38"/>
      <c r="O570" s="38"/>
      <c r="P570" s="38"/>
      <c r="Q570" s="34"/>
      <c r="R570" s="23"/>
      <c r="S570" s="29"/>
      <c r="T570" s="25"/>
      <c r="U570" s="25"/>
      <c r="V570" s="25"/>
      <c r="W570" s="25"/>
      <c r="X570" s="25"/>
      <c r="Y570" s="25"/>
      <c r="Z570" s="24"/>
      <c r="AA570" s="29"/>
      <c r="AB570" s="29"/>
      <c r="AC570" s="25"/>
      <c r="AD570" s="25"/>
      <c r="AE570" s="25"/>
      <c r="AF570" s="29"/>
      <c r="AG570" s="25"/>
      <c r="AH570" s="38"/>
      <c r="AI570" s="24"/>
      <c r="AJ570" s="29"/>
      <c r="AK570" s="25"/>
      <c r="AL570" s="25"/>
      <c r="AM570" s="25"/>
      <c r="AN570" s="29"/>
      <c r="AO570" s="38"/>
      <c r="AP570" s="38"/>
      <c r="AQ570" s="38"/>
      <c r="AR570" s="22"/>
    </row>
    <row r="571" spans="2:44" ht="13.5" customHeight="1" x14ac:dyDescent="0.3">
      <c r="B571" s="30">
        <v>556</v>
      </c>
      <c r="C571" s="39">
        <v>10</v>
      </c>
      <c r="D571" s="43" t="s">
        <v>405</v>
      </c>
      <c r="E571" s="37" t="s">
        <v>77</v>
      </c>
      <c r="F571" s="39"/>
      <c r="G571" s="39" t="s">
        <v>430</v>
      </c>
      <c r="H571" s="80">
        <f>J571*2/(1+1/(K571/J571))</f>
        <v>14404.404069468832</v>
      </c>
      <c r="I571" s="80"/>
      <c r="J571" s="25">
        <f t="array" ref="J571">IFERROR(INDEX($H$16:$H$582,MATCH(1,(C571=$C$16:$C$582)*(D571=$D$16:$D$582)*(E571=$E$16:$E$582)*(""=$G$16:$G$582),0)),"값이없음")</f>
        <v>14404.404069468832</v>
      </c>
      <c r="K571" s="25">
        <f t="array" ref="K571">IFERROR(INDEX($H$16:$H$582,MATCH(1,(C571=$C$16:$C$582)*(D571=$D$16:$D$582)*(E571=$E$16:$E$582)*("생명50%이하"=$G$16:$G$582),0)),"값이없음")</f>
        <v>14404.404069468832</v>
      </c>
      <c r="L571" s="25"/>
      <c r="M571" s="25"/>
      <c r="N571" s="38"/>
      <c r="O571" s="38"/>
      <c r="P571" s="38"/>
      <c r="Q571" s="34"/>
      <c r="R571" s="23"/>
      <c r="S571" s="29"/>
      <c r="T571" s="25"/>
      <c r="U571" s="25"/>
      <c r="V571" s="25"/>
      <c r="W571" s="25"/>
      <c r="X571" s="25"/>
      <c r="Y571" s="25"/>
      <c r="Z571" s="24"/>
      <c r="AA571" s="29"/>
      <c r="AB571" s="29"/>
      <c r="AC571" s="25"/>
      <c r="AD571" s="25"/>
      <c r="AE571" s="25"/>
      <c r="AF571" s="29"/>
      <c r="AG571" s="25"/>
      <c r="AH571" s="38"/>
      <c r="AI571" s="24"/>
      <c r="AJ571" s="29"/>
      <c r="AK571" s="25"/>
      <c r="AL571" s="25"/>
      <c r="AM571" s="25"/>
      <c r="AN571" s="29"/>
      <c r="AO571" s="38"/>
      <c r="AP571" s="38"/>
      <c r="AQ571" s="38"/>
      <c r="AR571" s="22"/>
    </row>
    <row r="572" spans="2:44" ht="13.5" customHeight="1" x14ac:dyDescent="0.3">
      <c r="B572" s="30">
        <v>557</v>
      </c>
      <c r="C572" s="39">
        <v>10</v>
      </c>
      <c r="D572" s="43" t="s">
        <v>405</v>
      </c>
      <c r="E572" s="37" t="s">
        <v>390</v>
      </c>
      <c r="F572" s="39" t="s">
        <v>404</v>
      </c>
      <c r="G572" s="39" t="s">
        <v>430</v>
      </c>
      <c r="H572" s="80">
        <f>J572*2/(1+1/(K572/J572))</f>
        <v>25927.927325043896</v>
      </c>
      <c r="I572" s="80"/>
      <c r="J572" s="25">
        <f t="array" ref="J572">IFERROR(INDEX($H$16:$H$582,MATCH(1,(C572=$C$16:$C$582)*(D572=$D$16:$D$582)*(E572=$E$16:$E$582)*(""=$G$16:$G$582),0)),"값이없음")</f>
        <v>25927.927325043896</v>
      </c>
      <c r="K572" s="25">
        <f t="array" ref="K572">IFERROR(INDEX($H$16:$H$582,MATCH(1,(C572=$C$16:$C$582)*(D572=$D$16:$D$582)*(E572=$E$16:$E$582)*("생명50%이하"=$G$16:$G$582),0)),"값이없음")</f>
        <v>25927.927325043896</v>
      </c>
      <c r="L572" s="25"/>
      <c r="M572" s="25"/>
      <c r="N572" s="38"/>
      <c r="O572" s="38"/>
      <c r="P572" s="38"/>
      <c r="Q572" s="34"/>
      <c r="R572" s="23"/>
      <c r="S572" s="29"/>
      <c r="T572" s="25"/>
      <c r="U572" s="25"/>
      <c r="V572" s="25"/>
      <c r="W572" s="25"/>
      <c r="X572" s="25"/>
      <c r="Y572" s="25"/>
      <c r="Z572" s="24"/>
      <c r="AA572" s="29"/>
      <c r="AB572" s="29"/>
      <c r="AC572" s="25"/>
      <c r="AD572" s="25"/>
      <c r="AE572" s="25"/>
      <c r="AF572" s="29"/>
      <c r="AG572" s="25"/>
      <c r="AH572" s="38"/>
      <c r="AI572" s="24"/>
      <c r="AJ572" s="29"/>
      <c r="AK572" s="25"/>
      <c r="AL572" s="25"/>
      <c r="AM572" s="25"/>
      <c r="AN572" s="29"/>
      <c r="AO572" s="38"/>
      <c r="AP572" s="38"/>
      <c r="AQ572" s="38"/>
      <c r="AR572" s="22"/>
    </row>
    <row r="573" spans="2:44" ht="13.5" customHeight="1" x14ac:dyDescent="0.3">
      <c r="B573" s="30">
        <v>558</v>
      </c>
      <c r="C573" s="39">
        <v>10</v>
      </c>
      <c r="D573" s="43" t="s">
        <v>405</v>
      </c>
      <c r="E573" s="37" t="s">
        <v>391</v>
      </c>
      <c r="F573" s="39"/>
      <c r="G573" s="39" t="s">
        <v>430</v>
      </c>
      <c r="H573" s="80">
        <f>J573*2/(1+1/(K573/J573))</f>
        <v>23622.754675592496</v>
      </c>
      <c r="I573" s="80"/>
      <c r="J573" s="25">
        <f t="array" ref="J573">IFERROR(INDEX($H$16:$H$582,MATCH(1,(C573=$C$16:$C$582)*(D573=$D$16:$D$582)*(E573=$E$16:$E$582)*(""=$G$16:$G$582),0)),"값이없음")</f>
        <v>18524.637166841047</v>
      </c>
      <c r="K573" s="25">
        <f t="array" ref="K573">IFERROR(INDEX($H$16:$H$582,MATCH(1,(C573=$C$16:$C$582)*(D573=$D$16:$D$582)*(E573=$E$16:$E$582)*("생명50%이하"=$G$16:$G$582),0)),"값이없음")</f>
        <v>32592.434256258603</v>
      </c>
      <c r="L573" s="25"/>
      <c r="M573" s="25"/>
      <c r="N573" s="38"/>
      <c r="O573" s="38"/>
      <c r="P573" s="38"/>
      <c r="Q573" s="34"/>
      <c r="R573" s="23"/>
      <c r="S573" s="29"/>
      <c r="T573" s="25"/>
      <c r="U573" s="25"/>
      <c r="V573" s="25"/>
      <c r="W573" s="25"/>
      <c r="X573" s="25"/>
      <c r="Y573" s="25"/>
      <c r="Z573" s="24"/>
      <c r="AA573" s="29"/>
      <c r="AB573" s="29"/>
      <c r="AC573" s="25"/>
      <c r="AD573" s="25"/>
      <c r="AE573" s="25"/>
      <c r="AF573" s="29"/>
      <c r="AG573" s="25"/>
      <c r="AH573" s="38"/>
      <c r="AI573" s="24"/>
      <c r="AJ573" s="29"/>
      <c r="AK573" s="25"/>
      <c r="AL573" s="25"/>
      <c r="AM573" s="25"/>
      <c r="AN573" s="29"/>
      <c r="AO573" s="38"/>
      <c r="AP573" s="38"/>
      <c r="AQ573" s="38"/>
      <c r="AR573" s="22"/>
    </row>
    <row r="574" spans="2:44" ht="13.5" customHeight="1" x14ac:dyDescent="0.3">
      <c r="B574" s="30">
        <v>559</v>
      </c>
      <c r="C574" s="39">
        <v>10</v>
      </c>
      <c r="D574" s="43" t="s">
        <v>405</v>
      </c>
      <c r="E574" s="37" t="s">
        <v>338</v>
      </c>
      <c r="F574" s="39" t="s">
        <v>412</v>
      </c>
      <c r="G574" s="39" t="s">
        <v>430</v>
      </c>
      <c r="H574" s="80">
        <f>J574*2/(1+1/(K574/J574))</f>
        <v>13244.361436762738</v>
      </c>
      <c r="I574" s="80"/>
      <c r="J574" s="25">
        <f t="array" ref="J574">IFERROR(INDEX($H$16:$H$582,MATCH(1,(C574=$C$16:$C$582)*(D574=$D$16:$D$582)*(E574=$E$16:$E$582)*(""=$G$16:$G$582),0)),"값이없음")</f>
        <v>13244.361436762738</v>
      </c>
      <c r="K574" s="25">
        <f t="array" ref="K574">IFERROR(INDEX($H$16:$H$582,MATCH(1,(C574=$C$16:$C$582)*(D574=$D$16:$D$582)*(E574=$E$16:$E$582)*("생명50%이하"=$G$16:$G$582),0)),"값이없음")</f>
        <v>13244.361436762738</v>
      </c>
      <c r="L574" s="25"/>
      <c r="M574" s="25"/>
      <c r="N574" s="38"/>
      <c r="O574" s="38"/>
      <c r="P574" s="38"/>
      <c r="Q574" s="34"/>
      <c r="R574" s="23"/>
      <c r="S574" s="29"/>
      <c r="T574" s="25"/>
      <c r="U574" s="25"/>
      <c r="V574" s="25"/>
      <c r="W574" s="25"/>
      <c r="X574" s="25"/>
      <c r="Y574" s="25"/>
      <c r="Z574" s="24"/>
      <c r="AA574" s="29"/>
      <c r="AB574" s="29"/>
      <c r="AC574" s="25"/>
      <c r="AD574" s="25"/>
      <c r="AE574" s="25"/>
      <c r="AF574" s="29"/>
      <c r="AG574" s="25"/>
      <c r="AH574" s="38"/>
      <c r="AI574" s="24"/>
      <c r="AJ574" s="29"/>
      <c r="AK574" s="25"/>
      <c r="AL574" s="25"/>
      <c r="AM574" s="25"/>
      <c r="AN574" s="29"/>
      <c r="AO574" s="38"/>
      <c r="AP574" s="38"/>
      <c r="AQ574" s="38"/>
      <c r="AR574" s="22"/>
    </row>
    <row r="575" spans="2:44" ht="13.5" customHeight="1" x14ac:dyDescent="0.3">
      <c r="B575" s="30">
        <v>560</v>
      </c>
      <c r="C575" s="39">
        <v>10</v>
      </c>
      <c r="D575" s="43" t="s">
        <v>405</v>
      </c>
      <c r="E575" s="37" t="s">
        <v>214</v>
      </c>
      <c r="F575" s="39" t="s">
        <v>413</v>
      </c>
      <c r="G575" s="39" t="s">
        <v>430</v>
      </c>
      <c r="H575" s="80">
        <f>J575*2/(1+1/(K575/J575))</f>
        <v>20926.71027381278</v>
      </c>
      <c r="I575" s="80"/>
      <c r="J575" s="25">
        <f t="array" ref="J575">IFERROR(INDEX($H$16:$H$582,MATCH(1,(C575=$C$16:$C$582)*(D575=$D$16:$D$582)*(E575=$E$16:$E$582)*(""=$G$16:$G$582),0)),"값이없음")</f>
        <v>20926.71027381278</v>
      </c>
      <c r="K575" s="25">
        <f t="array" ref="K575">IFERROR(INDEX($H$16:$H$582,MATCH(1,(C575=$C$16:$C$582)*(D575=$D$16:$D$582)*(E575=$E$16:$E$582)*("생명50%이하"=$G$16:$G$582),0)),"값이없음")</f>
        <v>20926.71027381278</v>
      </c>
      <c r="L575" s="25"/>
      <c r="M575" s="25"/>
      <c r="N575" s="38"/>
      <c r="O575" s="38"/>
      <c r="P575" s="38"/>
      <c r="Q575" s="34"/>
      <c r="R575" s="23"/>
      <c r="S575" s="29"/>
      <c r="T575" s="25"/>
      <c r="U575" s="25"/>
      <c r="V575" s="25"/>
      <c r="W575" s="25"/>
      <c r="X575" s="25"/>
      <c r="Y575" s="25"/>
      <c r="Z575" s="24"/>
      <c r="AA575" s="29"/>
      <c r="AB575" s="29"/>
      <c r="AC575" s="25"/>
      <c r="AD575" s="25"/>
      <c r="AE575" s="25"/>
      <c r="AF575" s="29"/>
      <c r="AG575" s="25"/>
      <c r="AH575" s="38"/>
      <c r="AI575" s="24"/>
      <c r="AJ575" s="29"/>
      <c r="AK575" s="25"/>
      <c r="AL575" s="25"/>
      <c r="AM575" s="25"/>
      <c r="AN575" s="29"/>
      <c r="AO575" s="38"/>
      <c r="AP575" s="38"/>
      <c r="AQ575" s="38"/>
      <c r="AR575" s="22"/>
    </row>
    <row r="576" spans="2:44" ht="13.5" customHeight="1" x14ac:dyDescent="0.3">
      <c r="B576" s="30">
        <v>561</v>
      </c>
      <c r="C576" s="39">
        <v>10</v>
      </c>
      <c r="D576" s="43" t="s">
        <v>405</v>
      </c>
      <c r="E576" s="37" t="s">
        <v>411</v>
      </c>
      <c r="F576" s="39" t="s">
        <v>412</v>
      </c>
      <c r="G576" s="39" t="s">
        <v>430</v>
      </c>
      <c r="H576" s="80">
        <f>J576*2/(1+1/(K576/J576))</f>
        <v>18383.779089753712</v>
      </c>
      <c r="I576" s="80"/>
      <c r="J576" s="25">
        <f t="array" ref="J576">IFERROR(INDEX($H$16:$H$582,MATCH(1,(C576=$C$16:$C$582)*(D576=$D$16:$D$582)*(E576=$E$16:$E$582)*(""=$G$16:$G$582),0)),"값이없음")</f>
        <v>15991.183501677548</v>
      </c>
      <c r="K576" s="25">
        <f t="array" ref="K576">IFERROR(INDEX($H$16:$H$582,MATCH(1,(C576=$C$16:$C$582)*(D576=$D$16:$D$582)*(E576=$E$16:$E$582)*("생명50%이하"=$G$16:$G$582),0)),"값이없음")</f>
        <v>21618.302337444573</v>
      </c>
      <c r="L576" s="25"/>
      <c r="M576" s="25"/>
      <c r="N576" s="38"/>
      <c r="O576" s="38"/>
      <c r="P576" s="38"/>
      <c r="Q576" s="34"/>
      <c r="R576" s="23"/>
      <c r="S576" s="29"/>
      <c r="T576" s="25"/>
      <c r="U576" s="25"/>
      <c r="V576" s="25"/>
      <c r="W576" s="25"/>
      <c r="X576" s="25"/>
      <c r="Y576" s="25"/>
      <c r="Z576" s="24"/>
      <c r="AA576" s="29"/>
      <c r="AB576" s="29"/>
      <c r="AC576" s="25"/>
      <c r="AD576" s="25"/>
      <c r="AE576" s="25"/>
      <c r="AF576" s="29"/>
      <c r="AG576" s="25"/>
      <c r="AH576" s="38"/>
      <c r="AI576" s="24"/>
      <c r="AJ576" s="29"/>
      <c r="AK576" s="25"/>
      <c r="AL576" s="25"/>
      <c r="AM576" s="25"/>
      <c r="AN576" s="29"/>
      <c r="AO576" s="38"/>
      <c r="AP576" s="38"/>
      <c r="AQ576" s="38"/>
      <c r="AR576" s="22"/>
    </row>
    <row r="577" spans="1:44" ht="13.5" customHeight="1" x14ac:dyDescent="0.3">
      <c r="B577" s="30">
        <v>562</v>
      </c>
      <c r="C577" s="39">
        <v>10</v>
      </c>
      <c r="D577" s="43" t="s">
        <v>405</v>
      </c>
      <c r="E577" s="37" t="s">
        <v>339</v>
      </c>
      <c r="F577" s="39"/>
      <c r="G577" s="39" t="s">
        <v>430</v>
      </c>
      <c r="H577" s="80">
        <f>J577*2/(1+1/(K577/J577))</f>
        <v>12003.670057890693</v>
      </c>
      <c r="I577" s="80"/>
      <c r="J577" s="25">
        <f t="array" ref="J577">IFERROR(INDEX($H$16:$H$582,MATCH(1,(C577=$C$16:$C$582)*(D577=$D$16:$D$582)*(E577=$E$16:$E$582)*(""=$G$16:$G$582),0)),"값이없음")</f>
        <v>12003.670057890693</v>
      </c>
      <c r="K577" s="25">
        <f t="array" ref="K577">IFERROR(INDEX($H$16:$H$582,MATCH(1,(C577=$C$16:$C$582)*(D577=$D$16:$D$582)*(E577=$E$16:$E$582)*("생명50%이하"=$G$16:$G$582),0)),"값이없음")</f>
        <v>12003.670057890693</v>
      </c>
      <c r="L577" s="25"/>
      <c r="M577" s="25"/>
      <c r="N577" s="38"/>
      <c r="O577" s="38"/>
      <c r="P577" s="38"/>
      <c r="Q577" s="34"/>
      <c r="R577" s="23"/>
      <c r="S577" s="29"/>
      <c r="T577" s="25"/>
      <c r="U577" s="25"/>
      <c r="V577" s="25"/>
      <c r="W577" s="25"/>
      <c r="X577" s="25"/>
      <c r="Y577" s="25"/>
      <c r="Z577" s="24"/>
      <c r="AA577" s="29"/>
      <c r="AB577" s="29"/>
      <c r="AC577" s="25"/>
      <c r="AD577" s="25"/>
      <c r="AE577" s="25"/>
      <c r="AF577" s="29"/>
      <c r="AG577" s="25"/>
      <c r="AH577" s="38"/>
      <c r="AI577" s="24"/>
      <c r="AJ577" s="29"/>
      <c r="AK577" s="25"/>
      <c r="AL577" s="25"/>
      <c r="AM577" s="25"/>
      <c r="AN577" s="29"/>
      <c r="AO577" s="38"/>
      <c r="AP577" s="38"/>
      <c r="AQ577" s="38"/>
      <c r="AR577" s="22"/>
    </row>
    <row r="578" spans="1:44" ht="13.5" customHeight="1" x14ac:dyDescent="0.3">
      <c r="B578" s="30">
        <v>563</v>
      </c>
      <c r="C578" s="39">
        <v>10</v>
      </c>
      <c r="D578" s="43" t="s">
        <v>405</v>
      </c>
      <c r="E578" s="37" t="s">
        <v>400</v>
      </c>
      <c r="F578" s="39" t="s">
        <v>404</v>
      </c>
      <c r="G578" s="39" t="s">
        <v>430</v>
      </c>
      <c r="H578" s="80">
        <f>J578*2/(1+1/(K578/J578))</f>
        <v>21606.606104203245</v>
      </c>
      <c r="I578" s="80"/>
      <c r="J578" s="25">
        <f t="array" ref="J578">IFERROR(INDEX($H$16:$H$582,MATCH(1,(C578=$C$16:$C$582)*(D578=$D$16:$D$582)*(E578=$E$16:$E$582)*(""=$G$16:$G$582),0)),"값이없음")</f>
        <v>21606.606104203245</v>
      </c>
      <c r="K578" s="25">
        <f t="array" ref="K578">IFERROR(INDEX($H$16:$H$582,MATCH(1,(C578=$C$16:$C$582)*(D578=$D$16:$D$582)*(E578=$E$16:$E$582)*("생명50%이하"=$G$16:$G$582),0)),"값이없음")</f>
        <v>21606.606104203245</v>
      </c>
      <c r="L578" s="25"/>
      <c r="M578" s="25"/>
      <c r="N578" s="38"/>
      <c r="O578" s="38"/>
      <c r="P578" s="38"/>
      <c r="Q578" s="34"/>
      <c r="R578" s="23"/>
      <c r="S578" s="29"/>
      <c r="T578" s="25"/>
      <c r="U578" s="25"/>
      <c r="V578" s="25"/>
      <c r="W578" s="25"/>
      <c r="X578" s="25"/>
      <c r="Y578" s="25"/>
      <c r="Z578" s="24"/>
      <c r="AA578" s="29"/>
      <c r="AB578" s="29"/>
      <c r="AC578" s="25"/>
      <c r="AD578" s="25"/>
      <c r="AE578" s="25"/>
      <c r="AF578" s="29"/>
      <c r="AG578" s="25"/>
      <c r="AH578" s="38"/>
      <c r="AI578" s="24"/>
      <c r="AJ578" s="29"/>
      <c r="AK578" s="25"/>
      <c r="AL578" s="25"/>
      <c r="AM578" s="25"/>
      <c r="AN578" s="29"/>
      <c r="AO578" s="38"/>
      <c r="AP578" s="38"/>
      <c r="AQ578" s="38"/>
      <c r="AR578" s="22"/>
    </row>
    <row r="579" spans="1:44" ht="13.5" customHeight="1" x14ac:dyDescent="0.3">
      <c r="B579" s="30">
        <v>564</v>
      </c>
      <c r="C579" s="39">
        <v>10</v>
      </c>
      <c r="D579" s="43" t="s">
        <v>405</v>
      </c>
      <c r="E579" s="37" t="s">
        <v>103</v>
      </c>
      <c r="F579" s="39"/>
      <c r="G579" s="39" t="s">
        <v>433</v>
      </c>
      <c r="H579" s="80">
        <f>J579*2/(1+1/(K579/J579))</f>
        <v>18301.575616983246</v>
      </c>
      <c r="I579" s="80"/>
      <c r="J579" s="25">
        <f t="array" ref="J579">IFERROR(INDEX($H$16:$H$582,MATCH(1,(C579=$C$16:$C$582)*(D579=$D$16:$D$582)*(E579=$E$16:$E$582)*(""=$G$16:$G$582),0)),"값이없음")</f>
        <v>15437.19763903421</v>
      </c>
      <c r="K579" s="25">
        <f t="array" ref="K579">IFERROR(INDEX($H$16:$H$582,MATCH(1,(C579=$C$16:$C$582)*(D579=$D$16:$D$582)*(E579=$E$16:$E$582)*("생명50%이하"=$G$16:$G$582),0)),"값이없음")</f>
        <v>22471.096183742986</v>
      </c>
      <c r="L579" s="25"/>
      <c r="M579" s="25"/>
      <c r="N579" s="38"/>
      <c r="O579" s="38"/>
      <c r="P579" s="38"/>
      <c r="Q579" s="34"/>
      <c r="R579" s="23"/>
      <c r="S579" s="29"/>
      <c r="T579" s="25"/>
      <c r="U579" s="25"/>
      <c r="V579" s="25"/>
      <c r="W579" s="25"/>
      <c r="X579" s="25"/>
      <c r="Y579" s="25"/>
      <c r="Z579" s="24"/>
      <c r="AA579" s="29"/>
      <c r="AB579" s="29"/>
      <c r="AC579" s="25"/>
      <c r="AD579" s="25"/>
      <c r="AE579" s="25"/>
      <c r="AF579" s="29"/>
      <c r="AG579" s="25"/>
      <c r="AH579" s="38"/>
      <c r="AI579" s="24"/>
      <c r="AJ579" s="29"/>
      <c r="AK579" s="25"/>
      <c r="AL579" s="25"/>
      <c r="AM579" s="25"/>
      <c r="AN579" s="29"/>
      <c r="AO579" s="38"/>
      <c r="AP579" s="38"/>
      <c r="AQ579" s="38"/>
      <c r="AR579" s="22"/>
    </row>
    <row r="580" spans="1:44" ht="13.5" customHeight="1" x14ac:dyDescent="0.3">
      <c r="B580" s="30">
        <v>565</v>
      </c>
      <c r="C580" s="98">
        <v>1</v>
      </c>
      <c r="D580" s="45" t="s">
        <v>418</v>
      </c>
      <c r="E580" s="37"/>
      <c r="F580" s="39"/>
      <c r="G580" s="39"/>
      <c r="H580" s="80">
        <f>I580/AJ580</f>
        <v>10245.772202458344</v>
      </c>
      <c r="I580" s="52">
        <f>SUM(J580:Q580)*IF(입력란!C$15=1,1.04,IF(입력란!C$15=2,1.1,IF(입력란!C$15=3,1.2,1)))*IF(입력란!$C$17&lt;&gt;0,0.98,1)</f>
        <v>2943734.8418145017</v>
      </c>
      <c r="J580" s="25">
        <f>S580*(1+IF($AK580+IF(입력란!$C$19=1,10,0)&gt;100,100,$AK580+IF(입력란!$C$19=1,10,0))/100*($AL580/100-1))</f>
        <v>2943734.8418145017</v>
      </c>
      <c r="K580" s="38"/>
      <c r="L580" s="38"/>
      <c r="M580" s="38"/>
      <c r="N580" s="38"/>
      <c r="O580" s="38"/>
      <c r="P580" s="38"/>
      <c r="Q580" s="34"/>
      <c r="R580" s="23">
        <f>SUM(S580:Z580)</f>
        <v>2405786.7831130684</v>
      </c>
      <c r="S580" s="25">
        <f>AN580*IF(입력란!$C$12=0,1,IF(입력란!$C$12=1,1.4,IF(입력란!$C$12=2,1.5,IF(입력란!$C$12=3,1.6,1))))*(1+입력란!$C$35/100)</f>
        <v>2405786.7831130684</v>
      </c>
      <c r="T580" s="38"/>
      <c r="U580" s="38"/>
      <c r="V580" s="38"/>
      <c r="W580" s="38"/>
      <c r="X580" s="38"/>
      <c r="Y580" s="38"/>
      <c r="Z580" s="24"/>
      <c r="AA580" s="29">
        <f>SUM(AB580:AI580)</f>
        <v>4811573.5662261369</v>
      </c>
      <c r="AB580" s="29">
        <f>S580*2</f>
        <v>4811573.5662261369</v>
      </c>
      <c r="AC580" s="38"/>
      <c r="AD580" s="38"/>
      <c r="AE580" s="38"/>
      <c r="AF580" s="38"/>
      <c r="AG580" s="38"/>
      <c r="AH580" s="38"/>
      <c r="AI580" s="34"/>
      <c r="AJ580" s="29">
        <f>AR580*(1-입력란!$C$29/100)</f>
        <v>287.31215018700004</v>
      </c>
      <c r="AK580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80" s="25">
        <f>입력란!$C$37+IF(입력란!$C$17=1,10,IF(입력란!$C$17=2,25,IF(입력란!$C$17=3,50,0)))</f>
        <v>200</v>
      </c>
      <c r="AM580" s="25">
        <f>SUM(AN580:AP580)</f>
        <v>1617988.7193146686</v>
      </c>
      <c r="AN580" s="29">
        <f>(VLOOKUP(C580,$B$4:$AK$7,35,FALSE)+VLOOKUP(C580,$B$8:$AK$11,35,FALSE)*입력란!$C$23)*입력란!$C$38/100</f>
        <v>1617988.7193146686</v>
      </c>
      <c r="AO580" s="38"/>
      <c r="AP580" s="38"/>
      <c r="AQ580" s="38"/>
      <c r="AR580" s="12">
        <v>300</v>
      </c>
    </row>
    <row r="581" spans="1:44" ht="13.5" customHeight="1" x14ac:dyDescent="0.3">
      <c r="B581" s="30">
        <v>566</v>
      </c>
      <c r="C581" s="98">
        <v>4</v>
      </c>
      <c r="D581" s="45" t="s">
        <v>416</v>
      </c>
      <c r="E581" s="37"/>
      <c r="F581" s="39"/>
      <c r="G581" s="39"/>
      <c r="H581" s="80">
        <f>I581/AJ581</f>
        <v>4098.3846881961881</v>
      </c>
      <c r="I581" s="52">
        <f>SUM(J581:Q581)*IF(입력란!C$15=1,1.04,IF(입력란!C$15=2,1.1,IF(입력란!C$15=3,1.2,1)))*IF(입력란!$C$17&lt;&gt;0,0.98,1)</f>
        <v>1177515.7170591245</v>
      </c>
      <c r="J581" s="25">
        <f>S581*(1+IF($AK581+IF(입력란!$C$19=1,10,0)&gt;100,100,$AK581+IF(입력란!$C$19=1,10,0))/100*($AL581/100-1))</f>
        <v>1177515.7170591245</v>
      </c>
      <c r="K581" s="38"/>
      <c r="L581" s="38"/>
      <c r="M581" s="38"/>
      <c r="N581" s="38"/>
      <c r="O581" s="38"/>
      <c r="P581" s="38"/>
      <c r="Q581" s="34"/>
      <c r="R581" s="23">
        <f>SUM(S581:Z581)</f>
        <v>962332.5133667934</v>
      </c>
      <c r="S581" s="25">
        <f>AN581*IF(입력란!$C$12=0,1,IF(입력란!$C$12=1,1.4,IF(입력란!$C$12=2,1.5,IF(입력란!$C$12=3,1.6,1))))*(1+입력란!$C$35/100)</f>
        <v>962332.5133667934</v>
      </c>
      <c r="T581" s="38"/>
      <c r="U581" s="38"/>
      <c r="V581" s="38"/>
      <c r="W581" s="38"/>
      <c r="X581" s="38"/>
      <c r="Y581" s="38"/>
      <c r="Z581" s="24"/>
      <c r="AA581" s="29">
        <f>SUM(AB581:AI581)</f>
        <v>1924665.0267335868</v>
      </c>
      <c r="AB581" s="29">
        <f>S581*2</f>
        <v>1924665.0267335868</v>
      </c>
      <c r="AC581" s="38"/>
      <c r="AD581" s="38"/>
      <c r="AE581" s="38"/>
      <c r="AF581" s="38"/>
      <c r="AG581" s="38"/>
      <c r="AH581" s="38"/>
      <c r="AI581" s="34"/>
      <c r="AJ581" s="29">
        <f>AR581*(1-입력란!$C$29/100)</f>
        <v>287.31215018700004</v>
      </c>
      <c r="AK581" s="25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81" s="25">
        <f>입력란!$C$37+IF(입력란!$C$17=1,10,IF(입력란!$C$17=2,25,IF(입력란!$C$17=3,50,0)))</f>
        <v>200</v>
      </c>
      <c r="AM581" s="25">
        <f>SUM(AN581:AP581)</f>
        <v>647207.45902610838</v>
      </c>
      <c r="AN581" s="29">
        <f>(VLOOKUP(C581,$B$4:$AK$7,35,FALSE)+VLOOKUP(C581,$B$8:$AK$11,35,FALSE)*입력란!$C$23)*입력란!$C$38/100</f>
        <v>647207.45902610838</v>
      </c>
      <c r="AO581" s="38"/>
      <c r="AP581" s="38"/>
      <c r="AQ581" s="38"/>
      <c r="AR581" s="12">
        <v>300</v>
      </c>
    </row>
    <row r="582" spans="1:44" ht="14.25" customHeight="1" thickBot="1" x14ac:dyDescent="0.35">
      <c r="B582" s="54">
        <v>567</v>
      </c>
      <c r="C582" s="99">
        <v>1</v>
      </c>
      <c r="D582" s="79" t="s">
        <v>417</v>
      </c>
      <c r="E582" s="61"/>
      <c r="F582" s="62"/>
      <c r="G582" s="62"/>
      <c r="H582" s="81">
        <f>I582/AJ582</f>
        <v>8548.5167449714554</v>
      </c>
      <c r="I582" s="53">
        <f>SUM(J582:Q582)*IF(입력란!C$15=1,1.04,IF(입력란!C$15=2,1.1,IF(입력란!C$15=3,1.2,1)))*IF(입력란!$C$17&lt;&gt;0,0.98,1)</f>
        <v>2456092.7269073236</v>
      </c>
      <c r="J582" s="46">
        <f>S582*(1+IF($AK582+IF(입력란!$C$19=1,10,0)&gt;100,100,$AK582+IF(입력란!$C$19=1,10,0))/100*($AL582/100-1))</f>
        <v>2456092.7269073236</v>
      </c>
      <c r="K582" s="47"/>
      <c r="L582" s="47"/>
      <c r="M582" s="47"/>
      <c r="N582" s="47"/>
      <c r="O582" s="47"/>
      <c r="P582" s="47"/>
      <c r="Q582" s="82"/>
      <c r="R582" s="48">
        <f>SUM(S582:Z582)</f>
        <v>2007258.0371578583</v>
      </c>
      <c r="S582" s="46">
        <f>AN582*IF(입력란!$C$12=0,1,IF(입력란!$C$12=1,1.4,IF(입력란!$C$12=2,1.5,IF(입력란!$C$12=3,1.6,1))))*(1+입력란!$C$35/100)</f>
        <v>2007258.0371578583</v>
      </c>
      <c r="T582" s="47"/>
      <c r="U582" s="47"/>
      <c r="V582" s="47"/>
      <c r="W582" s="47"/>
      <c r="X582" s="47"/>
      <c r="Y582" s="47"/>
      <c r="Z582" s="49"/>
      <c r="AA582" s="50">
        <f>SUM(AB582:AI582)</f>
        <v>4014516.0743157165</v>
      </c>
      <c r="AB582" s="50">
        <f>S582*2</f>
        <v>4014516.0743157165</v>
      </c>
      <c r="AC582" s="47"/>
      <c r="AD582" s="47"/>
      <c r="AE582" s="47"/>
      <c r="AF582" s="47"/>
      <c r="AG582" s="47"/>
      <c r="AH582" s="47"/>
      <c r="AI582" s="82"/>
      <c r="AJ582" s="50">
        <f>AR582*(1-입력란!$C$29/100)</f>
        <v>287.31215018700004</v>
      </c>
      <c r="AK582" s="46">
        <f>IF((입력란!$C$27+IF(입력란!$C$13=0,0,IF(입력란!$C$13=1,20,IF(입력란!$C$13=2,25,IF(입력란!$C$13=3,30,0)))))&gt;100,100,입력란!$C$27+IF(입력란!$C$13=0,0,IF(입력란!$C$13=1,20,IF(입력란!$C$13=2,25,IF(입력란!$C$13=3,30,0)))))</f>
        <v>22.360587500000001</v>
      </c>
      <c r="AL582" s="46">
        <f>입력란!$C$37+IF(입력란!$C$17=1,10,IF(입력란!$C$17=2,25,IF(입력란!$C$17=3,50,0)))</f>
        <v>200</v>
      </c>
      <c r="AM582" s="46">
        <f>SUM(AN582:AP582)</f>
        <v>1349962.0513637515</v>
      </c>
      <c r="AN582" s="50">
        <f>(VLOOKUP(C582,$B$4:$AK$7,36,FALSE)+VLOOKUP(C582,$B$8:$AK$11,36,FALSE)*입력란!$C$23)*입력란!$C$38/100</f>
        <v>1349962.0513637515</v>
      </c>
      <c r="AO582" s="47"/>
      <c r="AP582" s="47"/>
      <c r="AQ582" s="47"/>
      <c r="AR582" s="15">
        <v>300</v>
      </c>
    </row>
    <row r="583" spans="1:44" ht="13.5" customHeight="1" x14ac:dyDescent="0.3">
      <c r="A583" s="8"/>
      <c r="B583" s="35"/>
      <c r="C583" s="8"/>
      <c r="D583" s="35"/>
      <c r="E583" s="44"/>
      <c r="F583" s="8"/>
      <c r="G583" s="8"/>
      <c r="H583" s="38"/>
      <c r="I583" s="38"/>
      <c r="J583" s="8"/>
      <c r="K583" s="8"/>
      <c r="L583" s="8"/>
      <c r="M583" s="8"/>
      <c r="N583" s="8"/>
      <c r="O583" s="8"/>
      <c r="P583" s="8"/>
      <c r="Q583" s="8"/>
      <c r="R583" s="39"/>
      <c r="S583" s="25"/>
      <c r="T583" s="8"/>
      <c r="U583" s="8"/>
      <c r="V583" s="8"/>
      <c r="W583" s="8"/>
      <c r="X583" s="8"/>
      <c r="Y583" s="8"/>
      <c r="Z583" s="8"/>
      <c r="AA583" s="29"/>
      <c r="AB583" s="29"/>
      <c r="AC583" s="8"/>
      <c r="AD583" s="8"/>
      <c r="AE583" s="8"/>
      <c r="AF583" s="8"/>
      <c r="AG583" s="8"/>
      <c r="AH583" s="8"/>
      <c r="AI583" s="8"/>
      <c r="AJ583" s="38"/>
      <c r="AK583" s="38"/>
      <c r="AL583" s="38"/>
      <c r="AM583" s="38"/>
      <c r="AN583" s="38"/>
      <c r="AO583" s="38"/>
      <c r="AP583" s="38"/>
      <c r="AQ583" s="38"/>
      <c r="AR583" s="8"/>
    </row>
    <row r="584" spans="1:44" ht="13.5" customHeight="1" x14ac:dyDescent="0.3">
      <c r="A584" s="8"/>
      <c r="B584" s="35"/>
      <c r="C584" s="8"/>
      <c r="D584" s="35"/>
      <c r="E584" s="44"/>
      <c r="F584" s="8"/>
      <c r="G584" s="8"/>
      <c r="H584" s="38"/>
      <c r="I584" s="38"/>
      <c r="J584" s="8"/>
      <c r="K584" s="8"/>
      <c r="L584" s="8"/>
      <c r="M584" s="8"/>
      <c r="N584" s="8"/>
      <c r="O584" s="8"/>
      <c r="P584" s="8"/>
      <c r="Q584" s="8"/>
      <c r="R584" s="39"/>
      <c r="S584" s="25"/>
      <c r="T584" s="8"/>
      <c r="U584" s="8"/>
      <c r="V584" s="8"/>
      <c r="W584" s="8"/>
      <c r="X584" s="8"/>
      <c r="Y584" s="8"/>
      <c r="Z584" s="8"/>
      <c r="AA584" s="29"/>
      <c r="AB584" s="29"/>
      <c r="AC584" s="8"/>
      <c r="AD584" s="8"/>
      <c r="AE584" s="8"/>
      <c r="AF584" s="8"/>
      <c r="AG584" s="8"/>
      <c r="AH584" s="8"/>
      <c r="AI584" s="8"/>
      <c r="AJ584" s="38"/>
      <c r="AK584" s="38"/>
      <c r="AL584" s="38"/>
      <c r="AM584" s="38"/>
      <c r="AN584" s="38"/>
      <c r="AO584" s="38"/>
      <c r="AP584" s="38"/>
      <c r="AQ584" s="38"/>
      <c r="AR584" s="8"/>
    </row>
    <row r="585" spans="1:44" ht="13.5" customHeight="1" x14ac:dyDescent="0.3">
      <c r="A585" s="8"/>
      <c r="B585" s="35"/>
      <c r="C585" s="8"/>
      <c r="D585" s="35"/>
      <c r="E585" s="44"/>
      <c r="F585" s="8"/>
      <c r="G585" s="8"/>
      <c r="H585" s="38"/>
      <c r="I585" s="38"/>
      <c r="J585" s="8"/>
      <c r="K585" s="8"/>
      <c r="L585" s="8"/>
      <c r="M585" s="8"/>
      <c r="N585" s="8"/>
      <c r="O585" s="8"/>
      <c r="P585" s="8"/>
      <c r="Q585" s="8"/>
      <c r="R585" s="39"/>
      <c r="S585" s="25"/>
      <c r="T585" s="8"/>
      <c r="U585" s="8"/>
      <c r="V585" s="8"/>
      <c r="W585" s="8"/>
      <c r="X585" s="8"/>
      <c r="Y585" s="8"/>
      <c r="Z585" s="8"/>
      <c r="AA585" s="29"/>
      <c r="AB585" s="29"/>
      <c r="AC585" s="8"/>
      <c r="AD585" s="8"/>
      <c r="AE585" s="8"/>
      <c r="AF585" s="8"/>
      <c r="AG585" s="8"/>
      <c r="AH585" s="8"/>
      <c r="AI585" s="8"/>
      <c r="AJ585" s="38"/>
      <c r="AK585" s="38"/>
      <c r="AL585" s="38"/>
      <c r="AM585" s="38"/>
      <c r="AN585" s="38"/>
      <c r="AO585" s="38"/>
      <c r="AP585" s="38"/>
      <c r="AQ585" s="38"/>
      <c r="AR585" s="8"/>
    </row>
    <row r="586" spans="1:44" ht="13.5" customHeight="1" x14ac:dyDescent="0.3">
      <c r="A586" s="8"/>
      <c r="B586" s="35"/>
      <c r="C586" s="8"/>
      <c r="D586" s="35"/>
      <c r="E586" s="44"/>
      <c r="F586" s="8"/>
      <c r="G586" s="8"/>
      <c r="H586" s="38"/>
      <c r="I586" s="38"/>
      <c r="J586" s="8"/>
      <c r="K586" s="8"/>
      <c r="L586" s="8"/>
      <c r="M586" s="8"/>
      <c r="N586" s="8"/>
      <c r="O586" s="8"/>
      <c r="P586" s="8"/>
      <c r="Q586" s="8"/>
      <c r="R586" s="39"/>
      <c r="S586" s="25"/>
      <c r="T586" s="8"/>
      <c r="U586" s="8"/>
      <c r="V586" s="8"/>
      <c r="W586" s="8"/>
      <c r="X586" s="8"/>
      <c r="Y586" s="8"/>
      <c r="Z586" s="8"/>
      <c r="AA586" s="29"/>
      <c r="AB586" s="29"/>
      <c r="AC586" s="8"/>
      <c r="AD586" s="8"/>
      <c r="AE586" s="8"/>
      <c r="AF586" s="8"/>
      <c r="AG586" s="8"/>
      <c r="AH586" s="8"/>
      <c r="AI586" s="8"/>
      <c r="AJ586" s="38"/>
      <c r="AK586" s="38"/>
      <c r="AL586" s="38"/>
      <c r="AM586" s="38"/>
      <c r="AN586" s="38"/>
      <c r="AO586" s="38"/>
      <c r="AP586" s="38"/>
      <c r="AQ586" s="38"/>
      <c r="AR586" s="8"/>
    </row>
    <row r="587" spans="1:44" ht="13.5" customHeight="1" x14ac:dyDescent="0.3">
      <c r="A587" s="8"/>
      <c r="B587" s="35"/>
      <c r="C587" s="8"/>
      <c r="D587" s="35"/>
      <c r="E587" s="44"/>
      <c r="F587" s="8"/>
      <c r="G587" s="8"/>
      <c r="H587" s="38"/>
      <c r="I587" s="3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38"/>
      <c r="AK587" s="38"/>
      <c r="AL587" s="38"/>
      <c r="AM587" s="38"/>
      <c r="AN587" s="38"/>
      <c r="AO587" s="38"/>
      <c r="AP587" s="38"/>
      <c r="AQ587" s="38"/>
      <c r="AR587" s="8"/>
    </row>
    <row r="588" spans="1:44" ht="13.5" customHeight="1" x14ac:dyDescent="0.3">
      <c r="A588" s="8"/>
      <c r="B588" s="35"/>
      <c r="C588" s="8"/>
      <c r="D588" s="35"/>
      <c r="E588" s="44"/>
      <c r="F588" s="8"/>
      <c r="G588" s="8"/>
      <c r="H588" s="38"/>
      <c r="I588" s="3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38"/>
      <c r="AK588" s="38"/>
      <c r="AL588" s="38"/>
      <c r="AM588" s="38"/>
      <c r="AN588" s="38"/>
      <c r="AO588" s="38"/>
      <c r="AP588" s="38"/>
      <c r="AQ588" s="38"/>
      <c r="AR588" s="8"/>
    </row>
    <row r="589" spans="1:44" ht="13.5" customHeight="1" x14ac:dyDescent="0.3">
      <c r="A589" s="8"/>
      <c r="B589" s="35"/>
      <c r="C589" s="8"/>
      <c r="D589" s="35"/>
      <c r="E589" s="44"/>
      <c r="F589" s="8"/>
      <c r="G589" s="8"/>
      <c r="H589" s="38"/>
      <c r="I589" s="3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38"/>
      <c r="AK589" s="38"/>
      <c r="AL589" s="38"/>
      <c r="AM589" s="38"/>
      <c r="AN589" s="38"/>
      <c r="AO589" s="38"/>
      <c r="AP589" s="38"/>
      <c r="AQ589" s="38"/>
      <c r="AR589" s="8"/>
    </row>
    <row r="590" spans="1:44" ht="13.5" customHeight="1" x14ac:dyDescent="0.3">
      <c r="A590" s="8"/>
      <c r="B590" s="35"/>
      <c r="C590" s="8"/>
      <c r="D590" s="35"/>
      <c r="E590" s="44"/>
      <c r="F590" s="8"/>
      <c r="G590" s="8"/>
      <c r="H590" s="38"/>
      <c r="I590" s="3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38"/>
      <c r="AK590" s="38"/>
      <c r="AL590" s="38"/>
      <c r="AM590" s="38"/>
      <c r="AN590" s="38"/>
      <c r="AO590" s="38"/>
      <c r="AP590" s="38"/>
      <c r="AQ590" s="38"/>
      <c r="AR590" s="8"/>
    </row>
    <row r="591" spans="1:44" ht="13.5" customHeight="1" x14ac:dyDescent="0.3">
      <c r="A591" s="8"/>
      <c r="B591" s="35"/>
      <c r="C591" s="8"/>
      <c r="D591" s="8"/>
      <c r="E591" s="44"/>
      <c r="F591" s="8"/>
      <c r="G591" s="8"/>
      <c r="H591" s="38"/>
      <c r="I591" s="3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38"/>
      <c r="AK591" s="38"/>
      <c r="AL591" s="38"/>
      <c r="AM591" s="38"/>
      <c r="AN591" s="38"/>
      <c r="AO591" s="38"/>
      <c r="AP591" s="38"/>
      <c r="AQ591" s="38"/>
      <c r="AR591" s="8"/>
    </row>
    <row r="592" spans="1:44" ht="13.5" customHeight="1" x14ac:dyDescent="0.3">
      <c r="A592" s="8"/>
      <c r="B592" s="35"/>
      <c r="C592" s="8"/>
      <c r="D592" s="8"/>
      <c r="E592" s="44"/>
      <c r="F592" s="8"/>
      <c r="G592" s="8"/>
      <c r="H592" s="38"/>
      <c r="I592" s="3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38"/>
      <c r="AK592" s="38"/>
      <c r="AL592" s="38"/>
      <c r="AM592" s="38"/>
      <c r="AN592" s="38"/>
      <c r="AO592" s="38"/>
      <c r="AP592" s="38"/>
      <c r="AQ592" s="38"/>
      <c r="AR592" s="8"/>
    </row>
    <row r="593" spans="1:44" ht="13.5" customHeight="1" x14ac:dyDescent="0.3">
      <c r="A593" s="8"/>
      <c r="B593" s="35"/>
      <c r="C593" s="8"/>
      <c r="D593" s="8"/>
      <c r="E593" s="44"/>
      <c r="F593" s="8"/>
      <c r="G593" s="8"/>
      <c r="H593" s="38"/>
      <c r="I593" s="3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38"/>
      <c r="AK593" s="38"/>
      <c r="AL593" s="38"/>
      <c r="AM593" s="38"/>
      <c r="AN593" s="38"/>
      <c r="AO593" s="38"/>
      <c r="AP593" s="38"/>
      <c r="AQ593" s="38"/>
      <c r="AR593" s="8"/>
    </row>
    <row r="594" spans="1:44" ht="13.5" customHeight="1" x14ac:dyDescent="0.3">
      <c r="A594" s="8"/>
      <c r="B594" s="35"/>
      <c r="C594" s="8"/>
      <c r="D594" s="8"/>
      <c r="E594" s="44"/>
      <c r="F594" s="8"/>
      <c r="G594" s="8"/>
      <c r="H594" s="38"/>
      <c r="I594" s="3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38"/>
      <c r="AK594" s="38"/>
      <c r="AL594" s="38"/>
      <c r="AM594" s="38"/>
      <c r="AN594" s="38"/>
      <c r="AO594" s="38"/>
      <c r="AP594" s="38"/>
      <c r="AQ594" s="38"/>
      <c r="AR594" s="8"/>
    </row>
    <row r="595" spans="1:44" ht="13.5" customHeight="1" x14ac:dyDescent="0.3">
      <c r="A595" s="8"/>
      <c r="B595" s="35"/>
      <c r="C595" s="8"/>
      <c r="D595" s="8"/>
      <c r="E595" s="44"/>
      <c r="F595" s="8"/>
      <c r="G595" s="8"/>
      <c r="H595" s="38"/>
      <c r="I595" s="3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38"/>
      <c r="AK595" s="38"/>
      <c r="AL595" s="38"/>
      <c r="AM595" s="38"/>
      <c r="AN595" s="38"/>
      <c r="AO595" s="38"/>
      <c r="AP595" s="38"/>
      <c r="AQ595" s="38"/>
      <c r="AR595" s="8"/>
    </row>
    <row r="596" spans="1:44" ht="13.5" customHeight="1" x14ac:dyDescent="0.3">
      <c r="A596" s="8"/>
      <c r="B596" s="35"/>
      <c r="C596" s="8"/>
      <c r="D596" s="8"/>
      <c r="E596" s="44"/>
      <c r="F596" s="8"/>
      <c r="G596" s="8"/>
      <c r="H596" s="38"/>
      <c r="I596" s="3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38"/>
      <c r="AK596" s="38"/>
      <c r="AL596" s="38"/>
      <c r="AM596" s="38"/>
      <c r="AN596" s="38"/>
      <c r="AO596" s="38"/>
      <c r="AP596" s="38"/>
      <c r="AQ596" s="38"/>
      <c r="AR596" s="8"/>
    </row>
    <row r="597" spans="1:44" ht="13.5" customHeight="1" x14ac:dyDescent="0.3">
      <c r="A597" s="8"/>
      <c r="B597" s="35"/>
      <c r="C597" s="8"/>
      <c r="D597" s="8"/>
      <c r="E597" s="44"/>
      <c r="F597" s="8"/>
      <c r="G597" s="8"/>
      <c r="H597" s="38"/>
      <c r="I597" s="3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38"/>
      <c r="AK597" s="38"/>
      <c r="AL597" s="38"/>
      <c r="AM597" s="38"/>
      <c r="AN597" s="38"/>
      <c r="AO597" s="38"/>
      <c r="AP597" s="38"/>
      <c r="AQ597" s="38"/>
      <c r="AR597" s="8"/>
    </row>
    <row r="598" spans="1:44" ht="13.5" customHeight="1" x14ac:dyDescent="0.3">
      <c r="A598" s="8"/>
      <c r="B598" s="35"/>
      <c r="C598" s="8"/>
      <c r="D598" s="8"/>
      <c r="E598" s="44"/>
      <c r="F598" s="8"/>
      <c r="G598" s="8"/>
      <c r="H598" s="38"/>
      <c r="I598" s="3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38"/>
      <c r="AK598" s="38"/>
      <c r="AL598" s="38"/>
      <c r="AM598" s="38"/>
      <c r="AN598" s="38"/>
      <c r="AO598" s="38"/>
      <c r="AP598" s="38"/>
      <c r="AQ598" s="38"/>
      <c r="AR598" s="8"/>
    </row>
    <row r="599" spans="1:44" ht="13.5" customHeight="1" x14ac:dyDescent="0.3">
      <c r="A599" s="8"/>
      <c r="B599" s="35"/>
      <c r="C599" s="8"/>
      <c r="D599" s="8"/>
      <c r="E599" s="44"/>
      <c r="F599" s="8"/>
      <c r="G599" s="8"/>
      <c r="H599" s="38"/>
      <c r="I599" s="3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38"/>
      <c r="AK599" s="38"/>
      <c r="AL599" s="38"/>
      <c r="AM599" s="38"/>
      <c r="AN599" s="38"/>
      <c r="AO599" s="38"/>
      <c r="AP599" s="38"/>
      <c r="AQ599" s="38"/>
      <c r="AR599" s="8"/>
    </row>
    <row r="600" spans="1:44" ht="13.5" customHeight="1" x14ac:dyDescent="0.3">
      <c r="A600" s="8"/>
      <c r="B600" s="35"/>
      <c r="C600" s="8"/>
      <c r="D600" s="8"/>
      <c r="E600" s="44"/>
      <c r="F600" s="8"/>
      <c r="G600" s="8"/>
      <c r="H600" s="38"/>
      <c r="I600" s="3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38"/>
      <c r="AK600" s="38"/>
      <c r="AL600" s="38"/>
      <c r="AM600" s="38"/>
      <c r="AN600" s="38"/>
      <c r="AO600" s="38"/>
      <c r="AP600" s="38"/>
      <c r="AQ600" s="38"/>
      <c r="AR600" s="8"/>
    </row>
    <row r="601" spans="1:44" ht="13.5" customHeight="1" x14ac:dyDescent="0.3">
      <c r="A601" s="8"/>
      <c r="B601" s="35"/>
      <c r="C601" s="8"/>
      <c r="D601" s="8"/>
      <c r="E601" s="44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38"/>
      <c r="AK601" s="38"/>
      <c r="AL601" s="38"/>
      <c r="AM601" s="38"/>
      <c r="AN601" s="38"/>
      <c r="AO601" s="38"/>
      <c r="AP601" s="38"/>
      <c r="AQ601" s="38"/>
      <c r="AR601" s="8"/>
    </row>
    <row r="602" spans="1:44" ht="13.5" customHeight="1" x14ac:dyDescent="0.3">
      <c r="A602" s="8"/>
      <c r="B602" s="35"/>
      <c r="C602" s="8"/>
      <c r="D602" s="8"/>
      <c r="E602" s="44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38"/>
      <c r="AK602" s="38"/>
      <c r="AL602" s="38"/>
      <c r="AM602" s="38"/>
      <c r="AN602" s="38"/>
      <c r="AO602" s="38"/>
      <c r="AP602" s="38"/>
      <c r="AQ602" s="38"/>
      <c r="AR602" s="8"/>
    </row>
    <row r="603" spans="1:44" ht="13.5" customHeight="1" x14ac:dyDescent="0.3">
      <c r="A603" s="8"/>
      <c r="B603" s="35"/>
      <c r="C603" s="8"/>
      <c r="D603" s="8"/>
      <c r="E603" s="44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38"/>
      <c r="AK603" s="38"/>
      <c r="AL603" s="38"/>
      <c r="AM603" s="38"/>
      <c r="AN603" s="38"/>
      <c r="AO603" s="38"/>
      <c r="AP603" s="38"/>
      <c r="AQ603" s="38"/>
      <c r="AR603" s="8"/>
    </row>
    <row r="604" spans="1:44" ht="13.5" customHeight="1" x14ac:dyDescent="0.3">
      <c r="A604" s="8"/>
      <c r="B604" s="35"/>
      <c r="C604" s="8"/>
      <c r="D604" s="8"/>
      <c r="E604" s="44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38"/>
      <c r="AK604" s="38"/>
      <c r="AL604" s="38"/>
      <c r="AM604" s="38"/>
      <c r="AN604" s="38"/>
      <c r="AO604" s="38"/>
      <c r="AP604" s="38"/>
      <c r="AQ604" s="38"/>
      <c r="AR604" s="8"/>
    </row>
    <row r="605" spans="1:44" ht="13.5" customHeight="1" x14ac:dyDescent="0.3">
      <c r="A605" s="8"/>
      <c r="B605" s="35"/>
      <c r="C605" s="8"/>
      <c r="D605" s="8"/>
      <c r="E605" s="44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38"/>
      <c r="AK605" s="38"/>
      <c r="AL605" s="38"/>
      <c r="AM605" s="38"/>
      <c r="AN605" s="38"/>
      <c r="AO605" s="38"/>
      <c r="AP605" s="38"/>
      <c r="AQ605" s="38"/>
      <c r="AR605" s="8"/>
    </row>
    <row r="606" spans="1:44" ht="13.5" customHeight="1" x14ac:dyDescent="0.3">
      <c r="A606" s="8"/>
      <c r="B606" s="35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</row>
    <row r="607" spans="1:44" ht="13.5" customHeight="1" x14ac:dyDescent="0.3">
      <c r="A607" s="8"/>
      <c r="B607" s="35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</row>
    <row r="608" spans="1:44" ht="13.5" customHeight="1" x14ac:dyDescent="0.3">
      <c r="A608" s="8"/>
      <c r="B608" s="35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</row>
    <row r="609" spans="1:44" ht="13.5" customHeight="1" x14ac:dyDescent="0.3">
      <c r="A609" s="8"/>
      <c r="B609" s="35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</row>
    <row r="610" spans="1:44" ht="13.5" customHeight="1" x14ac:dyDescent="0.3">
      <c r="A610" s="8"/>
      <c r="B610" s="35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</row>
    <row r="611" spans="1:44" ht="13.5" customHeight="1" x14ac:dyDescent="0.3">
      <c r="A611" s="8"/>
      <c r="B611" s="35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</row>
    <row r="612" spans="1:44" ht="13.5" customHeight="1" x14ac:dyDescent="0.3">
      <c r="B612" s="2"/>
    </row>
    <row r="613" spans="1:44" ht="13.5" customHeight="1" x14ac:dyDescent="0.3">
      <c r="B613" s="2"/>
    </row>
    <row r="614" spans="1:44" x14ac:dyDescent="0.3">
      <c r="B614" s="2"/>
    </row>
    <row r="615" spans="1:44" x14ac:dyDescent="0.3">
      <c r="B615" s="2"/>
    </row>
    <row r="616" spans="1:44" x14ac:dyDescent="0.3">
      <c r="B616" s="2"/>
    </row>
    <row r="617" spans="1:44" x14ac:dyDescent="0.3">
      <c r="B617" s="2"/>
    </row>
    <row r="618" spans="1:44" x14ac:dyDescent="0.3">
      <c r="B618" s="2"/>
    </row>
    <row r="619" spans="1:44" x14ac:dyDescent="0.3">
      <c r="B619" s="2"/>
    </row>
    <row r="620" spans="1:44" x14ac:dyDescent="0.3">
      <c r="B620" s="2"/>
    </row>
    <row r="621" spans="1:44" x14ac:dyDescent="0.3">
      <c r="B621" s="2"/>
    </row>
    <row r="622" spans="1:44" x14ac:dyDescent="0.3">
      <c r="B622" s="2"/>
    </row>
    <row r="623" spans="1:44" x14ac:dyDescent="0.3">
      <c r="B623" s="2"/>
    </row>
    <row r="624" spans="1:44" x14ac:dyDescent="0.3">
      <c r="B624" s="2"/>
    </row>
    <row r="625" spans="2:2" x14ac:dyDescent="0.3">
      <c r="B625" s="2"/>
    </row>
    <row r="626" spans="2:2" x14ac:dyDescent="0.3">
      <c r="B626" s="2"/>
    </row>
    <row r="627" spans="2:2" x14ac:dyDescent="0.3">
      <c r="B627" s="2"/>
    </row>
  </sheetData>
  <autoFilter ref="B15:AR582">
    <sortState ref="B16:AR582">
      <sortCondition ref="B15:B582"/>
    </sortState>
  </autoFilter>
  <mergeCells count="11">
    <mergeCell ref="T2:V2"/>
    <mergeCell ref="X2:Z2"/>
    <mergeCell ref="AB2:AC2"/>
    <mergeCell ref="H14:Q14"/>
    <mergeCell ref="R14:Z14"/>
    <mergeCell ref="AA14:AI14"/>
    <mergeCell ref="AG2:AH2"/>
    <mergeCell ref="AE2:AF2"/>
    <mergeCell ref="J2:K2"/>
    <mergeCell ref="M2:P2"/>
    <mergeCell ref="R2:S2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5"/>
  <sheetViews>
    <sheetView workbookViewId="0"/>
  </sheetViews>
  <sheetFormatPr defaultRowHeight="13.5" x14ac:dyDescent="0.3"/>
  <cols>
    <col min="1" max="1" width="9" style="1"/>
    <col min="2" max="2" width="12.125" style="1" bestFit="1" customWidth="1"/>
    <col min="3" max="19" width="6.25" style="1" customWidth="1"/>
    <col min="20" max="16384" width="9" style="1"/>
  </cols>
  <sheetData>
    <row r="2" spans="2:19" ht="14.25" thickBot="1" x14ac:dyDescent="0.35"/>
    <row r="3" spans="2:19" ht="14.25" thickBot="1" x14ac:dyDescent="0.35">
      <c r="B3" s="10" t="s">
        <v>37</v>
      </c>
      <c r="C3" s="120" t="s">
        <v>40</v>
      </c>
      <c r="D3" s="121"/>
      <c r="E3" s="121"/>
      <c r="F3" s="121"/>
      <c r="G3" s="121"/>
      <c r="H3" s="122"/>
      <c r="I3" s="121" t="s">
        <v>41</v>
      </c>
      <c r="J3" s="121"/>
      <c r="K3" s="121"/>
      <c r="L3" s="121"/>
      <c r="M3" s="121"/>
      <c r="N3" s="121"/>
      <c r="O3" s="114" t="s">
        <v>42</v>
      </c>
      <c r="P3" s="115"/>
      <c r="Q3" s="115"/>
      <c r="R3" s="116"/>
      <c r="S3" s="19"/>
    </row>
    <row r="4" spans="2:19" ht="14.25" thickBot="1" x14ac:dyDescent="0.35">
      <c r="B4" s="16"/>
      <c r="C4" s="114">
        <v>1</v>
      </c>
      <c r="D4" s="115"/>
      <c r="E4" s="115">
        <v>2</v>
      </c>
      <c r="F4" s="115"/>
      <c r="G4" s="115">
        <v>3</v>
      </c>
      <c r="H4" s="116"/>
      <c r="I4" s="115">
        <v>1</v>
      </c>
      <c r="J4" s="115"/>
      <c r="K4" s="115">
        <v>2</v>
      </c>
      <c r="L4" s="115"/>
      <c r="M4" s="115">
        <v>3</v>
      </c>
      <c r="N4" s="115"/>
      <c r="O4" s="114">
        <v>1</v>
      </c>
      <c r="P4" s="115"/>
      <c r="Q4" s="115">
        <v>2</v>
      </c>
      <c r="R4" s="116"/>
      <c r="S4" s="19"/>
    </row>
    <row r="5" spans="2:19" x14ac:dyDescent="0.3">
      <c r="B5" s="11" t="s">
        <v>10</v>
      </c>
      <c r="C5" s="11"/>
      <c r="D5" s="17"/>
      <c r="E5" s="8">
        <v>0</v>
      </c>
      <c r="F5" s="17">
        <v>10</v>
      </c>
      <c r="G5" s="8"/>
      <c r="H5" s="12"/>
      <c r="I5" s="8"/>
      <c r="J5" s="17"/>
      <c r="K5" s="8">
        <v>0</v>
      </c>
      <c r="L5" s="17">
        <f>IF(입력란!G4=1,15,IF(입력란!G4=2,17.4,IF(입력란!G4=3,19.9,IF(입력란!G4=4,22.5,IF(입력란!G4=5,25.1,0)))))</f>
        <v>15</v>
      </c>
      <c r="M5" s="8">
        <v>1</v>
      </c>
      <c r="N5" s="8">
        <f>IF(입력란!G5=1,1.4,IF(입력란!G5=2,1.47,IF(입력란!G5=3,1.54,IF(입력란!G5=4,1.62,IF(입력란!G5=5,1.7,0)))))</f>
        <v>1.4</v>
      </c>
      <c r="O5" s="11"/>
      <c r="P5" s="17"/>
      <c r="Q5" s="8"/>
      <c r="R5" s="20"/>
      <c r="S5" s="8"/>
    </row>
    <row r="6" spans="2:19" x14ac:dyDescent="0.3">
      <c r="B6" s="11" t="s">
        <v>28</v>
      </c>
      <c r="C6" s="11"/>
      <c r="D6" s="9"/>
      <c r="E6" s="8"/>
      <c r="F6" s="9"/>
      <c r="G6" s="8">
        <v>0</v>
      </c>
      <c r="H6" s="12">
        <v>10</v>
      </c>
      <c r="I6" s="8">
        <v>1</v>
      </c>
      <c r="J6" s="9">
        <f>IF(입력란!G6=1,1.5,IF(입력란!G6=2,1.57,IF(입력란!G6=3,1.64,IF(입력란!G6=4,1.72,IF(입력란!G6=5,1.8,0)))))</f>
        <v>1.5</v>
      </c>
      <c r="K6" s="8">
        <v>1</v>
      </c>
      <c r="L6" s="9">
        <f>IF(입력란!G7=1,0.5,IF(입력란!G7=2,0.6,IF(입력란!G7=3,0.7,IF(입력란!G7=4,0.8,IF(입력란!G7=5,0.9,0)))))</f>
        <v>0.5</v>
      </c>
      <c r="M6" s="8">
        <v>1</v>
      </c>
      <c r="N6" s="8">
        <f>IF(입력란!G8=1,0.25,IF(입력란!G8=2,0.27,IF(입력란!G8=3,0.29,IF(입력란!G8=4,0.31,IF(입력란!G8=5,0.33,0)))))</f>
        <v>0.25</v>
      </c>
      <c r="O6" s="11">
        <v>1</v>
      </c>
      <c r="P6" s="9">
        <f>IF(입력란!G9=1,1.2,IF(입력란!G9=2,1.26,IF(입력란!G9=3,1.32,IF(입력란!G9=4,1.41,IF(입력란!G9=5,1.5,0)))))</f>
        <v>1.2</v>
      </c>
      <c r="Q6" s="8">
        <v>0</v>
      </c>
      <c r="R6" s="12">
        <f>IF(입력란!G10=1,1,IF(입력란!G10=2,1.11,IF(입력란!G10=3,1.22,IF(입력란!G10=4,1.33,IF(입력란!G10=5,1.45,0)))))</f>
        <v>1</v>
      </c>
      <c r="S6" s="8"/>
    </row>
    <row r="7" spans="2:19" x14ac:dyDescent="0.3">
      <c r="B7" s="11" t="s">
        <v>342</v>
      </c>
      <c r="C7" s="11"/>
      <c r="D7" s="9"/>
      <c r="E7" s="8"/>
      <c r="F7" s="9"/>
      <c r="G7" s="8">
        <v>0</v>
      </c>
      <c r="H7" s="12">
        <f>IF(입력란!G11=1,2,IF(입력란!G11=2,2.5,IF(입력란!G11=3,3,IF(입력란!G11=4,3.5,IF(입력란!G11=5,4,0)))))</f>
        <v>2</v>
      </c>
      <c r="I7" s="8"/>
      <c r="J7" s="9"/>
      <c r="K7" s="8">
        <v>1</v>
      </c>
      <c r="L7" s="9">
        <f>IF(입력란!G12=1,1.6,IF(입력란!G12=2,1.68,IF(입력란!G12=3,1.77,IF(입력란!G12=4,1.86,IF(입력란!G12=5,1.95,0)))))</f>
        <v>1.6</v>
      </c>
      <c r="M7" s="8"/>
      <c r="N7" s="8"/>
      <c r="O7" s="11">
        <v>0</v>
      </c>
      <c r="P7" s="9">
        <f>IF(입력란!G13=1,1.5,IF(입력란!G13=2,1.637,IF(입력란!G13=3,1.774,IF(입력란!G13=4,1.912,IF(입력란!G13=5,2.05,0)))))</f>
        <v>1.5</v>
      </c>
      <c r="Q7" s="8">
        <v>0</v>
      </c>
      <c r="R7" s="12">
        <f>IF(입력란!G14=1,50,IF(입력란!G14=2,62.5,IF(입력란!G14=3,75,IF(입력란!G14=4,87.5,IF(입력란!G14=5,100,0)))))</f>
        <v>50</v>
      </c>
      <c r="S7" s="8"/>
    </row>
    <row r="8" spans="2:19" x14ac:dyDescent="0.3">
      <c r="B8" s="11" t="s">
        <v>11</v>
      </c>
      <c r="C8" s="11"/>
      <c r="D8" s="9"/>
      <c r="E8" s="8"/>
      <c r="F8" s="9"/>
      <c r="G8" s="8"/>
      <c r="H8" s="12"/>
      <c r="I8" s="8">
        <v>1</v>
      </c>
      <c r="J8" s="9">
        <v>1</v>
      </c>
      <c r="K8" s="8"/>
      <c r="L8" s="9"/>
      <c r="M8" s="8">
        <v>0</v>
      </c>
      <c r="N8" s="8">
        <f>IF(입력란!G15=1,30,IF(입력란!G15=2,37,IF(입력란!G15=3,44,IF(입력란!G15=4,52,IF(입력란!G15=5,60,0)))))</f>
        <v>30</v>
      </c>
      <c r="O8" s="11">
        <v>1</v>
      </c>
      <c r="P8" s="9">
        <f>IF(입력란!G16=1,1.35,IF(입력란!G16=2,1.418,IF(입력란!G16=3,1.485,IF(입력란!G16=4,1.566,IF(입력란!G16=5,1.647,0)))))</f>
        <v>1.35</v>
      </c>
      <c r="Q8" s="8">
        <v>1</v>
      </c>
      <c r="R8" s="12">
        <f>IF(입력란!G17=1,1.8,IF(입력란!G17=2,1.8945,IF(입력란!G17=3,1.989,IF(입력란!G17=4,2.0835,IF(입력란!G17=5,2.178,0)))))</f>
        <v>1.8</v>
      </c>
      <c r="S8" s="8" t="s">
        <v>108</v>
      </c>
    </row>
    <row r="9" spans="2:19" x14ac:dyDescent="0.3">
      <c r="B9" s="11" t="s">
        <v>12</v>
      </c>
      <c r="C9" s="11"/>
      <c r="D9" s="9"/>
      <c r="E9" s="8"/>
      <c r="F9" s="9"/>
      <c r="G9" s="8">
        <v>1</v>
      </c>
      <c r="H9" s="12">
        <f>IF(입력란!G18=1,1.2,IF(입력란!G18=2,1.262,IF(입력란!G18=3,1.324,IF(입력란!G18=4,1.386,IF(입력란!G18=5,1.45,0)))))</f>
        <v>1.2</v>
      </c>
      <c r="I9" s="8"/>
      <c r="J9" s="9"/>
      <c r="K9" s="8">
        <v>0</v>
      </c>
      <c r="L9" s="9">
        <f>IF(입력란!G19=1,60,IF(입력란!G19=2,68.4,IF(입력란!G19=3,76.8,IF(입력란!G19=4,85.8,IF(입력란!G19=5,94.8,0)))))</f>
        <v>60</v>
      </c>
      <c r="M9" s="8">
        <v>1</v>
      </c>
      <c r="N9" s="8">
        <f>IF(입력란!G20=1,1.24,IF(입력란!G20=2,1.282,IF(입력란!G20=3,1.324,IF(입력란!G20=4,1.372,IF(입력란!G20=5,1.42,0)))))</f>
        <v>1.24</v>
      </c>
      <c r="O9" s="11">
        <v>1</v>
      </c>
      <c r="P9" s="9">
        <f>IF(입력란!G21=1,1.8,IF(입력란!G21=2,1.89,IF(입력란!G21=3,1.98,IF(입력란!G21=4,2.088,IF(입력란!G21=5,2.196,0)))))</f>
        <v>1.8</v>
      </c>
      <c r="Q9" s="8">
        <v>1</v>
      </c>
      <c r="R9" s="12">
        <f>IF(입력란!G22=1,1.6,IF(입력란!G22=2,1.68,IF(입력란!G22=3,1.76,IF(입력란!G22=4,1.856,IF(입력란!G22=5,1.952,0)))))</f>
        <v>1.6</v>
      </c>
      <c r="S9" s="8"/>
    </row>
    <row r="10" spans="2:19" x14ac:dyDescent="0.3">
      <c r="B10" s="11" t="s">
        <v>13</v>
      </c>
      <c r="C10" s="11"/>
      <c r="D10" s="9"/>
      <c r="E10" s="8"/>
      <c r="F10" s="9"/>
      <c r="G10" s="8"/>
      <c r="H10" s="12"/>
      <c r="I10" s="8">
        <v>0</v>
      </c>
      <c r="J10" s="9">
        <v>0.6</v>
      </c>
      <c r="K10" s="8">
        <v>0</v>
      </c>
      <c r="L10" s="9">
        <f>IF(입력란!G24=1,50,IF(입력란!G24=2,57,IF(입력란!G24=3,64,IF(입력란!G24=4,72,IF(입력란!G24=5,80,0)))))</f>
        <v>50</v>
      </c>
      <c r="M10" s="8"/>
      <c r="N10" s="8"/>
      <c r="O10" s="11">
        <v>1</v>
      </c>
      <c r="P10" s="9">
        <v>2</v>
      </c>
      <c r="Q10" s="8">
        <v>0</v>
      </c>
      <c r="R10" s="12">
        <f>IF(입력란!G25=1,3,IF(입력란!G25=2,3.2,IF(입력란!G25=3,3.4,IF(입력란!G25=4,3.7,IF(입력란!G25=5,4,0)))))</f>
        <v>3</v>
      </c>
      <c r="S10" s="8"/>
    </row>
    <row r="11" spans="2:19" x14ac:dyDescent="0.3">
      <c r="B11" s="11" t="s">
        <v>14</v>
      </c>
      <c r="C11" s="11"/>
      <c r="D11" s="9"/>
      <c r="E11" s="8">
        <v>0</v>
      </c>
      <c r="F11" s="9">
        <v>10</v>
      </c>
      <c r="G11" s="8"/>
      <c r="H11" s="12"/>
      <c r="I11" s="8">
        <v>1</v>
      </c>
      <c r="J11" s="9">
        <f>IF(입력란!G26=1,1.6,IF(입력란!G26=2,1.68,IF(입력란!G26=3,1.76,IF(입력란!G26=4,1.856,IF(입력란!G26=5,1.952,0)))))</f>
        <v>1.6</v>
      </c>
      <c r="K11" s="8">
        <v>1</v>
      </c>
      <c r="L11" s="9">
        <f>IF(입력란!G27=1,2,IF(입력란!G26=2,2.11,IF(입력란!G26=3,2.22,IF(입력란!G26=4,2.33,IF(입력란!G26=5,2.45,0)))))</f>
        <v>2</v>
      </c>
      <c r="M11" s="8">
        <v>0</v>
      </c>
      <c r="N11" s="8">
        <f>IF(입력란!G28=1,100,IF(입력란!G28=2,115,IF(입력란!G28=3,130,IF(입력란!G28=4,145,IF(입력란!G28=5,160,0)))))</f>
        <v>100</v>
      </c>
      <c r="O11" s="11">
        <v>0</v>
      </c>
      <c r="P11" s="9">
        <v>0.03</v>
      </c>
      <c r="Q11" s="8">
        <v>0</v>
      </c>
      <c r="R11" s="12">
        <f>IF(입력란!G30=1,60,IF(입력란!G30=2,68,IF(입력란!G30=3,77,IF(입력란!G30=4,86,IF(입력란!G30=5,95,0)))))</f>
        <v>60</v>
      </c>
      <c r="S11" s="8"/>
    </row>
    <row r="12" spans="2:19" x14ac:dyDescent="0.3">
      <c r="B12" s="11" t="s">
        <v>29</v>
      </c>
      <c r="C12" s="11"/>
      <c r="D12" s="9"/>
      <c r="E12" s="8"/>
      <c r="F12" s="9"/>
      <c r="G12" s="8">
        <v>0</v>
      </c>
      <c r="H12" s="12">
        <f>IF(입력란!G31=1,40,IF(입력란!G31=2,50,IF(입력란!G31=3,61,IF(입력란!G31=4,72,IF(입력란!G31=5,83,0)))))</f>
        <v>40</v>
      </c>
      <c r="I12" s="8">
        <v>1</v>
      </c>
      <c r="J12" s="9">
        <v>1.3</v>
      </c>
      <c r="K12" s="8"/>
      <c r="L12" s="9"/>
      <c r="M12" s="8">
        <v>1</v>
      </c>
      <c r="N12" s="8">
        <v>2</v>
      </c>
      <c r="O12" s="11"/>
      <c r="P12" s="9"/>
      <c r="Q12" s="8">
        <v>1.33</v>
      </c>
      <c r="R12" s="12">
        <f>IF(입력란!G33=1,50,IF(입력란!G33=2,69,IF(입력란!G33=3,88,IF(입력란!G33=4,107,IF(입력란!G33=5,126,0)))))</f>
        <v>50</v>
      </c>
      <c r="S12" s="8"/>
    </row>
    <row r="13" spans="2:19" x14ac:dyDescent="0.3">
      <c r="B13" s="11" t="s">
        <v>30</v>
      </c>
      <c r="C13" s="11"/>
      <c r="D13" s="9"/>
      <c r="E13" s="8"/>
      <c r="F13" s="9"/>
      <c r="G13" s="8">
        <v>0</v>
      </c>
      <c r="H13" s="12">
        <f>IF(입력란!G34=1,15,IF(입력란!G34=2,18,IF(입력란!G34=3,21,IF(입력란!G34=4,25,IF(입력란!G34=5,30,0)))))</f>
        <v>15</v>
      </c>
      <c r="I13" s="8">
        <v>1</v>
      </c>
      <c r="J13" s="9">
        <f>IF(입력란!G35=1,1.4,IF(입력란!G35=2,1.47,IF(입력란!G35=3,1.54,IF(입력란!G35=4,1.62,IF(입력란!G35=5,1.7,0)))))</f>
        <v>1.4</v>
      </c>
      <c r="K13" s="8"/>
      <c r="L13" s="9"/>
      <c r="M13" s="8"/>
      <c r="N13" s="8"/>
      <c r="O13" s="11">
        <v>1</v>
      </c>
      <c r="P13" s="9">
        <v>1.5</v>
      </c>
      <c r="Q13" s="8">
        <v>1</v>
      </c>
      <c r="R13" s="12">
        <v>1.5</v>
      </c>
      <c r="S13" s="8"/>
    </row>
    <row r="14" spans="2:19" x14ac:dyDescent="0.3">
      <c r="B14" s="11" t="s">
        <v>354</v>
      </c>
      <c r="C14" s="11"/>
      <c r="D14" s="9"/>
      <c r="E14" s="8"/>
      <c r="F14" s="9"/>
      <c r="G14" s="8"/>
      <c r="H14" s="12"/>
      <c r="I14" s="8">
        <v>1</v>
      </c>
      <c r="J14" s="9">
        <f>IF(입력란!G36=1,2,IF(입력란!G36=2,2.18,IF(입력란!G36=3,2.37,IF(입력란!G36=4,2.56,IF(입력란!G36=5,2.75,0)))))</f>
        <v>2</v>
      </c>
      <c r="K14" s="8"/>
      <c r="L14" s="9"/>
      <c r="M14" s="8">
        <v>0</v>
      </c>
      <c r="N14" s="8">
        <f>IF(입력란!G37=1,40,IF(입력란!G37=2,50,IF(입력란!G37=3,60,IF(입력란!G37=4,70,IF(입력란!G37=5,80,0)))))</f>
        <v>40</v>
      </c>
      <c r="O14" s="11"/>
      <c r="P14" s="9"/>
      <c r="Q14" s="8">
        <v>1</v>
      </c>
      <c r="R14" s="12">
        <f>IF(입력란!G38=1,2,IF(입력란!G38=2,2.21,IF(입력란!G38=3,2.42,IF(입력란!G38=4,2.66,IF(입력란!G38=5,2.9,0)))))</f>
        <v>2</v>
      </c>
      <c r="S14" s="8"/>
    </row>
    <row r="15" spans="2:19" x14ac:dyDescent="0.3">
      <c r="B15" s="11" t="s">
        <v>359</v>
      </c>
      <c r="C15" s="11">
        <v>1</v>
      </c>
      <c r="D15" s="9">
        <f>IF(입력란!G39=1,1.3,IF(입력란!G39=2,1.375,IF(입력란!G39=3,1.45,IF(입력란!G39=4,1.525,IF(입력란!G39=5,1.6,0)))))</f>
        <v>1.3</v>
      </c>
      <c r="E15" s="8"/>
      <c r="F15" s="9"/>
      <c r="G15" s="8">
        <v>0</v>
      </c>
      <c r="H15" s="12">
        <f>IF(입력란!G40=1,20,IF(입력란!G40=2,26,IF(입력란!G40=3,32,IF(입력란!G40=4,38,IF(입력란!G40=5,45,0)))))</f>
        <v>20</v>
      </c>
      <c r="I15" s="8">
        <v>1</v>
      </c>
      <c r="J15" s="9">
        <f>IF(입력란!G41=1,1.5,IF(입력란!G41=2,1.575,IF(입력란!G41=3,1.65,IF(입력란!G41=4,1.725,IF(입력란!G41=5,1.8,0)))))</f>
        <v>1.5</v>
      </c>
      <c r="K15" s="8"/>
      <c r="L15" s="9"/>
      <c r="M15" s="8">
        <v>1</v>
      </c>
      <c r="N15" s="8">
        <f>IF(입력란!G42=1,1.6,IF(입력란!G42=2,1.68,IF(입력란!G42=3,1.77,IF(입력란!G42=4,1.86,IF(입력란!G42=5,1.95,0)))))</f>
        <v>1.6</v>
      </c>
      <c r="O15" s="11">
        <v>0</v>
      </c>
      <c r="P15" s="9">
        <f>IF(입력란!G43=1,200,IF(입력란!G43=2,220,IF(입력란!G43=3,240,IF(입력란!G43=4,265,IF(입력란!G43=5,290,0)))))</f>
        <v>200</v>
      </c>
      <c r="Q15" s="8"/>
      <c r="R15" s="12"/>
      <c r="S15" s="8"/>
    </row>
    <row r="16" spans="2:19" x14ac:dyDescent="0.3">
      <c r="B16" s="11" t="s">
        <v>31</v>
      </c>
      <c r="C16" s="11">
        <v>0</v>
      </c>
      <c r="D16" s="9">
        <f>IF(입력란!J4=1,6,IF(입력란!J4=2,7.2,IF(입력란!J4=3,8.4,IF(입력란!J4=4,9.7,IF(입력란!J4=5,11,0)))))</f>
        <v>6</v>
      </c>
      <c r="E16" s="8"/>
      <c r="F16" s="9"/>
      <c r="G16" s="8"/>
      <c r="H16" s="12"/>
      <c r="I16" s="8">
        <v>1</v>
      </c>
      <c r="J16" s="9">
        <f>IF(입력란!J5=1,3.6,IF(입력란!J5=2,3.85,IF(입력란!J5=3,4.1,IF(입력란!J5=4,4.35,IF(입력란!J5=5,4.6,0)))))</f>
        <v>3.6</v>
      </c>
      <c r="K16" s="8">
        <v>1</v>
      </c>
      <c r="L16" s="9">
        <f>IF(입력란!J6=1,1.3,IF(입력란!J6=2,1.38,IF(입력란!J6=3,1.47,IF(입력란!J6=4,1.56,IF(입력란!J6=5,1.65,0)))))</f>
        <v>1.3</v>
      </c>
      <c r="M16" s="8"/>
      <c r="N16" s="8"/>
      <c r="O16" s="11">
        <v>1</v>
      </c>
      <c r="P16" s="9">
        <f>IF(입력란!J7=1,1.5,IF(입력란!J7=2,1.57,IF(입력란!J7=3,1.64,IF(입력란!J7=4,1.72,IF(입력란!J7=5,1.8,0)))))</f>
        <v>1.5</v>
      </c>
      <c r="Q16" s="8">
        <v>1</v>
      </c>
      <c r="R16" s="12">
        <f>IF(입력란!J8=1,2,IF(입력란!J8=2,2.11,IF(입력란!J8=3,2.22,IF(입력란!J8=4,2.33,IF(입력란!J8=5,2.45,0)))))</f>
        <v>2</v>
      </c>
      <c r="S16" s="8"/>
    </row>
    <row r="17" spans="2:19" x14ac:dyDescent="0.3">
      <c r="B17" s="11" t="s">
        <v>32</v>
      </c>
      <c r="C17" s="11">
        <v>1</v>
      </c>
      <c r="D17" s="9">
        <f>IF(입력란!J9=1,1.2,IF(입력란!J9=2,1.26,IF(입력란!J9=3,1.32,IF(입력란!J9=4,1.38,IF(입력란!J9=5,1.45,0)))))</f>
        <v>1.2</v>
      </c>
      <c r="E17" s="8">
        <v>1</v>
      </c>
      <c r="F17" s="9">
        <f>IF(입력란!J10=1,1.05,IF(입력란!J10=2,1.1,IF(입력란!J10=3,1.16,IF(입력란!J10=4,1.22,IF(입력란!J10=5,1.28,0)))))</f>
        <v>1.05</v>
      </c>
      <c r="G17" s="8"/>
      <c r="H17" s="12"/>
      <c r="I17" s="8">
        <v>1</v>
      </c>
      <c r="J17" s="9">
        <f>IF(입력란!J11=1,1.25,IF(입력란!J11=2,1.31,IF(입력란!J11=3,1.37,IF(입력란!J11=4,1.43,IF(입력란!J11=5,1.5,0)))))</f>
        <v>1.25</v>
      </c>
      <c r="K17" s="8"/>
      <c r="L17" s="9"/>
      <c r="M17" s="8">
        <v>0</v>
      </c>
      <c r="N17" s="8">
        <f>IF(입력란!J12=1,11,IF(입력란!J12=2,12,IF(입력란!J12=3,13,IF(입력란!J12=4,14,IF(입력란!J12=5,15,0)))))</f>
        <v>11</v>
      </c>
      <c r="O17" s="11">
        <v>0</v>
      </c>
      <c r="P17" s="9">
        <f>IF(입력란!J13=1,0.6,IF(입력란!J13=2,0.824,IF(입력란!J13=3,1.048,IF(입력란!J13=4,1.288,IF(입력란!J13=5,1.528,0)))))</f>
        <v>0.6</v>
      </c>
      <c r="Q17" s="8">
        <v>1</v>
      </c>
      <c r="R17" s="12">
        <f>IF(입력란!J14=1,1.8,IF(입력란!J14=2,1.896,IF(입력란!J14=3,1.992,IF(입력란!J14=4,2.096,IF(입력란!J14=5,2.2,0)))))</f>
        <v>1.8</v>
      </c>
      <c r="S17" s="8"/>
    </row>
    <row r="18" spans="2:19" x14ac:dyDescent="0.3">
      <c r="B18" s="11" t="s">
        <v>33</v>
      </c>
      <c r="C18" s="11">
        <v>0</v>
      </c>
      <c r="D18" s="9">
        <f>IF(입력란!J15=1,7,IF(입력란!J15=2,8.2,IF(입력란!J15=3,9.4,IF(입력란!J15=4,10.7,IF(입력란!J15=5,13,0)))))</f>
        <v>7</v>
      </c>
      <c r="E18" s="8">
        <v>0</v>
      </c>
      <c r="F18" s="9">
        <v>0.2</v>
      </c>
      <c r="G18" s="8"/>
      <c r="H18" s="12"/>
      <c r="I18" s="8">
        <v>0</v>
      </c>
      <c r="J18" s="9">
        <v>0.3</v>
      </c>
      <c r="K18" s="8">
        <v>1</v>
      </c>
      <c r="L18" s="9">
        <f>IF(입력란!J18=1,1.2,IF(입력란!J18=2,1.26,IF(입력란!J18=3,1.32,IF(입력란!J18=4,1.38,IF(입력란!J18=5,1.45,0)))))</f>
        <v>1.2</v>
      </c>
      <c r="M18" s="8">
        <v>1</v>
      </c>
      <c r="N18" s="8">
        <f>IF(입력란!J19=1,1.5,IF(입력란!J19=2,1.575,IF(입력란!J19=3,1.65,IF(입력란!J19=4,1.725,IF(입력란!J19=5,1.8,0)))))</f>
        <v>1.5</v>
      </c>
      <c r="O18" s="11">
        <v>1</v>
      </c>
      <c r="P18" s="9">
        <f>IF(입력란!J20=1,1.6,IF(입력란!J20=2,1.78,IF(입력란!J20=3,1.96,IF(입력란!J20=4,2.176,IF(입력란!J20=5,2.392,0)))))</f>
        <v>1.6</v>
      </c>
      <c r="Q18" s="8">
        <v>1</v>
      </c>
      <c r="R18" s="12">
        <f>IF(입력란!J21=1,1.8,IF(입력란!J21=2,1.89,IF(입력란!J21=3,1.98,IF(입력란!J21=4,2.088,IF(입력란!J21=5,2.196,0)))))</f>
        <v>1.8</v>
      </c>
      <c r="S18" s="8"/>
    </row>
    <row r="19" spans="2:19" x14ac:dyDescent="0.3">
      <c r="B19" s="11" t="s">
        <v>375</v>
      </c>
      <c r="C19" s="11">
        <v>1</v>
      </c>
      <c r="D19" s="9">
        <f>IF(입력란!J22=1,1.05,IF(입력란!J22=2,1.1,IF(입력란!J22=3,1.16,IF(입력란!J22=4,1.22,IF(입력란!J22=5,1.28,0)))))</f>
        <v>1.05</v>
      </c>
      <c r="E19" s="8"/>
      <c r="F19" s="9"/>
      <c r="G19" s="8"/>
      <c r="H19" s="12"/>
      <c r="I19" s="8"/>
      <c r="J19" s="9"/>
      <c r="K19" s="8">
        <v>1</v>
      </c>
      <c r="L19" s="9">
        <f>IF(입력란!J23=1,1.3,IF(입력란!J23=2,1.37,IF(입력란!J23=3,1.44,IF(입력란!J23=4,1.52,IF(입력란!J23=5,1.6,0)))))</f>
        <v>1.3</v>
      </c>
      <c r="M19" s="8"/>
      <c r="N19" s="8"/>
      <c r="O19" s="11">
        <v>1</v>
      </c>
      <c r="P19" s="9">
        <f>IF(입력란!J24=1,3,IF(입력란!J24=2,3.21,IF(입력란!J24=3,3.42,IF(입력란!J24=4,3.66,IF(입력란!J24=5,3.9,0)))))</f>
        <v>3</v>
      </c>
      <c r="Q19" s="8">
        <v>1</v>
      </c>
      <c r="R19" s="12">
        <f>IF(입력란!J25=1,2.2,IF(입력란!J25=2,2.37,IF(입력란!J25=3,2.54,IF(입력란!J25=4,2.72,IF(입력란!J25=5,2.9,0)))))</f>
        <v>2.2000000000000002</v>
      </c>
      <c r="S19" s="8"/>
    </row>
    <row r="20" spans="2:19" x14ac:dyDescent="0.3">
      <c r="B20" s="11" t="s">
        <v>380</v>
      </c>
      <c r="C20" s="11"/>
      <c r="D20" s="9"/>
      <c r="E20" s="8"/>
      <c r="F20" s="9"/>
      <c r="G20" s="8"/>
      <c r="H20" s="12"/>
      <c r="I20" s="8">
        <v>1</v>
      </c>
      <c r="J20" s="9">
        <f>IF(입력란!J26=1,1.1,IF(입력란!J26=2,1.16,IF(입력란!J26=3,1.22,IF(입력란!J26=4,1.28,IF(입력란!J26=5,1.35,0)))))</f>
        <v>1.1000000000000001</v>
      </c>
      <c r="K20" s="8"/>
      <c r="L20" s="9"/>
      <c r="M20" s="8">
        <v>1</v>
      </c>
      <c r="N20" s="8">
        <f>IF(입력란!J27=1,2.5,IF(입력란!J27=2,2.77,IF(입력란!J27=3,3.04,IF(입력란!J27=4,3.32,IF(입력란!J27=5,3.6,0)))))</f>
        <v>2.5</v>
      </c>
      <c r="O20" s="11">
        <v>0</v>
      </c>
      <c r="P20" s="9">
        <f>IF(입력란!J28=1,0.6,IF(입력란!J28=2,0.702,IF(입력란!J28=3,0.804,IF(입력란!J28=4,0.912,IF(입력란!J28=5,1.02,0)))))</f>
        <v>0.6</v>
      </c>
      <c r="Q20" s="8">
        <v>1</v>
      </c>
      <c r="R20" s="12">
        <f>IF(입력란!J29=1,2,IF(입력란!J29=2,2.15,IF(입력란!J29=3,2.3,IF(입력란!J29=4,2.45,IF(입력란!J29=5,2.6,0)))))</f>
        <v>2</v>
      </c>
      <c r="S20" s="8"/>
    </row>
    <row r="21" spans="2:19" x14ac:dyDescent="0.3">
      <c r="B21" s="11" t="s">
        <v>34</v>
      </c>
      <c r="C21" s="11"/>
      <c r="D21" s="9"/>
      <c r="E21" s="8">
        <v>0</v>
      </c>
      <c r="F21" s="9">
        <f>IF(입력란!M4=1,0.2,IF(입력란!M4=2,0.262,IF(입력란!M4=3,0.324,IF(입력란!M4=4,0.386,IF(입력란!M4=5,0.45,0)))))</f>
        <v>0.2</v>
      </c>
      <c r="G21" s="8"/>
      <c r="H21" s="12"/>
      <c r="I21" s="8">
        <v>1</v>
      </c>
      <c r="J21" s="9">
        <f>IF(입력란!M5=1,1.25,IF(입력란!M5=2,1.2875,IF(입력란!M5=3,1.325,IF(입력란!M5=4,1.3625,IF(입력란!M5=5,1.4,0)))))</f>
        <v>1.25</v>
      </c>
      <c r="K21" s="8"/>
      <c r="L21" s="9"/>
      <c r="M21" s="8">
        <v>0</v>
      </c>
      <c r="N21" s="8">
        <f>IF(입력란!M6=1,60,IF(입력란!M6=2,69.6,IF(입력란!M6=3,79.8,IF(입력란!M6=4,90,IF(입력란!M6=5,100.2,0)))))</f>
        <v>60</v>
      </c>
      <c r="O21" s="11">
        <v>1</v>
      </c>
      <c r="P21" s="9">
        <f>IF(입력란!M7=1,3,IF(입력란!M7=2,3.37,IF(입력란!M7=3,3.74,IF(입력란!M7=4,4.12,IF(입력란!M7=5,4.5,0)))))</f>
        <v>3</v>
      </c>
      <c r="Q21" s="8">
        <v>1</v>
      </c>
      <c r="R21" s="12">
        <f>IF(입력란!M8=1,1.3,IF(입력란!M8=2,1.38,IF(입력란!M8=3,1.46,IF(입력란!M8=4,1.55,IF(입력란!M8=5,1.64,0)))))</f>
        <v>1.3</v>
      </c>
      <c r="S21" s="8"/>
    </row>
    <row r="22" spans="2:19" x14ac:dyDescent="0.3">
      <c r="B22" s="11" t="s">
        <v>35</v>
      </c>
      <c r="C22" s="11"/>
      <c r="D22" s="9"/>
      <c r="E22" s="8"/>
      <c r="F22" s="9"/>
      <c r="G22" s="8"/>
      <c r="H22" s="12"/>
      <c r="I22" s="8">
        <v>0</v>
      </c>
      <c r="J22" s="9">
        <f>IF(입력란!M9=1,50,IF(입력란!M9=2,57.5,IF(입력란!M9=3,65,IF(입력란!M9=4,72.5,IF(입력란!M9=5,80,0)))))</f>
        <v>50</v>
      </c>
      <c r="K22" s="8">
        <v>1</v>
      </c>
      <c r="L22" s="9">
        <f>IF(입력란!M10=1,1.4,IF(입력란!M10=2,1.472,IF(입력란!M10=3,1.548,IF(입력란!M10=4,1.624,IF(입력란!M10=5,1.7,0)))))</f>
        <v>1.4</v>
      </c>
      <c r="M22" s="8"/>
      <c r="N22" s="8"/>
      <c r="O22" s="11">
        <v>1</v>
      </c>
      <c r="P22" s="9">
        <v>2</v>
      </c>
      <c r="Q22" s="8">
        <v>0</v>
      </c>
      <c r="R22" s="12">
        <f>IF(입력란!M11=1,1.2,IF(입력란!M11=2,1.32,IF(입력란!M11=3,1.44,IF(입력란!M11=4,1.572,IF(입력란!M11=5,1.704,0)))))</f>
        <v>1.2</v>
      </c>
      <c r="S22" s="8"/>
    </row>
    <row r="23" spans="2:19" x14ac:dyDescent="0.3">
      <c r="B23" s="11" t="s">
        <v>36</v>
      </c>
      <c r="C23" s="11">
        <v>0</v>
      </c>
      <c r="D23" s="9">
        <v>0.2</v>
      </c>
      <c r="E23" s="8"/>
      <c r="F23" s="9"/>
      <c r="G23" s="8"/>
      <c r="H23" s="12"/>
      <c r="I23" s="8">
        <v>0</v>
      </c>
      <c r="J23" s="9">
        <f>IF(입력란!M13=1,50,IF(입력란!M13=2,57,IF(입력란!M13=3,64,IF(입력란!M13=4,72,IF(입력란!M13=5,80,0)))))</f>
        <v>50</v>
      </c>
      <c r="K23" s="8"/>
      <c r="L23" s="9"/>
      <c r="M23" s="8">
        <v>1</v>
      </c>
      <c r="N23" s="8">
        <f>IF(입력란!M14=1,1.6,IF(입력란!M14=2,1.69,IF(입력란!M14=3,1.78,IF(입력란!M14=4,1.87,IF(입력란!M14=5,1.96,0)))))</f>
        <v>1.6</v>
      </c>
      <c r="O23" s="11"/>
      <c r="P23" s="9"/>
      <c r="Q23" s="8">
        <v>1</v>
      </c>
      <c r="R23" s="12">
        <f>IF(입력란!M15=1,1.5,IF(입력란!M15=2,1.57,IF(입력란!M15=3,1.64,IF(입력란!M15=4,1.72,IF(입력란!M15=5,1.8,0)))))</f>
        <v>1.5</v>
      </c>
      <c r="S23" s="8"/>
    </row>
    <row r="24" spans="2:19" x14ac:dyDescent="0.3">
      <c r="B24" s="11" t="s">
        <v>394</v>
      </c>
      <c r="C24" s="11"/>
      <c r="D24" s="9"/>
      <c r="E24" s="8"/>
      <c r="F24" s="9"/>
      <c r="G24" s="8"/>
      <c r="H24" s="12"/>
      <c r="I24" s="8">
        <v>1</v>
      </c>
      <c r="J24" s="9">
        <f>IF(입력란!M16=1,1.6,IF(입력란!M16=2,1.68,IF(입력란!M16=3,1.77,IF(입력란!M16=4,1.86,IF(입력란!M16=5,1.95,0)))))</f>
        <v>1.6</v>
      </c>
      <c r="K24" s="8"/>
      <c r="L24" s="9"/>
      <c r="M24" s="8">
        <v>1</v>
      </c>
      <c r="N24" s="8">
        <f>IF(입력란!M17=1,1.5,IF(입력란!M17=2,1.65,IF(입력란!M17=3,1.8,IF(입력란!M17=4,1.95,IF(입력란!M17=5,2.1,0)))))</f>
        <v>1.5</v>
      </c>
      <c r="O24" s="11">
        <v>1</v>
      </c>
      <c r="P24" s="9">
        <f>IF(입력란!M18=1,2.5,IF(입력란!M18=2,2.62,IF(입력란!M18=3,2.74,IF(입력란!M18=4,2.87,IF(입력란!M18=5,3,0)))))</f>
        <v>2.5</v>
      </c>
      <c r="Q24" s="8">
        <v>1</v>
      </c>
      <c r="R24" s="12">
        <f>IF(입력란!M19=1,2.5,IF(입력란!M19=2,2.67,IF(입력란!M19=3,2.84,IF(입력란!M19=4,3.02,IF(입력란!M19=5,3.2,0)))))</f>
        <v>2.5</v>
      </c>
      <c r="S24" s="8"/>
    </row>
    <row r="25" spans="2:19" ht="14.25" thickBot="1" x14ac:dyDescent="0.35">
      <c r="B25" s="13" t="s">
        <v>395</v>
      </c>
      <c r="C25" s="13"/>
      <c r="D25" s="18"/>
      <c r="E25" s="14"/>
      <c r="F25" s="18"/>
      <c r="G25" s="14"/>
      <c r="H25" s="15"/>
      <c r="I25" s="14">
        <v>0</v>
      </c>
      <c r="J25" s="18">
        <f>IF(입력란!M20=1,1.5,IF(입력란!M20=2,1.75,IF(입력란!M20=3,2,IF(입력란!M20=4,2.25,IF(입력란!M20=5,2.5,0)))))</f>
        <v>1.5</v>
      </c>
      <c r="K25" s="14">
        <v>0</v>
      </c>
      <c r="L25" s="18">
        <f>IF(입력란!M21=1,0.2,IF(입력란!M21=2,0.262,IF(입력란!M21=3,0.324,IF(입력란!M21=4,0.386,IF(입력란!M21=5,0.45,0)))))</f>
        <v>0.2</v>
      </c>
      <c r="M25" s="14">
        <v>1</v>
      </c>
      <c r="N25" s="14">
        <f>IF(입력란!M22=1,1.25,IF(입력란!M22=2,1.31,IF(입력란!M22=3,1.37,IF(입력란!M22=4,1.43,IF(입력란!M22=5,1.5,0)))))</f>
        <v>1.25</v>
      </c>
      <c r="O25" s="13">
        <v>1</v>
      </c>
      <c r="P25" s="18">
        <f>IF(입력란!M23=1,1.8,IF(입력란!M23=2,1.9,IF(입력란!M23=3,2,IF(입력란!M23=4,2.1,IF(입력란!M23=5,2.2,0)))))</f>
        <v>1.8</v>
      </c>
      <c r="Q25" s="14">
        <v>0</v>
      </c>
      <c r="R25" s="15">
        <f>IF(입력란!M24=1,125,IF(입력란!M24=2,143,IF(입력란!M24=3,161,IF(입력란!M24=4,179,IF(입력란!M24=5,197,0)))))</f>
        <v>125</v>
      </c>
      <c r="S25" s="8"/>
    </row>
  </sheetData>
  <mergeCells count="11">
    <mergeCell ref="O3:R3"/>
    <mergeCell ref="Q4:R4"/>
    <mergeCell ref="O4:P4"/>
    <mergeCell ref="C3:H3"/>
    <mergeCell ref="I3:N3"/>
    <mergeCell ref="C4:D4"/>
    <mergeCell ref="E4:F4"/>
    <mergeCell ref="G4:H4"/>
    <mergeCell ref="I4:J4"/>
    <mergeCell ref="K4:L4"/>
    <mergeCell ref="M4:N4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workbookViewId="0"/>
  </sheetViews>
  <sheetFormatPr defaultRowHeight="18" customHeight="1" x14ac:dyDescent="0.3"/>
  <cols>
    <col min="1" max="16384" width="9" style="6"/>
  </cols>
  <sheetData>
    <row r="1" spans="1:36" ht="18" customHeight="1" x14ac:dyDescent="0.3">
      <c r="A1" s="5" t="s">
        <v>0</v>
      </c>
      <c r="B1" s="4">
        <v>1281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3" spans="1:36" s="7" customFormat="1" ht="18" customHeight="1" x14ac:dyDescent="0.3">
      <c r="A3" s="5"/>
      <c r="B3" s="5" t="s">
        <v>10</v>
      </c>
      <c r="C3" s="5" t="s">
        <v>1</v>
      </c>
      <c r="D3" s="84" t="s">
        <v>324</v>
      </c>
      <c r="E3" s="5" t="s">
        <v>11</v>
      </c>
      <c r="F3" s="5" t="s">
        <v>12</v>
      </c>
      <c r="G3" s="5" t="s">
        <v>13</v>
      </c>
      <c r="H3" s="5" t="s">
        <v>14</v>
      </c>
      <c r="I3" s="118" t="s">
        <v>5</v>
      </c>
      <c r="J3" s="118"/>
      <c r="K3" s="5" t="s">
        <v>7</v>
      </c>
      <c r="L3" s="118" t="s">
        <v>325</v>
      </c>
      <c r="M3" s="118"/>
      <c r="N3" s="118"/>
      <c r="O3" s="118"/>
      <c r="P3" s="84" t="s">
        <v>326</v>
      </c>
      <c r="Q3" s="118" t="s">
        <v>3</v>
      </c>
      <c r="R3" s="118"/>
      <c r="S3" s="118" t="s">
        <v>6</v>
      </c>
      <c r="T3" s="118"/>
      <c r="U3" s="118"/>
      <c r="V3" s="5" t="s">
        <v>8</v>
      </c>
      <c r="W3" s="118" t="s">
        <v>327</v>
      </c>
      <c r="X3" s="118"/>
      <c r="Y3" s="118"/>
      <c r="Z3" s="84" t="s">
        <v>328</v>
      </c>
      <c r="AA3" s="118" t="s">
        <v>2</v>
      </c>
      <c r="AB3" s="118"/>
      <c r="AC3" s="21" t="s">
        <v>4</v>
      </c>
      <c r="AD3" s="118" t="s">
        <v>9</v>
      </c>
      <c r="AE3" s="118"/>
      <c r="AF3" s="118" t="s">
        <v>329</v>
      </c>
      <c r="AG3" s="118"/>
      <c r="AH3" s="84" t="s">
        <v>330</v>
      </c>
      <c r="AI3" s="7" t="s">
        <v>331</v>
      </c>
      <c r="AJ3" s="7" t="s">
        <v>332</v>
      </c>
    </row>
    <row r="5" spans="1:36" ht="18" customHeight="1" x14ac:dyDescent="0.3">
      <c r="A5" s="3"/>
      <c r="B5" s="4">
        <v>233</v>
      </c>
      <c r="C5" s="4">
        <v>139</v>
      </c>
      <c r="D5" s="4">
        <v>159</v>
      </c>
      <c r="E5" s="4">
        <v>20</v>
      </c>
      <c r="F5" s="4">
        <v>456</v>
      </c>
      <c r="G5" s="4">
        <v>142</v>
      </c>
      <c r="H5" s="4">
        <v>455</v>
      </c>
      <c r="I5" s="4">
        <v>429</v>
      </c>
      <c r="J5" s="4">
        <v>244</v>
      </c>
      <c r="K5" s="4">
        <v>82</v>
      </c>
      <c r="L5" s="4">
        <v>63</v>
      </c>
      <c r="M5" s="4">
        <v>96</v>
      </c>
      <c r="N5" s="4">
        <v>32</v>
      </c>
      <c r="O5" s="4">
        <v>127</v>
      </c>
      <c r="P5" s="4">
        <v>548</v>
      </c>
      <c r="Q5" s="4">
        <v>175</v>
      </c>
      <c r="R5" s="4">
        <v>43</v>
      </c>
      <c r="S5" s="4">
        <v>281</v>
      </c>
      <c r="T5" s="4">
        <v>281</v>
      </c>
      <c r="U5" s="4">
        <v>374</v>
      </c>
      <c r="V5" s="4">
        <v>799</v>
      </c>
      <c r="W5" s="4">
        <v>250</v>
      </c>
      <c r="X5" s="4">
        <v>250</v>
      </c>
      <c r="Y5" s="4">
        <v>501</v>
      </c>
      <c r="Z5" s="4">
        <v>1309</v>
      </c>
      <c r="AA5" s="4">
        <v>698</v>
      </c>
      <c r="AB5" s="4">
        <v>58</v>
      </c>
      <c r="AC5" s="4">
        <v>726</v>
      </c>
      <c r="AD5" s="4">
        <v>281</v>
      </c>
      <c r="AE5" s="4">
        <v>1125</v>
      </c>
      <c r="AF5" s="4">
        <v>276</v>
      </c>
      <c r="AG5" s="4">
        <v>553</v>
      </c>
      <c r="AH5" s="4">
        <v>426</v>
      </c>
      <c r="AI5" s="6">
        <v>39306</v>
      </c>
      <c r="AJ5" s="6">
        <v>32791</v>
      </c>
    </row>
    <row r="6" spans="1:36" ht="18" customHeight="1" x14ac:dyDescent="0.3">
      <c r="A6" s="3"/>
      <c r="B6" s="4">
        <v>610</v>
      </c>
      <c r="C6" s="4">
        <v>368</v>
      </c>
      <c r="D6" s="4">
        <v>422</v>
      </c>
      <c r="E6" s="4">
        <v>54</v>
      </c>
      <c r="F6" s="4">
        <v>1205</v>
      </c>
      <c r="G6" s="4">
        <v>377</v>
      </c>
      <c r="H6" s="4">
        <v>1203</v>
      </c>
      <c r="I6" s="4">
        <v>1140</v>
      </c>
      <c r="J6" s="4">
        <v>645</v>
      </c>
      <c r="K6" s="4">
        <v>215</v>
      </c>
      <c r="L6" s="4">
        <v>168</v>
      </c>
      <c r="M6" s="4">
        <v>253</v>
      </c>
      <c r="N6" s="4">
        <v>84</v>
      </c>
      <c r="O6" s="4">
        <v>336</v>
      </c>
      <c r="P6" s="4">
        <v>1451</v>
      </c>
      <c r="Q6" s="4">
        <v>464</v>
      </c>
      <c r="R6" s="4">
        <v>115</v>
      </c>
      <c r="S6" s="4">
        <v>742</v>
      </c>
      <c r="T6" s="4">
        <v>742</v>
      </c>
      <c r="U6" s="4">
        <v>991</v>
      </c>
      <c r="V6" s="4">
        <v>2112</v>
      </c>
      <c r="W6" s="4">
        <v>661</v>
      </c>
      <c r="X6" s="4">
        <v>661</v>
      </c>
      <c r="Y6" s="4">
        <v>1324</v>
      </c>
      <c r="Z6" s="4">
        <v>3456</v>
      </c>
      <c r="AA6" s="4">
        <v>1847</v>
      </c>
      <c r="AB6" s="4">
        <v>153</v>
      </c>
      <c r="AC6" s="4">
        <v>1919</v>
      </c>
      <c r="AD6" s="4">
        <v>742</v>
      </c>
      <c r="AE6" s="4">
        <v>2976</v>
      </c>
      <c r="AF6" s="4">
        <v>730</v>
      </c>
      <c r="AG6" s="4">
        <v>1462</v>
      </c>
      <c r="AH6" s="4">
        <v>1129</v>
      </c>
      <c r="AI6" s="6">
        <v>15723</v>
      </c>
    </row>
    <row r="7" spans="1:36" ht="18" customHeight="1" x14ac:dyDescent="0.3">
      <c r="A7" s="3"/>
      <c r="B7" s="4">
        <v>788</v>
      </c>
      <c r="C7" s="4">
        <v>475</v>
      </c>
      <c r="D7" s="4">
        <v>543</v>
      </c>
      <c r="E7" s="4">
        <v>70</v>
      </c>
      <c r="F7" s="4">
        <v>1554</v>
      </c>
      <c r="G7" s="4">
        <v>485</v>
      </c>
      <c r="H7" s="4">
        <v>1553</v>
      </c>
      <c r="I7" s="4">
        <v>1468</v>
      </c>
      <c r="J7" s="4">
        <v>831</v>
      </c>
      <c r="K7" s="4">
        <v>278</v>
      </c>
      <c r="L7" s="4">
        <v>217</v>
      </c>
      <c r="M7" s="4">
        <v>327</v>
      </c>
      <c r="N7" s="4">
        <v>109</v>
      </c>
      <c r="O7" s="4">
        <v>434</v>
      </c>
      <c r="P7" s="4">
        <v>1871</v>
      </c>
      <c r="Q7" s="4">
        <v>599</v>
      </c>
      <c r="R7" s="4">
        <v>148</v>
      </c>
      <c r="S7" s="4">
        <v>957</v>
      </c>
      <c r="T7" s="4">
        <v>957</v>
      </c>
      <c r="U7" s="4">
        <v>1277</v>
      </c>
      <c r="V7" s="4">
        <v>2723</v>
      </c>
      <c r="W7" s="4">
        <v>854</v>
      </c>
      <c r="X7" s="4">
        <v>854</v>
      </c>
      <c r="Y7" s="4">
        <v>1706</v>
      </c>
      <c r="Z7" s="4">
        <v>4463</v>
      </c>
      <c r="AA7" s="4">
        <v>2382</v>
      </c>
      <c r="AB7" s="4">
        <v>198</v>
      </c>
      <c r="AC7" s="4">
        <v>2475</v>
      </c>
      <c r="AD7" s="4">
        <v>957</v>
      </c>
      <c r="AE7" s="4">
        <v>3836</v>
      </c>
      <c r="AF7" s="4">
        <v>942</v>
      </c>
      <c r="AG7" s="4">
        <v>1885</v>
      </c>
      <c r="AH7" s="4">
        <v>1455</v>
      </c>
    </row>
    <row r="8" spans="1:36" ht="18" customHeight="1" x14ac:dyDescent="0.3">
      <c r="A8" s="3"/>
      <c r="B8" s="4">
        <v>900</v>
      </c>
      <c r="C8" s="4">
        <v>543</v>
      </c>
      <c r="D8" s="4">
        <v>620</v>
      </c>
      <c r="E8" s="4">
        <v>81</v>
      </c>
      <c r="F8" s="4">
        <v>1776</v>
      </c>
      <c r="G8" s="4">
        <v>555</v>
      </c>
      <c r="H8" s="4">
        <v>1775</v>
      </c>
      <c r="I8" s="4">
        <v>1671</v>
      </c>
      <c r="J8" s="4">
        <v>950</v>
      </c>
      <c r="K8" s="4">
        <v>315</v>
      </c>
      <c r="L8" s="4">
        <v>247</v>
      </c>
      <c r="M8" s="4">
        <v>374</v>
      </c>
      <c r="N8" s="4">
        <v>124</v>
      </c>
      <c r="O8" s="4">
        <v>494</v>
      </c>
      <c r="P8" s="4">
        <v>2137</v>
      </c>
      <c r="Q8" s="4">
        <v>684</v>
      </c>
      <c r="R8" s="4">
        <v>170</v>
      </c>
      <c r="S8" s="4">
        <v>1093</v>
      </c>
      <c r="T8" s="4">
        <v>1093</v>
      </c>
      <c r="U8" s="4">
        <v>1459</v>
      </c>
      <c r="V8" s="4">
        <v>3112</v>
      </c>
      <c r="W8" s="4">
        <v>976</v>
      </c>
      <c r="X8" s="4">
        <v>976</v>
      </c>
      <c r="Y8" s="4">
        <v>1951</v>
      </c>
      <c r="Z8" s="4">
        <v>5109</v>
      </c>
      <c r="AA8" s="4">
        <v>2723</v>
      </c>
      <c r="AB8" s="4">
        <v>227</v>
      </c>
      <c r="AC8" s="4">
        <v>2830</v>
      </c>
      <c r="AD8" s="4">
        <v>1093</v>
      </c>
      <c r="AE8" s="4">
        <v>4385</v>
      </c>
      <c r="AF8" s="4">
        <v>1076</v>
      </c>
      <c r="AG8" s="4">
        <v>2155</v>
      </c>
      <c r="AH8" s="4">
        <v>1663</v>
      </c>
    </row>
    <row r="9" spans="1:36" ht="18" customHeight="1" x14ac:dyDescent="0.3">
      <c r="B9" s="6">
        <v>901</v>
      </c>
      <c r="C9" s="6">
        <v>544</v>
      </c>
      <c r="D9" s="6">
        <v>621</v>
      </c>
      <c r="E9" s="6">
        <v>82</v>
      </c>
      <c r="F9" s="6">
        <v>1777</v>
      </c>
      <c r="G9" s="6">
        <v>556</v>
      </c>
      <c r="H9" s="6">
        <v>1776</v>
      </c>
      <c r="I9" s="6">
        <v>1671</v>
      </c>
      <c r="J9" s="6">
        <v>951</v>
      </c>
      <c r="K9" s="6">
        <v>315</v>
      </c>
      <c r="L9" s="6">
        <v>247</v>
      </c>
      <c r="M9" s="6">
        <v>374</v>
      </c>
      <c r="N9" s="6">
        <v>124</v>
      </c>
      <c r="O9" s="6">
        <v>494</v>
      </c>
      <c r="P9" s="6">
        <v>2138</v>
      </c>
      <c r="Q9" s="6">
        <v>684</v>
      </c>
      <c r="R9" s="6">
        <v>170</v>
      </c>
      <c r="S9" s="6">
        <v>1094</v>
      </c>
      <c r="T9" s="6">
        <v>1094</v>
      </c>
      <c r="U9" s="6">
        <v>1459</v>
      </c>
      <c r="V9" s="6">
        <v>3114</v>
      </c>
      <c r="W9" s="6">
        <v>976</v>
      </c>
      <c r="X9" s="6">
        <v>976</v>
      </c>
      <c r="Y9" s="6">
        <v>1952</v>
      </c>
      <c r="Z9" s="6">
        <v>5112</v>
      </c>
      <c r="AA9" s="6">
        <v>2724</v>
      </c>
      <c r="AB9" s="6">
        <v>227</v>
      </c>
      <c r="AC9" s="6">
        <v>2832</v>
      </c>
      <c r="AD9" s="6">
        <v>1094</v>
      </c>
      <c r="AE9" s="6">
        <v>4387</v>
      </c>
      <c r="AF9" s="6">
        <v>1077</v>
      </c>
      <c r="AG9" s="6">
        <v>2156</v>
      </c>
      <c r="AH9" s="6">
        <v>1664</v>
      </c>
    </row>
    <row r="10" spans="1:36" ht="18" customHeight="1" x14ac:dyDescent="0.3">
      <c r="B10" s="6">
        <v>901</v>
      </c>
      <c r="C10" s="6">
        <v>544</v>
      </c>
      <c r="D10" s="6">
        <v>621</v>
      </c>
      <c r="E10" s="6">
        <v>82</v>
      </c>
      <c r="F10" s="6">
        <v>1778</v>
      </c>
      <c r="G10" s="6">
        <v>556</v>
      </c>
      <c r="H10" s="6">
        <v>1776</v>
      </c>
      <c r="I10" s="6">
        <v>1672</v>
      </c>
      <c r="J10" s="6">
        <v>951</v>
      </c>
      <c r="K10" s="6">
        <v>315</v>
      </c>
      <c r="L10" s="6">
        <v>247</v>
      </c>
      <c r="M10" s="6">
        <v>375</v>
      </c>
      <c r="N10" s="6">
        <v>124</v>
      </c>
      <c r="O10" s="6">
        <v>494</v>
      </c>
      <c r="P10" s="6">
        <v>2139</v>
      </c>
      <c r="Q10" s="6">
        <v>685</v>
      </c>
      <c r="R10" s="6">
        <v>170</v>
      </c>
      <c r="S10" s="6">
        <v>1094</v>
      </c>
      <c r="T10" s="6">
        <v>1094</v>
      </c>
      <c r="U10" s="6">
        <v>1460</v>
      </c>
      <c r="V10" s="6">
        <v>3115</v>
      </c>
      <c r="W10" s="6">
        <v>977</v>
      </c>
      <c r="X10" s="6">
        <v>977</v>
      </c>
      <c r="Y10" s="6">
        <v>1952</v>
      </c>
      <c r="Z10" s="6">
        <v>5114</v>
      </c>
      <c r="AA10" s="6">
        <v>2725</v>
      </c>
      <c r="AB10" s="6">
        <v>227</v>
      </c>
      <c r="AC10" s="6">
        <v>2833</v>
      </c>
      <c r="AD10" s="6">
        <v>1094</v>
      </c>
      <c r="AE10" s="6">
        <v>4389</v>
      </c>
      <c r="AF10" s="6">
        <v>1077</v>
      </c>
      <c r="AG10" s="6">
        <v>2157</v>
      </c>
      <c r="AH10" s="6">
        <v>1665</v>
      </c>
    </row>
    <row r="12" spans="1:36" ht="18" customHeight="1" x14ac:dyDescent="0.3">
      <c r="A12" s="3"/>
      <c r="B12" s="4">
        <v>7235</v>
      </c>
      <c r="C12" s="4">
        <v>4285</v>
      </c>
      <c r="D12" s="4">
        <v>4881</v>
      </c>
      <c r="E12" s="4">
        <v>620</v>
      </c>
      <c r="F12" s="4">
        <v>14074</v>
      </c>
      <c r="G12" s="4">
        <v>4370</v>
      </c>
      <c r="H12" s="4">
        <v>14074</v>
      </c>
      <c r="I12" s="4">
        <v>13343</v>
      </c>
      <c r="J12" s="4">
        <v>7509</v>
      </c>
      <c r="K12" s="4">
        <v>2511</v>
      </c>
      <c r="L12" s="4">
        <v>1953</v>
      </c>
      <c r="M12" s="4">
        <v>2930</v>
      </c>
      <c r="N12" s="4">
        <v>976</v>
      </c>
      <c r="O12" s="4">
        <v>3906</v>
      </c>
      <c r="P12" s="4">
        <v>16802</v>
      </c>
      <c r="Q12" s="4">
        <v>5389</v>
      </c>
      <c r="R12" s="4">
        <v>1346</v>
      </c>
      <c r="S12" s="4">
        <v>8642</v>
      </c>
      <c r="T12" s="4">
        <v>8642</v>
      </c>
      <c r="U12" s="4">
        <v>11522</v>
      </c>
      <c r="V12" s="4">
        <v>24603</v>
      </c>
      <c r="W12" s="4">
        <v>7705</v>
      </c>
      <c r="X12" s="4">
        <v>7705</v>
      </c>
      <c r="Y12" s="4">
        <v>15409</v>
      </c>
      <c r="Z12" s="4">
        <v>40274</v>
      </c>
      <c r="AA12" s="4">
        <v>21521</v>
      </c>
      <c r="AB12" s="4">
        <v>1794</v>
      </c>
      <c r="AC12" s="4">
        <v>22362</v>
      </c>
      <c r="AD12" s="4">
        <v>8662</v>
      </c>
      <c r="AE12" s="4">
        <v>34648</v>
      </c>
      <c r="AF12" s="4">
        <v>8507</v>
      </c>
      <c r="AG12" s="4">
        <v>17012</v>
      </c>
      <c r="AH12" s="4">
        <v>13129</v>
      </c>
      <c r="AI12" s="6">
        <v>339783</v>
      </c>
      <c r="AJ12" s="6">
        <v>283493</v>
      </c>
    </row>
    <row r="13" spans="1:36" ht="18" customHeight="1" x14ac:dyDescent="0.3">
      <c r="A13" s="3"/>
      <c r="B13" s="4">
        <v>7612</v>
      </c>
      <c r="C13" s="4">
        <v>4514</v>
      </c>
      <c r="D13" s="4">
        <v>5144</v>
      </c>
      <c r="E13" s="4">
        <v>653</v>
      </c>
      <c r="F13" s="4">
        <v>14823</v>
      </c>
      <c r="G13" s="4">
        <v>4605</v>
      </c>
      <c r="H13" s="4">
        <v>14822</v>
      </c>
      <c r="I13" s="4">
        <v>14054</v>
      </c>
      <c r="J13" s="4">
        <v>7910</v>
      </c>
      <c r="K13" s="4">
        <v>2644</v>
      </c>
      <c r="L13" s="4">
        <v>2057</v>
      </c>
      <c r="M13" s="4">
        <v>3087</v>
      </c>
      <c r="N13" s="4">
        <v>1029</v>
      </c>
      <c r="O13" s="4">
        <v>4115</v>
      </c>
      <c r="P13" s="4">
        <v>17705</v>
      </c>
      <c r="Q13" s="4">
        <v>5678</v>
      </c>
      <c r="R13" s="4">
        <v>1418</v>
      </c>
      <c r="S13" s="4">
        <v>9103</v>
      </c>
      <c r="T13" s="4">
        <v>9103</v>
      </c>
      <c r="U13" s="4">
        <v>12138</v>
      </c>
      <c r="V13" s="4">
        <v>25916</v>
      </c>
      <c r="W13" s="4">
        <v>8116</v>
      </c>
      <c r="X13" s="4">
        <v>8116</v>
      </c>
      <c r="Y13" s="4">
        <v>16232</v>
      </c>
      <c r="Z13" s="4">
        <v>42421</v>
      </c>
      <c r="AA13" s="4">
        <v>22670</v>
      </c>
      <c r="AB13" s="4">
        <v>1889</v>
      </c>
      <c r="AC13" s="4">
        <v>23555</v>
      </c>
      <c r="AD13" s="4">
        <v>9123</v>
      </c>
      <c r="AE13" s="4">
        <v>36499</v>
      </c>
      <c r="AF13" s="4">
        <v>8960</v>
      </c>
      <c r="AG13" s="4">
        <v>17921</v>
      </c>
      <c r="AH13" s="4">
        <v>13832</v>
      </c>
      <c r="AI13" s="6">
        <v>135916</v>
      </c>
    </row>
    <row r="14" spans="1:36" ht="18" customHeight="1" x14ac:dyDescent="0.3">
      <c r="A14" s="3"/>
      <c r="B14" s="4">
        <v>7790</v>
      </c>
      <c r="C14" s="4">
        <v>4621</v>
      </c>
      <c r="D14" s="4">
        <v>5265</v>
      </c>
      <c r="E14" s="4">
        <v>670</v>
      </c>
      <c r="F14" s="4">
        <v>15172</v>
      </c>
      <c r="G14" s="4">
        <v>4713</v>
      </c>
      <c r="H14" s="4">
        <v>15172</v>
      </c>
      <c r="I14" s="4">
        <v>14382</v>
      </c>
      <c r="J14" s="4">
        <v>8096</v>
      </c>
      <c r="K14" s="4">
        <v>2707</v>
      </c>
      <c r="L14" s="4">
        <v>2106</v>
      </c>
      <c r="M14" s="4">
        <v>3161</v>
      </c>
      <c r="N14" s="4">
        <v>1053</v>
      </c>
      <c r="O14" s="4">
        <v>4213</v>
      </c>
      <c r="P14" s="4">
        <v>18125</v>
      </c>
      <c r="Q14" s="4">
        <v>5812</v>
      </c>
      <c r="R14" s="4">
        <v>1451</v>
      </c>
      <c r="S14" s="4">
        <v>9317</v>
      </c>
      <c r="T14" s="4">
        <v>9317</v>
      </c>
      <c r="U14" s="4">
        <v>12424</v>
      </c>
      <c r="V14" s="4">
        <v>26527</v>
      </c>
      <c r="W14" s="4">
        <v>8309</v>
      </c>
      <c r="X14" s="4">
        <v>8309</v>
      </c>
      <c r="Y14" s="4">
        <v>16614</v>
      </c>
      <c r="Z14" s="4">
        <v>43428</v>
      </c>
      <c r="AA14" s="4">
        <v>23205</v>
      </c>
      <c r="AB14" s="4">
        <v>1934</v>
      </c>
      <c r="AC14" s="4">
        <v>24111</v>
      </c>
      <c r="AD14" s="4">
        <v>9338</v>
      </c>
      <c r="AE14" s="4">
        <v>37359</v>
      </c>
      <c r="AF14" s="4">
        <v>9172</v>
      </c>
      <c r="AG14" s="4">
        <v>18344</v>
      </c>
      <c r="AH14" s="4">
        <v>14158</v>
      </c>
    </row>
    <row r="15" spans="1:36" ht="18" customHeight="1" x14ac:dyDescent="0.3">
      <c r="A15" s="3"/>
      <c r="B15" s="4">
        <v>7902</v>
      </c>
      <c r="C15" s="4">
        <v>4689</v>
      </c>
      <c r="D15" s="4">
        <v>5342</v>
      </c>
      <c r="E15" s="4">
        <v>681</v>
      </c>
      <c r="F15" s="4">
        <v>15394</v>
      </c>
      <c r="G15" s="4">
        <v>4783</v>
      </c>
      <c r="H15" s="4">
        <v>15394</v>
      </c>
      <c r="I15" s="4">
        <v>14585</v>
      </c>
      <c r="J15" s="4">
        <v>8215</v>
      </c>
      <c r="K15" s="4">
        <v>2744</v>
      </c>
      <c r="L15" s="4">
        <v>2136</v>
      </c>
      <c r="M15" s="4">
        <v>3208</v>
      </c>
      <c r="N15" s="4">
        <v>1069</v>
      </c>
      <c r="O15" s="4">
        <v>4273</v>
      </c>
      <c r="P15" s="4">
        <v>18391</v>
      </c>
      <c r="Q15" s="4">
        <v>5898</v>
      </c>
      <c r="R15" s="4">
        <v>1473</v>
      </c>
      <c r="S15" s="4">
        <v>9454</v>
      </c>
      <c r="T15" s="4">
        <v>9454</v>
      </c>
      <c r="U15" s="4">
        <v>12606</v>
      </c>
      <c r="V15" s="4">
        <v>26916</v>
      </c>
      <c r="W15" s="4">
        <v>8431</v>
      </c>
      <c r="X15" s="4">
        <v>8431</v>
      </c>
      <c r="Y15" s="4">
        <v>16859</v>
      </c>
      <c r="Z15" s="4">
        <v>44074</v>
      </c>
      <c r="AA15" s="4">
        <v>23546</v>
      </c>
      <c r="AB15" s="4">
        <v>1963</v>
      </c>
      <c r="AC15" s="4">
        <v>24466</v>
      </c>
      <c r="AD15" s="4">
        <v>9474</v>
      </c>
      <c r="AE15" s="4">
        <v>37908</v>
      </c>
      <c r="AF15" s="4">
        <v>9307</v>
      </c>
      <c r="AG15" s="4">
        <v>18614</v>
      </c>
      <c r="AH15" s="4">
        <v>14366</v>
      </c>
    </row>
    <row r="16" spans="1:36" ht="18" customHeight="1" x14ac:dyDescent="0.3">
      <c r="B16" s="6">
        <v>8517</v>
      </c>
      <c r="C16" s="6">
        <v>5054</v>
      </c>
      <c r="D16" s="6">
        <v>5757</v>
      </c>
      <c r="E16" s="6">
        <v>733</v>
      </c>
      <c r="F16" s="6">
        <v>16592</v>
      </c>
      <c r="G16" s="6">
        <v>5155</v>
      </c>
      <c r="H16" s="6">
        <v>16593</v>
      </c>
      <c r="I16" s="6">
        <v>15714</v>
      </c>
      <c r="J16" s="6">
        <v>8855</v>
      </c>
      <c r="K16" s="6">
        <v>2957</v>
      </c>
      <c r="L16" s="6">
        <v>2303</v>
      </c>
      <c r="M16" s="6">
        <v>3457</v>
      </c>
      <c r="N16" s="6">
        <v>1152</v>
      </c>
      <c r="O16" s="6">
        <v>4606</v>
      </c>
      <c r="P16" s="6">
        <v>19816</v>
      </c>
      <c r="Q16" s="6">
        <v>6356</v>
      </c>
      <c r="R16" s="6">
        <v>1587</v>
      </c>
      <c r="S16" s="6">
        <v>10189</v>
      </c>
      <c r="T16" s="6">
        <v>10189</v>
      </c>
      <c r="U16" s="6">
        <v>13586</v>
      </c>
      <c r="V16" s="6">
        <v>29009</v>
      </c>
      <c r="W16" s="6">
        <v>9086</v>
      </c>
      <c r="X16" s="6">
        <v>9086</v>
      </c>
      <c r="Y16" s="6">
        <v>18169</v>
      </c>
      <c r="Z16" s="6">
        <v>47501</v>
      </c>
      <c r="AA16" s="6">
        <v>25376</v>
      </c>
      <c r="AB16" s="6">
        <v>2115</v>
      </c>
      <c r="AC16" s="6">
        <v>26369</v>
      </c>
      <c r="AD16" s="6">
        <v>10211</v>
      </c>
      <c r="AE16" s="6">
        <v>40856</v>
      </c>
      <c r="AF16" s="6">
        <v>10031</v>
      </c>
      <c r="AG16" s="6">
        <v>20062</v>
      </c>
      <c r="AH16" s="6">
        <v>15483</v>
      </c>
    </row>
    <row r="17" spans="2:36" ht="18" customHeight="1" x14ac:dyDescent="0.3">
      <c r="B17" s="6">
        <v>8895</v>
      </c>
      <c r="C17" s="6">
        <v>5278</v>
      </c>
      <c r="D17" s="6">
        <v>6013</v>
      </c>
      <c r="E17" s="6">
        <v>765</v>
      </c>
      <c r="F17" s="6">
        <v>17330</v>
      </c>
      <c r="G17" s="6">
        <v>5384</v>
      </c>
      <c r="H17" s="6">
        <v>17331</v>
      </c>
      <c r="I17" s="6">
        <v>16418</v>
      </c>
      <c r="J17" s="6">
        <v>9248</v>
      </c>
      <c r="K17" s="6">
        <v>3088</v>
      </c>
      <c r="L17" s="6">
        <v>2405</v>
      </c>
      <c r="M17" s="6">
        <v>3610</v>
      </c>
      <c r="N17" s="6">
        <v>1203</v>
      </c>
      <c r="O17" s="6">
        <v>4811</v>
      </c>
      <c r="P17" s="6">
        <v>20695</v>
      </c>
      <c r="Q17" s="6">
        <v>6639</v>
      </c>
      <c r="R17" s="6">
        <v>1658</v>
      </c>
      <c r="S17" s="6">
        <v>10643</v>
      </c>
      <c r="T17" s="6">
        <v>10643</v>
      </c>
      <c r="U17" s="6">
        <v>14191</v>
      </c>
      <c r="V17" s="6">
        <v>30299</v>
      </c>
      <c r="W17" s="6">
        <v>9490</v>
      </c>
      <c r="X17" s="6">
        <v>9490</v>
      </c>
      <c r="Y17" s="6">
        <v>18978</v>
      </c>
      <c r="Z17" s="6">
        <v>49614</v>
      </c>
      <c r="AA17" s="6">
        <v>26505</v>
      </c>
      <c r="AB17" s="6">
        <v>2208</v>
      </c>
      <c r="AC17" s="6">
        <v>27541</v>
      </c>
      <c r="AD17" s="6">
        <v>10666</v>
      </c>
      <c r="AE17" s="6">
        <v>42672</v>
      </c>
      <c r="AF17" s="6">
        <v>10476</v>
      </c>
      <c r="AG17" s="6">
        <v>20953</v>
      </c>
      <c r="AH17" s="6">
        <v>16171</v>
      </c>
    </row>
    <row r="19" spans="2:36" ht="18" customHeight="1" x14ac:dyDescent="0.3">
      <c r="B19" s="4">
        <f>(B12-B5)/$B$1</f>
        <v>5.466042154566745</v>
      </c>
      <c r="C19" s="4">
        <f t="shared" ref="C19:V19" si="0">(C12-C5)/$B$1</f>
        <v>3.2365339578454333</v>
      </c>
      <c r="D19" s="4">
        <f t="shared" si="0"/>
        <v>3.6861826697892273</v>
      </c>
      <c r="E19" s="4">
        <f t="shared" si="0"/>
        <v>0.46838407494145201</v>
      </c>
      <c r="F19" s="4">
        <f t="shared" si="0"/>
        <v>10.630757220921156</v>
      </c>
      <c r="G19" s="4">
        <f t="shared" si="0"/>
        <v>3.3005464480874318</v>
      </c>
      <c r="H19" s="4">
        <f t="shared" si="0"/>
        <v>10.631537861046057</v>
      </c>
      <c r="I19" s="4">
        <f t="shared" si="0"/>
        <v>10.081186572989852</v>
      </c>
      <c r="J19" s="4">
        <f t="shared" si="0"/>
        <v>5.671350507416081</v>
      </c>
      <c r="K19" s="4">
        <f t="shared" si="0"/>
        <v>1.8961748633879782</v>
      </c>
      <c r="L19" s="4">
        <f t="shared" si="0"/>
        <v>1.4754098360655739</v>
      </c>
      <c r="M19" s="4">
        <f t="shared" ref="M19:P19" si="1">(M12-M5)/$B$1</f>
        <v>2.212334113973458</v>
      </c>
      <c r="N19" s="4">
        <f t="shared" si="1"/>
        <v>0.73692427790788451</v>
      </c>
      <c r="O19" s="4">
        <f t="shared" si="1"/>
        <v>2.9500390320062451</v>
      </c>
      <c r="P19" s="4">
        <f t="shared" si="1"/>
        <v>12.688524590163935</v>
      </c>
      <c r="Q19" s="4">
        <f t="shared" si="0"/>
        <v>4.0702576112412174</v>
      </c>
      <c r="R19" s="4">
        <f t="shared" si="0"/>
        <v>1.0171740827478533</v>
      </c>
      <c r="S19" s="4">
        <f t="shared" si="0"/>
        <v>6.5269320843091334</v>
      </c>
      <c r="T19" s="4">
        <f t="shared" si="0"/>
        <v>6.5269320843091334</v>
      </c>
      <c r="U19" s="4">
        <f t="shared" si="0"/>
        <v>8.7025761124121779</v>
      </c>
      <c r="V19" s="4">
        <f t="shared" si="0"/>
        <v>18.582357533177206</v>
      </c>
      <c r="W19" s="4">
        <f t="shared" ref="W19:AH19" si="2">(W12-W5)/$B$1</f>
        <v>5.8196721311475406</v>
      </c>
      <c r="X19" s="4">
        <f t="shared" si="2"/>
        <v>5.8196721311475406</v>
      </c>
      <c r="Y19" s="4">
        <f t="shared" si="2"/>
        <v>11.637782982045277</v>
      </c>
      <c r="Z19" s="4">
        <f t="shared" si="2"/>
        <v>30.417642466822794</v>
      </c>
      <c r="AA19" s="4">
        <f t="shared" si="2"/>
        <v>16.255269320843091</v>
      </c>
      <c r="AB19" s="4">
        <f t="shared" si="2"/>
        <v>1.355191256830601</v>
      </c>
      <c r="AC19" s="4">
        <f t="shared" si="2"/>
        <v>16.889929742388759</v>
      </c>
      <c r="AD19" s="4">
        <f t="shared" si="2"/>
        <v>6.5425448868071818</v>
      </c>
      <c r="AE19" s="4">
        <f t="shared" si="2"/>
        <v>26.169398907103826</v>
      </c>
      <c r="AF19" s="4">
        <f t="shared" si="2"/>
        <v>6.4254488680718191</v>
      </c>
      <c r="AG19" s="4">
        <f t="shared" si="2"/>
        <v>12.848555815768931</v>
      </c>
      <c r="AH19" s="4">
        <f t="shared" si="2"/>
        <v>9.9164715066354407</v>
      </c>
      <c r="AI19" s="4">
        <f t="shared" ref="AI19:AJ20" si="3">(AI12-AI5)/$B$1</f>
        <v>234.56440281030444</v>
      </c>
      <c r="AJ19" s="4">
        <f t="shared" si="3"/>
        <v>195.70804059328648</v>
      </c>
    </row>
    <row r="20" spans="2:36" ht="18" customHeight="1" x14ac:dyDescent="0.3">
      <c r="B20" s="4">
        <f t="shared" ref="B20" si="4">(B13-B6)/$B$1</f>
        <v>5.466042154566745</v>
      </c>
      <c r="C20" s="4">
        <f t="shared" ref="C20:V20" si="5">(C13-C6)/$B$1</f>
        <v>3.2365339578454333</v>
      </c>
      <c r="D20" s="4">
        <f t="shared" si="5"/>
        <v>3.6861826697892273</v>
      </c>
      <c r="E20" s="4">
        <f t="shared" si="5"/>
        <v>0.46760343481654959</v>
      </c>
      <c r="F20" s="4">
        <f t="shared" si="5"/>
        <v>10.630757220921156</v>
      </c>
      <c r="G20" s="4">
        <f t="shared" si="5"/>
        <v>3.3005464480874318</v>
      </c>
      <c r="H20" s="4">
        <f t="shared" si="5"/>
        <v>10.631537861046057</v>
      </c>
      <c r="I20" s="4">
        <f t="shared" si="5"/>
        <v>10.081186572989852</v>
      </c>
      <c r="J20" s="4">
        <f t="shared" si="5"/>
        <v>5.671350507416081</v>
      </c>
      <c r="K20" s="4">
        <f t="shared" si="5"/>
        <v>1.8961748633879782</v>
      </c>
      <c r="L20" s="4">
        <f t="shared" si="5"/>
        <v>1.4746291959406714</v>
      </c>
      <c r="M20" s="4">
        <f t="shared" ref="M20:P20" si="6">(M13-M6)/$B$1</f>
        <v>2.212334113973458</v>
      </c>
      <c r="N20" s="4">
        <f t="shared" si="6"/>
        <v>0.73770491803278693</v>
      </c>
      <c r="O20" s="4">
        <f t="shared" si="6"/>
        <v>2.9500390320062451</v>
      </c>
      <c r="P20" s="4">
        <f t="shared" si="6"/>
        <v>12.688524590163935</v>
      </c>
      <c r="Q20" s="4">
        <f t="shared" si="5"/>
        <v>4.0702576112412174</v>
      </c>
      <c r="R20" s="4">
        <f t="shared" si="5"/>
        <v>1.0171740827478533</v>
      </c>
      <c r="S20" s="4">
        <f t="shared" si="5"/>
        <v>6.5269320843091334</v>
      </c>
      <c r="T20" s="4">
        <f t="shared" si="5"/>
        <v>6.5269320843091334</v>
      </c>
      <c r="U20" s="4">
        <f t="shared" si="5"/>
        <v>8.7017954722872748</v>
      </c>
      <c r="V20" s="4">
        <f t="shared" si="5"/>
        <v>18.582357533177206</v>
      </c>
      <c r="W20" s="4">
        <f t="shared" ref="W20:AH20" si="7">(W13-W6)/$B$1</f>
        <v>5.8196721311475406</v>
      </c>
      <c r="X20" s="4">
        <f t="shared" si="7"/>
        <v>5.8196721311475406</v>
      </c>
      <c r="Y20" s="4">
        <f t="shared" si="7"/>
        <v>11.637782982045277</v>
      </c>
      <c r="Z20" s="4">
        <f t="shared" si="7"/>
        <v>30.417642466822794</v>
      </c>
      <c r="AA20" s="4">
        <f t="shared" si="7"/>
        <v>16.255269320843091</v>
      </c>
      <c r="AB20" s="4">
        <f t="shared" si="7"/>
        <v>1.355191256830601</v>
      </c>
      <c r="AC20" s="4">
        <f t="shared" si="7"/>
        <v>16.889929742388759</v>
      </c>
      <c r="AD20" s="4">
        <f t="shared" si="7"/>
        <v>6.5425448868071818</v>
      </c>
      <c r="AE20" s="4">
        <f t="shared" si="7"/>
        <v>26.169398907103826</v>
      </c>
      <c r="AF20" s="4">
        <f t="shared" si="7"/>
        <v>6.4246682279469161</v>
      </c>
      <c r="AG20" s="4">
        <f t="shared" si="7"/>
        <v>12.848555815768931</v>
      </c>
      <c r="AH20" s="4">
        <f t="shared" si="7"/>
        <v>9.9164715066354407</v>
      </c>
      <c r="AI20" s="4">
        <f t="shared" si="3"/>
        <v>93.827478532396569</v>
      </c>
    </row>
    <row r="21" spans="2:36" ht="18" customHeight="1" x14ac:dyDescent="0.3">
      <c r="B21" s="4">
        <f t="shared" ref="B21" si="8">(B14-B7)/$B$1</f>
        <v>5.466042154566745</v>
      </c>
      <c r="C21" s="4">
        <f t="shared" ref="C21:V21" si="9">(C14-C7)/$B$1</f>
        <v>3.2365339578454333</v>
      </c>
      <c r="D21" s="4">
        <f t="shared" si="9"/>
        <v>3.6861826697892273</v>
      </c>
      <c r="E21" s="4">
        <f t="shared" si="9"/>
        <v>0.46838407494145201</v>
      </c>
      <c r="F21" s="4">
        <f t="shared" si="9"/>
        <v>10.630757220921156</v>
      </c>
      <c r="G21" s="4">
        <f t="shared" si="9"/>
        <v>3.3005464480874318</v>
      </c>
      <c r="H21" s="4">
        <f t="shared" si="9"/>
        <v>10.631537861046057</v>
      </c>
      <c r="I21" s="4">
        <f t="shared" si="9"/>
        <v>10.081186572989852</v>
      </c>
      <c r="J21" s="4">
        <f t="shared" si="9"/>
        <v>5.671350507416081</v>
      </c>
      <c r="K21" s="4">
        <f t="shared" si="9"/>
        <v>1.8961748633879782</v>
      </c>
      <c r="L21" s="4">
        <f t="shared" si="9"/>
        <v>1.4746291959406714</v>
      </c>
      <c r="M21" s="4">
        <f t="shared" ref="M21:P21" si="10">(M14-M7)/$B$1</f>
        <v>2.212334113973458</v>
      </c>
      <c r="N21" s="4">
        <f t="shared" si="10"/>
        <v>0.73692427790788451</v>
      </c>
      <c r="O21" s="4">
        <f t="shared" si="10"/>
        <v>2.9500390320062451</v>
      </c>
      <c r="P21" s="4">
        <f t="shared" si="10"/>
        <v>12.688524590163935</v>
      </c>
      <c r="Q21" s="4">
        <f t="shared" si="9"/>
        <v>4.0694769711163152</v>
      </c>
      <c r="R21" s="4">
        <f t="shared" si="9"/>
        <v>1.0171740827478533</v>
      </c>
      <c r="S21" s="4">
        <f t="shared" si="9"/>
        <v>6.5261514441842312</v>
      </c>
      <c r="T21" s="4">
        <f t="shared" si="9"/>
        <v>6.5261514441842312</v>
      </c>
      <c r="U21" s="4">
        <f t="shared" si="9"/>
        <v>8.7017954722872748</v>
      </c>
      <c r="V21" s="4">
        <f t="shared" si="9"/>
        <v>18.582357533177206</v>
      </c>
      <c r="W21" s="4">
        <f t="shared" ref="W21:AH21" si="11">(W14-W7)/$B$1</f>
        <v>5.8196721311475406</v>
      </c>
      <c r="X21" s="4">
        <f t="shared" si="11"/>
        <v>5.8196721311475406</v>
      </c>
      <c r="Y21" s="4">
        <f t="shared" si="11"/>
        <v>11.637782982045277</v>
      </c>
      <c r="Z21" s="4">
        <f t="shared" si="11"/>
        <v>30.417642466822794</v>
      </c>
      <c r="AA21" s="4">
        <f t="shared" si="11"/>
        <v>16.255269320843091</v>
      </c>
      <c r="AB21" s="4">
        <f t="shared" si="11"/>
        <v>1.355191256830601</v>
      </c>
      <c r="AC21" s="4">
        <f t="shared" si="11"/>
        <v>16.889929742388759</v>
      </c>
      <c r="AD21" s="4">
        <f t="shared" si="11"/>
        <v>6.5425448868071818</v>
      </c>
      <c r="AE21" s="4">
        <f t="shared" si="11"/>
        <v>26.169398907103826</v>
      </c>
      <c r="AF21" s="4">
        <f t="shared" si="11"/>
        <v>6.4246682279469161</v>
      </c>
      <c r="AG21" s="4">
        <f t="shared" si="11"/>
        <v>12.848555815768931</v>
      </c>
      <c r="AH21" s="4">
        <f t="shared" si="11"/>
        <v>9.9164715066354407</v>
      </c>
    </row>
    <row r="22" spans="2:36" ht="18" customHeight="1" x14ac:dyDescent="0.3">
      <c r="B22" s="4">
        <f t="shared" ref="B22" si="12">(B15-B8)/$B$1</f>
        <v>5.466042154566745</v>
      </c>
      <c r="C22" s="4">
        <f t="shared" ref="C22:V22" si="13">(C15-C8)/$B$1</f>
        <v>3.2365339578454333</v>
      </c>
      <c r="D22" s="4">
        <f t="shared" si="13"/>
        <v>3.6861826697892273</v>
      </c>
      <c r="E22" s="4">
        <f t="shared" si="13"/>
        <v>0.46838407494145201</v>
      </c>
      <c r="F22" s="4">
        <f t="shared" si="13"/>
        <v>10.630757220921156</v>
      </c>
      <c r="G22" s="4">
        <f t="shared" si="13"/>
        <v>3.3005464480874318</v>
      </c>
      <c r="H22" s="4">
        <f t="shared" si="13"/>
        <v>10.631537861046057</v>
      </c>
      <c r="I22" s="4">
        <f t="shared" si="13"/>
        <v>10.081186572989852</v>
      </c>
      <c r="J22" s="4">
        <f t="shared" si="13"/>
        <v>5.671350507416081</v>
      </c>
      <c r="K22" s="4">
        <f t="shared" si="13"/>
        <v>1.8961748633879782</v>
      </c>
      <c r="L22" s="4">
        <f t="shared" si="13"/>
        <v>1.4746291959406714</v>
      </c>
      <c r="M22" s="4">
        <f t="shared" ref="M22:P22" si="14">(M15-M8)/$B$1</f>
        <v>2.212334113973458</v>
      </c>
      <c r="N22" s="4">
        <f t="shared" si="14"/>
        <v>0.73770491803278693</v>
      </c>
      <c r="O22" s="4">
        <f t="shared" si="14"/>
        <v>2.9500390320062451</v>
      </c>
      <c r="P22" s="4">
        <f t="shared" si="14"/>
        <v>12.688524590163935</v>
      </c>
      <c r="Q22" s="4">
        <f t="shared" si="13"/>
        <v>4.0702576112412174</v>
      </c>
      <c r="R22" s="4">
        <f t="shared" si="13"/>
        <v>1.0171740827478533</v>
      </c>
      <c r="S22" s="4">
        <f t="shared" si="13"/>
        <v>6.5269320843091334</v>
      </c>
      <c r="T22" s="4">
        <f t="shared" si="13"/>
        <v>6.5269320843091334</v>
      </c>
      <c r="U22" s="4">
        <f t="shared" si="13"/>
        <v>8.7017954722872748</v>
      </c>
      <c r="V22" s="4">
        <f t="shared" si="13"/>
        <v>18.582357533177206</v>
      </c>
      <c r="W22" s="4">
        <f t="shared" ref="W22:AH22" si="15">(W15-W8)/$B$1</f>
        <v>5.8196721311475406</v>
      </c>
      <c r="X22" s="4">
        <f t="shared" si="15"/>
        <v>5.8196721311475406</v>
      </c>
      <c r="Y22" s="4">
        <f t="shared" si="15"/>
        <v>11.637782982045277</v>
      </c>
      <c r="Z22" s="4">
        <f t="shared" si="15"/>
        <v>30.417642466822794</v>
      </c>
      <c r="AA22" s="4">
        <f t="shared" si="15"/>
        <v>16.255269320843091</v>
      </c>
      <c r="AB22" s="4">
        <f t="shared" si="15"/>
        <v>1.355191256830601</v>
      </c>
      <c r="AC22" s="4">
        <f t="shared" si="15"/>
        <v>16.889929742388759</v>
      </c>
      <c r="AD22" s="4">
        <f t="shared" si="15"/>
        <v>6.5425448868071818</v>
      </c>
      <c r="AE22" s="4">
        <f t="shared" si="15"/>
        <v>26.169398907103826</v>
      </c>
      <c r="AF22" s="4">
        <f t="shared" si="15"/>
        <v>6.4254488680718191</v>
      </c>
      <c r="AG22" s="4">
        <f t="shared" si="15"/>
        <v>12.848555815768931</v>
      </c>
      <c r="AH22" s="4">
        <f t="shared" si="15"/>
        <v>9.9164715066354407</v>
      </c>
    </row>
    <row r="23" spans="2:36" ht="18" customHeight="1" x14ac:dyDescent="0.3">
      <c r="B23" s="4">
        <f>(B16-B9)/$B$1</f>
        <v>5.945355191256831</v>
      </c>
      <c r="C23" s="4">
        <f t="shared" ref="C23:V23" si="16">(C16-C9)/$B$1</f>
        <v>3.520686963309914</v>
      </c>
      <c r="D23" s="4">
        <f t="shared" si="16"/>
        <v>4.0093676814988291</v>
      </c>
      <c r="E23" s="4">
        <f t="shared" si="16"/>
        <v>0.50819672131147542</v>
      </c>
      <c r="F23" s="4">
        <f t="shared" si="16"/>
        <v>11.565183450429352</v>
      </c>
      <c r="G23" s="4">
        <f t="shared" si="16"/>
        <v>3.5901639344262297</v>
      </c>
      <c r="H23" s="4">
        <f t="shared" si="16"/>
        <v>11.566744730679156</v>
      </c>
      <c r="I23" s="4">
        <f t="shared" si="16"/>
        <v>10.962529274004684</v>
      </c>
      <c r="J23" s="4">
        <f t="shared" si="16"/>
        <v>6.1701795472287273</v>
      </c>
      <c r="K23" s="4">
        <f t="shared" si="16"/>
        <v>2.0624512099921937</v>
      </c>
      <c r="L23" s="4">
        <f t="shared" si="16"/>
        <v>1.6049960967993755</v>
      </c>
      <c r="M23" s="4">
        <f t="shared" ref="M23:P23" si="17">(M16-M9)/$B$1</f>
        <v>2.4067135050741606</v>
      </c>
      <c r="N23" s="4">
        <f t="shared" si="17"/>
        <v>0.80249804839968775</v>
      </c>
      <c r="O23" s="4">
        <f t="shared" si="17"/>
        <v>3.209992193598751</v>
      </c>
      <c r="P23" s="4">
        <f t="shared" si="17"/>
        <v>13.80015612802498</v>
      </c>
      <c r="Q23" s="4">
        <f t="shared" si="16"/>
        <v>4.4277907884465257</v>
      </c>
      <c r="R23" s="4">
        <f t="shared" si="16"/>
        <v>1.106167056986729</v>
      </c>
      <c r="S23" s="4">
        <f t="shared" si="16"/>
        <v>7.0999219359875099</v>
      </c>
      <c r="T23" s="4">
        <f t="shared" si="16"/>
        <v>7.0999219359875099</v>
      </c>
      <c r="U23" s="4">
        <f t="shared" si="16"/>
        <v>9.4668227946916463</v>
      </c>
      <c r="V23" s="4">
        <f t="shared" si="16"/>
        <v>20.214676034348166</v>
      </c>
      <c r="W23" s="4">
        <f t="shared" ref="W23:AH23" si="18">(W16-W9)/$B$1</f>
        <v>6.3309914129586264</v>
      </c>
      <c r="X23" s="4">
        <f t="shared" si="18"/>
        <v>6.3309914129586264</v>
      </c>
      <c r="Y23" s="4">
        <f t="shared" si="18"/>
        <v>12.659640905542545</v>
      </c>
      <c r="Z23" s="4">
        <f t="shared" si="18"/>
        <v>33.09055425448868</v>
      </c>
      <c r="AA23" s="4">
        <f t="shared" si="18"/>
        <v>17.683060109289617</v>
      </c>
      <c r="AB23" s="4">
        <f t="shared" si="18"/>
        <v>1.473848555815769</v>
      </c>
      <c r="AC23" s="4">
        <f t="shared" si="18"/>
        <v>18.373926619828261</v>
      </c>
      <c r="AD23" s="4">
        <f t="shared" si="18"/>
        <v>7.1170960187353627</v>
      </c>
      <c r="AE23" s="4">
        <f t="shared" si="18"/>
        <v>28.469164715066356</v>
      </c>
      <c r="AF23" s="4">
        <f t="shared" si="18"/>
        <v>6.9898516783762688</v>
      </c>
      <c r="AG23" s="4">
        <f t="shared" si="18"/>
        <v>13.978142076502733</v>
      </c>
      <c r="AH23" s="4">
        <f t="shared" si="18"/>
        <v>10.787665886026542</v>
      </c>
    </row>
    <row r="24" spans="2:36" ht="18" customHeight="1" x14ac:dyDescent="0.3">
      <c r="B24" s="4">
        <f t="shared" ref="B24:V24" si="19">(B17-B10)/$B$1</f>
        <v>6.2404371584699456</v>
      </c>
      <c r="C24" s="4">
        <f t="shared" si="19"/>
        <v>3.6955503512880563</v>
      </c>
      <c r="D24" s="4">
        <f t="shared" si="19"/>
        <v>4.2092115534738488</v>
      </c>
      <c r="E24" s="4">
        <f t="shared" si="19"/>
        <v>0.53317720530835289</v>
      </c>
      <c r="F24" s="4">
        <f t="shared" si="19"/>
        <v>12.140515222482435</v>
      </c>
      <c r="G24" s="4">
        <f t="shared" si="19"/>
        <v>3.7689305230288839</v>
      </c>
      <c r="H24" s="4">
        <f t="shared" si="19"/>
        <v>12.142857142857142</v>
      </c>
      <c r="I24" s="4">
        <f t="shared" si="19"/>
        <v>11.511319281811085</v>
      </c>
      <c r="J24" s="4">
        <f t="shared" si="19"/>
        <v>6.4769711163153785</v>
      </c>
      <c r="K24" s="4">
        <f t="shared" si="19"/>
        <v>2.1647150663544106</v>
      </c>
      <c r="L24" s="4">
        <f t="shared" si="19"/>
        <v>1.6846213895394224</v>
      </c>
      <c r="M24" s="4">
        <f t="shared" ref="M24:P24" si="20">(M17-M10)/$B$1</f>
        <v>2.5253708040593286</v>
      </c>
      <c r="N24" s="4">
        <f t="shared" si="20"/>
        <v>0.84231069476971121</v>
      </c>
      <c r="O24" s="4">
        <f t="shared" si="20"/>
        <v>3.370023419203747</v>
      </c>
      <c r="P24" s="4">
        <f t="shared" si="20"/>
        <v>14.485558157689304</v>
      </c>
      <c r="Q24" s="4">
        <f t="shared" si="19"/>
        <v>4.6479313036690089</v>
      </c>
      <c r="R24" s="4">
        <f t="shared" si="19"/>
        <v>1.1615925058548009</v>
      </c>
      <c r="S24" s="4">
        <f t="shared" si="19"/>
        <v>7.4543325526932085</v>
      </c>
      <c r="T24" s="4">
        <f t="shared" si="19"/>
        <v>7.4543325526932085</v>
      </c>
      <c r="U24" s="4">
        <f t="shared" si="19"/>
        <v>9.9383294301327094</v>
      </c>
      <c r="V24" s="4">
        <f t="shared" si="19"/>
        <v>21.220921155347384</v>
      </c>
      <c r="W24" s="4">
        <f t="shared" ref="W24:AH24" si="21">(W17-W10)/$B$1</f>
        <v>6.6455893832943014</v>
      </c>
      <c r="X24" s="4">
        <f t="shared" si="21"/>
        <v>6.6455893832943014</v>
      </c>
      <c r="Y24" s="4">
        <f t="shared" si="21"/>
        <v>13.291178766588603</v>
      </c>
      <c r="Z24" s="4">
        <f t="shared" si="21"/>
        <v>34.738485558157691</v>
      </c>
      <c r="AA24" s="4">
        <f t="shared" si="21"/>
        <v>18.563622170179546</v>
      </c>
      <c r="AB24" s="4">
        <f t="shared" si="21"/>
        <v>1.5464480874316939</v>
      </c>
      <c r="AC24" s="4">
        <f t="shared" si="21"/>
        <v>19.288056206088992</v>
      </c>
      <c r="AD24" s="4">
        <f t="shared" si="21"/>
        <v>7.4722872755659644</v>
      </c>
      <c r="AE24" s="4">
        <f t="shared" si="21"/>
        <v>29.885245901639344</v>
      </c>
      <c r="AF24" s="4">
        <f t="shared" si="21"/>
        <v>7.3372365339578458</v>
      </c>
      <c r="AG24" s="4">
        <f t="shared" si="21"/>
        <v>14.672911787665885</v>
      </c>
      <c r="AH24" s="4">
        <f t="shared" si="21"/>
        <v>11.323965651834504</v>
      </c>
    </row>
  </sheetData>
  <mergeCells count="8">
    <mergeCell ref="AF3:AG3"/>
    <mergeCell ref="AD3:AE3"/>
    <mergeCell ref="I3:J3"/>
    <mergeCell ref="Q3:R3"/>
    <mergeCell ref="S3:U3"/>
    <mergeCell ref="AA3:AB3"/>
    <mergeCell ref="L3:O3"/>
    <mergeCell ref="W3:Y3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3.5" x14ac:dyDescent="0.3"/>
  <cols>
    <col min="1" max="2" width="9" style="100"/>
    <col min="3" max="3" width="9.875" style="100" bestFit="1" customWidth="1"/>
    <col min="4" max="16384" width="9" style="100"/>
  </cols>
  <sheetData>
    <row r="1" spans="1:9" x14ac:dyDescent="0.3">
      <c r="A1" s="100" t="s">
        <v>420</v>
      </c>
      <c r="B1" s="100">
        <v>0</v>
      </c>
      <c r="C1" s="100">
        <v>0</v>
      </c>
      <c r="D1" s="100">
        <v>0</v>
      </c>
      <c r="E1" s="100">
        <v>0</v>
      </c>
      <c r="G1" s="100" t="s">
        <v>18</v>
      </c>
      <c r="H1" s="100">
        <v>0</v>
      </c>
      <c r="I1" s="100">
        <v>0</v>
      </c>
    </row>
    <row r="2" spans="1:9" x14ac:dyDescent="0.3">
      <c r="B2" s="100">
        <v>1</v>
      </c>
      <c r="C2" s="100">
        <v>8</v>
      </c>
      <c r="D2" s="100">
        <v>12</v>
      </c>
      <c r="E2" s="100">
        <v>16</v>
      </c>
      <c r="H2" s="100">
        <v>1</v>
      </c>
      <c r="I2" s="100">
        <v>5</v>
      </c>
    </row>
    <row r="3" spans="1:9" x14ac:dyDescent="0.3">
      <c r="B3" s="100">
        <v>2</v>
      </c>
      <c r="C3" s="100">
        <v>15</v>
      </c>
      <c r="D3" s="100">
        <v>20</v>
      </c>
      <c r="E3" s="100">
        <v>25</v>
      </c>
      <c r="H3" s="100">
        <v>2</v>
      </c>
      <c r="I3" s="100">
        <v>12</v>
      </c>
    </row>
    <row r="4" spans="1:9" x14ac:dyDescent="0.3">
      <c r="B4" s="100">
        <v>3</v>
      </c>
      <c r="C4" s="100" t="s">
        <v>421</v>
      </c>
      <c r="D4" s="100" t="s">
        <v>422</v>
      </c>
      <c r="E4" s="100" t="s">
        <v>423</v>
      </c>
      <c r="H4" s="100">
        <v>3</v>
      </c>
      <c r="I4" s="100">
        <v>25</v>
      </c>
    </row>
    <row r="6" spans="1:9" x14ac:dyDescent="0.3">
      <c r="A6" s="100" t="s">
        <v>419</v>
      </c>
      <c r="B6" s="100">
        <v>0</v>
      </c>
      <c r="C6" s="100">
        <v>0</v>
      </c>
      <c r="G6" s="100" t="s">
        <v>280</v>
      </c>
      <c r="H6" s="100">
        <v>0</v>
      </c>
      <c r="I6" s="100">
        <v>0</v>
      </c>
    </row>
    <row r="7" spans="1:9" x14ac:dyDescent="0.3">
      <c r="B7" s="100">
        <v>1</v>
      </c>
      <c r="C7" s="100">
        <v>20</v>
      </c>
      <c r="H7" s="100">
        <v>1</v>
      </c>
      <c r="I7" s="100">
        <v>3</v>
      </c>
    </row>
    <row r="8" spans="1:9" x14ac:dyDescent="0.3">
      <c r="B8" s="100">
        <v>2</v>
      </c>
      <c r="C8" s="100">
        <v>25</v>
      </c>
      <c r="H8" s="100">
        <v>2</v>
      </c>
      <c r="I8" s="100">
        <v>8</v>
      </c>
    </row>
    <row r="9" spans="1:9" x14ac:dyDescent="0.3">
      <c r="B9" s="100">
        <v>3</v>
      </c>
      <c r="C9" s="100">
        <v>30</v>
      </c>
      <c r="H9" s="100">
        <v>3</v>
      </c>
      <c r="I9" s="100">
        <v>16</v>
      </c>
    </row>
    <row r="11" spans="1:9" x14ac:dyDescent="0.3">
      <c r="G11" s="100" t="s">
        <v>281</v>
      </c>
      <c r="H11" s="100">
        <v>0</v>
      </c>
      <c r="I11" s="100">
        <v>0</v>
      </c>
    </row>
    <row r="12" spans="1:9" x14ac:dyDescent="0.3">
      <c r="H12" s="100">
        <v>1</v>
      </c>
      <c r="I12" s="100">
        <v>4</v>
      </c>
    </row>
    <row r="13" spans="1:9" x14ac:dyDescent="0.3">
      <c r="H13" s="100">
        <v>2</v>
      </c>
      <c r="I13" s="100">
        <v>10</v>
      </c>
    </row>
    <row r="14" spans="1:9" x14ac:dyDescent="0.3">
      <c r="H14" s="100">
        <v>3</v>
      </c>
      <c r="I14" s="100">
        <v>20</v>
      </c>
    </row>
    <row r="16" spans="1:9" x14ac:dyDescent="0.3">
      <c r="G16" s="100" t="s">
        <v>282</v>
      </c>
      <c r="H16" s="100">
        <v>0</v>
      </c>
      <c r="I16" s="100">
        <v>0</v>
      </c>
    </row>
    <row r="17" spans="8:9" x14ac:dyDescent="0.3">
      <c r="H17" s="100">
        <v>1</v>
      </c>
      <c r="I17" s="100">
        <v>10</v>
      </c>
    </row>
    <row r="18" spans="8:9" x14ac:dyDescent="0.3">
      <c r="H18" s="100">
        <v>2</v>
      </c>
      <c r="I18" s="100">
        <v>25</v>
      </c>
    </row>
    <row r="19" spans="8:9" x14ac:dyDescent="0.3">
      <c r="H19" s="100">
        <v>3</v>
      </c>
      <c r="I19" s="100">
        <v>50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입력란</vt:lpstr>
      <vt:lpstr>DPS표</vt:lpstr>
      <vt:lpstr>트라이포드</vt:lpstr>
      <vt:lpstr>스킬 계수</vt:lpstr>
      <vt:lpstr>각인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Colorful</dc:creator>
  <cp:lastModifiedBy>Colorful</cp:lastModifiedBy>
  <dcterms:created xsi:type="dcterms:W3CDTF">2020-08-30T11:42:54Z</dcterms:created>
  <dcterms:modified xsi:type="dcterms:W3CDTF">2021-02-01T11:57:37Z</dcterms:modified>
</cp:coreProperties>
</file>