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2635" windowHeight="10320"/>
  </bookViews>
  <sheets>
    <sheet name="요약" sheetId="2" r:id="rId1"/>
    <sheet name="붉은달" sheetId="1" r:id="rId2"/>
  </sheets>
  <definedNames>
    <definedName name="_xlnm._FilterDatabase" localSheetId="1" hidden="1">붉은달!$A$7:$AG$430</definedName>
  </definedNames>
  <calcPr calcId="125725"/>
</workbook>
</file>

<file path=xl/calcChain.xml><?xml version="1.0" encoding="utf-8"?>
<calcChain xmlns="http://schemas.openxmlformats.org/spreadsheetml/2006/main">
  <c r="J4" i="2"/>
  <c r="I4"/>
  <c r="H4"/>
  <c r="G4"/>
  <c r="F4"/>
  <c r="E4"/>
  <c r="D4"/>
  <c r="C4"/>
  <c r="B4"/>
  <c r="A4"/>
  <c r="R8" i="1"/>
  <c r="R7" s="1"/>
  <c r="P7"/>
  <c r="P8"/>
  <c r="E10" i="2"/>
  <c r="E9"/>
  <c r="O2" i="1"/>
  <c r="K446"/>
  <c r="J446"/>
  <c r="I446"/>
  <c r="H446"/>
  <c r="F446"/>
  <c r="E446"/>
  <c r="D446"/>
  <c r="C446"/>
  <c r="B446"/>
  <c r="S444"/>
  <c r="N444"/>
  <c r="K444"/>
  <c r="J444"/>
  <c r="I444"/>
  <c r="H444"/>
  <c r="F444"/>
  <c r="E444"/>
  <c r="D444"/>
  <c r="C444"/>
  <c r="B444"/>
  <c r="Q443"/>
  <c r="R443" s="1"/>
  <c r="O443"/>
  <c r="M444" s="1"/>
  <c r="K442"/>
  <c r="J442"/>
  <c r="I442"/>
  <c r="H442"/>
  <c r="F442"/>
  <c r="E442"/>
  <c r="D442"/>
  <c r="C442"/>
  <c r="B442"/>
  <c r="S440"/>
  <c r="Q439" s="1"/>
  <c r="R439" s="1"/>
  <c r="N440"/>
  <c r="K440"/>
  <c r="J440"/>
  <c r="I440"/>
  <c r="H440"/>
  <c r="F440"/>
  <c r="E440"/>
  <c r="D440"/>
  <c r="C440"/>
  <c r="B440"/>
  <c r="O439"/>
  <c r="P439" s="1"/>
  <c r="K438"/>
  <c r="J438"/>
  <c r="I438"/>
  <c r="H438"/>
  <c r="F438"/>
  <c r="E438"/>
  <c r="D438"/>
  <c r="C438"/>
  <c r="B438"/>
  <c r="S436"/>
  <c r="N436"/>
  <c r="K436"/>
  <c r="J436"/>
  <c r="I436"/>
  <c r="H436"/>
  <c r="F436"/>
  <c r="E436"/>
  <c r="D436"/>
  <c r="C436"/>
  <c r="B436"/>
  <c r="Q435"/>
  <c r="R435" s="1"/>
  <c r="O435"/>
  <c r="P435" s="1"/>
  <c r="K434"/>
  <c r="J434"/>
  <c r="I434"/>
  <c r="H434"/>
  <c r="F434"/>
  <c r="E434"/>
  <c r="D434"/>
  <c r="C434"/>
  <c r="B434"/>
  <c r="S432"/>
  <c r="N432"/>
  <c r="K432"/>
  <c r="J432"/>
  <c r="I432"/>
  <c r="H432"/>
  <c r="F432"/>
  <c r="E432"/>
  <c r="D432"/>
  <c r="C432"/>
  <c r="B432"/>
  <c r="Q431"/>
  <c r="R431" s="1"/>
  <c r="O431"/>
  <c r="P431" s="1"/>
  <c r="K430"/>
  <c r="J430"/>
  <c r="I430"/>
  <c r="H430"/>
  <c r="F430"/>
  <c r="E430"/>
  <c r="D430"/>
  <c r="C430"/>
  <c r="B430"/>
  <c r="S428"/>
  <c r="N428"/>
  <c r="K428"/>
  <c r="J428"/>
  <c r="I428"/>
  <c r="H428"/>
  <c r="F428"/>
  <c r="E428"/>
  <c r="D428"/>
  <c r="C428"/>
  <c r="B428"/>
  <c r="Q427"/>
  <c r="R427" s="1"/>
  <c r="O427"/>
  <c r="P427" s="1"/>
  <c r="K426"/>
  <c r="J426"/>
  <c r="I426"/>
  <c r="H426"/>
  <c r="F426"/>
  <c r="E426"/>
  <c r="D426"/>
  <c r="C426"/>
  <c r="B426"/>
  <c r="S424"/>
  <c r="N424"/>
  <c r="K424"/>
  <c r="J424"/>
  <c r="I424"/>
  <c r="H424"/>
  <c r="F424"/>
  <c r="E424"/>
  <c r="D424"/>
  <c r="C424"/>
  <c r="B424"/>
  <c r="Q423"/>
  <c r="R423" s="1"/>
  <c r="O423"/>
  <c r="P423" s="1"/>
  <c r="K422"/>
  <c r="J422"/>
  <c r="I422"/>
  <c r="H422"/>
  <c r="F422"/>
  <c r="E422"/>
  <c r="D422"/>
  <c r="C422"/>
  <c r="B422"/>
  <c r="S420"/>
  <c r="N420"/>
  <c r="K420"/>
  <c r="J420"/>
  <c r="I420"/>
  <c r="H420"/>
  <c r="F420"/>
  <c r="E420"/>
  <c r="D420"/>
  <c r="C420"/>
  <c r="B420"/>
  <c r="Q419"/>
  <c r="R419" s="1"/>
  <c r="O419"/>
  <c r="P419" s="1"/>
  <c r="K418"/>
  <c r="J418"/>
  <c r="I418"/>
  <c r="H418"/>
  <c r="F418"/>
  <c r="E418"/>
  <c r="D418"/>
  <c r="C418"/>
  <c r="B418"/>
  <c r="S416"/>
  <c r="Q415" s="1"/>
  <c r="R415" s="1"/>
  <c r="N416"/>
  <c r="K416"/>
  <c r="J416"/>
  <c r="I416"/>
  <c r="H416"/>
  <c r="F416"/>
  <c r="E416"/>
  <c r="D416"/>
  <c r="C416"/>
  <c r="B416"/>
  <c r="O415"/>
  <c r="P415" s="1"/>
  <c r="K414"/>
  <c r="J414"/>
  <c r="I414"/>
  <c r="H414"/>
  <c r="F414"/>
  <c r="E414"/>
  <c r="D414"/>
  <c r="C414"/>
  <c r="B414"/>
  <c r="S412"/>
  <c r="N412"/>
  <c r="K412"/>
  <c r="J412"/>
  <c r="I412"/>
  <c r="H412"/>
  <c r="F412"/>
  <c r="E412"/>
  <c r="D412"/>
  <c r="C412"/>
  <c r="B412"/>
  <c r="Q411"/>
  <c r="R411" s="1"/>
  <c r="O411"/>
  <c r="P411" s="1"/>
  <c r="K410"/>
  <c r="J410"/>
  <c r="I410"/>
  <c r="H410"/>
  <c r="F410"/>
  <c r="E410"/>
  <c r="D410"/>
  <c r="C410"/>
  <c r="B410"/>
  <c r="S408"/>
  <c r="N408"/>
  <c r="K408"/>
  <c r="J408"/>
  <c r="I408"/>
  <c r="H408"/>
  <c r="F408"/>
  <c r="E408"/>
  <c r="D408"/>
  <c r="C408"/>
  <c r="B408"/>
  <c r="Q407"/>
  <c r="R407" s="1"/>
  <c r="O407"/>
  <c r="P407" s="1"/>
  <c r="K406"/>
  <c r="J406"/>
  <c r="I406"/>
  <c r="H406"/>
  <c r="F406"/>
  <c r="E406"/>
  <c r="D406"/>
  <c r="C406"/>
  <c r="B406"/>
  <c r="S404"/>
  <c r="N404"/>
  <c r="K404"/>
  <c r="J404"/>
  <c r="I404"/>
  <c r="H404"/>
  <c r="F404"/>
  <c r="E404"/>
  <c r="D404"/>
  <c r="C404"/>
  <c r="B404"/>
  <c r="Q403"/>
  <c r="O403"/>
  <c r="P403" s="1"/>
  <c r="K402"/>
  <c r="J402"/>
  <c r="I402"/>
  <c r="H402"/>
  <c r="F402"/>
  <c r="E402"/>
  <c r="D402"/>
  <c r="C402"/>
  <c r="B402"/>
  <c r="S400"/>
  <c r="N400"/>
  <c r="K400"/>
  <c r="J400"/>
  <c r="I400"/>
  <c r="H400"/>
  <c r="F400"/>
  <c r="E400"/>
  <c r="D400"/>
  <c r="C400"/>
  <c r="B400"/>
  <c r="Q399"/>
  <c r="R399" s="1"/>
  <c r="O399"/>
  <c r="P399" s="1"/>
  <c r="K398"/>
  <c r="J398"/>
  <c r="I398"/>
  <c r="H398"/>
  <c r="F398"/>
  <c r="E398"/>
  <c r="D398"/>
  <c r="C398"/>
  <c r="B398"/>
  <c r="S396"/>
  <c r="N396"/>
  <c r="K396"/>
  <c r="J396"/>
  <c r="I396"/>
  <c r="H396"/>
  <c r="F396"/>
  <c r="E396"/>
  <c r="D396"/>
  <c r="C396"/>
  <c r="B396"/>
  <c r="Q395"/>
  <c r="O395"/>
  <c r="M396" s="1"/>
  <c r="K394"/>
  <c r="J394"/>
  <c r="I394"/>
  <c r="H394"/>
  <c r="F394"/>
  <c r="E394"/>
  <c r="D394"/>
  <c r="C394"/>
  <c r="B394"/>
  <c r="S392"/>
  <c r="Q391" s="1"/>
  <c r="R391" s="1"/>
  <c r="N392"/>
  <c r="K392"/>
  <c r="J392"/>
  <c r="I392"/>
  <c r="H392"/>
  <c r="F392"/>
  <c r="E392"/>
  <c r="D392"/>
  <c r="C392"/>
  <c r="B392"/>
  <c r="O391"/>
  <c r="P391" s="1"/>
  <c r="K390"/>
  <c r="J390"/>
  <c r="I390"/>
  <c r="H390"/>
  <c r="F390"/>
  <c r="E390"/>
  <c r="D390"/>
  <c r="C390"/>
  <c r="B390"/>
  <c r="S388"/>
  <c r="N388"/>
  <c r="K388"/>
  <c r="J388"/>
  <c r="I388"/>
  <c r="H388"/>
  <c r="F388"/>
  <c r="E388"/>
  <c r="D388"/>
  <c r="C388"/>
  <c r="B388"/>
  <c r="Q387"/>
  <c r="O387"/>
  <c r="M388" s="1"/>
  <c r="K386"/>
  <c r="J386"/>
  <c r="I386"/>
  <c r="H386"/>
  <c r="F386"/>
  <c r="E386"/>
  <c r="D386"/>
  <c r="C386"/>
  <c r="B386"/>
  <c r="S384"/>
  <c r="N384"/>
  <c r="K384"/>
  <c r="J384"/>
  <c r="I384"/>
  <c r="H384"/>
  <c r="F384"/>
  <c r="E384"/>
  <c r="D384"/>
  <c r="C384"/>
  <c r="B384"/>
  <c r="Q383"/>
  <c r="R383" s="1"/>
  <c r="O383"/>
  <c r="P383" s="1"/>
  <c r="K382"/>
  <c r="J382"/>
  <c r="I382"/>
  <c r="H382"/>
  <c r="F382"/>
  <c r="E382"/>
  <c r="D382"/>
  <c r="C382"/>
  <c r="B382"/>
  <c r="S380"/>
  <c r="N380"/>
  <c r="K380"/>
  <c r="J380"/>
  <c r="I380"/>
  <c r="H380"/>
  <c r="F380"/>
  <c r="E380"/>
  <c r="D380"/>
  <c r="C380"/>
  <c r="B380"/>
  <c r="Q379"/>
  <c r="O379"/>
  <c r="M380" s="1"/>
  <c r="K378"/>
  <c r="J378"/>
  <c r="I378"/>
  <c r="H378"/>
  <c r="F378"/>
  <c r="E378"/>
  <c r="D378"/>
  <c r="C378"/>
  <c r="B378"/>
  <c r="S376"/>
  <c r="N376"/>
  <c r="K376"/>
  <c r="J376"/>
  <c r="I376"/>
  <c r="H376"/>
  <c r="F376"/>
  <c r="E376"/>
  <c r="D376"/>
  <c r="C376"/>
  <c r="B376"/>
  <c r="Q375"/>
  <c r="R375" s="1"/>
  <c r="O375"/>
  <c r="P375" s="1"/>
  <c r="K374"/>
  <c r="J374"/>
  <c r="I374"/>
  <c r="H374"/>
  <c r="F374"/>
  <c r="E374"/>
  <c r="D374"/>
  <c r="C374"/>
  <c r="B374"/>
  <c r="S372"/>
  <c r="N372"/>
  <c r="K372"/>
  <c r="J372"/>
  <c r="I372"/>
  <c r="H372"/>
  <c r="F372"/>
  <c r="E372"/>
  <c r="D372"/>
  <c r="C372"/>
  <c r="B372"/>
  <c r="Q371"/>
  <c r="O371"/>
  <c r="M372" s="1"/>
  <c r="K370"/>
  <c r="J370"/>
  <c r="I370"/>
  <c r="H370"/>
  <c r="F370"/>
  <c r="E370"/>
  <c r="D370"/>
  <c r="C370"/>
  <c r="B370"/>
  <c r="S368"/>
  <c r="Q367" s="1"/>
  <c r="R367" s="1"/>
  <c r="N368"/>
  <c r="K368"/>
  <c r="J368"/>
  <c r="I368"/>
  <c r="H368"/>
  <c r="F368"/>
  <c r="E368"/>
  <c r="D368"/>
  <c r="C368"/>
  <c r="B368"/>
  <c r="O367"/>
  <c r="P367" s="1"/>
  <c r="K366"/>
  <c r="J366"/>
  <c r="I366"/>
  <c r="H366"/>
  <c r="F366"/>
  <c r="E366"/>
  <c r="D366"/>
  <c r="C366"/>
  <c r="B366"/>
  <c r="S364"/>
  <c r="N364"/>
  <c r="K364"/>
  <c r="J364"/>
  <c r="I364"/>
  <c r="H364"/>
  <c r="F364"/>
  <c r="E364"/>
  <c r="D364"/>
  <c r="C364"/>
  <c r="B364"/>
  <c r="Q363"/>
  <c r="O363"/>
  <c r="M364" s="1"/>
  <c r="K362"/>
  <c r="J362"/>
  <c r="I362"/>
  <c r="H362"/>
  <c r="F362"/>
  <c r="E362"/>
  <c r="D362"/>
  <c r="C362"/>
  <c r="B362"/>
  <c r="S360"/>
  <c r="N360"/>
  <c r="K360"/>
  <c r="J360"/>
  <c r="I360"/>
  <c r="H360"/>
  <c r="F360"/>
  <c r="E360"/>
  <c r="D360"/>
  <c r="C360"/>
  <c r="B360"/>
  <c r="Q359"/>
  <c r="R359" s="1"/>
  <c r="O359"/>
  <c r="P359" s="1"/>
  <c r="K358"/>
  <c r="J358"/>
  <c r="I358"/>
  <c r="H358"/>
  <c r="F358"/>
  <c r="E358"/>
  <c r="D358"/>
  <c r="C358"/>
  <c r="B358"/>
  <c r="S356"/>
  <c r="N356"/>
  <c r="K356"/>
  <c r="J356"/>
  <c r="I356"/>
  <c r="H356"/>
  <c r="F356"/>
  <c r="E356"/>
  <c r="D356"/>
  <c r="C356"/>
  <c r="B356"/>
  <c r="Q355"/>
  <c r="O355"/>
  <c r="M356" s="1"/>
  <c r="K354"/>
  <c r="J354"/>
  <c r="I354"/>
  <c r="H354"/>
  <c r="F354"/>
  <c r="E354"/>
  <c r="D354"/>
  <c r="C354"/>
  <c r="B354"/>
  <c r="S352"/>
  <c r="N352"/>
  <c r="K352"/>
  <c r="J352"/>
  <c r="I352"/>
  <c r="H352"/>
  <c r="F352"/>
  <c r="E352"/>
  <c r="D352"/>
  <c r="C352"/>
  <c r="B352"/>
  <c r="Q351"/>
  <c r="R351" s="1"/>
  <c r="O351"/>
  <c r="P351" s="1"/>
  <c r="K350"/>
  <c r="J350"/>
  <c r="I350"/>
  <c r="H350"/>
  <c r="F350"/>
  <c r="E350"/>
  <c r="D350"/>
  <c r="C350"/>
  <c r="B350"/>
  <c r="S348"/>
  <c r="N348"/>
  <c r="K348"/>
  <c r="J348"/>
  <c r="I348"/>
  <c r="H348"/>
  <c r="F348"/>
  <c r="E348"/>
  <c r="D348"/>
  <c r="C348"/>
  <c r="B348"/>
  <c r="Q347"/>
  <c r="O347"/>
  <c r="M348" s="1"/>
  <c r="K346"/>
  <c r="J346"/>
  <c r="I346"/>
  <c r="H346"/>
  <c r="F346"/>
  <c r="E346"/>
  <c r="D346"/>
  <c r="C346"/>
  <c r="B346"/>
  <c r="S344"/>
  <c r="Q343" s="1"/>
  <c r="R343" s="1"/>
  <c r="N344"/>
  <c r="K344"/>
  <c r="J344"/>
  <c r="I344"/>
  <c r="H344"/>
  <c r="F344"/>
  <c r="E344"/>
  <c r="D344"/>
  <c r="C344"/>
  <c r="B344"/>
  <c r="O343"/>
  <c r="P343" s="1"/>
  <c r="K342"/>
  <c r="J342"/>
  <c r="I342"/>
  <c r="H342"/>
  <c r="F342"/>
  <c r="E342"/>
  <c r="D342"/>
  <c r="C342"/>
  <c r="B342"/>
  <c r="S340"/>
  <c r="N340"/>
  <c r="K340"/>
  <c r="J340"/>
  <c r="I340"/>
  <c r="H340"/>
  <c r="F340"/>
  <c r="E340"/>
  <c r="D340"/>
  <c r="C340"/>
  <c r="B340"/>
  <c r="Q339"/>
  <c r="O339"/>
  <c r="M340" s="1"/>
  <c r="K338"/>
  <c r="J338"/>
  <c r="I338"/>
  <c r="H338"/>
  <c r="F338"/>
  <c r="E338"/>
  <c r="D338"/>
  <c r="C338"/>
  <c r="B338"/>
  <c r="S336"/>
  <c r="N336"/>
  <c r="K336"/>
  <c r="J336"/>
  <c r="I336"/>
  <c r="H336"/>
  <c r="F336"/>
  <c r="E336"/>
  <c r="D336"/>
  <c r="C336"/>
  <c r="B336"/>
  <c r="Q335"/>
  <c r="R335" s="1"/>
  <c r="O335"/>
  <c r="P335" s="1"/>
  <c r="K334"/>
  <c r="J334"/>
  <c r="I334"/>
  <c r="H334"/>
  <c r="F334"/>
  <c r="E334"/>
  <c r="D334"/>
  <c r="C334"/>
  <c r="B334"/>
  <c r="S332"/>
  <c r="N332"/>
  <c r="K332"/>
  <c r="J332"/>
  <c r="I332"/>
  <c r="H332"/>
  <c r="F332"/>
  <c r="E332"/>
  <c r="D332"/>
  <c r="C332"/>
  <c r="B332"/>
  <c r="Q331"/>
  <c r="O331"/>
  <c r="M332" s="1"/>
  <c r="K330"/>
  <c r="J330"/>
  <c r="I330"/>
  <c r="H330"/>
  <c r="F330"/>
  <c r="E330"/>
  <c r="D330"/>
  <c r="C330"/>
  <c r="B330"/>
  <c r="S328"/>
  <c r="N328"/>
  <c r="K328"/>
  <c r="J328"/>
  <c r="I328"/>
  <c r="H328"/>
  <c r="F328"/>
  <c r="E328"/>
  <c r="D328"/>
  <c r="C328"/>
  <c r="B328"/>
  <c r="Q327"/>
  <c r="R327" s="1"/>
  <c r="O327"/>
  <c r="P327" s="1"/>
  <c r="K326"/>
  <c r="J326"/>
  <c r="I326"/>
  <c r="H326"/>
  <c r="F326"/>
  <c r="E326"/>
  <c r="D326"/>
  <c r="C326"/>
  <c r="B326"/>
  <c r="S324"/>
  <c r="N324"/>
  <c r="K324"/>
  <c r="J324"/>
  <c r="I324"/>
  <c r="H324"/>
  <c r="F324"/>
  <c r="E324"/>
  <c r="D324"/>
  <c r="C324"/>
  <c r="B324"/>
  <c r="Q323"/>
  <c r="O323"/>
  <c r="M324" s="1"/>
  <c r="K322"/>
  <c r="J322"/>
  <c r="I322"/>
  <c r="H322"/>
  <c r="F322"/>
  <c r="E322"/>
  <c r="D322"/>
  <c r="C322"/>
  <c r="B322"/>
  <c r="S320"/>
  <c r="Q319" s="1"/>
  <c r="R319" s="1"/>
  <c r="N320"/>
  <c r="K320"/>
  <c r="J320"/>
  <c r="I320"/>
  <c r="H320"/>
  <c r="F320"/>
  <c r="E320"/>
  <c r="D320"/>
  <c r="C320"/>
  <c r="B320"/>
  <c r="O319"/>
  <c r="P319" s="1"/>
  <c r="K318"/>
  <c r="J318"/>
  <c r="I318"/>
  <c r="H318"/>
  <c r="F318"/>
  <c r="E318"/>
  <c r="D318"/>
  <c r="C318"/>
  <c r="B318"/>
  <c r="S316"/>
  <c r="K316"/>
  <c r="J316"/>
  <c r="I316"/>
  <c r="H316"/>
  <c r="F316"/>
  <c r="E316"/>
  <c r="C316"/>
  <c r="B316"/>
  <c r="Q315"/>
  <c r="O315"/>
  <c r="M316" s="1"/>
  <c r="K314"/>
  <c r="J314"/>
  <c r="I314"/>
  <c r="H314"/>
  <c r="F314"/>
  <c r="E314"/>
  <c r="C314"/>
  <c r="B314"/>
  <c r="D313"/>
  <c r="D314" s="1"/>
  <c r="S312"/>
  <c r="K312"/>
  <c r="J312"/>
  <c r="I312"/>
  <c r="H312"/>
  <c r="F312"/>
  <c r="E312"/>
  <c r="D312"/>
  <c r="C312"/>
  <c r="Q311"/>
  <c r="O311"/>
  <c r="M312" s="1"/>
  <c r="K310"/>
  <c r="J310"/>
  <c r="I310"/>
  <c r="H310"/>
  <c r="F310"/>
  <c r="E310"/>
  <c r="D310"/>
  <c r="C310"/>
  <c r="C309"/>
  <c r="B309"/>
  <c r="B312" s="1"/>
  <c r="S308"/>
  <c r="O307" s="1"/>
  <c r="M308" s="1"/>
  <c r="K308"/>
  <c r="J308"/>
  <c r="I308"/>
  <c r="H308"/>
  <c r="F308"/>
  <c r="E308"/>
  <c r="D308"/>
  <c r="C308"/>
  <c r="Q307"/>
  <c r="K306"/>
  <c r="J306"/>
  <c r="I306"/>
  <c r="H306"/>
  <c r="F306"/>
  <c r="E306"/>
  <c r="D306"/>
  <c r="C306"/>
  <c r="C305"/>
  <c r="B305"/>
  <c r="B308" s="1"/>
  <c r="S304"/>
  <c r="O303" s="1"/>
  <c r="M304" s="1"/>
  <c r="K304"/>
  <c r="J304"/>
  <c r="I304"/>
  <c r="H304"/>
  <c r="F304"/>
  <c r="E304"/>
  <c r="D304"/>
  <c r="C304"/>
  <c r="B304"/>
  <c r="Q303"/>
  <c r="K302"/>
  <c r="J302"/>
  <c r="I302"/>
  <c r="H302"/>
  <c r="F302"/>
  <c r="E302"/>
  <c r="D302"/>
  <c r="C302"/>
  <c r="B302"/>
  <c r="S300"/>
  <c r="K300"/>
  <c r="J300"/>
  <c r="I300"/>
  <c r="H300"/>
  <c r="F300"/>
  <c r="E300"/>
  <c r="D300"/>
  <c r="C300"/>
  <c r="B300"/>
  <c r="Q299"/>
  <c r="O299"/>
  <c r="M300" s="1"/>
  <c r="K298"/>
  <c r="J298"/>
  <c r="I298"/>
  <c r="H298"/>
  <c r="F298"/>
  <c r="E298"/>
  <c r="D298"/>
  <c r="C298"/>
  <c r="B298"/>
  <c r="S296"/>
  <c r="K296"/>
  <c r="J296"/>
  <c r="I296"/>
  <c r="H296"/>
  <c r="F296"/>
  <c r="E296"/>
  <c r="D296"/>
  <c r="C296"/>
  <c r="B296"/>
  <c r="Q295"/>
  <c r="O295"/>
  <c r="M296" s="1"/>
  <c r="K294"/>
  <c r="J294"/>
  <c r="I294"/>
  <c r="H294"/>
  <c r="F294"/>
  <c r="E294"/>
  <c r="D294"/>
  <c r="C294"/>
  <c r="B294"/>
  <c r="S292"/>
  <c r="Q291" s="1"/>
  <c r="K292"/>
  <c r="J292"/>
  <c r="I292"/>
  <c r="H292"/>
  <c r="F292"/>
  <c r="E292"/>
  <c r="D292"/>
  <c r="C292"/>
  <c r="B292"/>
  <c r="O291"/>
  <c r="M292" s="1"/>
  <c r="K290"/>
  <c r="J290"/>
  <c r="I290"/>
  <c r="H290"/>
  <c r="F290"/>
  <c r="E290"/>
  <c r="D290"/>
  <c r="C290"/>
  <c r="B290"/>
  <c r="K288"/>
  <c r="J288"/>
  <c r="I288"/>
  <c r="H288"/>
  <c r="AC287"/>
  <c r="T287"/>
  <c r="Q287"/>
  <c r="K286"/>
  <c r="J286"/>
  <c r="I286"/>
  <c r="H286"/>
  <c r="F286"/>
  <c r="F285"/>
  <c r="F288" s="1"/>
  <c r="E285"/>
  <c r="E286" s="1"/>
  <c r="D285"/>
  <c r="D288" s="1"/>
  <c r="C285"/>
  <c r="C288" s="1"/>
  <c r="B285"/>
  <c r="B288" s="1"/>
  <c r="S284"/>
  <c r="O283" s="1"/>
  <c r="M284" s="1"/>
  <c r="K284"/>
  <c r="J284"/>
  <c r="I284"/>
  <c r="H284"/>
  <c r="F284"/>
  <c r="E284"/>
  <c r="D284"/>
  <c r="C284"/>
  <c r="B284"/>
  <c r="Y283"/>
  <c r="Q283"/>
  <c r="K282"/>
  <c r="J282"/>
  <c r="I282"/>
  <c r="H282"/>
  <c r="F282"/>
  <c r="E282"/>
  <c r="D282"/>
  <c r="C282"/>
  <c r="B282"/>
  <c r="S280"/>
  <c r="O279" s="1"/>
  <c r="M280" s="1"/>
  <c r="K280"/>
  <c r="J280"/>
  <c r="I280"/>
  <c r="H280"/>
  <c r="F280"/>
  <c r="E280"/>
  <c r="D280"/>
  <c r="C280"/>
  <c r="B280"/>
  <c r="Q279"/>
  <c r="K278"/>
  <c r="J278"/>
  <c r="I278"/>
  <c r="H278"/>
  <c r="F278"/>
  <c r="E278"/>
  <c r="D278"/>
  <c r="C278"/>
  <c r="B278"/>
  <c r="K276"/>
  <c r="J276"/>
  <c r="I276"/>
  <c r="H276"/>
  <c r="F276"/>
  <c r="E276"/>
  <c r="D276"/>
  <c r="C276"/>
  <c r="B276"/>
  <c r="X275"/>
  <c r="V275"/>
  <c r="U275"/>
  <c r="T275"/>
  <c r="Q275"/>
  <c r="K274"/>
  <c r="J274"/>
  <c r="I274"/>
  <c r="H274"/>
  <c r="F274"/>
  <c r="E274"/>
  <c r="D274"/>
  <c r="C274"/>
  <c r="B274"/>
  <c r="S272"/>
  <c r="Q271" s="1"/>
  <c r="K272"/>
  <c r="J272"/>
  <c r="I272"/>
  <c r="H272"/>
  <c r="F272"/>
  <c r="E272"/>
  <c r="D272"/>
  <c r="C272"/>
  <c r="B272"/>
  <c r="O271"/>
  <c r="M272" s="1"/>
  <c r="K270"/>
  <c r="J270"/>
  <c r="I270"/>
  <c r="H270"/>
  <c r="F270"/>
  <c r="E270"/>
  <c r="D270"/>
  <c r="C270"/>
  <c r="B270"/>
  <c r="K268"/>
  <c r="J268"/>
  <c r="I268"/>
  <c r="H268"/>
  <c r="F268"/>
  <c r="E268"/>
  <c r="D268"/>
  <c r="C268"/>
  <c r="B268"/>
  <c r="AB267"/>
  <c r="Z267"/>
  <c r="X267"/>
  <c r="W267"/>
  <c r="T267"/>
  <c r="O267"/>
  <c r="M268" s="1"/>
  <c r="K266"/>
  <c r="J266"/>
  <c r="I266"/>
  <c r="H266"/>
  <c r="F266"/>
  <c r="E266"/>
  <c r="D266"/>
  <c r="C266"/>
  <c r="B266"/>
  <c r="S264"/>
  <c r="K264"/>
  <c r="J264"/>
  <c r="I264"/>
  <c r="H264"/>
  <c r="F264"/>
  <c r="E264"/>
  <c r="D264"/>
  <c r="C264"/>
  <c r="B264"/>
  <c r="Q263"/>
  <c r="O263"/>
  <c r="M264" s="1"/>
  <c r="K262"/>
  <c r="J262"/>
  <c r="I262"/>
  <c r="H262"/>
  <c r="F262"/>
  <c r="E262"/>
  <c r="D262"/>
  <c r="C262"/>
  <c r="B262"/>
  <c r="S260"/>
  <c r="K260"/>
  <c r="J260"/>
  <c r="I260"/>
  <c r="H260"/>
  <c r="Q259"/>
  <c r="O259"/>
  <c r="M260" s="1"/>
  <c r="K258"/>
  <c r="J258"/>
  <c r="I258"/>
  <c r="H258"/>
  <c r="F257"/>
  <c r="F258" s="1"/>
  <c r="E257"/>
  <c r="E260" s="1"/>
  <c r="D257"/>
  <c r="D258" s="1"/>
  <c r="C257"/>
  <c r="C260" s="1"/>
  <c r="B257"/>
  <c r="B258" s="1"/>
  <c r="S256"/>
  <c r="O255" s="1"/>
  <c r="M256" s="1"/>
  <c r="I256"/>
  <c r="C256"/>
  <c r="Q255"/>
  <c r="I254"/>
  <c r="S252"/>
  <c r="O251" s="1"/>
  <c r="M252" s="1"/>
  <c r="I252"/>
  <c r="C252"/>
  <c r="Q251"/>
  <c r="K251"/>
  <c r="K252" s="1"/>
  <c r="J251"/>
  <c r="J252" s="1"/>
  <c r="H251"/>
  <c r="H256" s="1"/>
  <c r="G251"/>
  <c r="F251"/>
  <c r="F252" s="1"/>
  <c r="E251"/>
  <c r="E254" s="1"/>
  <c r="D251"/>
  <c r="D256" s="1"/>
  <c r="C251"/>
  <c r="C254" s="1"/>
  <c r="B251"/>
  <c r="B252" s="1"/>
  <c r="K250"/>
  <c r="J250"/>
  <c r="I250"/>
  <c r="H250"/>
  <c r="F250"/>
  <c r="E250"/>
  <c r="C250"/>
  <c r="B250"/>
  <c r="G249"/>
  <c r="D249"/>
  <c r="D250" s="1"/>
  <c r="S248"/>
  <c r="K248"/>
  <c r="J248"/>
  <c r="I248"/>
  <c r="H248"/>
  <c r="F248"/>
  <c r="E248"/>
  <c r="D248"/>
  <c r="C248"/>
  <c r="B248"/>
  <c r="Q247"/>
  <c r="O247"/>
  <c r="M248" s="1"/>
  <c r="K246"/>
  <c r="J246"/>
  <c r="I246"/>
  <c r="H246"/>
  <c r="F246"/>
  <c r="E246"/>
  <c r="D246"/>
  <c r="C246"/>
  <c r="B246"/>
  <c r="S244"/>
  <c r="K244"/>
  <c r="J244"/>
  <c r="I244"/>
  <c r="H244"/>
  <c r="F244"/>
  <c r="D244"/>
  <c r="Q243"/>
  <c r="O243"/>
  <c r="M244" s="1"/>
  <c r="K242"/>
  <c r="J242"/>
  <c r="I242"/>
  <c r="H242"/>
  <c r="F242"/>
  <c r="E241"/>
  <c r="E244" s="1"/>
  <c r="D241"/>
  <c r="D242" s="1"/>
  <c r="C241"/>
  <c r="C242" s="1"/>
  <c r="B241"/>
  <c r="B242" s="1"/>
  <c r="S240"/>
  <c r="K240"/>
  <c r="J240"/>
  <c r="I240"/>
  <c r="H240"/>
  <c r="F240"/>
  <c r="E240"/>
  <c r="Q239"/>
  <c r="O239"/>
  <c r="M240" s="1"/>
  <c r="K238"/>
  <c r="J238"/>
  <c r="I238"/>
  <c r="H238"/>
  <c r="F238"/>
  <c r="E238"/>
  <c r="C238"/>
  <c r="D237"/>
  <c r="D238" s="1"/>
  <c r="C237"/>
  <c r="C240" s="1"/>
  <c r="B237"/>
  <c r="B238" s="1"/>
  <c r="S236"/>
  <c r="O235" s="1"/>
  <c r="M236" s="1"/>
  <c r="K236"/>
  <c r="J236"/>
  <c r="I236"/>
  <c r="H236"/>
  <c r="F236"/>
  <c r="E236"/>
  <c r="D236"/>
  <c r="C236"/>
  <c r="B236"/>
  <c r="Q235"/>
  <c r="K234"/>
  <c r="J234"/>
  <c r="I234"/>
  <c r="H234"/>
  <c r="F234"/>
  <c r="E234"/>
  <c r="D234"/>
  <c r="C234"/>
  <c r="B234"/>
  <c r="S232"/>
  <c r="K232"/>
  <c r="J232"/>
  <c r="I232"/>
  <c r="H232"/>
  <c r="F232"/>
  <c r="E232"/>
  <c r="D232"/>
  <c r="C232"/>
  <c r="B232"/>
  <c r="Q231"/>
  <c r="O231"/>
  <c r="M232" s="1"/>
  <c r="K230"/>
  <c r="J230"/>
  <c r="I230"/>
  <c r="H230"/>
  <c r="F230"/>
  <c r="E230"/>
  <c r="D230"/>
  <c r="C230"/>
  <c r="B230"/>
  <c r="S228"/>
  <c r="K228"/>
  <c r="J228"/>
  <c r="I228"/>
  <c r="H228"/>
  <c r="F228"/>
  <c r="E228"/>
  <c r="D228"/>
  <c r="B228"/>
  <c r="Q227"/>
  <c r="O227"/>
  <c r="M228" s="1"/>
  <c r="K226"/>
  <c r="J226"/>
  <c r="I226"/>
  <c r="H226"/>
  <c r="F226"/>
  <c r="E226"/>
  <c r="D226"/>
  <c r="B226"/>
  <c r="C225"/>
  <c r="C228" s="1"/>
  <c r="S224"/>
  <c r="Q223" s="1"/>
  <c r="K224"/>
  <c r="J224"/>
  <c r="I224"/>
  <c r="H224"/>
  <c r="F224"/>
  <c r="E224"/>
  <c r="D224"/>
  <c r="C224"/>
  <c r="B224"/>
  <c r="O223"/>
  <c r="M224" s="1"/>
  <c r="K222"/>
  <c r="J222"/>
  <c r="I222"/>
  <c r="H222"/>
  <c r="F222"/>
  <c r="E222"/>
  <c r="D222"/>
  <c r="C222"/>
  <c r="B222"/>
  <c r="S220"/>
  <c r="K220"/>
  <c r="J220"/>
  <c r="I220"/>
  <c r="H220"/>
  <c r="Q219"/>
  <c r="O219"/>
  <c r="M220" s="1"/>
  <c r="K218"/>
  <c r="J218"/>
  <c r="I218"/>
  <c r="H218"/>
  <c r="E218"/>
  <c r="F217"/>
  <c r="F218" s="1"/>
  <c r="E217"/>
  <c r="E220" s="1"/>
  <c r="D217"/>
  <c r="D218" s="1"/>
  <c r="C217"/>
  <c r="C220" s="1"/>
  <c r="B217"/>
  <c r="B218" s="1"/>
  <c r="S216"/>
  <c r="O215" s="1"/>
  <c r="M216" s="1"/>
  <c r="K216"/>
  <c r="J216"/>
  <c r="I216"/>
  <c r="H216"/>
  <c r="F216"/>
  <c r="E216"/>
  <c r="D216"/>
  <c r="C216"/>
  <c r="B216"/>
  <c r="Q215"/>
  <c r="K214"/>
  <c r="J214"/>
  <c r="I214"/>
  <c r="H214"/>
  <c r="F214"/>
  <c r="E214"/>
  <c r="D214"/>
  <c r="C214"/>
  <c r="B214"/>
  <c r="S212"/>
  <c r="O211" s="1"/>
  <c r="M212" s="1"/>
  <c r="K212"/>
  <c r="J212"/>
  <c r="I212"/>
  <c r="H212"/>
  <c r="F212"/>
  <c r="E212"/>
  <c r="D212"/>
  <c r="C212"/>
  <c r="B212"/>
  <c r="Q211"/>
  <c r="K210"/>
  <c r="J210"/>
  <c r="I210"/>
  <c r="H210"/>
  <c r="F210"/>
  <c r="E210"/>
  <c r="D210"/>
  <c r="C210"/>
  <c r="B210"/>
  <c r="S208"/>
  <c r="K208"/>
  <c r="J208"/>
  <c r="I208"/>
  <c r="H208"/>
  <c r="F208"/>
  <c r="E208"/>
  <c r="D208"/>
  <c r="C208"/>
  <c r="B208"/>
  <c r="Q207"/>
  <c r="O207"/>
  <c r="M208" s="1"/>
  <c r="K206"/>
  <c r="J206"/>
  <c r="I206"/>
  <c r="H206"/>
  <c r="F206"/>
  <c r="E206"/>
  <c r="D206"/>
  <c r="C206"/>
  <c r="B206"/>
  <c r="K204"/>
  <c r="J204"/>
  <c r="I204"/>
  <c r="H204"/>
  <c r="F204"/>
  <c r="E204"/>
  <c r="D204"/>
  <c r="C204"/>
  <c r="B204"/>
  <c r="Z203"/>
  <c r="S204" s="1"/>
  <c r="O203" s="1"/>
  <c r="M204" s="1"/>
  <c r="Q203"/>
  <c r="K202"/>
  <c r="J202"/>
  <c r="I202"/>
  <c r="H202"/>
  <c r="F202"/>
  <c r="E202"/>
  <c r="D202"/>
  <c r="C202"/>
  <c r="B202"/>
  <c r="S200"/>
  <c r="K200"/>
  <c r="J200"/>
  <c r="I200"/>
  <c r="H200"/>
  <c r="F200"/>
  <c r="E200"/>
  <c r="D200"/>
  <c r="C200"/>
  <c r="B200"/>
  <c r="Q199"/>
  <c r="O199"/>
  <c r="M200" s="1"/>
  <c r="K198"/>
  <c r="J198"/>
  <c r="I198"/>
  <c r="H198"/>
  <c r="F198"/>
  <c r="E198"/>
  <c r="D198"/>
  <c r="C198"/>
  <c r="B198"/>
  <c r="S196"/>
  <c r="Q195" s="1"/>
  <c r="K196"/>
  <c r="J196"/>
  <c r="I196"/>
  <c r="H196"/>
  <c r="F196"/>
  <c r="E196"/>
  <c r="D196"/>
  <c r="C196"/>
  <c r="B196"/>
  <c r="O195"/>
  <c r="M196" s="1"/>
  <c r="K194"/>
  <c r="J194"/>
  <c r="I194"/>
  <c r="H194"/>
  <c r="F194"/>
  <c r="E194"/>
  <c r="D194"/>
  <c r="C194"/>
  <c r="B194"/>
  <c r="S192"/>
  <c r="O191" s="1"/>
  <c r="M192" s="1"/>
  <c r="K192"/>
  <c r="J192"/>
  <c r="I192"/>
  <c r="H192"/>
  <c r="F192"/>
  <c r="E192"/>
  <c r="D192"/>
  <c r="C192"/>
  <c r="B192"/>
  <c r="Q191"/>
  <c r="K190"/>
  <c r="J190"/>
  <c r="I190"/>
  <c r="H190"/>
  <c r="F190"/>
  <c r="E190"/>
  <c r="D190"/>
  <c r="C190"/>
  <c r="B190"/>
  <c r="S188"/>
  <c r="K188"/>
  <c r="J188"/>
  <c r="I188"/>
  <c r="H188"/>
  <c r="F188"/>
  <c r="E188"/>
  <c r="D188"/>
  <c r="C188"/>
  <c r="B188"/>
  <c r="Q187"/>
  <c r="O187"/>
  <c r="M188" s="1"/>
  <c r="K186"/>
  <c r="J186"/>
  <c r="I186"/>
  <c r="H186"/>
  <c r="F186"/>
  <c r="E186"/>
  <c r="D186"/>
  <c r="C186"/>
  <c r="B186"/>
  <c r="S184"/>
  <c r="K184"/>
  <c r="J184"/>
  <c r="I184"/>
  <c r="H184"/>
  <c r="F184"/>
  <c r="E184"/>
  <c r="B184"/>
  <c r="Q183"/>
  <c r="O183"/>
  <c r="M184" s="1"/>
  <c r="K182"/>
  <c r="J182"/>
  <c r="I182"/>
  <c r="H182"/>
  <c r="F182"/>
  <c r="E182"/>
  <c r="C182"/>
  <c r="B182"/>
  <c r="D181"/>
  <c r="D182" s="1"/>
  <c r="C181"/>
  <c r="C184" s="1"/>
  <c r="S180"/>
  <c r="K180"/>
  <c r="J180"/>
  <c r="H180"/>
  <c r="E180"/>
  <c r="B180"/>
  <c r="Q179"/>
  <c r="O179"/>
  <c r="M180" s="1"/>
  <c r="K178"/>
  <c r="J178"/>
  <c r="H178"/>
  <c r="E178"/>
  <c r="B178"/>
  <c r="I177"/>
  <c r="I180" s="1"/>
  <c r="F177"/>
  <c r="F178" s="1"/>
  <c r="D177"/>
  <c r="C177"/>
  <c r="C180" s="1"/>
  <c r="S176"/>
  <c r="J176"/>
  <c r="I176"/>
  <c r="H176"/>
  <c r="B176"/>
  <c r="Q175"/>
  <c r="O175"/>
  <c r="M176" s="1"/>
  <c r="J174"/>
  <c r="I174"/>
  <c r="H174"/>
  <c r="K173"/>
  <c r="K176" s="1"/>
  <c r="F173"/>
  <c r="F174" s="1"/>
  <c r="E173"/>
  <c r="E176" s="1"/>
  <c r="D173"/>
  <c r="D174" s="1"/>
  <c r="C173"/>
  <c r="C176" s="1"/>
  <c r="B173"/>
  <c r="B174" s="1"/>
  <c r="U171"/>
  <c r="S172" s="1"/>
  <c r="Q171" s="1"/>
  <c r="O171"/>
  <c r="M172" s="1"/>
  <c r="H170"/>
  <c r="F170"/>
  <c r="K169"/>
  <c r="K172" s="1"/>
  <c r="J169"/>
  <c r="J170" s="1"/>
  <c r="I169"/>
  <c r="I170" s="1"/>
  <c r="H169"/>
  <c r="H172" s="1"/>
  <c r="F169"/>
  <c r="F172" s="1"/>
  <c r="E169"/>
  <c r="D169"/>
  <c r="D172" s="1"/>
  <c r="C169"/>
  <c r="B169"/>
  <c r="B172" s="1"/>
  <c r="S168"/>
  <c r="O167" s="1"/>
  <c r="M168" s="1"/>
  <c r="K168"/>
  <c r="J168"/>
  <c r="I168"/>
  <c r="H168"/>
  <c r="F168"/>
  <c r="E168"/>
  <c r="D168"/>
  <c r="Q167"/>
  <c r="K166"/>
  <c r="J166"/>
  <c r="I166"/>
  <c r="F166"/>
  <c r="E166"/>
  <c r="C166"/>
  <c r="H165"/>
  <c r="H166" s="1"/>
  <c r="D165"/>
  <c r="D166" s="1"/>
  <c r="C165"/>
  <c r="C168" s="1"/>
  <c r="B165"/>
  <c r="B166" s="1"/>
  <c r="S164"/>
  <c r="O163" s="1"/>
  <c r="M164" s="1"/>
  <c r="K164"/>
  <c r="J164"/>
  <c r="H164"/>
  <c r="T163"/>
  <c r="Q163"/>
  <c r="AH162"/>
  <c r="K162"/>
  <c r="J162"/>
  <c r="C162"/>
  <c r="I161"/>
  <c r="I164" s="1"/>
  <c r="H161"/>
  <c r="H162" s="1"/>
  <c r="F161"/>
  <c r="F162" s="1"/>
  <c r="E161"/>
  <c r="E164" s="1"/>
  <c r="D161"/>
  <c r="D162" s="1"/>
  <c r="C161"/>
  <c r="C164" s="1"/>
  <c r="B161"/>
  <c r="B162" s="1"/>
  <c r="S160"/>
  <c r="O159" s="1"/>
  <c r="M160" s="1"/>
  <c r="K160"/>
  <c r="J160"/>
  <c r="I160"/>
  <c r="H160"/>
  <c r="F160"/>
  <c r="E160"/>
  <c r="D160"/>
  <c r="C160"/>
  <c r="B160"/>
  <c r="Q159"/>
  <c r="K158"/>
  <c r="J158"/>
  <c r="I158"/>
  <c r="H158"/>
  <c r="F158"/>
  <c r="E158"/>
  <c r="D158"/>
  <c r="C158"/>
  <c r="B158"/>
  <c r="G157"/>
  <c r="S156"/>
  <c r="K156"/>
  <c r="J156"/>
  <c r="I156"/>
  <c r="H156"/>
  <c r="F156"/>
  <c r="E156"/>
  <c r="D156"/>
  <c r="C156"/>
  <c r="B156"/>
  <c r="Q155"/>
  <c r="O155"/>
  <c r="M156" s="1"/>
  <c r="K154"/>
  <c r="J154"/>
  <c r="I154"/>
  <c r="H154"/>
  <c r="F154"/>
  <c r="E154"/>
  <c r="D154"/>
  <c r="C154"/>
  <c r="B154"/>
  <c r="S152"/>
  <c r="Q151" s="1"/>
  <c r="K152"/>
  <c r="J152"/>
  <c r="I152"/>
  <c r="H152"/>
  <c r="F152"/>
  <c r="E152"/>
  <c r="D152"/>
  <c r="C152"/>
  <c r="B152"/>
  <c r="O151"/>
  <c r="M152" s="1"/>
  <c r="K150"/>
  <c r="J150"/>
  <c r="I150"/>
  <c r="H150"/>
  <c r="F150"/>
  <c r="E150"/>
  <c r="D150"/>
  <c r="C150"/>
  <c r="B150"/>
  <c r="S148"/>
  <c r="Q147" s="1"/>
  <c r="K148"/>
  <c r="J148"/>
  <c r="I148"/>
  <c r="H148"/>
  <c r="F148"/>
  <c r="E148"/>
  <c r="D148"/>
  <c r="C148"/>
  <c r="B148"/>
  <c r="O147"/>
  <c r="M148" s="1"/>
  <c r="K146"/>
  <c r="J146"/>
  <c r="I146"/>
  <c r="H146"/>
  <c r="F146"/>
  <c r="E146"/>
  <c r="D146"/>
  <c r="C146"/>
  <c r="B146"/>
  <c r="S144"/>
  <c r="K144"/>
  <c r="J144"/>
  <c r="I144"/>
  <c r="H144"/>
  <c r="F144"/>
  <c r="E144"/>
  <c r="D144"/>
  <c r="C144"/>
  <c r="B144"/>
  <c r="Q143"/>
  <c r="O143"/>
  <c r="M144" s="1"/>
  <c r="K142"/>
  <c r="J142"/>
  <c r="I142"/>
  <c r="H142"/>
  <c r="F142"/>
  <c r="E142"/>
  <c r="D142"/>
  <c r="C142"/>
  <c r="B142"/>
  <c r="S140"/>
  <c r="K140"/>
  <c r="J140"/>
  <c r="I140"/>
  <c r="H140"/>
  <c r="F140"/>
  <c r="E140"/>
  <c r="D140"/>
  <c r="C140"/>
  <c r="B140"/>
  <c r="Q139"/>
  <c r="O139"/>
  <c r="M140" s="1"/>
  <c r="K138"/>
  <c r="J138"/>
  <c r="I138"/>
  <c r="H138"/>
  <c r="F138"/>
  <c r="E138"/>
  <c r="D138"/>
  <c r="C138"/>
  <c r="B138"/>
  <c r="S136"/>
  <c r="O135" s="1"/>
  <c r="M136" s="1"/>
  <c r="K136"/>
  <c r="J136"/>
  <c r="I136"/>
  <c r="H136"/>
  <c r="F136"/>
  <c r="E136"/>
  <c r="D136"/>
  <c r="C136"/>
  <c r="B136"/>
  <c r="Q135"/>
  <c r="K134"/>
  <c r="J134"/>
  <c r="I134"/>
  <c r="H134"/>
  <c r="F134"/>
  <c r="E134"/>
  <c r="D134"/>
  <c r="C134"/>
  <c r="B134"/>
  <c r="S132"/>
  <c r="O131" s="1"/>
  <c r="M132" s="1"/>
  <c r="K132"/>
  <c r="J132"/>
  <c r="I132"/>
  <c r="H132"/>
  <c r="F132"/>
  <c r="E132"/>
  <c r="D132"/>
  <c r="C132"/>
  <c r="B132"/>
  <c r="Q131"/>
  <c r="K130"/>
  <c r="J130"/>
  <c r="I130"/>
  <c r="H130"/>
  <c r="F130"/>
  <c r="E130"/>
  <c r="D130"/>
  <c r="C130"/>
  <c r="B130"/>
  <c r="S128"/>
  <c r="K128"/>
  <c r="J128"/>
  <c r="I128"/>
  <c r="H128"/>
  <c r="F128"/>
  <c r="E128"/>
  <c r="D128"/>
  <c r="C128"/>
  <c r="B128"/>
  <c r="Q127"/>
  <c r="O127"/>
  <c r="M128" s="1"/>
  <c r="K126"/>
  <c r="J126"/>
  <c r="I126"/>
  <c r="H126"/>
  <c r="F126"/>
  <c r="E126"/>
  <c r="D126"/>
  <c r="C126"/>
  <c r="B126"/>
  <c r="S124"/>
  <c r="K124"/>
  <c r="J124"/>
  <c r="I124"/>
  <c r="H124"/>
  <c r="F124"/>
  <c r="E124"/>
  <c r="D124"/>
  <c r="C124"/>
  <c r="B124"/>
  <c r="Q123"/>
  <c r="O123"/>
  <c r="M124" s="1"/>
  <c r="K122"/>
  <c r="J122"/>
  <c r="I122"/>
  <c r="H122"/>
  <c r="F122"/>
  <c r="E122"/>
  <c r="D122"/>
  <c r="C122"/>
  <c r="B122"/>
  <c r="S120"/>
  <c r="O119" s="1"/>
  <c r="M120" s="1"/>
  <c r="K120"/>
  <c r="J120"/>
  <c r="I120"/>
  <c r="H120"/>
  <c r="F120"/>
  <c r="E120"/>
  <c r="D120"/>
  <c r="C120"/>
  <c r="B120"/>
  <c r="Q119"/>
  <c r="K118"/>
  <c r="J118"/>
  <c r="I118"/>
  <c r="H118"/>
  <c r="F118"/>
  <c r="E118"/>
  <c r="D118"/>
  <c r="C118"/>
  <c r="B118"/>
  <c r="S116"/>
  <c r="O115" s="1"/>
  <c r="M116" s="1"/>
  <c r="K116"/>
  <c r="J116"/>
  <c r="I116"/>
  <c r="H116"/>
  <c r="F116"/>
  <c r="E116"/>
  <c r="D116"/>
  <c r="C116"/>
  <c r="B116"/>
  <c r="Q115"/>
  <c r="K114"/>
  <c r="J114"/>
  <c r="I114"/>
  <c r="H114"/>
  <c r="F114"/>
  <c r="E114"/>
  <c r="D114"/>
  <c r="C114"/>
  <c r="B114"/>
  <c r="K112"/>
  <c r="J112"/>
  <c r="I112"/>
  <c r="H112"/>
  <c r="E112"/>
  <c r="D112"/>
  <c r="C112"/>
  <c r="B112"/>
  <c r="AA111"/>
  <c r="S112" s="1"/>
  <c r="O111" s="1"/>
  <c r="M112" s="1"/>
  <c r="Q111"/>
  <c r="K110"/>
  <c r="J110"/>
  <c r="I110"/>
  <c r="H110"/>
  <c r="F110"/>
  <c r="E110"/>
  <c r="D110"/>
  <c r="C110"/>
  <c r="B110"/>
  <c r="F109"/>
  <c r="F112" s="1"/>
  <c r="S108"/>
  <c r="K108"/>
  <c r="J108"/>
  <c r="I108"/>
  <c r="H108"/>
  <c r="F108"/>
  <c r="B108"/>
  <c r="Q107"/>
  <c r="O107"/>
  <c r="M108" s="1"/>
  <c r="K106"/>
  <c r="J106"/>
  <c r="I106"/>
  <c r="H106"/>
  <c r="B106"/>
  <c r="F105"/>
  <c r="F106" s="1"/>
  <c r="E105"/>
  <c r="E108" s="1"/>
  <c r="D105"/>
  <c r="D106" s="1"/>
  <c r="C105"/>
  <c r="C108" s="1"/>
  <c r="S104"/>
  <c r="Q103" s="1"/>
  <c r="K104"/>
  <c r="J104"/>
  <c r="I104"/>
  <c r="H104"/>
  <c r="F104"/>
  <c r="E104"/>
  <c r="D104"/>
  <c r="C104"/>
  <c r="B104"/>
  <c r="O103"/>
  <c r="M104" s="1"/>
  <c r="K102"/>
  <c r="J102"/>
  <c r="I102"/>
  <c r="H102"/>
  <c r="F102"/>
  <c r="E102"/>
  <c r="D102"/>
  <c r="C102"/>
  <c r="B102"/>
  <c r="S100"/>
  <c r="Q99" s="1"/>
  <c r="K100"/>
  <c r="J100"/>
  <c r="I100"/>
  <c r="H100"/>
  <c r="F100"/>
  <c r="E100"/>
  <c r="D100"/>
  <c r="C100"/>
  <c r="B100"/>
  <c r="O99"/>
  <c r="M100" s="1"/>
  <c r="K98"/>
  <c r="J98"/>
  <c r="I98"/>
  <c r="H98"/>
  <c r="F98"/>
  <c r="E98"/>
  <c r="D98"/>
  <c r="C98"/>
  <c r="B98"/>
  <c r="S96"/>
  <c r="O95" s="1"/>
  <c r="M96" s="1"/>
  <c r="K96"/>
  <c r="J96"/>
  <c r="I96"/>
  <c r="H96"/>
  <c r="F96"/>
  <c r="E96"/>
  <c r="D96"/>
  <c r="C96"/>
  <c r="B96"/>
  <c r="Q95"/>
  <c r="K94"/>
  <c r="J94"/>
  <c r="I94"/>
  <c r="H94"/>
  <c r="E94"/>
  <c r="D94"/>
  <c r="C94"/>
  <c r="B94"/>
  <c r="F93"/>
  <c r="F94" s="1"/>
  <c r="S92"/>
  <c r="O91" s="1"/>
  <c r="M92" s="1"/>
  <c r="K92"/>
  <c r="J92"/>
  <c r="I92"/>
  <c r="H92"/>
  <c r="F92"/>
  <c r="E92"/>
  <c r="C92"/>
  <c r="B92"/>
  <c r="Q91"/>
  <c r="K90"/>
  <c r="J90"/>
  <c r="I90"/>
  <c r="H90"/>
  <c r="F90"/>
  <c r="E90"/>
  <c r="C90"/>
  <c r="B90"/>
  <c r="D89"/>
  <c r="D92" s="1"/>
  <c r="S88"/>
  <c r="K88"/>
  <c r="J88"/>
  <c r="I88"/>
  <c r="H88"/>
  <c r="F88"/>
  <c r="E88"/>
  <c r="D88"/>
  <c r="C88"/>
  <c r="B88"/>
  <c r="Q87"/>
  <c r="O87"/>
  <c r="M88" s="1"/>
  <c r="K86"/>
  <c r="J86"/>
  <c r="I86"/>
  <c r="H86"/>
  <c r="F86"/>
  <c r="E86"/>
  <c r="D86"/>
  <c r="C86"/>
  <c r="B86"/>
  <c r="S84"/>
  <c r="K84"/>
  <c r="J84"/>
  <c r="I84"/>
  <c r="H84"/>
  <c r="F84"/>
  <c r="E84"/>
  <c r="D84"/>
  <c r="C84"/>
  <c r="B84"/>
  <c r="Q83"/>
  <c r="O83"/>
  <c r="M84" s="1"/>
  <c r="K82"/>
  <c r="J82"/>
  <c r="I82"/>
  <c r="H82"/>
  <c r="F82"/>
  <c r="E82"/>
  <c r="D82"/>
  <c r="C82"/>
  <c r="B82"/>
  <c r="S80"/>
  <c r="K80"/>
  <c r="J80"/>
  <c r="I80"/>
  <c r="H80"/>
  <c r="E80"/>
  <c r="D80"/>
  <c r="C80"/>
  <c r="Q79"/>
  <c r="O79"/>
  <c r="M80" s="1"/>
  <c r="K78"/>
  <c r="J78"/>
  <c r="I78"/>
  <c r="H78"/>
  <c r="C78"/>
  <c r="F77"/>
  <c r="F78" s="1"/>
  <c r="E77"/>
  <c r="E78" s="1"/>
  <c r="D77"/>
  <c r="D78" s="1"/>
  <c r="B77"/>
  <c r="B78" s="1"/>
  <c r="S76"/>
  <c r="Q75" s="1"/>
  <c r="K76"/>
  <c r="J76"/>
  <c r="I76"/>
  <c r="H76"/>
  <c r="F76"/>
  <c r="E76"/>
  <c r="C76"/>
  <c r="B76"/>
  <c r="O75"/>
  <c r="M76" s="1"/>
  <c r="K74"/>
  <c r="J74"/>
  <c r="I74"/>
  <c r="H74"/>
  <c r="F74"/>
  <c r="E74"/>
  <c r="C74"/>
  <c r="B74"/>
  <c r="D73"/>
  <c r="D74" s="1"/>
  <c r="S72"/>
  <c r="K72"/>
  <c r="J72"/>
  <c r="I72"/>
  <c r="H72"/>
  <c r="F72"/>
  <c r="E72"/>
  <c r="D72"/>
  <c r="C72"/>
  <c r="B72"/>
  <c r="Q71"/>
  <c r="O71"/>
  <c r="M72" s="1"/>
  <c r="K70"/>
  <c r="J70"/>
  <c r="I70"/>
  <c r="H70"/>
  <c r="F70"/>
  <c r="E70"/>
  <c r="D70"/>
  <c r="C70"/>
  <c r="B70"/>
  <c r="S68"/>
  <c r="K68"/>
  <c r="J68"/>
  <c r="I68"/>
  <c r="H68"/>
  <c r="F68"/>
  <c r="E68"/>
  <c r="D68"/>
  <c r="C68"/>
  <c r="B68"/>
  <c r="Q67"/>
  <c r="O67"/>
  <c r="M68" s="1"/>
  <c r="K66"/>
  <c r="J66"/>
  <c r="I66"/>
  <c r="H66"/>
  <c r="F66"/>
  <c r="E66"/>
  <c r="D66"/>
  <c r="C66"/>
  <c r="B66"/>
  <c r="S64"/>
  <c r="O63" s="1"/>
  <c r="M64" s="1"/>
  <c r="K64"/>
  <c r="J64"/>
  <c r="I64"/>
  <c r="H64"/>
  <c r="F64"/>
  <c r="E64"/>
  <c r="C64"/>
  <c r="B64"/>
  <c r="Q63"/>
  <c r="K62"/>
  <c r="J62"/>
  <c r="I62"/>
  <c r="H62"/>
  <c r="F62"/>
  <c r="E62"/>
  <c r="C62"/>
  <c r="B62"/>
  <c r="D61"/>
  <c r="D62" s="1"/>
  <c r="S60"/>
  <c r="O59" s="1"/>
  <c r="M60" s="1"/>
  <c r="K60"/>
  <c r="J60"/>
  <c r="I60"/>
  <c r="H60"/>
  <c r="F60"/>
  <c r="E60"/>
  <c r="D60"/>
  <c r="C60"/>
  <c r="B60"/>
  <c r="Q59"/>
  <c r="K58"/>
  <c r="J58"/>
  <c r="I58"/>
  <c r="H58"/>
  <c r="F58"/>
  <c r="E58"/>
  <c r="D58"/>
  <c r="C58"/>
  <c r="B58"/>
  <c r="S56"/>
  <c r="Q55" s="1"/>
  <c r="K56"/>
  <c r="J56"/>
  <c r="I56"/>
  <c r="H56"/>
  <c r="F56"/>
  <c r="D56"/>
  <c r="C56"/>
  <c r="B56"/>
  <c r="O55"/>
  <c r="M56" s="1"/>
  <c r="K54"/>
  <c r="J54"/>
  <c r="I54"/>
  <c r="H54"/>
  <c r="F54"/>
  <c r="D54"/>
  <c r="C54"/>
  <c r="B54"/>
  <c r="S52"/>
  <c r="K52"/>
  <c r="J52"/>
  <c r="I52"/>
  <c r="H52"/>
  <c r="F52"/>
  <c r="D52"/>
  <c r="C52"/>
  <c r="B52"/>
  <c r="Q51"/>
  <c r="O51"/>
  <c r="M52" s="1"/>
  <c r="E51"/>
  <c r="E54" s="1"/>
  <c r="K50"/>
  <c r="J50"/>
  <c r="I50"/>
  <c r="H50"/>
  <c r="F50"/>
  <c r="E50"/>
  <c r="D50"/>
  <c r="C50"/>
  <c r="B50"/>
  <c r="S48"/>
  <c r="O47" s="1"/>
  <c r="M48" s="1"/>
  <c r="K48"/>
  <c r="J48"/>
  <c r="I48"/>
  <c r="H48"/>
  <c r="F48"/>
  <c r="D48"/>
  <c r="C48"/>
  <c r="B48"/>
  <c r="Q47"/>
  <c r="E47"/>
  <c r="K46"/>
  <c r="J46"/>
  <c r="I46"/>
  <c r="H46"/>
  <c r="F46"/>
  <c r="D46"/>
  <c r="C46"/>
  <c r="B46"/>
  <c r="S44"/>
  <c r="O43" s="1"/>
  <c r="M44" s="1"/>
  <c r="K44"/>
  <c r="J44"/>
  <c r="I44"/>
  <c r="H44"/>
  <c r="F44"/>
  <c r="D44"/>
  <c r="C44"/>
  <c r="B44"/>
  <c r="Q43"/>
  <c r="E43"/>
  <c r="K42"/>
  <c r="J42"/>
  <c r="I42"/>
  <c r="H42"/>
  <c r="F42"/>
  <c r="D42"/>
  <c r="C42"/>
  <c r="B42"/>
  <c r="S40"/>
  <c r="K40"/>
  <c r="J40"/>
  <c r="I40"/>
  <c r="H40"/>
  <c r="F40"/>
  <c r="D40"/>
  <c r="C40"/>
  <c r="B40"/>
  <c r="Q39"/>
  <c r="O39"/>
  <c r="M40" s="1"/>
  <c r="E39"/>
  <c r="E42" s="1"/>
  <c r="K38"/>
  <c r="J38"/>
  <c r="I38"/>
  <c r="H38"/>
  <c r="F38"/>
  <c r="D38"/>
  <c r="C38"/>
  <c r="B38"/>
  <c r="S36"/>
  <c r="K36"/>
  <c r="J36"/>
  <c r="I36"/>
  <c r="H36"/>
  <c r="F36"/>
  <c r="D36"/>
  <c r="C36"/>
  <c r="B36"/>
  <c r="Q35"/>
  <c r="O35"/>
  <c r="M36" s="1"/>
  <c r="E35"/>
  <c r="E38" s="1"/>
  <c r="K34"/>
  <c r="J34"/>
  <c r="I34"/>
  <c r="H34"/>
  <c r="F34"/>
  <c r="D34"/>
  <c r="C34"/>
  <c r="B34"/>
  <c r="S32"/>
  <c r="K32"/>
  <c r="J32"/>
  <c r="I32"/>
  <c r="H32"/>
  <c r="F32"/>
  <c r="D32"/>
  <c r="C32"/>
  <c r="B32"/>
  <c r="Q31"/>
  <c r="O31"/>
  <c r="M32" s="1"/>
  <c r="E31"/>
  <c r="E34" s="1"/>
  <c r="K30"/>
  <c r="J30"/>
  <c r="I30"/>
  <c r="H30"/>
  <c r="F30"/>
  <c r="D30"/>
  <c r="C30"/>
  <c r="B30"/>
  <c r="S28"/>
  <c r="K28"/>
  <c r="J28"/>
  <c r="I28"/>
  <c r="H28"/>
  <c r="C28"/>
  <c r="Q27"/>
  <c r="O27"/>
  <c r="M28" s="1"/>
  <c r="E27"/>
  <c r="K26"/>
  <c r="J26"/>
  <c r="I26"/>
  <c r="H26"/>
  <c r="C26"/>
  <c r="S24"/>
  <c r="K24"/>
  <c r="J24"/>
  <c r="I24"/>
  <c r="H24"/>
  <c r="Q23"/>
  <c r="O23"/>
  <c r="M24" s="1"/>
  <c r="G23"/>
  <c r="F23"/>
  <c r="F26" s="1"/>
  <c r="E23"/>
  <c r="D23"/>
  <c r="D28" s="1"/>
  <c r="C23"/>
  <c r="C24" s="1"/>
  <c r="B23"/>
  <c r="B26" s="1"/>
  <c r="K22"/>
  <c r="J22"/>
  <c r="I22"/>
  <c r="H22"/>
  <c r="F22"/>
  <c r="D22"/>
  <c r="C22"/>
  <c r="B22"/>
  <c r="S20"/>
  <c r="K20"/>
  <c r="J20"/>
  <c r="I20"/>
  <c r="H20"/>
  <c r="F20"/>
  <c r="D20"/>
  <c r="C20"/>
  <c r="B20"/>
  <c r="Q19"/>
  <c r="O19"/>
  <c r="M20" s="1"/>
  <c r="E19"/>
  <c r="E22" s="1"/>
  <c r="K18"/>
  <c r="J18"/>
  <c r="I18"/>
  <c r="H18"/>
  <c r="F18"/>
  <c r="D18"/>
  <c r="C18"/>
  <c r="B18"/>
  <c r="S16"/>
  <c r="O15" s="1"/>
  <c r="M16" s="1"/>
  <c r="K16"/>
  <c r="J16"/>
  <c r="I16"/>
  <c r="H16"/>
  <c r="F16"/>
  <c r="D16"/>
  <c r="C16"/>
  <c r="B16"/>
  <c r="Q15"/>
  <c r="E15"/>
  <c r="E18" s="1"/>
  <c r="A15"/>
  <c r="M18" s="1"/>
  <c r="M14"/>
  <c r="L12" s="1"/>
  <c r="K14"/>
  <c r="J14"/>
  <c r="I14"/>
  <c r="H14"/>
  <c r="F14"/>
  <c r="D14"/>
  <c r="C14"/>
  <c r="B14"/>
  <c r="S12"/>
  <c r="K12"/>
  <c r="J12"/>
  <c r="I12"/>
  <c r="H12"/>
  <c r="F12"/>
  <c r="D12"/>
  <c r="C12"/>
  <c r="B12"/>
  <c r="Q11"/>
  <c r="O11"/>
  <c r="E11"/>
  <c r="E14" s="1"/>
  <c r="I10"/>
  <c r="AF9"/>
  <c r="AF8" s="1"/>
  <c r="AE9"/>
  <c r="AD9"/>
  <c r="AD8" s="1"/>
  <c r="AC9"/>
  <c r="AC8" s="1"/>
  <c r="AB9"/>
  <c r="AB8" s="1"/>
  <c r="AA9"/>
  <c r="AA8" s="1"/>
  <c r="Z9"/>
  <c r="Z8" s="1"/>
  <c r="Y9"/>
  <c r="Y8" s="1"/>
  <c r="X9"/>
  <c r="X8" s="1"/>
  <c r="W9"/>
  <c r="V9"/>
  <c r="V8" s="1"/>
  <c r="U9"/>
  <c r="U8" s="1"/>
  <c r="T9"/>
  <c r="T8" s="1"/>
  <c r="K9"/>
  <c r="K10" s="1"/>
  <c r="J9"/>
  <c r="J10" s="1"/>
  <c r="I9"/>
  <c r="H9"/>
  <c r="H10" s="1"/>
  <c r="F9"/>
  <c r="F10" s="1"/>
  <c r="D9"/>
  <c r="D10" s="1"/>
  <c r="C9"/>
  <c r="C10" s="1"/>
  <c r="B9"/>
  <c r="B10" s="1"/>
  <c r="AE8"/>
  <c r="W8"/>
  <c r="E8"/>
  <c r="E9" s="1"/>
  <c r="E10" s="1"/>
  <c r="G4"/>
  <c r="G106" s="1"/>
  <c r="AB1"/>
  <c r="Z2" s="1"/>
  <c r="E11" i="2" l="1"/>
  <c r="E106" i="1"/>
  <c r="B168"/>
  <c r="J172"/>
  <c r="D286"/>
  <c r="A19"/>
  <c r="A23" s="1"/>
  <c r="D90"/>
  <c r="C106"/>
  <c r="F164"/>
  <c r="D170"/>
  <c r="F176"/>
  <c r="C218"/>
  <c r="C226"/>
  <c r="B244"/>
  <c r="E258"/>
  <c r="S276"/>
  <c r="O275" s="1"/>
  <c r="M276" s="1"/>
  <c r="B286"/>
  <c r="S288"/>
  <c r="O287" s="1"/>
  <c r="M288" s="1"/>
  <c r="R323"/>
  <c r="R331"/>
  <c r="R339"/>
  <c r="R347"/>
  <c r="R355"/>
  <c r="R363"/>
  <c r="R371"/>
  <c r="R379"/>
  <c r="R387"/>
  <c r="R395"/>
  <c r="R403"/>
  <c r="M404"/>
  <c r="M412"/>
  <c r="M420"/>
  <c r="M428"/>
  <c r="M436"/>
  <c r="E24"/>
  <c r="G24"/>
  <c r="F24"/>
  <c r="B170"/>
  <c r="D176"/>
  <c r="F180"/>
  <c r="E252"/>
  <c r="J254"/>
  <c r="E256"/>
  <c r="C258"/>
  <c r="S268"/>
  <c r="Q267" s="1"/>
  <c r="Q7" s="1"/>
  <c r="B10" i="2" s="1"/>
  <c r="P323" i="1"/>
  <c r="P331"/>
  <c r="P339"/>
  <c r="P347"/>
  <c r="P355"/>
  <c r="P363"/>
  <c r="P371"/>
  <c r="P379"/>
  <c r="P387"/>
  <c r="P395"/>
  <c r="M12"/>
  <c r="B24"/>
  <c r="E26"/>
  <c r="G73"/>
  <c r="G76" s="1"/>
  <c r="D76"/>
  <c r="B80"/>
  <c r="E162"/>
  <c r="C178"/>
  <c r="P443"/>
  <c r="M320"/>
  <c r="M328"/>
  <c r="M336"/>
  <c r="M344"/>
  <c r="M352"/>
  <c r="M360"/>
  <c r="M368"/>
  <c r="M376"/>
  <c r="M384"/>
  <c r="M392"/>
  <c r="M400"/>
  <c r="M408"/>
  <c r="M416"/>
  <c r="M424"/>
  <c r="M432"/>
  <c r="M440"/>
  <c r="A27"/>
  <c r="M26"/>
  <c r="L24" s="1"/>
  <c r="N76"/>
  <c r="N106"/>
  <c r="C172"/>
  <c r="C170"/>
  <c r="G14"/>
  <c r="N14" s="1"/>
  <c r="E16"/>
  <c r="G28"/>
  <c r="E36"/>
  <c r="N36" s="1"/>
  <c r="G62"/>
  <c r="N62" s="1"/>
  <c r="G102"/>
  <c r="N102" s="1"/>
  <c r="E174"/>
  <c r="G254"/>
  <c r="O7"/>
  <c r="G12"/>
  <c r="L16"/>
  <c r="G18"/>
  <c r="N18" s="1"/>
  <c r="E20"/>
  <c r="M22"/>
  <c r="L20" s="1"/>
  <c r="D26"/>
  <c r="B28"/>
  <c r="F28"/>
  <c r="E30"/>
  <c r="N30" s="1"/>
  <c r="G32"/>
  <c r="G38"/>
  <c r="N38" s="1"/>
  <c r="E40"/>
  <c r="E46"/>
  <c r="G48"/>
  <c r="G54"/>
  <c r="N54" s="1"/>
  <c r="G68"/>
  <c r="N68" s="1"/>
  <c r="G80"/>
  <c r="G88"/>
  <c r="N88" s="1"/>
  <c r="D108"/>
  <c r="G114"/>
  <c r="N114" s="1"/>
  <c r="G118"/>
  <c r="N118" s="1"/>
  <c r="G122"/>
  <c r="N122" s="1"/>
  <c r="G126"/>
  <c r="N126" s="1"/>
  <c r="G130"/>
  <c r="N130" s="1"/>
  <c r="G134"/>
  <c r="N134" s="1"/>
  <c r="G138"/>
  <c r="N138" s="1"/>
  <c r="G142"/>
  <c r="N142" s="1"/>
  <c r="G146"/>
  <c r="N146" s="1"/>
  <c r="N148"/>
  <c r="G150"/>
  <c r="N150" s="1"/>
  <c r="G154"/>
  <c r="N154" s="1"/>
  <c r="G160"/>
  <c r="N160" s="1"/>
  <c r="G162"/>
  <c r="D164"/>
  <c r="C174"/>
  <c r="N248"/>
  <c r="N294"/>
  <c r="N418"/>
  <c r="D178"/>
  <c r="D180"/>
  <c r="G34"/>
  <c r="N34" s="1"/>
  <c r="G50"/>
  <c r="N50" s="1"/>
  <c r="G56"/>
  <c r="G82"/>
  <c r="N82" s="1"/>
  <c r="G94"/>
  <c r="N94" s="1"/>
  <c r="G16"/>
  <c r="N16" s="1"/>
  <c r="G22"/>
  <c r="N22" s="1"/>
  <c r="D24"/>
  <c r="G26"/>
  <c r="E28"/>
  <c r="G36"/>
  <c r="G42"/>
  <c r="N42" s="1"/>
  <c r="E44"/>
  <c r="G52"/>
  <c r="N52" s="1"/>
  <c r="E56"/>
  <c r="N56" s="1"/>
  <c r="G60"/>
  <c r="N60" s="1"/>
  <c r="D64"/>
  <c r="G66"/>
  <c r="N66" s="1"/>
  <c r="G78"/>
  <c r="N78" s="1"/>
  <c r="F80"/>
  <c r="G86"/>
  <c r="N86" s="1"/>
  <c r="G92"/>
  <c r="N92" s="1"/>
  <c r="G98"/>
  <c r="N98" s="1"/>
  <c r="B164"/>
  <c r="N214"/>
  <c r="G252"/>
  <c r="N282"/>
  <c r="N314"/>
  <c r="G444"/>
  <c r="G436"/>
  <c r="G428"/>
  <c r="G420"/>
  <c r="G412"/>
  <c r="G404"/>
  <c r="G396"/>
  <c r="G388"/>
  <c r="G380"/>
  <c r="G372"/>
  <c r="G364"/>
  <c r="G356"/>
  <c r="G348"/>
  <c r="G340"/>
  <c r="G332"/>
  <c r="G324"/>
  <c r="G316"/>
  <c r="G310"/>
  <c r="G306"/>
  <c r="G302"/>
  <c r="N302" s="1"/>
  <c r="G294"/>
  <c r="G284"/>
  <c r="G278"/>
  <c r="G270"/>
  <c r="N270" s="1"/>
  <c r="G264"/>
  <c r="N264" s="1"/>
  <c r="G248"/>
  <c r="G240"/>
  <c r="G230"/>
  <c r="N230" s="1"/>
  <c r="G224"/>
  <c r="N224" s="1"/>
  <c r="G210"/>
  <c r="G196"/>
  <c r="G188"/>
  <c r="N188" s="1"/>
  <c r="G176"/>
  <c r="G172"/>
  <c r="G168"/>
  <c r="G156"/>
  <c r="N156" s="1"/>
  <c r="G148"/>
  <c r="G140"/>
  <c r="N140" s="1"/>
  <c r="G132"/>
  <c r="N132" s="1"/>
  <c r="G124"/>
  <c r="N124" s="1"/>
  <c r="G116"/>
  <c r="N116" s="1"/>
  <c r="G110"/>
  <c r="G104"/>
  <c r="N104" s="1"/>
  <c r="G446"/>
  <c r="N446" s="1"/>
  <c r="G438"/>
  <c r="G430"/>
  <c r="G422"/>
  <c r="G414"/>
  <c r="N414" s="1"/>
  <c r="G406"/>
  <c r="G398"/>
  <c r="G390"/>
  <c r="N390" s="1"/>
  <c r="G382"/>
  <c r="N382" s="1"/>
  <c r="G374"/>
  <c r="G366"/>
  <c r="G358"/>
  <c r="G350"/>
  <c r="N350" s="1"/>
  <c r="G342"/>
  <c r="G334"/>
  <c r="G326"/>
  <c r="G318"/>
  <c r="N318" s="1"/>
  <c r="G312"/>
  <c r="N312" s="1"/>
  <c r="G308"/>
  <c r="N308" s="1"/>
  <c r="G304"/>
  <c r="G296"/>
  <c r="N296" s="1"/>
  <c r="G288"/>
  <c r="G280"/>
  <c r="G272"/>
  <c r="G266"/>
  <c r="N266" s="1"/>
  <c r="G258"/>
  <c r="N258" s="1"/>
  <c r="G242"/>
  <c r="G232"/>
  <c r="N232" s="1"/>
  <c r="G218"/>
  <c r="N218" s="1"/>
  <c r="G212"/>
  <c r="N212" s="1"/>
  <c r="G204"/>
  <c r="G198"/>
  <c r="N198" s="1"/>
  <c r="G190"/>
  <c r="N190" s="1"/>
  <c r="G182"/>
  <c r="N182" s="1"/>
  <c r="G178"/>
  <c r="G440"/>
  <c r="G432"/>
  <c r="G424"/>
  <c r="G416"/>
  <c r="G408"/>
  <c r="G400"/>
  <c r="G392"/>
  <c r="G384"/>
  <c r="G376"/>
  <c r="G368"/>
  <c r="G360"/>
  <c r="G352"/>
  <c r="G344"/>
  <c r="G336"/>
  <c r="G328"/>
  <c r="G320"/>
  <c r="G298"/>
  <c r="N298" s="1"/>
  <c r="G290"/>
  <c r="N290" s="1"/>
  <c r="G286"/>
  <c r="G282"/>
  <c r="G274"/>
  <c r="N274" s="1"/>
  <c r="G260"/>
  <c r="G244"/>
  <c r="G234"/>
  <c r="G226"/>
  <c r="N226" s="1"/>
  <c r="G220"/>
  <c r="G214"/>
  <c r="G206"/>
  <c r="G200"/>
  <c r="N200" s="1"/>
  <c r="G192"/>
  <c r="N192" s="1"/>
  <c r="G184"/>
  <c r="G180"/>
  <c r="G170"/>
  <c r="G164"/>
  <c r="G158"/>
  <c r="N158" s="1"/>
  <c r="G152"/>
  <c r="N152" s="1"/>
  <c r="G144"/>
  <c r="N144" s="1"/>
  <c r="G136"/>
  <c r="N136" s="1"/>
  <c r="G128"/>
  <c r="N128" s="1"/>
  <c r="G120"/>
  <c r="N120" s="1"/>
  <c r="G112"/>
  <c r="N112" s="1"/>
  <c r="G108"/>
  <c r="G100"/>
  <c r="N100" s="1"/>
  <c r="G442"/>
  <c r="N442" s="1"/>
  <c r="G434"/>
  <c r="N434" s="1"/>
  <c r="G426"/>
  <c r="N426" s="1"/>
  <c r="G418"/>
  <c r="G410"/>
  <c r="N410" s="1"/>
  <c r="G402"/>
  <c r="N402" s="1"/>
  <c r="G394"/>
  <c r="N394" s="1"/>
  <c r="G386"/>
  <c r="N386" s="1"/>
  <c r="G378"/>
  <c r="N378" s="1"/>
  <c r="G370"/>
  <c r="N370" s="1"/>
  <c r="G362"/>
  <c r="N362" s="1"/>
  <c r="G354"/>
  <c r="N354" s="1"/>
  <c r="G346"/>
  <c r="N346" s="1"/>
  <c r="G338"/>
  <c r="N338" s="1"/>
  <c r="G330"/>
  <c r="N330" s="1"/>
  <c r="G322"/>
  <c r="N322" s="1"/>
  <c r="G314"/>
  <c r="G300"/>
  <c r="N300" s="1"/>
  <c r="G292"/>
  <c r="N292" s="1"/>
  <c r="G276"/>
  <c r="N276" s="1"/>
  <c r="G268"/>
  <c r="G262"/>
  <c r="G256"/>
  <c r="G246"/>
  <c r="N246" s="1"/>
  <c r="G238"/>
  <c r="N238" s="1"/>
  <c r="G236"/>
  <c r="N236" s="1"/>
  <c r="G228"/>
  <c r="N228" s="1"/>
  <c r="G222"/>
  <c r="N222" s="1"/>
  <c r="G216"/>
  <c r="N216" s="1"/>
  <c r="G208"/>
  <c r="N208" s="1"/>
  <c r="G202"/>
  <c r="N202" s="1"/>
  <c r="G194"/>
  <c r="N194" s="1"/>
  <c r="G186"/>
  <c r="E170"/>
  <c r="E172"/>
  <c r="N172" s="1"/>
  <c r="G44"/>
  <c r="E52"/>
  <c r="G70"/>
  <c r="N70" s="1"/>
  <c r="G74"/>
  <c r="N74" s="1"/>
  <c r="N110"/>
  <c r="I162"/>
  <c r="N168"/>
  <c r="N204"/>
  <c r="N206"/>
  <c r="G9"/>
  <c r="G10" s="1"/>
  <c r="N8" s="1"/>
  <c r="O1" s="1"/>
  <c r="E12"/>
  <c r="N12" s="1"/>
  <c r="G20"/>
  <c r="G30"/>
  <c r="E32"/>
  <c r="N32" s="1"/>
  <c r="G40"/>
  <c r="N40" s="1"/>
  <c r="G46"/>
  <c r="E48"/>
  <c r="G58"/>
  <c r="N58" s="1"/>
  <c r="G64"/>
  <c r="G72"/>
  <c r="N72" s="1"/>
  <c r="G84"/>
  <c r="N84" s="1"/>
  <c r="G90"/>
  <c r="N90" s="1"/>
  <c r="G96"/>
  <c r="N96" s="1"/>
  <c r="G166"/>
  <c r="N166" s="1"/>
  <c r="G174"/>
  <c r="K174"/>
  <c r="N176"/>
  <c r="N180"/>
  <c r="N186"/>
  <c r="N196"/>
  <c r="N210"/>
  <c r="N234"/>
  <c r="N262"/>
  <c r="N268"/>
  <c r="N272"/>
  <c r="N278"/>
  <c r="N280"/>
  <c r="N284"/>
  <c r="N304"/>
  <c r="N326"/>
  <c r="N334"/>
  <c r="N342"/>
  <c r="N358"/>
  <c r="N366"/>
  <c r="N374"/>
  <c r="N398"/>
  <c r="N406"/>
  <c r="N422"/>
  <c r="N430"/>
  <c r="N438"/>
  <c r="I178"/>
  <c r="N178" s="1"/>
  <c r="D184"/>
  <c r="N184" s="1"/>
  <c r="D220"/>
  <c r="B240"/>
  <c r="E242"/>
  <c r="N242" s="1"/>
  <c r="G250"/>
  <c r="N250" s="1"/>
  <c r="D254"/>
  <c r="H254"/>
  <c r="K256"/>
  <c r="D260"/>
  <c r="E288"/>
  <c r="N288" s="1"/>
  <c r="B306"/>
  <c r="N306" s="1"/>
  <c r="B310"/>
  <c r="N310" s="1"/>
  <c r="K170"/>
  <c r="I172"/>
  <c r="C244"/>
  <c r="N244" s="1"/>
  <c r="D252"/>
  <c r="H252"/>
  <c r="K254"/>
  <c r="B256"/>
  <c r="F256"/>
  <c r="J256"/>
  <c r="C286"/>
  <c r="N286" s="1"/>
  <c r="B220"/>
  <c r="F220"/>
  <c r="D240"/>
  <c r="B254"/>
  <c r="F254"/>
  <c r="B260"/>
  <c r="F260"/>
  <c r="D316"/>
  <c r="N316" s="1"/>
  <c r="D10" i="2" l="1"/>
  <c r="C10"/>
  <c r="N64" i="1"/>
  <c r="P63" s="1"/>
  <c r="N44"/>
  <c r="P43" s="1"/>
  <c r="N108"/>
  <c r="N28"/>
  <c r="O6"/>
  <c r="B9" i="2"/>
  <c r="N162" i="1"/>
  <c r="N20"/>
  <c r="R19" s="1"/>
  <c r="N252"/>
  <c r="P251" s="1"/>
  <c r="N170"/>
  <c r="N46"/>
  <c r="N254"/>
  <c r="N80"/>
  <c r="R79" s="1"/>
  <c r="N24"/>
  <c r="N48"/>
  <c r="N26"/>
  <c r="R243"/>
  <c r="P243"/>
  <c r="R299"/>
  <c r="P299"/>
  <c r="R143"/>
  <c r="P143"/>
  <c r="R43"/>
  <c r="R27"/>
  <c r="P27"/>
  <c r="P95"/>
  <c r="R95"/>
  <c r="P39"/>
  <c r="R39"/>
  <c r="R11"/>
  <c r="P11"/>
  <c r="P171"/>
  <c r="R171"/>
  <c r="R227"/>
  <c r="P227"/>
  <c r="R291"/>
  <c r="P291"/>
  <c r="R135"/>
  <c r="P135"/>
  <c r="R191"/>
  <c r="P191"/>
  <c r="P295"/>
  <c r="R295"/>
  <c r="P123"/>
  <c r="R123"/>
  <c r="P155"/>
  <c r="R155"/>
  <c r="P187"/>
  <c r="R187"/>
  <c r="P91"/>
  <c r="R91"/>
  <c r="P51"/>
  <c r="R51"/>
  <c r="R15"/>
  <c r="P15"/>
  <c r="P35"/>
  <c r="R35"/>
  <c r="R31"/>
  <c r="P31"/>
  <c r="R111"/>
  <c r="P111"/>
  <c r="R199"/>
  <c r="P199"/>
  <c r="R63"/>
  <c r="R107"/>
  <c r="P107"/>
  <c r="R251"/>
  <c r="R183"/>
  <c r="P183"/>
  <c r="R99"/>
  <c r="P99"/>
  <c r="R127"/>
  <c r="P127"/>
  <c r="P211"/>
  <c r="R211"/>
  <c r="P311"/>
  <c r="R311"/>
  <c r="P223"/>
  <c r="R223"/>
  <c r="P263"/>
  <c r="R263"/>
  <c r="R55"/>
  <c r="P55"/>
  <c r="P315"/>
  <c r="R315"/>
  <c r="R287"/>
  <c r="P287"/>
  <c r="R119"/>
  <c r="P119"/>
  <c r="R151"/>
  <c r="P151"/>
  <c r="P307"/>
  <c r="R307"/>
  <c r="P79"/>
  <c r="P23"/>
  <c r="R23"/>
  <c r="R87"/>
  <c r="P87"/>
  <c r="R47"/>
  <c r="P47"/>
  <c r="P195"/>
  <c r="R195"/>
  <c r="P203"/>
  <c r="R203"/>
  <c r="R235"/>
  <c r="P235"/>
  <c r="P279"/>
  <c r="R279"/>
  <c r="R179"/>
  <c r="P179"/>
  <c r="P167"/>
  <c r="R167"/>
  <c r="R159"/>
  <c r="P159"/>
  <c r="P75"/>
  <c r="R75"/>
  <c r="M30"/>
  <c r="A31"/>
  <c r="N240"/>
  <c r="N220"/>
  <c r="N256"/>
  <c r="N174"/>
  <c r="R267"/>
  <c r="P267"/>
  <c r="P175"/>
  <c r="R175"/>
  <c r="R283"/>
  <c r="P283"/>
  <c r="P271"/>
  <c r="R271"/>
  <c r="P103"/>
  <c r="R103"/>
  <c r="N260"/>
  <c r="N164"/>
  <c r="P147"/>
  <c r="R147"/>
  <c r="P139"/>
  <c r="R139"/>
  <c r="P131"/>
  <c r="R131"/>
  <c r="P115"/>
  <c r="R115"/>
  <c r="R207"/>
  <c r="P207"/>
  <c r="P83"/>
  <c r="R83"/>
  <c r="P59"/>
  <c r="R59"/>
  <c r="R275"/>
  <c r="P275"/>
  <c r="P303"/>
  <c r="R303"/>
  <c r="R215"/>
  <c r="P215"/>
  <c r="P247"/>
  <c r="R247"/>
  <c r="P231"/>
  <c r="R231"/>
  <c r="R67"/>
  <c r="P67"/>
  <c r="P71"/>
  <c r="R71"/>
  <c r="F10" i="2" l="1"/>
  <c r="G10" s="1"/>
  <c r="D9"/>
  <c r="D11" s="1"/>
  <c r="B11"/>
  <c r="C9"/>
  <c r="C11" s="1"/>
  <c r="P19" i="1"/>
  <c r="R219"/>
  <c r="P219"/>
  <c r="R259"/>
  <c r="P259"/>
  <c r="R255"/>
  <c r="P255"/>
  <c r="L28"/>
  <c r="P163"/>
  <c r="R163"/>
  <c r="M34"/>
  <c r="A35"/>
  <c r="P239"/>
  <c r="R239"/>
  <c r="F9" i="2" l="1"/>
  <c r="P6" i="1"/>
  <c r="A39"/>
  <c r="M42" s="1"/>
  <c r="M38"/>
  <c r="L36" s="1"/>
  <c r="L32"/>
  <c r="G9" i="2" l="1"/>
  <c r="F11"/>
  <c r="A43" i="1"/>
  <c r="M46" s="1"/>
  <c r="L44" l="1"/>
  <c r="A47"/>
  <c r="M50" s="1"/>
  <c r="L40"/>
  <c r="A51" l="1"/>
  <c r="M54" s="1"/>
  <c r="L48" l="1"/>
  <c r="L52"/>
  <c r="A55"/>
  <c r="M58" s="1"/>
  <c r="A59" l="1"/>
  <c r="M62" s="1"/>
  <c r="L56" l="1"/>
  <c r="L60"/>
  <c r="A63"/>
  <c r="M66" s="1"/>
  <c r="A67" l="1"/>
  <c r="M70" s="1"/>
  <c r="L64"/>
  <c r="L68" l="1"/>
  <c r="A71"/>
  <c r="M74" s="1"/>
  <c r="L72" l="1"/>
  <c r="A75"/>
  <c r="M78" s="1"/>
  <c r="A79" l="1"/>
  <c r="M82" s="1"/>
  <c r="L76"/>
  <c r="L80" l="1"/>
  <c r="A83"/>
  <c r="M86" s="1"/>
  <c r="A87" l="1"/>
  <c r="M90" s="1"/>
  <c r="L84"/>
  <c r="A91" l="1"/>
  <c r="M94" s="1"/>
  <c r="L88"/>
  <c r="L92" l="1"/>
  <c r="A95"/>
  <c r="M98" s="1"/>
  <c r="A99" l="1"/>
  <c r="M102" s="1"/>
  <c r="L96"/>
  <c r="L100" l="1"/>
  <c r="A103"/>
  <c r="M106" s="1"/>
  <c r="A107" l="1"/>
  <c r="M110" s="1"/>
  <c r="L104"/>
  <c r="L108" l="1"/>
  <c r="A111"/>
  <c r="M114" s="1"/>
  <c r="L112" l="1"/>
  <c r="A115"/>
  <c r="M118" s="1"/>
  <c r="A119" l="1"/>
  <c r="M122" s="1"/>
  <c r="L116"/>
  <c r="L120" l="1"/>
  <c r="A123"/>
  <c r="M126" s="1"/>
  <c r="A127" l="1"/>
  <c r="M130" s="1"/>
  <c r="L124"/>
  <c r="L128" l="1"/>
  <c r="A131"/>
  <c r="M134" s="1"/>
  <c r="A135" l="1"/>
  <c r="M138" s="1"/>
  <c r="L132"/>
  <c r="L136" l="1"/>
  <c r="A139"/>
  <c r="M142" s="1"/>
  <c r="A143" l="1"/>
  <c r="M146" s="1"/>
  <c r="L140"/>
  <c r="L144" l="1"/>
  <c r="A147"/>
  <c r="M150" s="1"/>
  <c r="A151" l="1"/>
  <c r="M154" s="1"/>
  <c r="L148"/>
  <c r="L152" l="1"/>
  <c r="A155"/>
  <c r="M158" s="1"/>
  <c r="A159" l="1"/>
  <c r="M162" s="1"/>
  <c r="L156"/>
  <c r="L160" l="1"/>
  <c r="A163"/>
  <c r="M166" s="1"/>
  <c r="L164" l="1"/>
  <c r="A167"/>
  <c r="M170" s="1"/>
  <c r="A171" l="1"/>
  <c r="M174" s="1"/>
  <c r="L168"/>
  <c r="L172" l="1"/>
  <c r="A175"/>
  <c r="M178" s="1"/>
  <c r="A179" l="1"/>
  <c r="M182" s="1"/>
  <c r="L176"/>
  <c r="A183" l="1"/>
  <c r="M186" s="1"/>
  <c r="L180"/>
  <c r="L184" l="1"/>
  <c r="A187"/>
  <c r="M190" s="1"/>
  <c r="A191" l="1"/>
  <c r="M194" s="1"/>
  <c r="L188"/>
  <c r="L192" l="1"/>
  <c r="A195"/>
  <c r="M198" s="1"/>
  <c r="A199" l="1"/>
  <c r="M202" s="1"/>
  <c r="L196"/>
  <c r="L200" l="1"/>
  <c r="A203"/>
  <c r="M206" s="1"/>
  <c r="A207" l="1"/>
  <c r="M210" s="1"/>
  <c r="L204"/>
  <c r="L208" l="1"/>
  <c r="A211"/>
  <c r="M214" s="1"/>
  <c r="A215" l="1"/>
  <c r="M218" s="1"/>
  <c r="L212"/>
  <c r="A219" l="1"/>
  <c r="M222" s="1"/>
  <c r="L216"/>
  <c r="L220" l="1"/>
  <c r="A223"/>
  <c r="M226" s="1"/>
  <c r="A227" l="1"/>
  <c r="M230" s="1"/>
  <c r="L224"/>
  <c r="L228" l="1"/>
  <c r="A231"/>
  <c r="M234" s="1"/>
  <c r="A235" l="1"/>
  <c r="M238" s="1"/>
  <c r="L232"/>
  <c r="L236" l="1"/>
  <c r="A239"/>
  <c r="M242" s="1"/>
  <c r="A243" l="1"/>
  <c r="M246" s="1"/>
  <c r="L240"/>
  <c r="L244" l="1"/>
  <c r="A247"/>
  <c r="M250" s="1"/>
  <c r="L248" l="1"/>
  <c r="A251"/>
  <c r="M254" s="1"/>
  <c r="A255" l="1"/>
  <c r="M258" s="1"/>
  <c r="L252"/>
  <c r="A259" l="1"/>
  <c r="M262" s="1"/>
  <c r="L256"/>
  <c r="L260" l="1"/>
  <c r="A263"/>
  <c r="M266" s="1"/>
  <c r="A267" l="1"/>
  <c r="M270" s="1"/>
  <c r="L264"/>
  <c r="L268" l="1"/>
  <c r="A271"/>
  <c r="M274" s="1"/>
  <c r="A275" l="1"/>
  <c r="M278" s="1"/>
  <c r="L272"/>
  <c r="L276" l="1"/>
  <c r="A279"/>
  <c r="M282" s="1"/>
  <c r="A283" l="1"/>
  <c r="M286" s="1"/>
  <c r="L280"/>
  <c r="A287" l="1"/>
  <c r="M290" s="1"/>
  <c r="L284"/>
  <c r="A291" l="1"/>
  <c r="M294" s="1"/>
  <c r="L288"/>
  <c r="L292" l="1"/>
  <c r="A295"/>
  <c r="M298" s="1"/>
  <c r="A299" l="1"/>
  <c r="M302" s="1"/>
  <c r="L296"/>
  <c r="L300" l="1"/>
  <c r="A303"/>
  <c r="M306" s="1"/>
  <c r="L304" l="1"/>
  <c r="A307"/>
  <c r="M310" s="1"/>
  <c r="L308" l="1"/>
  <c r="A311"/>
  <c r="M314" s="1"/>
  <c r="L312" l="1"/>
  <c r="A315"/>
  <c r="M318" s="1"/>
  <c r="A319" l="1"/>
  <c r="M322" s="1"/>
  <c r="L316"/>
  <c r="L320" l="1"/>
  <c r="A323"/>
  <c r="M326" s="1"/>
  <c r="A327" l="1"/>
  <c r="M330" s="1"/>
  <c r="L324"/>
  <c r="L328" l="1"/>
  <c r="A331"/>
  <c r="M334" s="1"/>
  <c r="A335" l="1"/>
  <c r="M338" s="1"/>
  <c r="L332"/>
  <c r="L336" l="1"/>
  <c r="A339"/>
  <c r="M342" s="1"/>
  <c r="A343" l="1"/>
  <c r="M346" s="1"/>
  <c r="L340"/>
  <c r="L344" l="1"/>
  <c r="A347"/>
  <c r="M350" s="1"/>
  <c r="A351" l="1"/>
  <c r="M354" s="1"/>
  <c r="L348"/>
  <c r="L352" l="1"/>
  <c r="A355"/>
  <c r="M358" s="1"/>
  <c r="A359" l="1"/>
  <c r="M362" s="1"/>
  <c r="L356"/>
  <c r="L360" l="1"/>
  <c r="A363"/>
  <c r="M366" s="1"/>
  <c r="A367" l="1"/>
  <c r="M370" s="1"/>
  <c r="L364"/>
  <c r="L368" l="1"/>
  <c r="A371"/>
  <c r="M374" s="1"/>
  <c r="A375" l="1"/>
  <c r="M378" s="1"/>
  <c r="L372"/>
  <c r="L376" l="1"/>
  <c r="A379"/>
  <c r="M382" s="1"/>
  <c r="A383" l="1"/>
  <c r="M386" s="1"/>
  <c r="L380"/>
  <c r="L384" l="1"/>
  <c r="A387"/>
  <c r="M390" s="1"/>
  <c r="A391" l="1"/>
  <c r="M394" s="1"/>
  <c r="L388"/>
  <c r="L392" l="1"/>
  <c r="A395"/>
  <c r="M398" s="1"/>
  <c r="A399" l="1"/>
  <c r="M402" s="1"/>
  <c r="L396"/>
  <c r="L400" l="1"/>
  <c r="A403"/>
  <c r="M406" s="1"/>
  <c r="A407" l="1"/>
  <c r="M410" s="1"/>
  <c r="L404"/>
  <c r="L408" l="1"/>
  <c r="A411"/>
  <c r="M414" s="1"/>
  <c r="A415" l="1"/>
  <c r="M418" s="1"/>
  <c r="L412"/>
  <c r="L416" l="1"/>
  <c r="A419"/>
  <c r="M422" s="1"/>
  <c r="A423" l="1"/>
  <c r="M426" s="1"/>
  <c r="L420"/>
  <c r="L424" l="1"/>
  <c r="A427"/>
  <c r="M430" s="1"/>
  <c r="A431" l="1"/>
  <c r="M434" s="1"/>
  <c r="L428"/>
  <c r="L432" l="1"/>
  <c r="A435"/>
  <c r="M438" s="1"/>
  <c r="A439" l="1"/>
  <c r="M442" s="1"/>
  <c r="L436"/>
  <c r="L440" l="1"/>
  <c r="A443"/>
  <c r="M446" s="1"/>
  <c r="L444" l="1"/>
  <c r="O5" s="1"/>
  <c r="O4"/>
  <c r="O3" l="1"/>
</calcChain>
</file>

<file path=xl/comments1.xml><?xml version="1.0" encoding="utf-8"?>
<comments xmlns="http://schemas.openxmlformats.org/spreadsheetml/2006/main">
  <authors>
    <author>만든 이</author>
  </authors>
  <commentList>
    <comment ref="F3" authorId="0">
      <text>
        <r>
          <rPr>
            <b/>
            <sz val="9"/>
            <color indexed="81"/>
            <rFont val="돋움"/>
            <family val="3"/>
            <charset val="129"/>
          </rPr>
          <t>낙원석</t>
        </r>
        <r>
          <rPr>
            <b/>
            <sz val="9"/>
            <color indexed="81"/>
            <rFont val="Tahoma"/>
            <family val="2"/>
          </rPr>
          <t>-&gt;</t>
        </r>
        <r>
          <rPr>
            <b/>
            <sz val="9"/>
            <color indexed="81"/>
            <rFont val="돋움"/>
            <family val="3"/>
            <charset val="129"/>
          </rPr>
          <t>뉴에라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제작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판매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가정
제작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수수료</t>
        </r>
        <r>
          <rPr>
            <b/>
            <sz val="9"/>
            <color indexed="81"/>
            <rFont val="Tahoma"/>
            <family val="2"/>
          </rPr>
          <t xml:space="preserve"> 5</t>
        </r>
        <r>
          <rPr>
            <b/>
            <sz val="9"/>
            <color indexed="81"/>
            <rFont val="돋움"/>
            <family val="3"/>
            <charset val="129"/>
          </rPr>
          <t>천골드
낙원석</t>
        </r>
        <r>
          <rPr>
            <b/>
            <sz val="9"/>
            <color indexed="81"/>
            <rFont val="Tahoma"/>
            <family val="2"/>
          </rPr>
          <t xml:space="preserve"> *3
=(</t>
        </r>
        <r>
          <rPr>
            <b/>
            <sz val="9"/>
            <color indexed="81"/>
            <rFont val="돋움"/>
            <family val="3"/>
            <charset val="129"/>
          </rPr>
          <t>뉴에라광석</t>
        </r>
        <r>
          <rPr>
            <b/>
            <sz val="9"/>
            <color indexed="81"/>
            <rFont val="Tahoma"/>
            <family val="2"/>
          </rPr>
          <t xml:space="preserve">-5000)/3
</t>
        </r>
      </text>
    </comment>
  </commentList>
</comments>
</file>

<file path=xl/comments2.xml><?xml version="1.0" encoding="utf-8"?>
<comments xmlns="http://schemas.openxmlformats.org/spreadsheetml/2006/main">
  <authors>
    <author>만든 이</author>
  </authors>
  <commentList>
    <comment ref="G3" authorId="0">
      <text>
        <r>
          <rPr>
            <b/>
            <sz val="9"/>
            <color indexed="81"/>
            <rFont val="돋움"/>
            <family val="3"/>
            <charset val="129"/>
          </rPr>
          <t>낙원석</t>
        </r>
        <r>
          <rPr>
            <b/>
            <sz val="9"/>
            <color indexed="81"/>
            <rFont val="Tahoma"/>
            <family val="2"/>
          </rPr>
          <t>-&gt;</t>
        </r>
        <r>
          <rPr>
            <b/>
            <sz val="9"/>
            <color indexed="81"/>
            <rFont val="돋움"/>
            <family val="3"/>
            <charset val="129"/>
          </rPr>
          <t>뉴에라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제작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판매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가정
제작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수수료</t>
        </r>
        <r>
          <rPr>
            <b/>
            <sz val="9"/>
            <color indexed="81"/>
            <rFont val="Tahoma"/>
            <family val="2"/>
          </rPr>
          <t xml:space="preserve"> 5</t>
        </r>
        <r>
          <rPr>
            <b/>
            <sz val="9"/>
            <color indexed="81"/>
            <rFont val="돋움"/>
            <family val="3"/>
            <charset val="129"/>
          </rPr>
          <t>천골드
낙원석</t>
        </r>
        <r>
          <rPr>
            <b/>
            <sz val="9"/>
            <color indexed="81"/>
            <rFont val="Tahoma"/>
            <family val="2"/>
          </rPr>
          <t xml:space="preserve"> *3
=(</t>
        </r>
        <r>
          <rPr>
            <b/>
            <sz val="9"/>
            <color indexed="81"/>
            <rFont val="돋움"/>
            <family val="3"/>
            <charset val="129"/>
          </rPr>
          <t>뉴에라광석</t>
        </r>
        <r>
          <rPr>
            <b/>
            <sz val="9"/>
            <color indexed="81"/>
            <rFont val="Tahoma"/>
            <family val="2"/>
          </rPr>
          <t xml:space="preserve">-5000)/3
</t>
        </r>
      </text>
    </comment>
  </commentList>
</comments>
</file>

<file path=xl/sharedStrings.xml><?xml version="1.0" encoding="utf-8"?>
<sst xmlns="http://schemas.openxmlformats.org/spreadsheetml/2006/main" count="416" uniqueCount="66">
  <si>
    <t>시세테이블</t>
  </si>
  <si>
    <t>초기 자산</t>
    <phoneticPr fontId="2" type="noConversion"/>
  </si>
  <si>
    <t>뉴에라 재료</t>
    <phoneticPr fontId="2" type="noConversion"/>
  </si>
  <si>
    <t>정령석 재료</t>
    <phoneticPr fontId="2" type="noConversion"/>
  </si>
  <si>
    <t>총 수익</t>
    <phoneticPr fontId="2" type="noConversion"/>
  </si>
  <si>
    <t>옷감</t>
    <phoneticPr fontId="2" type="noConversion"/>
  </si>
  <si>
    <t>가죽</t>
    <phoneticPr fontId="2" type="noConversion"/>
  </si>
  <si>
    <t>광석</t>
    <phoneticPr fontId="2" type="noConversion"/>
  </si>
  <si>
    <t>강화석</t>
    <phoneticPr fontId="2" type="noConversion"/>
  </si>
  <si>
    <t>오브</t>
    <phoneticPr fontId="2" type="noConversion"/>
  </si>
  <si>
    <t>낙원석</t>
    <phoneticPr fontId="2" type="noConversion"/>
  </si>
  <si>
    <t>빛가루</t>
    <phoneticPr fontId="2" type="noConversion"/>
  </si>
  <si>
    <t>정령수</t>
    <phoneticPr fontId="2" type="noConversion"/>
  </si>
  <si>
    <t>파편</t>
    <phoneticPr fontId="2" type="noConversion"/>
  </si>
  <si>
    <t>마법의돌</t>
    <phoneticPr fontId="2" type="noConversion"/>
  </si>
  <si>
    <t>수익실현</t>
    <phoneticPr fontId="2" type="noConversion"/>
  </si>
  <si>
    <t>버프가능</t>
    <phoneticPr fontId="2" type="noConversion"/>
  </si>
  <si>
    <t>카단</t>
    <phoneticPr fontId="2" type="noConversion"/>
  </si>
  <si>
    <t>이세트</t>
    <phoneticPr fontId="2" type="noConversion"/>
  </si>
  <si>
    <t>레지나</t>
    <phoneticPr fontId="2" type="noConversion"/>
  </si>
  <si>
    <t>서큐버스</t>
    <phoneticPr fontId="2" type="noConversion"/>
  </si>
  <si>
    <t>잔존가치 (전일)</t>
    <phoneticPr fontId="2" type="noConversion"/>
  </si>
  <si>
    <t>버프 불가</t>
    <phoneticPr fontId="2" type="noConversion"/>
  </si>
  <si>
    <t>그렘린</t>
    <phoneticPr fontId="2" type="noConversion"/>
  </si>
  <si>
    <t>루</t>
    <phoneticPr fontId="2" type="noConversion"/>
  </si>
  <si>
    <t>당월 수익 (당월)</t>
    <phoneticPr fontId="2" type="noConversion"/>
  </si>
  <si>
    <t>월</t>
    <phoneticPr fontId="2" type="noConversion"/>
  </si>
  <si>
    <t>일</t>
    <phoneticPr fontId="2" type="noConversion"/>
  </si>
  <si>
    <t>합계</t>
    <phoneticPr fontId="2" type="noConversion"/>
  </si>
  <si>
    <t>(단위: 만골드)</t>
    <phoneticPr fontId="2" type="noConversion"/>
  </si>
  <si>
    <t>시작</t>
    <phoneticPr fontId="2" type="noConversion"/>
  </si>
  <si>
    <t>클골</t>
    <phoneticPr fontId="2" type="noConversion"/>
  </si>
  <si>
    <t>횟수</t>
    <phoneticPr fontId="2" type="noConversion"/>
  </si>
  <si>
    <t>펫 버프 Y</t>
    <phoneticPr fontId="2" type="noConversion"/>
  </si>
  <si>
    <t>펫 버프 N</t>
    <phoneticPr fontId="2" type="noConversion"/>
  </si>
  <si>
    <t>집계</t>
    <phoneticPr fontId="2" type="noConversion"/>
  </si>
  <si>
    <t>판당 수익</t>
    <phoneticPr fontId="2" type="noConversion"/>
  </si>
  <si>
    <t>(20.12.18~</t>
    <phoneticPr fontId="2" type="noConversion"/>
  </si>
  <si>
    <t>당일수익</t>
    <phoneticPr fontId="2" type="noConversion"/>
  </si>
  <si>
    <t>잔존가치</t>
    <phoneticPr fontId="2" type="noConversion"/>
  </si>
  <si>
    <t>시작점</t>
    <phoneticPr fontId="2" type="noConversion"/>
  </si>
  <si>
    <t>리새</t>
    <phoneticPr fontId="2" type="noConversion"/>
  </si>
  <si>
    <t>레서</t>
    <phoneticPr fontId="2" type="noConversion"/>
  </si>
  <si>
    <t>미울</t>
    <phoneticPr fontId="2" type="noConversion"/>
  </si>
  <si>
    <t>리새2</t>
    <phoneticPr fontId="2" type="noConversion"/>
  </si>
  <si>
    <t>테사</t>
    <phoneticPr fontId="2" type="noConversion"/>
  </si>
  <si>
    <t>테이드</t>
    <phoneticPr fontId="2" type="noConversion"/>
  </si>
  <si>
    <t>검벨</t>
    <phoneticPr fontId="2" type="noConversion"/>
  </si>
  <si>
    <t>배글린</t>
    <phoneticPr fontId="2" type="noConversion"/>
  </si>
  <si>
    <t>카엘</t>
    <phoneticPr fontId="2" type="noConversion"/>
  </si>
  <si>
    <t>미리</t>
    <phoneticPr fontId="2" type="noConversion"/>
  </si>
  <si>
    <t>그램딘</t>
    <phoneticPr fontId="2" type="noConversion"/>
  </si>
  <si>
    <t>햄오나</t>
    <phoneticPr fontId="2" type="noConversion"/>
  </si>
  <si>
    <t>델리아</t>
    <phoneticPr fontId="2" type="noConversion"/>
  </si>
  <si>
    <t>횟수</t>
    <phoneticPr fontId="2" type="noConversion"/>
  </si>
  <si>
    <t>클골</t>
    <phoneticPr fontId="2" type="noConversion"/>
  </si>
  <si>
    <t>수리비</t>
    <phoneticPr fontId="2" type="noConversion"/>
  </si>
  <si>
    <t>드랍템 수익</t>
    <phoneticPr fontId="2" type="noConversion"/>
  </si>
  <si>
    <t>총 수익</t>
    <phoneticPr fontId="2" type="noConversion"/>
  </si>
  <si>
    <t xml:space="preserve"> - 펫 버프 On</t>
    <phoneticPr fontId="2" type="noConversion"/>
  </si>
  <si>
    <t xml:space="preserve"> - 펫 버프 Off</t>
    <phoneticPr fontId="2" type="noConversion"/>
  </si>
  <si>
    <t>총합</t>
    <phoneticPr fontId="2" type="noConversion"/>
  </si>
  <si>
    <t>* 수리비는 편의상 판당 1만골드로 계산 (길드 수리비버프 적용시 만골드 약간 넘음)</t>
    <phoneticPr fontId="2" type="noConversion"/>
  </si>
  <si>
    <t>* 클골은 편의상 판당 4만 골드로 계산 (스매시 처치 보목 시 평균 4만골드 조금 넘음)</t>
    <phoneticPr fontId="2" type="noConversion"/>
  </si>
  <si>
    <t>(단위: 리시타)</t>
    <phoneticPr fontId="2" type="noConversion"/>
  </si>
  <si>
    <t>판당 수익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</si>
</sst>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m&quot;월&quot;\ d&quot;일&quot;;@"/>
  </numFmts>
  <fonts count="8">
    <font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sz val="11"/>
      <color rgb="FF0070C0"/>
      <name val="맑은 고딕"/>
      <family val="3"/>
      <charset val="129"/>
      <scheme val="minor"/>
    </font>
    <font>
      <b/>
      <sz val="9"/>
      <color indexed="81"/>
      <name val="돋움"/>
      <family val="3"/>
      <charset val="129"/>
    </font>
    <font>
      <b/>
      <sz val="9"/>
      <color indexed="8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16">
    <xf numFmtId="0" fontId="0" fillId="0" borderId="0" xfId="0">
      <alignment vertical="center"/>
    </xf>
    <xf numFmtId="176" fontId="1" fillId="0" borderId="0" xfId="0" applyNumberFormat="1" applyFont="1">
      <alignment vertical="center"/>
    </xf>
    <xf numFmtId="0" fontId="0" fillId="2" borderId="0" xfId="0" applyFill="1" applyBorder="1" applyAlignment="1">
      <alignment horizontal="center" vertical="center"/>
    </xf>
    <xf numFmtId="14" fontId="0" fillId="2" borderId="0" xfId="0" applyNumberForma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0" fillId="6" borderId="0" xfId="0" applyFill="1" applyBorder="1" applyAlignment="1">
      <alignment horizontal="center" vertical="center"/>
    </xf>
    <xf numFmtId="14" fontId="0" fillId="6" borderId="0" xfId="0" applyNumberFormat="1" applyFill="1" applyBorder="1" applyAlignment="1">
      <alignment horizontal="center" vertical="center"/>
    </xf>
    <xf numFmtId="0" fontId="0" fillId="5" borderId="1" xfId="0" applyFill="1" applyBorder="1">
      <alignment vertical="center"/>
    </xf>
    <xf numFmtId="0" fontId="0" fillId="6" borderId="1" xfId="0" applyFill="1" applyBorder="1">
      <alignment vertical="center"/>
    </xf>
    <xf numFmtId="0" fontId="0" fillId="6" borderId="0" xfId="0" applyFill="1" applyBorder="1">
      <alignment vertical="center"/>
    </xf>
    <xf numFmtId="14" fontId="0" fillId="6" borderId="0" xfId="0" applyNumberFormat="1" applyFill="1" applyBorder="1">
      <alignment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3" fontId="0" fillId="5" borderId="1" xfId="0" applyNumberFormat="1" applyFill="1" applyBorder="1">
      <alignment vertical="center"/>
    </xf>
    <xf numFmtId="3" fontId="0" fillId="6" borderId="1" xfId="0" applyNumberFormat="1" applyFill="1" applyBorder="1">
      <alignment vertical="center"/>
    </xf>
    <xf numFmtId="3" fontId="0" fillId="6" borderId="0" xfId="0" applyNumberFormat="1" applyFill="1" applyBorder="1">
      <alignment vertical="center"/>
    </xf>
    <xf numFmtId="3" fontId="0" fillId="3" borderId="1" xfId="0" applyNumberFormat="1" applyFill="1" applyBorder="1">
      <alignment vertical="center"/>
    </xf>
    <xf numFmtId="3" fontId="0" fillId="4" borderId="1" xfId="0" applyNumberFormat="1" applyFill="1" applyBorder="1" applyAlignment="1">
      <alignment horizontal="center" vertical="center"/>
    </xf>
    <xf numFmtId="3" fontId="0" fillId="0" borderId="1" xfId="0" applyNumberFormat="1" applyBorder="1">
      <alignment vertical="center"/>
    </xf>
    <xf numFmtId="3" fontId="0" fillId="0" borderId="0" xfId="0" applyNumberFormat="1">
      <alignment vertical="center"/>
    </xf>
    <xf numFmtId="14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14" fontId="3" fillId="8" borderId="5" xfId="0" applyNumberFormat="1" applyFont="1" applyFill="1" applyBorder="1" applyAlignment="1">
      <alignment horizontal="center" vertical="center"/>
    </xf>
    <xf numFmtId="3" fontId="3" fillId="7" borderId="1" xfId="0" applyNumberFormat="1" applyFont="1" applyFill="1" applyBorder="1" applyAlignment="1">
      <alignment horizontal="center" vertical="center"/>
    </xf>
    <xf numFmtId="3" fontId="3" fillId="9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14" fontId="0" fillId="0" borderId="9" xfId="0" applyNumberFormat="1" applyBorder="1">
      <alignment vertical="center"/>
    </xf>
    <xf numFmtId="3" fontId="0" fillId="8" borderId="1" xfId="0" applyNumberFormat="1" applyFill="1" applyBorder="1">
      <alignment vertical="center"/>
    </xf>
    <xf numFmtId="3" fontId="0" fillId="8" borderId="11" xfId="0" applyNumberFormat="1" applyFill="1" applyBorder="1">
      <alignment vertical="center"/>
    </xf>
    <xf numFmtId="3" fontId="0" fillId="8" borderId="12" xfId="0" applyNumberFormat="1" applyFill="1" applyBorder="1">
      <alignment vertical="center"/>
    </xf>
    <xf numFmtId="14" fontId="0" fillId="8" borderId="12" xfId="0" applyNumberFormat="1" applyFill="1" applyBorder="1">
      <alignment vertical="center"/>
    </xf>
    <xf numFmtId="3" fontId="0" fillId="0" borderId="2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8" borderId="16" xfId="0" applyNumberFormat="1" applyFill="1" applyBorder="1">
      <alignment vertical="center"/>
    </xf>
    <xf numFmtId="3" fontId="0" fillId="8" borderId="17" xfId="0" applyNumberFormat="1" applyFill="1" applyBorder="1">
      <alignment vertical="center"/>
    </xf>
    <xf numFmtId="3" fontId="0" fillId="0" borderId="16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14" fontId="0" fillId="0" borderId="11" xfId="0" applyNumberFormat="1" applyBorder="1">
      <alignment vertical="center"/>
    </xf>
    <xf numFmtId="3" fontId="4" fillId="10" borderId="20" xfId="0" applyNumberFormat="1" applyFont="1" applyFill="1" applyBorder="1" applyAlignment="1"/>
    <xf numFmtId="0" fontId="0" fillId="11" borderId="1" xfId="0" applyFill="1" applyBorder="1" applyAlignment="1">
      <alignment horizontal="center" vertical="center"/>
    </xf>
    <xf numFmtId="14" fontId="0" fillId="8" borderId="11" xfId="0" applyNumberFormat="1" applyFill="1" applyBorder="1">
      <alignment vertical="center"/>
    </xf>
    <xf numFmtId="3" fontId="5" fillId="10" borderId="24" xfId="0" applyNumberFormat="1" applyFont="1" applyFill="1" applyBorder="1" applyAlignment="1"/>
    <xf numFmtId="3" fontId="0" fillId="12" borderId="1" xfId="0" applyNumberFormat="1" applyFill="1" applyBorder="1">
      <alignment vertical="center"/>
    </xf>
    <xf numFmtId="3" fontId="0" fillId="12" borderId="11" xfId="0" applyNumberFormat="1" applyFill="1" applyBorder="1">
      <alignment vertical="center"/>
    </xf>
    <xf numFmtId="3" fontId="0" fillId="13" borderId="1" xfId="0" applyNumberFormat="1" applyFill="1" applyBorder="1">
      <alignment vertical="center"/>
    </xf>
    <xf numFmtId="14" fontId="0" fillId="13" borderId="11" xfId="0" applyNumberFormat="1" applyFill="1" applyBorder="1">
      <alignment vertical="center"/>
    </xf>
    <xf numFmtId="0" fontId="3" fillId="10" borderId="28" xfId="0" applyFont="1" applyFill="1" applyBorder="1" applyAlignment="1"/>
    <xf numFmtId="3" fontId="0" fillId="14" borderId="16" xfId="0" applyNumberFormat="1" applyFill="1" applyBorder="1">
      <alignment vertical="center"/>
    </xf>
    <xf numFmtId="3" fontId="0" fillId="14" borderId="17" xfId="0" applyNumberFormat="1" applyFill="1" applyBorder="1">
      <alignment vertical="center"/>
    </xf>
    <xf numFmtId="3" fontId="0" fillId="14" borderId="1" xfId="0" applyNumberFormat="1" applyFill="1" applyBorder="1">
      <alignment vertical="center"/>
    </xf>
    <xf numFmtId="14" fontId="0" fillId="14" borderId="11" xfId="0" applyNumberFormat="1" applyFill="1" applyBorder="1">
      <alignment vertical="center"/>
    </xf>
    <xf numFmtId="3" fontId="0" fillId="10" borderId="29" xfId="0" applyNumberFormat="1" applyFill="1" applyBorder="1" applyAlignment="1"/>
    <xf numFmtId="14" fontId="0" fillId="0" borderId="1" xfId="0" applyNumberFormat="1" applyBorder="1">
      <alignment vertical="center"/>
    </xf>
    <xf numFmtId="3" fontId="4" fillId="8" borderId="20" xfId="0" applyNumberFormat="1" applyFont="1" applyFill="1" applyBorder="1" applyAlignment="1"/>
    <xf numFmtId="3" fontId="5" fillId="8" borderId="24" xfId="0" applyNumberFormat="1" applyFont="1" applyFill="1" applyBorder="1" applyAlignment="1"/>
    <xf numFmtId="14" fontId="0" fillId="13" borderId="1" xfId="0" applyNumberFormat="1" applyFill="1" applyBorder="1">
      <alignment vertical="center"/>
    </xf>
    <xf numFmtId="0" fontId="3" fillId="8" borderId="28" xfId="0" applyFont="1" applyFill="1" applyBorder="1" applyAlignment="1"/>
    <xf numFmtId="14" fontId="0" fillId="14" borderId="1" xfId="0" applyNumberFormat="1" applyFill="1" applyBorder="1">
      <alignment vertical="center"/>
    </xf>
    <xf numFmtId="3" fontId="0" fillId="8" borderId="29" xfId="0" applyNumberFormat="1" applyFill="1" applyBorder="1" applyAlignment="1"/>
    <xf numFmtId="3" fontId="3" fillId="0" borderId="1" xfId="0" applyNumberFormat="1" applyFont="1" applyBorder="1">
      <alignment vertical="center"/>
    </xf>
    <xf numFmtId="0" fontId="3" fillId="7" borderId="1" xfId="0" applyFont="1" applyFill="1" applyBorder="1">
      <alignment vertical="center"/>
    </xf>
    <xf numFmtId="0" fontId="3" fillId="7" borderId="1" xfId="0" applyFont="1" applyFill="1" applyBorder="1" applyAlignment="1">
      <alignment horizontal="center" vertical="center"/>
    </xf>
    <xf numFmtId="0" fontId="0" fillId="0" borderId="0" xfId="0" quotePrefix="1">
      <alignment vertical="center"/>
    </xf>
    <xf numFmtId="0" fontId="0" fillId="0" borderId="0" xfId="0" applyAlignment="1">
      <alignment horizontal="right" vertical="center"/>
    </xf>
    <xf numFmtId="3" fontId="3" fillId="16" borderId="1" xfId="0" applyNumberFormat="1" applyFont="1" applyFill="1" applyBorder="1">
      <alignment vertical="center"/>
    </xf>
    <xf numFmtId="0" fontId="0" fillId="16" borderId="0" xfId="0" applyFill="1">
      <alignment vertical="center"/>
    </xf>
    <xf numFmtId="3" fontId="0" fillId="4" borderId="1" xfId="0" applyNumberFormat="1" applyFill="1" applyBorder="1" applyAlignment="1">
      <alignment horizontal="right" vertical="center"/>
    </xf>
    <xf numFmtId="3" fontId="0" fillId="0" borderId="3" xfId="0" applyNumberForma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176" fontId="0" fillId="8" borderId="6" xfId="0" applyNumberFormat="1" applyFill="1" applyBorder="1" applyAlignment="1">
      <alignment horizontal="center" vertical="center"/>
    </xf>
    <xf numFmtId="176" fontId="0" fillId="8" borderId="10" xfId="0" applyNumberFormat="1" applyFill="1" applyBorder="1" applyAlignment="1">
      <alignment horizontal="center" vertical="center"/>
    </xf>
    <xf numFmtId="176" fontId="0" fillId="8" borderId="15" xfId="0" applyNumberFormat="1" applyFill="1" applyBorder="1" applyAlignment="1">
      <alignment horizontal="center" vertical="center"/>
    </xf>
    <xf numFmtId="3" fontId="0" fillId="8" borderId="9" xfId="0" applyNumberFormat="1" applyFill="1" applyBorder="1" applyAlignment="1">
      <alignment horizontal="right"/>
    </xf>
    <xf numFmtId="0" fontId="0" fillId="8" borderId="12" xfId="0" applyFill="1" applyBorder="1" applyAlignment="1">
      <alignment horizontal="right"/>
    </xf>
    <xf numFmtId="0" fontId="0" fillId="8" borderId="13" xfId="0" applyFill="1" applyBorder="1" applyAlignment="1">
      <alignment horizontal="center" vertical="center"/>
    </xf>
    <xf numFmtId="0" fontId="0" fillId="8" borderId="1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3" fontId="3" fillId="7" borderId="4" xfId="0" applyNumberFormat="1" applyFont="1" applyFill="1" applyBorder="1" applyAlignment="1">
      <alignment horizontal="center" vertical="center"/>
    </xf>
    <xf numFmtId="3" fontId="3" fillId="7" borderId="2" xfId="0" applyNumberFormat="1" applyFont="1" applyFill="1" applyBorder="1" applyAlignment="1">
      <alignment horizontal="center" vertical="center"/>
    </xf>
    <xf numFmtId="3" fontId="3" fillId="9" borderId="4" xfId="0" applyNumberFormat="1" applyFont="1" applyFill="1" applyBorder="1" applyAlignment="1">
      <alignment horizontal="center" vertical="center"/>
    </xf>
    <xf numFmtId="3" fontId="3" fillId="9" borderId="2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7" borderId="21" xfId="0" applyNumberFormat="1" applyFill="1" applyBorder="1" applyAlignment="1">
      <alignment horizontal="center" vertical="center"/>
    </xf>
    <xf numFmtId="3" fontId="0" fillId="7" borderId="25" xfId="0" applyNumberFormat="1" applyFill="1" applyBorder="1" applyAlignment="1">
      <alignment horizontal="center" vertical="center"/>
    </xf>
    <xf numFmtId="3" fontId="0" fillId="7" borderId="30" xfId="0" applyNumberFormat="1" applyFill="1" applyBorder="1" applyAlignment="1">
      <alignment horizontal="center" vertical="center"/>
    </xf>
    <xf numFmtId="3" fontId="0" fillId="7" borderId="22" xfId="0" applyNumberFormat="1" applyFill="1" applyBorder="1" applyAlignment="1">
      <alignment horizontal="center" vertical="center"/>
    </xf>
    <xf numFmtId="3" fontId="0" fillId="7" borderId="13" xfId="0" applyNumberFormat="1" applyFill="1" applyBorder="1" applyAlignment="1">
      <alignment horizontal="center" vertical="center"/>
    </xf>
    <xf numFmtId="3" fontId="0" fillId="7" borderId="18" xfId="0" applyNumberFormat="1" applyFill="1" applyBorder="1" applyAlignment="1">
      <alignment horizontal="center" vertical="center"/>
    </xf>
    <xf numFmtId="3" fontId="0" fillId="9" borderId="23" xfId="0" applyNumberFormat="1" applyFill="1" applyBorder="1" applyAlignment="1">
      <alignment horizontal="center" vertical="center"/>
    </xf>
    <xf numFmtId="3" fontId="0" fillId="9" borderId="26" xfId="0" applyNumberFormat="1" applyFill="1" applyBorder="1" applyAlignment="1">
      <alignment horizontal="center" vertical="center"/>
    </xf>
    <xf numFmtId="3" fontId="0" fillId="9" borderId="31" xfId="0" applyNumberFormat="1" applyFill="1" applyBorder="1" applyAlignment="1">
      <alignment horizontal="center" vertical="center"/>
    </xf>
    <xf numFmtId="3" fontId="0" fillId="9" borderId="21" xfId="0" applyNumberFormat="1" applyFill="1" applyBorder="1" applyAlignment="1">
      <alignment horizontal="center" vertical="center"/>
    </xf>
    <xf numFmtId="3" fontId="0" fillId="9" borderId="25" xfId="0" applyNumberFormat="1" applyFill="1" applyBorder="1" applyAlignment="1">
      <alignment horizontal="center" vertical="center"/>
    </xf>
    <xf numFmtId="3" fontId="0" fillId="9" borderId="30" xfId="0" applyNumberFormat="1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32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8" borderId="22" xfId="0" applyNumberFormat="1" applyFill="1" applyBorder="1" applyAlignment="1">
      <alignment horizontal="center" vertical="center"/>
    </xf>
    <xf numFmtId="176" fontId="0" fillId="8" borderId="13" xfId="0" applyNumberFormat="1" applyFill="1" applyBorder="1" applyAlignment="1">
      <alignment horizontal="center" vertical="center"/>
    </xf>
    <xf numFmtId="176" fontId="0" fillId="8" borderId="18" xfId="0" applyNumberFormat="1" applyFill="1" applyBorder="1" applyAlignment="1">
      <alignment horizontal="center" vertical="center"/>
    </xf>
    <xf numFmtId="176" fontId="0" fillId="15" borderId="22" xfId="0" applyNumberFormat="1" applyFill="1" applyBorder="1" applyAlignment="1">
      <alignment horizontal="center" vertical="center"/>
    </xf>
    <xf numFmtId="176" fontId="0" fillId="15" borderId="13" xfId="0" applyNumberFormat="1" applyFill="1" applyBorder="1" applyAlignment="1">
      <alignment horizontal="center" vertical="center"/>
    </xf>
    <xf numFmtId="176" fontId="0" fillId="15" borderId="18" xfId="0" applyNumberFormat="1" applyFill="1" applyBorder="1" applyAlignment="1">
      <alignment horizontal="center" vertical="center"/>
    </xf>
  </cellXfs>
  <cellStyles count="1">
    <cellStyle name="표준" xfId="0" builtinId="0"/>
  </cellStyles>
  <dxfs count="3">
    <dxf>
      <fill>
        <patternFill>
          <bgColor rgb="FFFF7C80"/>
        </patternFill>
      </fill>
    </dxf>
    <dxf>
      <fill>
        <patternFill>
          <bgColor rgb="FF00B0F0"/>
        </patternFill>
      </fill>
    </dxf>
    <dxf>
      <fill>
        <patternFill>
          <bgColor theme="1" tint="0.34998626667073579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F6" sqref="F6"/>
    </sheetView>
  </sheetViews>
  <sheetFormatPr defaultRowHeight="16.5"/>
  <cols>
    <col min="1" max="1" width="14" bestFit="1" customWidth="1"/>
    <col min="2" max="2" width="6.75" bestFit="1" customWidth="1"/>
    <col min="3" max="3" width="13.125" bestFit="1" customWidth="1"/>
    <col min="4" max="4" width="12.75" bestFit="1" customWidth="1"/>
    <col min="5" max="5" width="13.125" bestFit="1" customWidth="1"/>
    <col min="6" max="6" width="15" bestFit="1" customWidth="1"/>
    <col min="7" max="7" width="13.5" bestFit="1" customWidth="1"/>
  </cols>
  <sheetData>
    <row r="1" spans="1:10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</row>
    <row r="2" spans="1:10">
      <c r="A2" s="85" t="s">
        <v>2</v>
      </c>
      <c r="B2" s="85"/>
      <c r="C2" s="85"/>
      <c r="D2" s="85"/>
      <c r="E2" s="85"/>
      <c r="F2" s="85"/>
      <c r="G2" s="86" t="s">
        <v>3</v>
      </c>
      <c r="H2" s="86"/>
      <c r="I2" s="86"/>
      <c r="J2" s="86"/>
    </row>
    <row r="3" spans="1:10">
      <c r="A3" s="10" t="s">
        <v>5</v>
      </c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1" t="s">
        <v>11</v>
      </c>
      <c r="H3" s="11" t="s">
        <v>12</v>
      </c>
      <c r="I3" s="11" t="s">
        <v>13</v>
      </c>
      <c r="J3" s="11" t="s">
        <v>14</v>
      </c>
    </row>
    <row r="4" spans="1:10">
      <c r="A4" s="16">
        <f>+HLOOKUP(A3,붉은달!3:4,2,)</f>
        <v>80000</v>
      </c>
      <c r="B4" s="16">
        <f>+HLOOKUP(B3,붉은달!3:4,2,)</f>
        <v>65000</v>
      </c>
      <c r="C4" s="16">
        <f>+HLOOKUP(C3,붉은달!3:4,2,)</f>
        <v>18000</v>
      </c>
      <c r="D4" s="16">
        <f>+HLOOKUP(D3,붉은달!3:4,2,)</f>
        <v>22000</v>
      </c>
      <c r="E4" s="16">
        <f>+HLOOKUP(E3,붉은달!3:4,2,)</f>
        <v>32000</v>
      </c>
      <c r="F4" s="16">
        <f>+HLOOKUP(F3,붉은달!3:4,2,)</f>
        <v>4333.333333333333</v>
      </c>
      <c r="G4" s="17">
        <f>+HLOOKUP(G3,붉은달!3:4,2,)</f>
        <v>30000</v>
      </c>
      <c r="H4" s="17">
        <f>+HLOOKUP(H3,붉은달!3:4,2,)</f>
        <v>12000</v>
      </c>
      <c r="I4" s="17">
        <f>+HLOOKUP(I3,붉은달!3:4,2,)</f>
        <v>7000</v>
      </c>
      <c r="J4" s="17">
        <f>+HLOOKUP(J3,붉은달!3:4,2,)</f>
        <v>14500</v>
      </c>
    </row>
    <row r="5" spans="1:10">
      <c r="F5" s="22"/>
      <c r="G5" s="75"/>
      <c r="H5" s="75"/>
      <c r="I5" s="75"/>
      <c r="J5" s="75"/>
    </row>
    <row r="7" spans="1:10">
      <c r="F7" s="71"/>
      <c r="G7" s="71" t="s">
        <v>64</v>
      </c>
    </row>
    <row r="8" spans="1:10">
      <c r="A8" s="73"/>
      <c r="B8" s="28" t="s">
        <v>54</v>
      </c>
      <c r="C8" s="69" t="s">
        <v>55</v>
      </c>
      <c r="D8" s="69" t="s">
        <v>56</v>
      </c>
      <c r="E8" s="69" t="s">
        <v>57</v>
      </c>
      <c r="F8" s="69" t="s">
        <v>58</v>
      </c>
      <c r="G8" s="69" t="s">
        <v>65</v>
      </c>
    </row>
    <row r="9" spans="1:10" s="22" customFormat="1">
      <c r="A9" s="68" t="s">
        <v>59</v>
      </c>
      <c r="B9" s="21">
        <f>+붉은달!O7</f>
        <v>2130</v>
      </c>
      <c r="C9" s="21">
        <f>+B9*40000</f>
        <v>85200000</v>
      </c>
      <c r="D9" s="21">
        <f>-10000*B9</f>
        <v>-21300000</v>
      </c>
      <c r="E9" s="21">
        <f>+SUMIF(붉은달!M:M,"Y",붉은달!N:N)</f>
        <v>705431666.66666675</v>
      </c>
      <c r="F9" s="21">
        <f>+E9+D9+C9</f>
        <v>769331666.66666675</v>
      </c>
      <c r="G9" s="21">
        <f>+F9/B9</f>
        <v>361188.57589984353</v>
      </c>
    </row>
    <row r="10" spans="1:10" s="22" customFormat="1">
      <c r="A10" s="68" t="s">
        <v>60</v>
      </c>
      <c r="B10" s="21">
        <f>+붉은달!Q7</f>
        <v>769</v>
      </c>
      <c r="C10" s="21">
        <f>+B10*40000</f>
        <v>30760000</v>
      </c>
      <c r="D10" s="21">
        <f>-10000*B10</f>
        <v>-7690000</v>
      </c>
      <c r="E10" s="21">
        <f>+SUMIF(붉은달!M:M,"X",붉은달!N:N)</f>
        <v>211137666.66666663</v>
      </c>
      <c r="F10" s="21">
        <f>+E10+D10+C10</f>
        <v>234207666.66666663</v>
      </c>
      <c r="G10" s="21">
        <f>+F10/B10</f>
        <v>304561.3350671868</v>
      </c>
    </row>
    <row r="11" spans="1:10">
      <c r="A11" s="69" t="s">
        <v>61</v>
      </c>
      <c r="B11" s="67">
        <f>SUM(B9:B10)</f>
        <v>2899</v>
      </c>
      <c r="C11" s="67">
        <f t="shared" ref="C11:F11" si="0">SUM(C9:C10)</f>
        <v>115960000</v>
      </c>
      <c r="D11" s="67">
        <f t="shared" si="0"/>
        <v>-28990000</v>
      </c>
      <c r="E11" s="67">
        <f t="shared" si="0"/>
        <v>916569333.33333337</v>
      </c>
      <c r="F11" s="67">
        <f t="shared" si="0"/>
        <v>1003539333.3333334</v>
      </c>
      <c r="G11" s="72"/>
    </row>
    <row r="13" spans="1:10">
      <c r="A13" s="70" t="s">
        <v>63</v>
      </c>
    </row>
    <row r="14" spans="1:10">
      <c r="A14" t="s">
        <v>62</v>
      </c>
    </row>
  </sheetData>
  <mergeCells count="4">
    <mergeCell ref="A1:J1"/>
    <mergeCell ref="A2:F2"/>
    <mergeCell ref="G2:J2"/>
    <mergeCell ref="G5:J5"/>
  </mergeCells>
  <phoneticPr fontId="2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46"/>
  <sheetViews>
    <sheetView workbookViewId="0">
      <pane xSplit="1" ySplit="10" topLeftCell="B308" activePane="bottomRight" state="frozen"/>
      <selection pane="topRight" activeCell="B1" sqref="B1"/>
      <selection pane="bottomLeft" activeCell="A11" sqref="A11"/>
      <selection pane="bottomRight" activeCell="B319" sqref="B319"/>
    </sheetView>
  </sheetViews>
  <sheetFormatPr defaultRowHeight="16.5"/>
  <cols>
    <col min="1" max="1" width="9.875" style="7" bestFit="1" customWidth="1"/>
    <col min="2" max="6" width="11.125" bestFit="1" customWidth="1"/>
    <col min="7" max="7" width="10" bestFit="1" customWidth="1"/>
    <col min="8" max="9" width="11.375" bestFit="1" customWidth="1"/>
    <col min="10" max="11" width="11.125" bestFit="1" customWidth="1"/>
    <col min="12" max="12" width="11.125" hidden="1" customWidth="1"/>
    <col min="13" max="13" width="11.125" style="23" hidden="1" customWidth="1"/>
    <col min="14" max="14" width="14.125" customWidth="1"/>
    <col min="15" max="15" width="5.875" customWidth="1"/>
    <col min="16" max="16" width="13.125" style="5" bestFit="1" customWidth="1"/>
    <col min="17" max="17" width="5.5" style="5" customWidth="1"/>
    <col min="18" max="18" width="13.125" style="5" bestFit="1" customWidth="1"/>
    <col min="19" max="19" width="9.25" style="6" bestFit="1" customWidth="1"/>
    <col min="20" max="20" width="6.125" customWidth="1"/>
    <col min="21" max="21" width="5.875" bestFit="1" customWidth="1"/>
    <col min="22" max="22" width="6.625" bestFit="1" customWidth="1"/>
    <col min="23" max="23" width="7.125" bestFit="1" customWidth="1"/>
    <col min="24" max="24" width="5.25" bestFit="1" customWidth="1"/>
    <col min="25" max="25" width="7.125" bestFit="1" customWidth="1"/>
    <col min="26" max="26" width="7.625" bestFit="1" customWidth="1"/>
    <col min="28" max="28" width="7.125" bestFit="1" customWidth="1"/>
    <col min="29" max="29" width="9" bestFit="1" customWidth="1"/>
    <col min="30" max="30" width="7.125" bestFit="1" customWidth="1"/>
    <col min="31" max="31" width="6.625" bestFit="1" customWidth="1"/>
    <col min="32" max="32" width="9" bestFit="1" customWidth="1"/>
    <col min="34" max="34" width="10.25" bestFit="1" customWidth="1"/>
  </cols>
  <sheetData>
    <row r="1" spans="1:32">
      <c r="A1" s="1"/>
      <c r="B1" s="84" t="s">
        <v>0</v>
      </c>
      <c r="C1" s="84"/>
      <c r="D1" s="84"/>
      <c r="E1" s="84"/>
      <c r="F1" s="84"/>
      <c r="G1" s="84"/>
      <c r="H1" s="84"/>
      <c r="I1" s="84"/>
      <c r="J1" s="84"/>
      <c r="K1" s="84"/>
      <c r="L1" s="2"/>
      <c r="M1" s="3"/>
      <c r="N1" s="4" t="s">
        <v>1</v>
      </c>
      <c r="O1" s="74">
        <f>+$N$8</f>
        <v>179067166.66666666</v>
      </c>
      <c r="P1" s="74"/>
      <c r="R1" s="5">
        <v>0</v>
      </c>
      <c r="Z1">
        <v>63</v>
      </c>
      <c r="AA1">
        <v>89</v>
      </c>
      <c r="AB1">
        <f>+AA1/Z1</f>
        <v>1.4126984126984128</v>
      </c>
    </row>
    <row r="2" spans="1:32">
      <c r="B2" s="85" t="s">
        <v>2</v>
      </c>
      <c r="C2" s="85"/>
      <c r="D2" s="85"/>
      <c r="E2" s="85"/>
      <c r="F2" s="85"/>
      <c r="G2" s="85"/>
      <c r="H2" s="86" t="s">
        <v>3</v>
      </c>
      <c r="I2" s="86"/>
      <c r="J2" s="86"/>
      <c r="K2" s="86"/>
      <c r="L2" s="8"/>
      <c r="M2" s="9"/>
      <c r="N2" s="4" t="s">
        <v>4</v>
      </c>
      <c r="O2" s="74">
        <f>SUMIF(M:M,"X",N:N)+SUMIF(M:M,"Y",N:N)</f>
        <v>916569333.33333337</v>
      </c>
      <c r="P2" s="74"/>
      <c r="Z2">
        <f>+AA2/AB1</f>
        <v>59.460674157303366</v>
      </c>
      <c r="AA2">
        <v>84</v>
      </c>
    </row>
    <row r="3" spans="1:32"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2"/>
      <c r="M3" s="13"/>
      <c r="N3" s="4" t="s">
        <v>15</v>
      </c>
      <c r="O3" s="74">
        <f ca="1">-(O2+O1)+O4</f>
        <v>-1028641666.6666666</v>
      </c>
      <c r="P3" s="74"/>
      <c r="S3" s="14" t="s">
        <v>16</v>
      </c>
      <c r="T3" s="15" t="s">
        <v>17</v>
      </c>
      <c r="U3" s="15" t="s">
        <v>18</v>
      </c>
      <c r="V3" s="15" t="s">
        <v>19</v>
      </c>
      <c r="W3" s="15" t="s">
        <v>20</v>
      </c>
    </row>
    <row r="4" spans="1:32" s="22" customFormat="1">
      <c r="A4" s="7"/>
      <c r="B4" s="16">
        <v>80000</v>
      </c>
      <c r="C4" s="16">
        <v>65000</v>
      </c>
      <c r="D4" s="16">
        <v>18000</v>
      </c>
      <c r="E4" s="16">
        <v>22000</v>
      </c>
      <c r="F4" s="16">
        <v>32000</v>
      </c>
      <c r="G4" s="16">
        <f>+(D4-5000)/3</f>
        <v>4333.333333333333</v>
      </c>
      <c r="H4" s="17">
        <v>30000</v>
      </c>
      <c r="I4" s="17">
        <v>12000</v>
      </c>
      <c r="J4" s="17">
        <v>7000</v>
      </c>
      <c r="K4" s="17">
        <v>14500</v>
      </c>
      <c r="L4" s="18"/>
      <c r="M4" s="13"/>
      <c r="N4" s="19" t="s">
        <v>21</v>
      </c>
      <c r="O4" s="74">
        <f ca="1">+VLOOKUP(TODAY()-1,M:N,2,)</f>
        <v>66994833.333333336</v>
      </c>
      <c r="P4" s="74"/>
      <c r="Q4" s="5"/>
      <c r="R4" s="5"/>
      <c r="S4" s="20" t="s">
        <v>22</v>
      </c>
      <c r="T4" s="21" t="s">
        <v>23</v>
      </c>
      <c r="U4" s="21" t="s">
        <v>24</v>
      </c>
      <c r="V4" s="21"/>
      <c r="W4" s="21"/>
    </row>
    <row r="5" spans="1:32">
      <c r="G5" s="22"/>
      <c r="H5" s="75"/>
      <c r="I5" s="75"/>
      <c r="J5" s="75"/>
      <c r="K5" s="75"/>
      <c r="N5" s="19" t="s">
        <v>25</v>
      </c>
      <c r="O5" s="74">
        <f ca="1">SUMIF(L:L,MONTH(TODAY()),N:N)</f>
        <v>166221333.33333334</v>
      </c>
      <c r="P5" s="74"/>
    </row>
    <row r="6" spans="1:32">
      <c r="O6" s="22">
        <f>+O7+Q7</f>
        <v>2899</v>
      </c>
      <c r="P6" s="76">
        <f>AVERAGE(P7,R7)</f>
        <v>302874.95548351516</v>
      </c>
      <c r="Q6" s="76"/>
      <c r="R6" s="76"/>
    </row>
    <row r="7" spans="1:32" s="6" customFormat="1" ht="17.25" thickBot="1">
      <c r="A7" s="24"/>
      <c r="B7" s="25" t="s">
        <v>5</v>
      </c>
      <c r="C7" s="25" t="s">
        <v>6</v>
      </c>
      <c r="D7" s="25" t="s">
        <v>7</v>
      </c>
      <c r="E7" s="25" t="s">
        <v>8</v>
      </c>
      <c r="F7" s="25" t="s">
        <v>9</v>
      </c>
      <c r="G7" s="25" t="s">
        <v>10</v>
      </c>
      <c r="H7" s="25" t="s">
        <v>11</v>
      </c>
      <c r="I7" s="25" t="s">
        <v>12</v>
      </c>
      <c r="J7" s="25" t="s">
        <v>13</v>
      </c>
      <c r="K7" s="25" t="s">
        <v>14</v>
      </c>
      <c r="L7" s="26" t="s">
        <v>26</v>
      </c>
      <c r="M7" s="27" t="s">
        <v>27</v>
      </c>
      <c r="N7" s="26" t="s">
        <v>28</v>
      </c>
      <c r="O7" s="87">
        <f>SUM(O9:O1048576)</f>
        <v>2130</v>
      </c>
      <c r="P7" s="28">
        <f>+P8/O7</f>
        <v>331188.57589984353</v>
      </c>
      <c r="Q7" s="89">
        <f>SUM(Q9:Q1048576)</f>
        <v>769</v>
      </c>
      <c r="R7" s="29">
        <f>+R8/Q7</f>
        <v>274561.3350671868</v>
      </c>
      <c r="S7" s="30" t="s">
        <v>29</v>
      </c>
    </row>
    <row r="8" spans="1:32">
      <c r="A8" s="77" t="s">
        <v>30</v>
      </c>
      <c r="B8" s="31">
        <v>584</v>
      </c>
      <c r="C8" s="31">
        <v>277</v>
      </c>
      <c r="D8" s="31">
        <v>1507</v>
      </c>
      <c r="E8" s="31">
        <f>1000-36+460</f>
        <v>1424</v>
      </c>
      <c r="F8" s="31">
        <v>723</v>
      </c>
      <c r="G8" s="31">
        <v>344</v>
      </c>
      <c r="H8" s="31">
        <v>482</v>
      </c>
      <c r="I8" s="31">
        <v>465</v>
      </c>
      <c r="J8" s="31">
        <v>499</v>
      </c>
      <c r="K8" s="32">
        <v>533</v>
      </c>
      <c r="L8" s="33"/>
      <c r="M8" s="34"/>
      <c r="N8" s="80">
        <f>SUM(B10:K10)</f>
        <v>179067166.66666666</v>
      </c>
      <c r="O8" s="88"/>
      <c r="P8" s="28">
        <f>+SUMIF(M:M,"Y",N:N)</f>
        <v>705431666.66666675</v>
      </c>
      <c r="Q8" s="90"/>
      <c r="R8" s="29">
        <f>+SUMIF(M:M,"X",N:N)</f>
        <v>211137666.66666663</v>
      </c>
      <c r="S8" s="6" t="s">
        <v>31</v>
      </c>
      <c r="T8" s="22">
        <f>+(40000-10000)*T9/10000</f>
        <v>1569</v>
      </c>
      <c r="U8" s="22">
        <f t="shared" ref="U8:AF8" si="0">+(40000-10000)*U9/10000</f>
        <v>1344</v>
      </c>
      <c r="V8" s="22">
        <f t="shared" si="0"/>
        <v>1236</v>
      </c>
      <c r="W8" s="22">
        <f t="shared" si="0"/>
        <v>927</v>
      </c>
      <c r="X8" s="22">
        <f t="shared" si="0"/>
        <v>990</v>
      </c>
      <c r="Y8" s="22">
        <f t="shared" si="0"/>
        <v>411</v>
      </c>
      <c r="Z8" s="22">
        <f t="shared" si="0"/>
        <v>888</v>
      </c>
      <c r="AA8" s="22">
        <f t="shared" si="0"/>
        <v>438</v>
      </c>
      <c r="AB8" s="22">
        <f t="shared" si="0"/>
        <v>483</v>
      </c>
      <c r="AC8" s="22">
        <f t="shared" si="0"/>
        <v>177</v>
      </c>
      <c r="AD8" s="22">
        <f t="shared" si="0"/>
        <v>75</v>
      </c>
      <c r="AE8" s="22">
        <f>+(40000-10000)*AE9/10000</f>
        <v>123</v>
      </c>
      <c r="AF8" s="22">
        <f t="shared" si="0"/>
        <v>36</v>
      </c>
    </row>
    <row r="9" spans="1:32">
      <c r="A9" s="78"/>
      <c r="B9" s="35">
        <f>+B$4*B8</f>
        <v>46720000</v>
      </c>
      <c r="C9" s="35">
        <f t="shared" ref="C9:K9" si="1">+C$4*C8</f>
        <v>18005000</v>
      </c>
      <c r="D9" s="35">
        <f t="shared" si="1"/>
        <v>27126000</v>
      </c>
      <c r="E9" s="35">
        <f t="shared" si="1"/>
        <v>31328000</v>
      </c>
      <c r="F9" s="35">
        <f t="shared" si="1"/>
        <v>23136000</v>
      </c>
      <c r="G9" s="35">
        <f t="shared" si="1"/>
        <v>1490666.6666666665</v>
      </c>
      <c r="H9" s="35">
        <f t="shared" si="1"/>
        <v>14460000</v>
      </c>
      <c r="I9" s="35">
        <f t="shared" si="1"/>
        <v>5580000</v>
      </c>
      <c r="J9" s="35">
        <f t="shared" si="1"/>
        <v>3493000</v>
      </c>
      <c r="K9" s="36">
        <f t="shared" si="1"/>
        <v>7728500</v>
      </c>
      <c r="L9" s="37"/>
      <c r="M9" s="38"/>
      <c r="N9" s="81"/>
      <c r="O9" s="82" t="s">
        <v>32</v>
      </c>
      <c r="P9" s="39" t="s">
        <v>33</v>
      </c>
      <c r="Q9" s="82" t="s">
        <v>32</v>
      </c>
      <c r="R9" s="40" t="s">
        <v>34</v>
      </c>
      <c r="S9" s="6" t="s">
        <v>35</v>
      </c>
      <c r="T9" s="22">
        <f t="shared" ref="T9:AF9" si="2">SUM(T10:T1048576)</f>
        <v>523</v>
      </c>
      <c r="U9" s="22">
        <f t="shared" si="2"/>
        <v>448</v>
      </c>
      <c r="V9" s="22">
        <f t="shared" si="2"/>
        <v>412</v>
      </c>
      <c r="W9" s="22">
        <f t="shared" si="2"/>
        <v>309</v>
      </c>
      <c r="X9" s="22">
        <f t="shared" si="2"/>
        <v>330</v>
      </c>
      <c r="Y9" s="22">
        <f t="shared" si="2"/>
        <v>137</v>
      </c>
      <c r="Z9" s="22">
        <f t="shared" si="2"/>
        <v>296</v>
      </c>
      <c r="AA9" s="22">
        <f t="shared" si="2"/>
        <v>146</v>
      </c>
      <c r="AB9" s="22">
        <f t="shared" si="2"/>
        <v>161</v>
      </c>
      <c r="AC9" s="22">
        <f t="shared" si="2"/>
        <v>59</v>
      </c>
      <c r="AD9" s="22">
        <f t="shared" si="2"/>
        <v>25</v>
      </c>
      <c r="AE9" s="22">
        <f t="shared" si="2"/>
        <v>41</v>
      </c>
      <c r="AF9" s="22">
        <f t="shared" si="2"/>
        <v>12</v>
      </c>
    </row>
    <row r="10" spans="1:32" ht="17.25" thickBot="1">
      <c r="A10" s="79"/>
      <c r="B10" s="41">
        <f>+B9</f>
        <v>46720000</v>
      </c>
      <c r="C10" s="41">
        <f t="shared" ref="C10:K10" si="3">+C9</f>
        <v>18005000</v>
      </c>
      <c r="D10" s="41">
        <f t="shared" si="3"/>
        <v>27126000</v>
      </c>
      <c r="E10" s="41">
        <f t="shared" si="3"/>
        <v>31328000</v>
      </c>
      <c r="F10" s="41">
        <f t="shared" si="3"/>
        <v>23136000</v>
      </c>
      <c r="G10" s="41">
        <f t="shared" si="3"/>
        <v>1490666.6666666665</v>
      </c>
      <c r="H10" s="41">
        <f t="shared" si="3"/>
        <v>14460000</v>
      </c>
      <c r="I10" s="41">
        <f t="shared" si="3"/>
        <v>5580000</v>
      </c>
      <c r="J10" s="41">
        <f t="shared" si="3"/>
        <v>3493000</v>
      </c>
      <c r="K10" s="42">
        <f t="shared" si="3"/>
        <v>7728500</v>
      </c>
      <c r="L10" s="37"/>
      <c r="M10" s="38"/>
      <c r="N10" s="81"/>
      <c r="O10" s="83"/>
      <c r="P10" s="43" t="s">
        <v>36</v>
      </c>
      <c r="Q10" s="83"/>
      <c r="R10" s="44" t="s">
        <v>36</v>
      </c>
      <c r="S10" s="6" t="s">
        <v>37</v>
      </c>
      <c r="T10" t="s">
        <v>41</v>
      </c>
      <c r="U10" t="s">
        <v>42</v>
      </c>
      <c r="V10" t="s">
        <v>43</v>
      </c>
      <c r="W10" t="s">
        <v>44</v>
      </c>
      <c r="X10" t="s">
        <v>45</v>
      </c>
      <c r="Y10" t="s">
        <v>46</v>
      </c>
      <c r="Z10" t="s">
        <v>47</v>
      </c>
      <c r="AA10" t="s">
        <v>48</v>
      </c>
      <c r="AB10" t="s">
        <v>49</v>
      </c>
      <c r="AC10" t="s">
        <v>50</v>
      </c>
      <c r="AD10" t="s">
        <v>51</v>
      </c>
      <c r="AE10" t="s">
        <v>53</v>
      </c>
      <c r="AF10" t="s">
        <v>52</v>
      </c>
    </row>
    <row r="11" spans="1:32">
      <c r="A11" s="77">
        <v>44165</v>
      </c>
      <c r="B11" s="31">
        <v>604</v>
      </c>
      <c r="C11" s="31">
        <v>303</v>
      </c>
      <c r="D11" s="31">
        <v>1525</v>
      </c>
      <c r="E11" s="31">
        <f>964+487</f>
        <v>1451</v>
      </c>
      <c r="F11" s="31">
        <v>734</v>
      </c>
      <c r="G11" s="31">
        <v>367</v>
      </c>
      <c r="H11" s="31">
        <v>486</v>
      </c>
      <c r="I11" s="31">
        <v>470</v>
      </c>
      <c r="J11" s="31">
        <v>505</v>
      </c>
      <c r="K11" s="32">
        <v>539</v>
      </c>
      <c r="L11" s="15"/>
      <c r="M11" s="45"/>
      <c r="N11" s="46" t="s">
        <v>38</v>
      </c>
      <c r="O11" s="92">
        <f>+IFERROR(IF(HLOOKUP(S11,$S$3:$AB$3,1,)=S11,S12,0),0)</f>
        <v>14</v>
      </c>
      <c r="P11" s="95">
        <f>IFERROR(+N12/O11,0)</f>
        <v>354904.76190476195</v>
      </c>
      <c r="Q11" s="98">
        <f>+IFERROR(IF(HLOOKUP(S11,$S$4:$AB$4,1,)=S11,S12,0),0)</f>
        <v>0</v>
      </c>
      <c r="R11" s="101">
        <f>IFERROR(N12/Q11,0)</f>
        <v>0</v>
      </c>
      <c r="S11" s="47" t="s">
        <v>17</v>
      </c>
      <c r="T11" s="91">
        <v>11</v>
      </c>
      <c r="U11" s="91">
        <v>3</v>
      </c>
      <c r="V11" s="91">
        <v>0</v>
      </c>
      <c r="W11" s="91">
        <v>0</v>
      </c>
      <c r="X11" s="91">
        <v>0</v>
      </c>
      <c r="Y11" s="91">
        <v>0</v>
      </c>
      <c r="Z11" s="91">
        <v>0</v>
      </c>
      <c r="AA11" s="91">
        <v>0</v>
      </c>
      <c r="AB11" s="91">
        <v>0</v>
      </c>
      <c r="AC11" s="91">
        <v>0</v>
      </c>
      <c r="AD11" s="91">
        <v>0</v>
      </c>
      <c r="AE11" s="91">
        <v>0</v>
      </c>
      <c r="AF11" s="91">
        <v>0</v>
      </c>
    </row>
    <row r="12" spans="1:32" ht="17.25" thickBot="1">
      <c r="A12" s="78"/>
      <c r="B12" s="35">
        <f>+(B11-B8)*B$4</f>
        <v>1600000</v>
      </c>
      <c r="C12" s="35">
        <f t="shared" ref="C12:K12" si="4">+(C11-C8)*C$4</f>
        <v>1690000</v>
      </c>
      <c r="D12" s="35">
        <f t="shared" si="4"/>
        <v>324000</v>
      </c>
      <c r="E12" s="35">
        <f t="shared" si="4"/>
        <v>594000</v>
      </c>
      <c r="F12" s="35">
        <f t="shared" si="4"/>
        <v>352000</v>
      </c>
      <c r="G12" s="35">
        <f t="shared" si="4"/>
        <v>99666.666666666657</v>
      </c>
      <c r="H12" s="35">
        <f t="shared" si="4"/>
        <v>120000</v>
      </c>
      <c r="I12" s="35">
        <f t="shared" si="4"/>
        <v>60000</v>
      </c>
      <c r="J12" s="35">
        <f t="shared" si="4"/>
        <v>42000</v>
      </c>
      <c r="K12" s="36">
        <f t="shared" si="4"/>
        <v>87000</v>
      </c>
      <c r="L12" s="35">
        <f>MONTH(M14)</f>
        <v>11</v>
      </c>
      <c r="M12" s="48" t="str">
        <f>IF(O11&gt;0,"Y","X")</f>
        <v>Y</v>
      </c>
      <c r="N12" s="49">
        <f>IF(SUM(B11:K11)=0,0,SUM(B12:K12))</f>
        <v>4968666.666666667</v>
      </c>
      <c r="O12" s="93"/>
      <c r="P12" s="96"/>
      <c r="Q12" s="99"/>
      <c r="R12" s="102"/>
      <c r="S12" s="104">
        <f>SUM(T11:XFD11)</f>
        <v>14</v>
      </c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</row>
    <row r="13" spans="1:32" ht="17.25" thickTop="1">
      <c r="A13" s="78"/>
      <c r="B13" s="50">
        <v>0</v>
      </c>
      <c r="C13" s="50">
        <v>0</v>
      </c>
      <c r="D13" s="50">
        <v>-10</v>
      </c>
      <c r="E13" s="50">
        <v>0</v>
      </c>
      <c r="F13" s="50">
        <v>-5</v>
      </c>
      <c r="G13" s="50">
        <v>0</v>
      </c>
      <c r="H13" s="50">
        <v>0</v>
      </c>
      <c r="I13" s="50">
        <v>0</v>
      </c>
      <c r="J13" s="50">
        <v>0</v>
      </c>
      <c r="K13" s="51">
        <v>0</v>
      </c>
      <c r="L13" s="52"/>
      <c r="M13" s="53"/>
      <c r="N13" s="54" t="s">
        <v>39</v>
      </c>
      <c r="O13" s="93"/>
      <c r="P13" s="96"/>
      <c r="Q13" s="99"/>
      <c r="R13" s="102"/>
      <c r="S13" s="105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</row>
    <row r="14" spans="1:32" ht="17.25" thickBot="1">
      <c r="A14" s="79"/>
      <c r="B14" s="55">
        <f>+(B11+B13)*B$4</f>
        <v>48320000</v>
      </c>
      <c r="C14" s="55">
        <f t="shared" ref="C14:K14" si="5">+(C11+C13)*C$4</f>
        <v>19695000</v>
      </c>
      <c r="D14" s="55">
        <f t="shared" si="5"/>
        <v>27270000</v>
      </c>
      <c r="E14" s="55">
        <f t="shared" si="5"/>
        <v>31922000</v>
      </c>
      <c r="F14" s="55">
        <f t="shared" si="5"/>
        <v>23328000</v>
      </c>
      <c r="G14" s="55">
        <f t="shared" si="5"/>
        <v>1590333.3333333333</v>
      </c>
      <c r="H14" s="55">
        <f t="shared" si="5"/>
        <v>14580000</v>
      </c>
      <c r="I14" s="55">
        <f t="shared" si="5"/>
        <v>5640000</v>
      </c>
      <c r="J14" s="55">
        <f t="shared" si="5"/>
        <v>3535000</v>
      </c>
      <c r="K14" s="56">
        <f t="shared" si="5"/>
        <v>7815500</v>
      </c>
      <c r="L14" s="57"/>
      <c r="M14" s="58">
        <f>A11</f>
        <v>44165</v>
      </c>
      <c r="N14" s="59">
        <f>SUM(B14:K14)</f>
        <v>183695833.33333334</v>
      </c>
      <c r="O14" s="94"/>
      <c r="P14" s="97"/>
      <c r="Q14" s="100"/>
      <c r="R14" s="103"/>
      <c r="S14" s="106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</row>
    <row r="15" spans="1:32">
      <c r="A15" s="77">
        <f>+A11+1</f>
        <v>44166</v>
      </c>
      <c r="B15" s="31">
        <v>645</v>
      </c>
      <c r="C15" s="31">
        <v>339</v>
      </c>
      <c r="D15" s="31">
        <v>1543</v>
      </c>
      <c r="E15" s="31">
        <f>964+549</f>
        <v>1513</v>
      </c>
      <c r="F15" s="31">
        <v>759</v>
      </c>
      <c r="G15" s="31">
        <v>413</v>
      </c>
      <c r="H15" s="31">
        <v>497</v>
      </c>
      <c r="I15" s="31">
        <v>480</v>
      </c>
      <c r="J15" s="31">
        <v>510</v>
      </c>
      <c r="K15" s="32">
        <v>550</v>
      </c>
      <c r="L15" s="15"/>
      <c r="M15" s="60"/>
      <c r="N15" s="61" t="s">
        <v>38</v>
      </c>
      <c r="O15" s="92">
        <f>+IFERROR(IF(HLOOKUP(S15,$S$3:$AB$3,1,)=S15,S16,0),0)</f>
        <v>30</v>
      </c>
      <c r="P15" s="95">
        <f>IFERROR(+N16/O15,0)</f>
        <v>309727.77777777781</v>
      </c>
      <c r="Q15" s="98">
        <f>+IFERROR(IF(HLOOKUP(S15,$S$4:$AB$4,1,)=S15,S16,0),0)</f>
        <v>0</v>
      </c>
      <c r="R15" s="101">
        <f>IFERROR(N16/Q15,0)</f>
        <v>0</v>
      </c>
      <c r="S15" s="47" t="s">
        <v>19</v>
      </c>
      <c r="T15" s="91">
        <v>14</v>
      </c>
      <c r="U15" s="91">
        <v>6</v>
      </c>
      <c r="V15" s="91">
        <v>6</v>
      </c>
      <c r="W15" s="91">
        <v>4</v>
      </c>
      <c r="X15" s="91">
        <v>0</v>
      </c>
      <c r="Y15" s="91">
        <v>0</v>
      </c>
      <c r="Z15" s="91">
        <v>0</v>
      </c>
      <c r="AA15" s="91">
        <v>0</v>
      </c>
      <c r="AB15" s="91">
        <v>0</v>
      </c>
      <c r="AC15" s="91">
        <v>0</v>
      </c>
      <c r="AD15" s="91">
        <v>0</v>
      </c>
      <c r="AE15" s="91">
        <v>0</v>
      </c>
      <c r="AF15" s="91">
        <v>0</v>
      </c>
    </row>
    <row r="16" spans="1:32" ht="17.25" thickBot="1">
      <c r="A16" s="78"/>
      <c r="B16" s="35">
        <f>+(B15-(B11+B13))*B$4</f>
        <v>3280000</v>
      </c>
      <c r="C16" s="35">
        <f>+(C15-(C11+C13))*C$4</f>
        <v>2340000</v>
      </c>
      <c r="D16" s="35">
        <f>+(D15-(D11+D13))*D$4</f>
        <v>504000</v>
      </c>
      <c r="E16" s="35">
        <f t="shared" ref="E16:K16" si="6">+(E15-(E11+E13))*E$4</f>
        <v>1364000</v>
      </c>
      <c r="F16" s="35">
        <f t="shared" si="6"/>
        <v>960000</v>
      </c>
      <c r="G16" s="35">
        <f t="shared" si="6"/>
        <v>199333.33333333331</v>
      </c>
      <c r="H16" s="35">
        <f t="shared" si="6"/>
        <v>330000</v>
      </c>
      <c r="I16" s="35">
        <f t="shared" si="6"/>
        <v>120000</v>
      </c>
      <c r="J16" s="35">
        <f t="shared" si="6"/>
        <v>35000</v>
      </c>
      <c r="K16" s="36">
        <f t="shared" si="6"/>
        <v>159500</v>
      </c>
      <c r="L16" s="35">
        <f>MONTH(M18)</f>
        <v>12</v>
      </c>
      <c r="M16" s="48" t="str">
        <f>IF(O15&gt;0,"Y","X")</f>
        <v>Y</v>
      </c>
      <c r="N16" s="62">
        <f>IF(SUM(B15:K15)=0,0,SUM(B16:K16))</f>
        <v>9291833.333333334</v>
      </c>
      <c r="O16" s="93"/>
      <c r="P16" s="96"/>
      <c r="Q16" s="99"/>
      <c r="R16" s="102"/>
      <c r="S16" s="104">
        <f>SUM(T15:XFD15)</f>
        <v>30</v>
      </c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</row>
    <row r="17" spans="1:32" ht="17.25" thickTop="1">
      <c r="A17" s="78"/>
      <c r="B17" s="50">
        <v>0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1">
        <v>0</v>
      </c>
      <c r="L17" s="52"/>
      <c r="M17" s="63"/>
      <c r="N17" s="64" t="s">
        <v>39</v>
      </c>
      <c r="O17" s="93"/>
      <c r="P17" s="96"/>
      <c r="Q17" s="99"/>
      <c r="R17" s="102"/>
      <c r="S17" s="105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</row>
    <row r="18" spans="1:32" ht="17.25" thickBot="1">
      <c r="A18" s="79"/>
      <c r="B18" s="55">
        <f t="shared" ref="B18:K18" si="7">+(B15+B17)*B$4</f>
        <v>51600000</v>
      </c>
      <c r="C18" s="55">
        <f t="shared" si="7"/>
        <v>22035000</v>
      </c>
      <c r="D18" s="55">
        <f t="shared" si="7"/>
        <v>27774000</v>
      </c>
      <c r="E18" s="55">
        <f t="shared" si="7"/>
        <v>33286000</v>
      </c>
      <c r="F18" s="55">
        <f t="shared" si="7"/>
        <v>24288000</v>
      </c>
      <c r="G18" s="55">
        <f t="shared" si="7"/>
        <v>1789666.6666666665</v>
      </c>
      <c r="H18" s="55">
        <f t="shared" si="7"/>
        <v>14910000</v>
      </c>
      <c r="I18" s="55">
        <f t="shared" si="7"/>
        <v>5760000</v>
      </c>
      <c r="J18" s="55">
        <f t="shared" si="7"/>
        <v>3570000</v>
      </c>
      <c r="K18" s="56">
        <f t="shared" si="7"/>
        <v>7975000</v>
      </c>
      <c r="L18" s="57"/>
      <c r="M18" s="65">
        <f>A15</f>
        <v>44166</v>
      </c>
      <c r="N18" s="66">
        <f>SUM(B18:K18)</f>
        <v>192987666.66666666</v>
      </c>
      <c r="O18" s="94"/>
      <c r="P18" s="97"/>
      <c r="Q18" s="100"/>
      <c r="R18" s="103"/>
      <c r="S18" s="106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</row>
    <row r="19" spans="1:32">
      <c r="A19" s="110">
        <f>+A15+1</f>
        <v>44167</v>
      </c>
      <c r="B19" s="31">
        <v>663</v>
      </c>
      <c r="C19" s="31">
        <v>351</v>
      </c>
      <c r="D19" s="31">
        <v>1552</v>
      </c>
      <c r="E19" s="31">
        <f>964+570</f>
        <v>1534</v>
      </c>
      <c r="F19" s="31">
        <v>768</v>
      </c>
      <c r="G19" s="31">
        <v>425</v>
      </c>
      <c r="H19" s="31">
        <v>498</v>
      </c>
      <c r="I19" s="31">
        <v>483</v>
      </c>
      <c r="J19" s="31">
        <v>513</v>
      </c>
      <c r="K19" s="32">
        <v>551</v>
      </c>
      <c r="L19" s="15"/>
      <c r="M19" s="60"/>
      <c r="N19" s="46" t="s">
        <v>38</v>
      </c>
      <c r="O19" s="92">
        <f>+IFERROR(IF(HLOOKUP(S19,$S$3:$AB$3,1,)=S19,S20,0),0)</f>
        <v>11</v>
      </c>
      <c r="P19" s="95">
        <f>IFERROR(+N20/O19,0)</f>
        <v>298681.81818181818</v>
      </c>
      <c r="Q19" s="98">
        <f>+IFERROR(IF(HLOOKUP(S19,$S$4:$AB$4,1,)=S19,S20,0),0)</f>
        <v>0</v>
      </c>
      <c r="R19" s="101">
        <f>IFERROR(N20/Q19,0)</f>
        <v>0</v>
      </c>
      <c r="S19" s="47" t="s">
        <v>20</v>
      </c>
      <c r="T19" s="107">
        <v>6</v>
      </c>
      <c r="U19" s="107">
        <v>5</v>
      </c>
      <c r="V19" s="107">
        <v>0</v>
      </c>
      <c r="W19" s="107">
        <v>0</v>
      </c>
      <c r="X19" s="107">
        <v>0</v>
      </c>
      <c r="Y19" s="107">
        <v>0</v>
      </c>
      <c r="Z19" s="107">
        <v>0</v>
      </c>
      <c r="AA19" s="107">
        <v>0</v>
      </c>
      <c r="AB19" s="107">
        <v>0</v>
      </c>
      <c r="AC19" s="107">
        <v>0</v>
      </c>
      <c r="AD19" s="107">
        <v>0</v>
      </c>
      <c r="AE19" s="107">
        <v>0</v>
      </c>
      <c r="AF19" s="107">
        <v>0</v>
      </c>
    </row>
    <row r="20" spans="1:32" ht="17.25" thickBot="1">
      <c r="A20" s="111"/>
      <c r="B20" s="35">
        <f t="shared" ref="B20:K20" si="8">+(B19-(B15+B17))*B$4</f>
        <v>1440000</v>
      </c>
      <c r="C20" s="35">
        <f t="shared" si="8"/>
        <v>780000</v>
      </c>
      <c r="D20" s="35">
        <f t="shared" si="8"/>
        <v>162000</v>
      </c>
      <c r="E20" s="35">
        <f t="shared" si="8"/>
        <v>462000</v>
      </c>
      <c r="F20" s="35">
        <f t="shared" si="8"/>
        <v>288000</v>
      </c>
      <c r="G20" s="35">
        <f t="shared" si="8"/>
        <v>52000</v>
      </c>
      <c r="H20" s="35">
        <f t="shared" si="8"/>
        <v>30000</v>
      </c>
      <c r="I20" s="35">
        <f t="shared" si="8"/>
        <v>36000</v>
      </c>
      <c r="J20" s="35">
        <f t="shared" si="8"/>
        <v>21000</v>
      </c>
      <c r="K20" s="36">
        <f t="shared" si="8"/>
        <v>14500</v>
      </c>
      <c r="L20" s="35">
        <f>MONTH(M22)</f>
        <v>12</v>
      </c>
      <c r="M20" s="48" t="str">
        <f>IF(O19&gt;0,"Y","X")</f>
        <v>Y</v>
      </c>
      <c r="N20" s="49">
        <f>IF(SUM(B19:K19)=0,0,SUM(B20:K20))</f>
        <v>3285500</v>
      </c>
      <c r="O20" s="93"/>
      <c r="P20" s="96"/>
      <c r="Q20" s="99"/>
      <c r="R20" s="102"/>
      <c r="S20" s="104">
        <f>SUM(T19:XFD19)</f>
        <v>11</v>
      </c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</row>
    <row r="21" spans="1:32" ht="17.25" thickTop="1">
      <c r="A21" s="111"/>
      <c r="B21" s="50">
        <v>0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1">
        <v>0</v>
      </c>
      <c r="L21" s="52"/>
      <c r="M21" s="63"/>
      <c r="N21" s="54" t="s">
        <v>39</v>
      </c>
      <c r="O21" s="93"/>
      <c r="P21" s="96"/>
      <c r="Q21" s="99"/>
      <c r="R21" s="102"/>
      <c r="S21" s="105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</row>
    <row r="22" spans="1:32" ht="17.25" thickBot="1">
      <c r="A22" s="112"/>
      <c r="B22" s="55">
        <f t="shared" ref="B22:K22" si="9">+(B19+B21)*B$4</f>
        <v>53040000</v>
      </c>
      <c r="C22" s="55">
        <f t="shared" si="9"/>
        <v>22815000</v>
      </c>
      <c r="D22" s="55">
        <f t="shared" si="9"/>
        <v>27936000</v>
      </c>
      <c r="E22" s="55">
        <f t="shared" si="9"/>
        <v>33748000</v>
      </c>
      <c r="F22" s="55">
        <f t="shared" si="9"/>
        <v>24576000</v>
      </c>
      <c r="G22" s="55">
        <f t="shared" si="9"/>
        <v>1841666.6666666665</v>
      </c>
      <c r="H22" s="55">
        <f t="shared" si="9"/>
        <v>14940000</v>
      </c>
      <c r="I22" s="55">
        <f t="shared" si="9"/>
        <v>5796000</v>
      </c>
      <c r="J22" s="55">
        <f t="shared" si="9"/>
        <v>3591000</v>
      </c>
      <c r="K22" s="56">
        <f t="shared" si="9"/>
        <v>7989500</v>
      </c>
      <c r="L22" s="57"/>
      <c r="M22" s="65">
        <f>A19</f>
        <v>44167</v>
      </c>
      <c r="N22" s="59">
        <f>SUM(B22:K22)</f>
        <v>196273166.66666666</v>
      </c>
      <c r="O22" s="94"/>
      <c r="P22" s="97"/>
      <c r="Q22" s="100"/>
      <c r="R22" s="103"/>
      <c r="S22" s="106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</row>
    <row r="23" spans="1:32">
      <c r="A23" s="110">
        <f>+A19+1</f>
        <v>44168</v>
      </c>
      <c r="B23" s="31">
        <f>669+10</f>
        <v>679</v>
      </c>
      <c r="C23" s="31">
        <f>346+10</f>
        <v>356</v>
      </c>
      <c r="D23" s="31">
        <f>1496+60</f>
        <v>1556</v>
      </c>
      <c r="E23" s="31">
        <f>964+576</f>
        <v>1540</v>
      </c>
      <c r="F23" s="31">
        <f>739+30</f>
        <v>769</v>
      </c>
      <c r="G23" s="31">
        <f>405+21</f>
        <v>426</v>
      </c>
      <c r="H23" s="31">
        <v>499</v>
      </c>
      <c r="I23" s="31">
        <v>485</v>
      </c>
      <c r="J23" s="31">
        <v>513</v>
      </c>
      <c r="K23" s="32">
        <v>554</v>
      </c>
      <c r="L23" s="15"/>
      <c r="M23" s="60"/>
      <c r="N23" s="61" t="s">
        <v>38</v>
      </c>
      <c r="O23" s="92">
        <f>+IFERROR(IF(HLOOKUP(S23,$S$3:$AB$3,1,)=S23,S24,0),0)</f>
        <v>3</v>
      </c>
      <c r="P23" s="95">
        <f>IFERROR(+N24/O23,0)</f>
        <v>647611.11111111112</v>
      </c>
      <c r="Q23" s="98">
        <f>+IFERROR(IF(HLOOKUP(S23,$S$4:$AB$4,1,)=S23,S24,0),0)</f>
        <v>0</v>
      </c>
      <c r="R23" s="101">
        <f>IFERROR(N24/Q23,0)</f>
        <v>0</v>
      </c>
      <c r="S23" s="47" t="s">
        <v>18</v>
      </c>
      <c r="T23" s="107">
        <v>3</v>
      </c>
      <c r="U23" s="107">
        <v>0</v>
      </c>
      <c r="V23" s="107">
        <v>0</v>
      </c>
      <c r="W23" s="107">
        <v>0</v>
      </c>
      <c r="X23" s="107">
        <v>0</v>
      </c>
      <c r="Y23" s="107">
        <v>0</v>
      </c>
      <c r="Z23" s="107">
        <v>0</v>
      </c>
      <c r="AA23" s="107">
        <v>0</v>
      </c>
      <c r="AB23" s="107">
        <v>0</v>
      </c>
      <c r="AC23" s="107">
        <v>0</v>
      </c>
      <c r="AD23" s="107">
        <v>0</v>
      </c>
      <c r="AE23" s="107">
        <v>0</v>
      </c>
      <c r="AF23" s="107">
        <v>0</v>
      </c>
    </row>
    <row r="24" spans="1:32" ht="17.25" thickBot="1">
      <c r="A24" s="111"/>
      <c r="B24" s="35">
        <f t="shared" ref="B24:K24" si="10">+(B23-(B19+B21))*B$4</f>
        <v>1280000</v>
      </c>
      <c r="C24" s="35">
        <f t="shared" si="10"/>
        <v>325000</v>
      </c>
      <c r="D24" s="35">
        <f t="shared" si="10"/>
        <v>72000</v>
      </c>
      <c r="E24" s="35">
        <f t="shared" si="10"/>
        <v>132000</v>
      </c>
      <c r="F24" s="35">
        <f t="shared" si="10"/>
        <v>32000</v>
      </c>
      <c r="G24" s="35">
        <f t="shared" si="10"/>
        <v>4333.333333333333</v>
      </c>
      <c r="H24" s="35">
        <f t="shared" si="10"/>
        <v>30000</v>
      </c>
      <c r="I24" s="35">
        <f t="shared" si="10"/>
        <v>24000</v>
      </c>
      <c r="J24" s="35">
        <f t="shared" si="10"/>
        <v>0</v>
      </c>
      <c r="K24" s="35">
        <f t="shared" si="10"/>
        <v>43500</v>
      </c>
      <c r="L24" s="35">
        <f>MONTH(M26)</f>
        <v>12</v>
      </c>
      <c r="M24" s="48" t="str">
        <f>IF(O23&gt;0,"Y","X")</f>
        <v>Y</v>
      </c>
      <c r="N24" s="62">
        <f>IF(SUM(B23:K23)=0,0,SUM(B24:K24))</f>
        <v>1942833.3333333333</v>
      </c>
      <c r="O24" s="93"/>
      <c r="P24" s="96"/>
      <c r="Q24" s="99"/>
      <c r="R24" s="102"/>
      <c r="S24" s="104">
        <f>SUM(T23:XFD23)</f>
        <v>3</v>
      </c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</row>
    <row r="25" spans="1:32" ht="17.25" thickTop="1">
      <c r="A25" s="111"/>
      <c r="B25" s="50">
        <v>-10</v>
      </c>
      <c r="C25" s="50">
        <v>-10</v>
      </c>
      <c r="D25" s="50">
        <v>-60</v>
      </c>
      <c r="E25" s="50">
        <v>0</v>
      </c>
      <c r="F25" s="50">
        <v>-30</v>
      </c>
      <c r="G25" s="50">
        <v>-21</v>
      </c>
      <c r="H25" s="50">
        <v>0</v>
      </c>
      <c r="I25" s="50">
        <v>0</v>
      </c>
      <c r="J25" s="50">
        <v>0</v>
      </c>
      <c r="K25" s="51">
        <v>0</v>
      </c>
      <c r="L25" s="52"/>
      <c r="M25" s="63"/>
      <c r="N25" s="64" t="s">
        <v>39</v>
      </c>
      <c r="O25" s="93"/>
      <c r="P25" s="96"/>
      <c r="Q25" s="99"/>
      <c r="R25" s="102"/>
      <c r="S25" s="105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</row>
    <row r="26" spans="1:32" ht="17.25" thickBot="1">
      <c r="A26" s="112"/>
      <c r="B26" s="55">
        <f t="shared" ref="B26:K26" si="11">+(B23+B25)*B$4</f>
        <v>53520000</v>
      </c>
      <c r="C26" s="55">
        <f t="shared" si="11"/>
        <v>22490000</v>
      </c>
      <c r="D26" s="55">
        <f t="shared" si="11"/>
        <v>26928000</v>
      </c>
      <c r="E26" s="55">
        <f t="shared" si="11"/>
        <v>33880000</v>
      </c>
      <c r="F26" s="55">
        <f t="shared" si="11"/>
        <v>23648000</v>
      </c>
      <c r="G26" s="55">
        <f t="shared" si="11"/>
        <v>1754999.9999999998</v>
      </c>
      <c r="H26" s="55">
        <f t="shared" si="11"/>
        <v>14970000</v>
      </c>
      <c r="I26" s="55">
        <f t="shared" si="11"/>
        <v>5820000</v>
      </c>
      <c r="J26" s="55">
        <f t="shared" si="11"/>
        <v>3591000</v>
      </c>
      <c r="K26" s="55">
        <f t="shared" si="11"/>
        <v>8033000</v>
      </c>
      <c r="L26" s="57"/>
      <c r="M26" s="65">
        <f>A23</f>
        <v>44168</v>
      </c>
      <c r="N26" s="66">
        <f>SUM(B26:K26)</f>
        <v>194635000</v>
      </c>
      <c r="O26" s="94"/>
      <c r="P26" s="97"/>
      <c r="Q26" s="100"/>
      <c r="R26" s="103"/>
      <c r="S26" s="106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</row>
    <row r="27" spans="1:32">
      <c r="A27" s="110">
        <f>+A23+1</f>
        <v>44169</v>
      </c>
      <c r="B27" s="31">
        <v>694</v>
      </c>
      <c r="C27" s="31">
        <v>381</v>
      </c>
      <c r="D27" s="31">
        <v>1541</v>
      </c>
      <c r="E27" s="31">
        <f>964+607</f>
        <v>1571</v>
      </c>
      <c r="F27" s="31">
        <v>771</v>
      </c>
      <c r="G27" s="31">
        <v>458</v>
      </c>
      <c r="H27" s="31">
        <v>507</v>
      </c>
      <c r="I27" s="31">
        <v>493</v>
      </c>
      <c r="J27" s="31">
        <v>523</v>
      </c>
      <c r="K27" s="32">
        <v>562</v>
      </c>
      <c r="L27" s="15"/>
      <c r="M27" s="60"/>
      <c r="N27" s="46" t="s">
        <v>38</v>
      </c>
      <c r="O27" s="92">
        <f>+IFERROR(IF(HLOOKUP(S27,$S$3:$AB$3,1,)=S27,S28,0),0)</f>
        <v>0</v>
      </c>
      <c r="P27" s="95">
        <f>IFERROR(+N28/O27,0)</f>
        <v>0</v>
      </c>
      <c r="Q27" s="98">
        <f>+IFERROR(IF(HLOOKUP(S27,$S$4:$AB$4,1,)=S27,S28,0),0)</f>
        <v>35</v>
      </c>
      <c r="R27" s="101">
        <f>IFERROR(N28/Q27,0)</f>
        <v>215504.76190476192</v>
      </c>
      <c r="S27" s="47" t="s">
        <v>24</v>
      </c>
      <c r="T27" s="107">
        <v>11</v>
      </c>
      <c r="U27" s="107">
        <v>6</v>
      </c>
      <c r="V27" s="107">
        <v>6</v>
      </c>
      <c r="W27" s="107">
        <v>6</v>
      </c>
      <c r="X27" s="107">
        <v>0</v>
      </c>
      <c r="Y27" s="107">
        <v>0</v>
      </c>
      <c r="Z27" s="107">
        <v>6</v>
      </c>
      <c r="AA27" s="107">
        <v>0</v>
      </c>
      <c r="AB27" s="107">
        <v>0</v>
      </c>
      <c r="AC27" s="107">
        <v>0</v>
      </c>
      <c r="AD27" s="107">
        <v>0</v>
      </c>
      <c r="AE27" s="107">
        <v>0</v>
      </c>
      <c r="AF27" s="107">
        <v>0</v>
      </c>
    </row>
    <row r="28" spans="1:32" ht="17.25" thickBot="1">
      <c r="A28" s="111"/>
      <c r="B28" s="35">
        <f t="shared" ref="B28:K28" si="12">+(B27-(B23+B25))*B$4</f>
        <v>2000000</v>
      </c>
      <c r="C28" s="35">
        <f t="shared" si="12"/>
        <v>2275000</v>
      </c>
      <c r="D28" s="35">
        <f t="shared" si="12"/>
        <v>810000</v>
      </c>
      <c r="E28" s="35">
        <f t="shared" si="12"/>
        <v>682000</v>
      </c>
      <c r="F28" s="35">
        <f t="shared" si="12"/>
        <v>1024000</v>
      </c>
      <c r="G28" s="35">
        <f t="shared" si="12"/>
        <v>229666.66666666666</v>
      </c>
      <c r="H28" s="35">
        <f t="shared" si="12"/>
        <v>240000</v>
      </c>
      <c r="I28" s="35">
        <f t="shared" si="12"/>
        <v>96000</v>
      </c>
      <c r="J28" s="35">
        <f t="shared" si="12"/>
        <v>70000</v>
      </c>
      <c r="K28" s="35">
        <f t="shared" si="12"/>
        <v>116000</v>
      </c>
      <c r="L28" s="35">
        <f>MONTH(M30)</f>
        <v>12</v>
      </c>
      <c r="M28" s="48" t="str">
        <f>IF(O27&gt;0,"Y","X")</f>
        <v>X</v>
      </c>
      <c r="N28" s="49">
        <f>IF(SUM(B27:K27)=0,0,SUM(B28:K28))</f>
        <v>7542666.666666667</v>
      </c>
      <c r="O28" s="93"/>
      <c r="P28" s="96"/>
      <c r="Q28" s="99"/>
      <c r="R28" s="102"/>
      <c r="S28" s="104">
        <f>SUM(T27:XFD27)</f>
        <v>35</v>
      </c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</row>
    <row r="29" spans="1:32" ht="17.25" thickTop="1">
      <c r="A29" s="111"/>
      <c r="B29" s="50">
        <v>0</v>
      </c>
      <c r="C29" s="50">
        <v>0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1">
        <v>0</v>
      </c>
      <c r="L29" s="52"/>
      <c r="M29" s="63"/>
      <c r="N29" s="54" t="s">
        <v>39</v>
      </c>
      <c r="O29" s="93"/>
      <c r="P29" s="96"/>
      <c r="Q29" s="99"/>
      <c r="R29" s="102"/>
      <c r="S29" s="105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</row>
    <row r="30" spans="1:32" ht="17.25" thickBot="1">
      <c r="A30" s="112"/>
      <c r="B30" s="55">
        <f t="shared" ref="B30:K30" si="13">+(B27+B29)*B$4</f>
        <v>55520000</v>
      </c>
      <c r="C30" s="55">
        <f t="shared" si="13"/>
        <v>24765000</v>
      </c>
      <c r="D30" s="55">
        <f t="shared" si="13"/>
        <v>27738000</v>
      </c>
      <c r="E30" s="55">
        <f t="shared" si="13"/>
        <v>34562000</v>
      </c>
      <c r="F30" s="55">
        <f t="shared" si="13"/>
        <v>24672000</v>
      </c>
      <c r="G30" s="55">
        <f t="shared" si="13"/>
        <v>1984666.6666666665</v>
      </c>
      <c r="H30" s="55">
        <f t="shared" si="13"/>
        <v>15210000</v>
      </c>
      <c r="I30" s="55">
        <f t="shared" si="13"/>
        <v>5916000</v>
      </c>
      <c r="J30" s="55">
        <f t="shared" si="13"/>
        <v>3661000</v>
      </c>
      <c r="K30" s="55">
        <f t="shared" si="13"/>
        <v>8149000</v>
      </c>
      <c r="L30" s="57"/>
      <c r="M30" s="65">
        <f>A27</f>
        <v>44169</v>
      </c>
      <c r="N30" s="59">
        <f>SUM(B30:K30)</f>
        <v>202177666.66666666</v>
      </c>
      <c r="O30" s="94"/>
      <c r="P30" s="97"/>
      <c r="Q30" s="100"/>
      <c r="R30" s="103"/>
      <c r="S30" s="106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</row>
    <row r="31" spans="1:32">
      <c r="A31" s="113">
        <f>+A27+1</f>
        <v>44170</v>
      </c>
      <c r="B31" s="31">
        <v>732</v>
      </c>
      <c r="C31" s="31">
        <v>423</v>
      </c>
      <c r="D31" s="31">
        <v>1564</v>
      </c>
      <c r="E31" s="31">
        <f>964+647</f>
        <v>1611</v>
      </c>
      <c r="F31" s="31">
        <v>793</v>
      </c>
      <c r="G31" s="31">
        <v>505</v>
      </c>
      <c r="H31" s="31">
        <v>516</v>
      </c>
      <c r="I31" s="31">
        <v>513</v>
      </c>
      <c r="J31" s="31">
        <v>535</v>
      </c>
      <c r="K31" s="32">
        <v>577</v>
      </c>
      <c r="L31" s="15"/>
      <c r="M31" s="60"/>
      <c r="N31" s="61" t="s">
        <v>38</v>
      </c>
      <c r="O31" s="92">
        <f>+IFERROR(IF(HLOOKUP(S31,$S$3:$AB$3,1,)=S31,S32,0),0)</f>
        <v>0</v>
      </c>
      <c r="P31" s="95">
        <f>IFERROR(+N32/O31,0)</f>
        <v>0</v>
      </c>
      <c r="Q31" s="98">
        <f>+IFERROR(IF(HLOOKUP(S31,$S$4:$AB$4,1,)=S31,S32,0),0)</f>
        <v>34</v>
      </c>
      <c r="R31" s="101">
        <f>IFERROR(N32/Q31,0)</f>
        <v>258328.43137254906</v>
      </c>
      <c r="S31" s="47" t="s">
        <v>23</v>
      </c>
      <c r="T31" s="107">
        <v>10</v>
      </c>
      <c r="U31" s="107">
        <v>6</v>
      </c>
      <c r="V31" s="107">
        <v>6</v>
      </c>
      <c r="W31" s="107">
        <v>6</v>
      </c>
      <c r="X31" s="107">
        <v>0</v>
      </c>
      <c r="Y31" s="107">
        <v>0</v>
      </c>
      <c r="Z31" s="107">
        <v>6</v>
      </c>
      <c r="AA31" s="107">
        <v>0</v>
      </c>
      <c r="AB31" s="107">
        <v>0</v>
      </c>
      <c r="AC31" s="107">
        <v>0</v>
      </c>
      <c r="AD31" s="107">
        <v>0</v>
      </c>
      <c r="AE31" s="107">
        <v>0</v>
      </c>
      <c r="AF31" s="107">
        <v>0</v>
      </c>
    </row>
    <row r="32" spans="1:32" ht="17.25" thickBot="1">
      <c r="A32" s="114"/>
      <c r="B32" s="35">
        <f t="shared" ref="B32:K32" si="14">+(B31-(B27+B29))*B$4</f>
        <v>3040000</v>
      </c>
      <c r="C32" s="35">
        <f t="shared" si="14"/>
        <v>2730000</v>
      </c>
      <c r="D32" s="35">
        <f t="shared" si="14"/>
        <v>414000</v>
      </c>
      <c r="E32" s="35">
        <f t="shared" si="14"/>
        <v>880000</v>
      </c>
      <c r="F32" s="35">
        <f t="shared" si="14"/>
        <v>704000</v>
      </c>
      <c r="G32" s="35">
        <f t="shared" si="14"/>
        <v>203666.66666666666</v>
      </c>
      <c r="H32" s="35">
        <f t="shared" si="14"/>
        <v>270000</v>
      </c>
      <c r="I32" s="35">
        <f t="shared" si="14"/>
        <v>240000</v>
      </c>
      <c r="J32" s="35">
        <f t="shared" si="14"/>
        <v>84000</v>
      </c>
      <c r="K32" s="35">
        <f t="shared" si="14"/>
        <v>217500</v>
      </c>
      <c r="L32" s="35">
        <f>MONTH(M34)</f>
        <v>12</v>
      </c>
      <c r="M32" s="48" t="str">
        <f>IF(O31&gt;0,"Y","X")</f>
        <v>X</v>
      </c>
      <c r="N32" s="62">
        <f>IF(SUM(B31:K31)=0,0,SUM(B32:K32))</f>
        <v>8783166.6666666679</v>
      </c>
      <c r="O32" s="93"/>
      <c r="P32" s="96"/>
      <c r="Q32" s="99"/>
      <c r="R32" s="102"/>
      <c r="S32" s="104">
        <f>SUM(T31:XFD31)</f>
        <v>34</v>
      </c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</row>
    <row r="33" spans="1:32" ht="17.25" thickTop="1">
      <c r="A33" s="114"/>
      <c r="B33" s="50">
        <v>0</v>
      </c>
      <c r="C33" s="50">
        <v>0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1">
        <v>0</v>
      </c>
      <c r="L33" s="52"/>
      <c r="M33" s="63"/>
      <c r="N33" s="64" t="s">
        <v>39</v>
      </c>
      <c r="O33" s="93"/>
      <c r="P33" s="96"/>
      <c r="Q33" s="99"/>
      <c r="R33" s="102"/>
      <c r="S33" s="105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</row>
    <row r="34" spans="1:32" ht="17.25" thickBot="1">
      <c r="A34" s="115"/>
      <c r="B34" s="55">
        <f t="shared" ref="B34:K34" si="15">+(B31+B33)*B$4</f>
        <v>58560000</v>
      </c>
      <c r="C34" s="55">
        <f t="shared" si="15"/>
        <v>27495000</v>
      </c>
      <c r="D34" s="55">
        <f t="shared" si="15"/>
        <v>28152000</v>
      </c>
      <c r="E34" s="55">
        <f t="shared" si="15"/>
        <v>35442000</v>
      </c>
      <c r="F34" s="55">
        <f t="shared" si="15"/>
        <v>25376000</v>
      </c>
      <c r="G34" s="55">
        <f t="shared" si="15"/>
        <v>2188333.333333333</v>
      </c>
      <c r="H34" s="55">
        <f t="shared" si="15"/>
        <v>15480000</v>
      </c>
      <c r="I34" s="55">
        <f t="shared" si="15"/>
        <v>6156000</v>
      </c>
      <c r="J34" s="55">
        <f t="shared" si="15"/>
        <v>3745000</v>
      </c>
      <c r="K34" s="55">
        <f t="shared" si="15"/>
        <v>8366500</v>
      </c>
      <c r="L34" s="57"/>
      <c r="M34" s="65">
        <f>A31</f>
        <v>44170</v>
      </c>
      <c r="N34" s="66">
        <f>SUM(B34:K34)</f>
        <v>210960833.33333334</v>
      </c>
      <c r="O34" s="94"/>
      <c r="P34" s="97"/>
      <c r="Q34" s="100"/>
      <c r="R34" s="103"/>
      <c r="S34" s="106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</row>
    <row r="35" spans="1:32">
      <c r="A35" s="113">
        <f>+A31+1</f>
        <v>44171</v>
      </c>
      <c r="B35" s="31">
        <v>773</v>
      </c>
      <c r="C35" s="31">
        <v>485</v>
      </c>
      <c r="D35" s="31">
        <v>1595</v>
      </c>
      <c r="E35" s="31">
        <f>964+698</f>
        <v>1662</v>
      </c>
      <c r="F35" s="31">
        <v>824</v>
      </c>
      <c r="G35" s="31">
        <v>565</v>
      </c>
      <c r="H35" s="31">
        <v>530</v>
      </c>
      <c r="I35" s="31">
        <v>530</v>
      </c>
      <c r="J35" s="31">
        <v>548</v>
      </c>
      <c r="K35" s="32">
        <v>584</v>
      </c>
      <c r="L35" s="15"/>
      <c r="M35" s="60"/>
      <c r="N35" s="46" t="s">
        <v>38</v>
      </c>
      <c r="O35" s="92">
        <f>+IFERROR(IF(HLOOKUP(S35,$S$3:$AB$3,1,)=S35,S36,0),0)</f>
        <v>35</v>
      </c>
      <c r="P35" s="95">
        <f>IFERROR(+N36/O35,0)</f>
        <v>315957.14285714284</v>
      </c>
      <c r="Q35" s="98">
        <f>+IFERROR(IF(HLOOKUP(S35,$S$4:$AB$4,1,)=S35,S36,0),0)</f>
        <v>0</v>
      </c>
      <c r="R35" s="101">
        <f>IFERROR(N36/Q35,0)</f>
        <v>0</v>
      </c>
      <c r="S35" s="47" t="s">
        <v>17</v>
      </c>
      <c r="T35" s="107">
        <v>11</v>
      </c>
      <c r="U35" s="107">
        <v>6</v>
      </c>
      <c r="V35" s="107">
        <v>6</v>
      </c>
      <c r="W35" s="107">
        <v>6</v>
      </c>
      <c r="X35" s="107">
        <v>0</v>
      </c>
      <c r="Y35" s="107">
        <v>0</v>
      </c>
      <c r="Z35" s="107">
        <v>6</v>
      </c>
      <c r="AA35" s="107">
        <v>0</v>
      </c>
      <c r="AB35" s="107">
        <v>0</v>
      </c>
      <c r="AC35" s="107">
        <v>0</v>
      </c>
      <c r="AD35" s="107">
        <v>0</v>
      </c>
      <c r="AE35" s="107">
        <v>0</v>
      </c>
      <c r="AF35" s="107">
        <v>0</v>
      </c>
    </row>
    <row r="36" spans="1:32" ht="17.25" thickBot="1">
      <c r="A36" s="114"/>
      <c r="B36" s="35">
        <f t="shared" ref="B36:K36" si="16">+(B35-(B31+B33))*B$4</f>
        <v>3280000</v>
      </c>
      <c r="C36" s="35">
        <f t="shared" si="16"/>
        <v>4030000</v>
      </c>
      <c r="D36" s="35">
        <f t="shared" si="16"/>
        <v>558000</v>
      </c>
      <c r="E36" s="35">
        <f t="shared" si="16"/>
        <v>1122000</v>
      </c>
      <c r="F36" s="35">
        <f t="shared" si="16"/>
        <v>992000</v>
      </c>
      <c r="G36" s="35">
        <f t="shared" si="16"/>
        <v>259999.99999999997</v>
      </c>
      <c r="H36" s="35">
        <f t="shared" si="16"/>
        <v>420000</v>
      </c>
      <c r="I36" s="35">
        <f t="shared" si="16"/>
        <v>204000</v>
      </c>
      <c r="J36" s="35">
        <f t="shared" si="16"/>
        <v>91000</v>
      </c>
      <c r="K36" s="35">
        <f t="shared" si="16"/>
        <v>101500</v>
      </c>
      <c r="L36" s="35">
        <f>MONTH(M38)</f>
        <v>12</v>
      </c>
      <c r="M36" s="48" t="str">
        <f>IF(O35&gt;0,"Y","X")</f>
        <v>Y</v>
      </c>
      <c r="N36" s="49">
        <f>IF(SUM(B35:K35)=0,0,SUM(B36:K36))</f>
        <v>11058500</v>
      </c>
      <c r="O36" s="93"/>
      <c r="P36" s="96"/>
      <c r="Q36" s="99"/>
      <c r="R36" s="102"/>
      <c r="S36" s="104">
        <f>SUM(T35:XFD35)</f>
        <v>35</v>
      </c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</row>
    <row r="37" spans="1:32" ht="17.25" thickTop="1">
      <c r="A37" s="114"/>
      <c r="B37" s="50">
        <v>0</v>
      </c>
      <c r="C37" s="50">
        <v>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1">
        <v>0</v>
      </c>
      <c r="L37" s="52"/>
      <c r="M37" s="63"/>
      <c r="N37" s="54" t="s">
        <v>39</v>
      </c>
      <c r="O37" s="93"/>
      <c r="P37" s="96"/>
      <c r="Q37" s="99"/>
      <c r="R37" s="102"/>
      <c r="S37" s="105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</row>
    <row r="38" spans="1:32" ht="17.25" thickBot="1">
      <c r="A38" s="115"/>
      <c r="B38" s="55">
        <f t="shared" ref="B38:K38" si="17">+(B35+B37)*B$4</f>
        <v>61840000</v>
      </c>
      <c r="C38" s="55">
        <f t="shared" si="17"/>
        <v>31525000</v>
      </c>
      <c r="D38" s="55">
        <f t="shared" si="17"/>
        <v>28710000</v>
      </c>
      <c r="E38" s="55">
        <f t="shared" si="17"/>
        <v>36564000</v>
      </c>
      <c r="F38" s="55">
        <f t="shared" si="17"/>
        <v>26368000</v>
      </c>
      <c r="G38" s="55">
        <f t="shared" si="17"/>
        <v>2448333.333333333</v>
      </c>
      <c r="H38" s="55">
        <f t="shared" si="17"/>
        <v>15900000</v>
      </c>
      <c r="I38" s="55">
        <f t="shared" si="17"/>
        <v>6360000</v>
      </c>
      <c r="J38" s="55">
        <f t="shared" si="17"/>
        <v>3836000</v>
      </c>
      <c r="K38" s="55">
        <f t="shared" si="17"/>
        <v>8468000</v>
      </c>
      <c r="L38" s="57"/>
      <c r="M38" s="65">
        <f>A35</f>
        <v>44171</v>
      </c>
      <c r="N38" s="59">
        <f>SUM(B38:K38)</f>
        <v>222019333.33333334</v>
      </c>
      <c r="O38" s="94"/>
      <c r="P38" s="97"/>
      <c r="Q38" s="100"/>
      <c r="R38" s="103"/>
      <c r="S38" s="106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</row>
    <row r="39" spans="1:32">
      <c r="A39" s="110">
        <f>+A35+1</f>
        <v>44172</v>
      </c>
      <c r="B39" s="31">
        <v>801</v>
      </c>
      <c r="C39" s="31">
        <v>530</v>
      </c>
      <c r="D39" s="31">
        <v>1617</v>
      </c>
      <c r="E39" s="31">
        <f>964+720</f>
        <v>1684</v>
      </c>
      <c r="F39" s="31">
        <v>844</v>
      </c>
      <c r="G39" s="31">
        <v>602</v>
      </c>
      <c r="H39" s="31">
        <v>536</v>
      </c>
      <c r="I39" s="31">
        <v>543</v>
      </c>
      <c r="J39" s="31">
        <v>557</v>
      </c>
      <c r="K39" s="32">
        <v>596</v>
      </c>
      <c r="L39" s="15"/>
      <c r="M39" s="45"/>
      <c r="N39" s="61" t="s">
        <v>38</v>
      </c>
      <c r="O39" s="92">
        <f>+IFERROR(IF(HLOOKUP(S39,$S$3:$AB$3,1,)=S39,S40,0),0)</f>
        <v>23</v>
      </c>
      <c r="P39" s="95">
        <f>IFERROR(+N40/O39,0)</f>
        <v>322536.23188405798</v>
      </c>
      <c r="Q39" s="98">
        <f>+IFERROR(IF(HLOOKUP(S39,$S$4:$AB$4,1,)=S39,S40,0),0)</f>
        <v>0</v>
      </c>
      <c r="R39" s="101">
        <f>IFERROR(N40/Q39,0)</f>
        <v>0</v>
      </c>
      <c r="S39" s="47" t="s">
        <v>19</v>
      </c>
      <c r="T39" s="107">
        <v>11</v>
      </c>
      <c r="U39" s="107">
        <v>6</v>
      </c>
      <c r="V39" s="107">
        <v>6</v>
      </c>
      <c r="W39" s="107">
        <v>0</v>
      </c>
      <c r="X39" s="107">
        <v>0</v>
      </c>
      <c r="Y39" s="107">
        <v>0</v>
      </c>
      <c r="Z39" s="107">
        <v>0</v>
      </c>
      <c r="AA39" s="107">
        <v>0</v>
      </c>
      <c r="AB39" s="107">
        <v>0</v>
      </c>
      <c r="AC39" s="107">
        <v>0</v>
      </c>
      <c r="AD39" s="107">
        <v>0</v>
      </c>
      <c r="AE39" s="107">
        <v>0</v>
      </c>
      <c r="AF39" s="107">
        <v>0</v>
      </c>
    </row>
    <row r="40" spans="1:32" ht="17.25" thickBot="1">
      <c r="A40" s="111"/>
      <c r="B40" s="35">
        <f t="shared" ref="B40:K40" si="18">+(B39-(B35+B37))*B$4</f>
        <v>2240000</v>
      </c>
      <c r="C40" s="35">
        <f t="shared" si="18"/>
        <v>2925000</v>
      </c>
      <c r="D40" s="35">
        <f t="shared" si="18"/>
        <v>396000</v>
      </c>
      <c r="E40" s="35">
        <f t="shared" si="18"/>
        <v>484000</v>
      </c>
      <c r="F40" s="35">
        <f t="shared" si="18"/>
        <v>640000</v>
      </c>
      <c r="G40" s="35">
        <f t="shared" si="18"/>
        <v>160333.33333333331</v>
      </c>
      <c r="H40" s="35">
        <f t="shared" si="18"/>
        <v>180000</v>
      </c>
      <c r="I40" s="35">
        <f t="shared" si="18"/>
        <v>156000</v>
      </c>
      <c r="J40" s="35">
        <f t="shared" si="18"/>
        <v>63000</v>
      </c>
      <c r="K40" s="35">
        <f t="shared" si="18"/>
        <v>174000</v>
      </c>
      <c r="L40" s="35">
        <f>MONTH(M42)</f>
        <v>12</v>
      </c>
      <c r="M40" s="48" t="str">
        <f>IF(O39&gt;0,"Y","X")</f>
        <v>Y</v>
      </c>
      <c r="N40" s="62">
        <f>IF(SUM(B39:K39)=0,0,SUM(B40:K40))</f>
        <v>7418333.333333333</v>
      </c>
      <c r="O40" s="93"/>
      <c r="P40" s="96"/>
      <c r="Q40" s="99"/>
      <c r="R40" s="102"/>
      <c r="S40" s="104">
        <f>SUM(T39:XFD39)</f>
        <v>23</v>
      </c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</row>
    <row r="41" spans="1:32" ht="17.25" thickTop="1">
      <c r="A41" s="111"/>
      <c r="B41" s="50">
        <v>0</v>
      </c>
      <c r="C41" s="50">
        <v>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1">
        <v>0</v>
      </c>
      <c r="L41" s="52"/>
      <c r="M41" s="53"/>
      <c r="N41" s="64" t="s">
        <v>39</v>
      </c>
      <c r="O41" s="93"/>
      <c r="P41" s="96"/>
      <c r="Q41" s="99"/>
      <c r="R41" s="102"/>
      <c r="S41" s="105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</row>
    <row r="42" spans="1:32" ht="17.25" thickBot="1">
      <c r="A42" s="112"/>
      <c r="B42" s="55">
        <f t="shared" ref="B42:K42" si="19">+(B39+B41)*B$4</f>
        <v>64080000</v>
      </c>
      <c r="C42" s="55">
        <f t="shared" si="19"/>
        <v>34450000</v>
      </c>
      <c r="D42" s="55">
        <f t="shared" si="19"/>
        <v>29106000</v>
      </c>
      <c r="E42" s="55">
        <f t="shared" si="19"/>
        <v>37048000</v>
      </c>
      <c r="F42" s="55">
        <f t="shared" si="19"/>
        <v>27008000</v>
      </c>
      <c r="G42" s="55">
        <f t="shared" si="19"/>
        <v>2608666.6666666665</v>
      </c>
      <c r="H42" s="55">
        <f t="shared" si="19"/>
        <v>16080000</v>
      </c>
      <c r="I42" s="55">
        <f t="shared" si="19"/>
        <v>6516000</v>
      </c>
      <c r="J42" s="55">
        <f t="shared" si="19"/>
        <v>3899000</v>
      </c>
      <c r="K42" s="55">
        <f t="shared" si="19"/>
        <v>8642000</v>
      </c>
      <c r="L42" s="57"/>
      <c r="M42" s="58">
        <f>A39</f>
        <v>44172</v>
      </c>
      <c r="N42" s="66">
        <f>SUM(B42:K42)</f>
        <v>229437666.66666666</v>
      </c>
      <c r="O42" s="94"/>
      <c r="P42" s="97"/>
      <c r="Q42" s="100"/>
      <c r="R42" s="103"/>
      <c r="S42" s="106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</row>
    <row r="43" spans="1:32">
      <c r="A43" s="110">
        <f>+A39+1</f>
        <v>44173</v>
      </c>
      <c r="B43" s="31">
        <v>840</v>
      </c>
      <c r="C43" s="31">
        <v>576</v>
      </c>
      <c r="D43" s="31">
        <v>1639</v>
      </c>
      <c r="E43" s="31">
        <f>964+764</f>
        <v>1728</v>
      </c>
      <c r="F43" s="31">
        <v>867</v>
      </c>
      <c r="G43" s="31">
        <v>648</v>
      </c>
      <c r="H43" s="31">
        <v>549</v>
      </c>
      <c r="I43" s="31">
        <v>551</v>
      </c>
      <c r="J43" s="31">
        <v>570</v>
      </c>
      <c r="K43" s="32">
        <v>607</v>
      </c>
      <c r="L43" s="15"/>
      <c r="M43" s="60"/>
      <c r="N43" s="46" t="s">
        <v>38</v>
      </c>
      <c r="O43" s="92">
        <f>+IFERROR(IF(HLOOKUP(S43,$S$3:$AB$3,1,)=S43,S44,0),0)</f>
        <v>32</v>
      </c>
      <c r="P43" s="95">
        <f>IFERROR(+N44/O43,0)</f>
        <v>285807.29166666669</v>
      </c>
      <c r="Q43" s="98">
        <f>+IFERROR(IF(HLOOKUP(S43,$S$4:$AB$4,1,)=S43,S44,0),0)</f>
        <v>0</v>
      </c>
      <c r="R43" s="101">
        <f>IFERROR(N44/Q43,0)</f>
        <v>0</v>
      </c>
      <c r="S43" s="47" t="s">
        <v>20</v>
      </c>
      <c r="T43" s="107">
        <v>11</v>
      </c>
      <c r="U43" s="107">
        <v>6</v>
      </c>
      <c r="V43" s="107">
        <v>6</v>
      </c>
      <c r="W43" s="107">
        <v>6</v>
      </c>
      <c r="X43" s="107">
        <v>0</v>
      </c>
      <c r="Y43" s="107">
        <v>0</v>
      </c>
      <c r="Z43" s="107">
        <v>3</v>
      </c>
      <c r="AA43" s="107">
        <v>0</v>
      </c>
      <c r="AB43" s="107">
        <v>0</v>
      </c>
      <c r="AC43" s="107">
        <v>0</v>
      </c>
      <c r="AD43" s="107">
        <v>0</v>
      </c>
      <c r="AE43" s="107">
        <v>0</v>
      </c>
      <c r="AF43" s="107">
        <v>0</v>
      </c>
    </row>
    <row r="44" spans="1:32" ht="17.25" thickBot="1">
      <c r="A44" s="111"/>
      <c r="B44" s="35">
        <f t="shared" ref="B44:K44" si="20">+(B43-(B39+B41))*B$4</f>
        <v>3120000</v>
      </c>
      <c r="C44" s="35">
        <f t="shared" si="20"/>
        <v>2990000</v>
      </c>
      <c r="D44" s="35">
        <f t="shared" si="20"/>
        <v>396000</v>
      </c>
      <c r="E44" s="35">
        <f t="shared" si="20"/>
        <v>968000</v>
      </c>
      <c r="F44" s="35">
        <f t="shared" si="20"/>
        <v>736000</v>
      </c>
      <c r="G44" s="35">
        <f t="shared" si="20"/>
        <v>199333.33333333331</v>
      </c>
      <c r="H44" s="35">
        <f t="shared" si="20"/>
        <v>390000</v>
      </c>
      <c r="I44" s="35">
        <f t="shared" si="20"/>
        <v>96000</v>
      </c>
      <c r="J44" s="35">
        <f t="shared" si="20"/>
        <v>91000</v>
      </c>
      <c r="K44" s="35">
        <f t="shared" si="20"/>
        <v>159500</v>
      </c>
      <c r="L44" s="35">
        <f>MONTH(M46)</f>
        <v>12</v>
      </c>
      <c r="M44" s="48" t="str">
        <f>IF(O43&gt;0,"Y","X")</f>
        <v>Y</v>
      </c>
      <c r="N44" s="49">
        <f>IF(SUM(B43:K43)=0,0,SUM(B44:K44))</f>
        <v>9145833.333333334</v>
      </c>
      <c r="O44" s="93"/>
      <c r="P44" s="96"/>
      <c r="Q44" s="99"/>
      <c r="R44" s="102"/>
      <c r="S44" s="104">
        <f>SUM(T43:XFD43)</f>
        <v>32</v>
      </c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</row>
    <row r="45" spans="1:32" ht="17.25" thickTop="1">
      <c r="A45" s="111"/>
      <c r="B45" s="50">
        <v>0</v>
      </c>
      <c r="C45" s="50">
        <v>0</v>
      </c>
      <c r="D45" s="50">
        <v>-10</v>
      </c>
      <c r="E45" s="50">
        <v>0</v>
      </c>
      <c r="F45" s="50">
        <v>-5</v>
      </c>
      <c r="G45" s="50">
        <v>0</v>
      </c>
      <c r="H45" s="50">
        <v>0</v>
      </c>
      <c r="I45" s="50">
        <v>0</v>
      </c>
      <c r="J45" s="50">
        <v>0</v>
      </c>
      <c r="K45" s="51">
        <v>0</v>
      </c>
      <c r="L45" s="52"/>
      <c r="M45" s="63"/>
      <c r="N45" s="54" t="s">
        <v>39</v>
      </c>
      <c r="O45" s="93"/>
      <c r="P45" s="96"/>
      <c r="Q45" s="99"/>
      <c r="R45" s="102"/>
      <c r="S45" s="105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</row>
    <row r="46" spans="1:32" ht="17.25" thickBot="1">
      <c r="A46" s="112"/>
      <c r="B46" s="55">
        <f t="shared" ref="B46:K46" si="21">+(B43+B45)*B$4</f>
        <v>67200000</v>
      </c>
      <c r="C46" s="55">
        <f t="shared" si="21"/>
        <v>37440000</v>
      </c>
      <c r="D46" s="55">
        <f t="shared" si="21"/>
        <v>29322000</v>
      </c>
      <c r="E46" s="55">
        <f t="shared" si="21"/>
        <v>38016000</v>
      </c>
      <c r="F46" s="55">
        <f t="shared" si="21"/>
        <v>27584000</v>
      </c>
      <c r="G46" s="55">
        <f t="shared" si="21"/>
        <v>2808000</v>
      </c>
      <c r="H46" s="55">
        <f t="shared" si="21"/>
        <v>16470000</v>
      </c>
      <c r="I46" s="55">
        <f t="shared" si="21"/>
        <v>6612000</v>
      </c>
      <c r="J46" s="55">
        <f t="shared" si="21"/>
        <v>3990000</v>
      </c>
      <c r="K46" s="55">
        <f t="shared" si="21"/>
        <v>8801500</v>
      </c>
      <c r="L46" s="57"/>
      <c r="M46" s="65">
        <f>A43</f>
        <v>44173</v>
      </c>
      <c r="N46" s="59">
        <f>SUM(B46:K46)</f>
        <v>238243500</v>
      </c>
      <c r="O46" s="94"/>
      <c r="P46" s="97"/>
      <c r="Q46" s="100"/>
      <c r="R46" s="103"/>
      <c r="S46" s="106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</row>
    <row r="47" spans="1:32">
      <c r="A47" s="110">
        <f>+A43+1</f>
        <v>44174</v>
      </c>
      <c r="B47" s="31">
        <v>881</v>
      </c>
      <c r="C47" s="31">
        <v>611</v>
      </c>
      <c r="D47" s="31">
        <v>1664</v>
      </c>
      <c r="E47" s="31">
        <f>964+809</f>
        <v>1773</v>
      </c>
      <c r="F47" s="31">
        <v>898</v>
      </c>
      <c r="G47" s="31">
        <v>694</v>
      </c>
      <c r="H47" s="31">
        <v>562</v>
      </c>
      <c r="I47" s="31">
        <v>561</v>
      </c>
      <c r="J47" s="31">
        <v>571</v>
      </c>
      <c r="K47" s="32">
        <v>614</v>
      </c>
      <c r="L47" s="15"/>
      <c r="M47" s="60"/>
      <c r="N47" s="61" t="s">
        <v>38</v>
      </c>
      <c r="O47" s="92">
        <f>+IFERROR(IF(HLOOKUP(S47,$S$3:$AB$3,1,)=S47,S48,0),0)</f>
        <v>29</v>
      </c>
      <c r="P47" s="95">
        <f>IFERROR(+N48/O47,0)</f>
        <v>315339.08045977016</v>
      </c>
      <c r="Q47" s="98">
        <f>+IFERROR(IF(HLOOKUP(S47,$S$4:$AB$4,1,)=S47,S48,0),0)</f>
        <v>0</v>
      </c>
      <c r="R47" s="101">
        <f>IFERROR(N48/Q47,0)</f>
        <v>0</v>
      </c>
      <c r="S47" s="47" t="s">
        <v>18</v>
      </c>
      <c r="T47" s="107">
        <v>11</v>
      </c>
      <c r="U47" s="107">
        <v>6</v>
      </c>
      <c r="V47" s="107">
        <v>6</v>
      </c>
      <c r="W47" s="107">
        <v>6</v>
      </c>
      <c r="X47" s="107">
        <v>0</v>
      </c>
      <c r="Y47" s="107">
        <v>0</v>
      </c>
      <c r="Z47" s="107">
        <v>0</v>
      </c>
      <c r="AA47" s="107">
        <v>0</v>
      </c>
      <c r="AB47" s="107">
        <v>0</v>
      </c>
      <c r="AC47" s="107">
        <v>0</v>
      </c>
      <c r="AD47" s="107">
        <v>0</v>
      </c>
      <c r="AE47" s="107">
        <v>0</v>
      </c>
      <c r="AF47" s="107">
        <v>0</v>
      </c>
    </row>
    <row r="48" spans="1:32" ht="17.25" thickBot="1">
      <c r="A48" s="111"/>
      <c r="B48" s="35">
        <f t="shared" ref="B48:K48" si="22">+(B47-(B43+B45))*B$4</f>
        <v>3280000</v>
      </c>
      <c r="C48" s="35">
        <f t="shared" si="22"/>
        <v>2275000</v>
      </c>
      <c r="D48" s="35">
        <f t="shared" si="22"/>
        <v>630000</v>
      </c>
      <c r="E48" s="35">
        <f t="shared" si="22"/>
        <v>990000</v>
      </c>
      <c r="F48" s="35">
        <f t="shared" si="22"/>
        <v>1152000</v>
      </c>
      <c r="G48" s="35">
        <f t="shared" si="22"/>
        <v>199333.33333333331</v>
      </c>
      <c r="H48" s="35">
        <f t="shared" si="22"/>
        <v>390000</v>
      </c>
      <c r="I48" s="35">
        <f t="shared" si="22"/>
        <v>120000</v>
      </c>
      <c r="J48" s="35">
        <f t="shared" si="22"/>
        <v>7000</v>
      </c>
      <c r="K48" s="35">
        <f t="shared" si="22"/>
        <v>101500</v>
      </c>
      <c r="L48" s="35">
        <f>MONTH(M50)</f>
        <v>12</v>
      </c>
      <c r="M48" s="48" t="str">
        <f>IF(O47&gt;0,"Y","X")</f>
        <v>Y</v>
      </c>
      <c r="N48" s="62">
        <f>IF(SUM(B47:K47)=0,0,SUM(B48:K48))</f>
        <v>9144833.333333334</v>
      </c>
      <c r="O48" s="93"/>
      <c r="P48" s="96"/>
      <c r="Q48" s="99"/>
      <c r="R48" s="102"/>
      <c r="S48" s="104">
        <f>SUM(T47:XFD47)</f>
        <v>29</v>
      </c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</row>
    <row r="49" spans="1:32" ht="17.25" thickTop="1">
      <c r="A49" s="111"/>
      <c r="B49" s="50">
        <v>0</v>
      </c>
      <c r="C49" s="50">
        <v>0</v>
      </c>
      <c r="D49" s="50">
        <v>0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1">
        <v>0</v>
      </c>
      <c r="L49" s="52"/>
      <c r="M49" s="63"/>
      <c r="N49" s="64" t="s">
        <v>39</v>
      </c>
      <c r="O49" s="93"/>
      <c r="P49" s="96"/>
      <c r="Q49" s="99"/>
      <c r="R49" s="102"/>
      <c r="S49" s="105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</row>
    <row r="50" spans="1:32" ht="17.25" thickBot="1">
      <c r="A50" s="112"/>
      <c r="B50" s="55">
        <f t="shared" ref="B50:K50" si="23">+(B47+B49)*B$4</f>
        <v>70480000</v>
      </c>
      <c r="C50" s="55">
        <f t="shared" si="23"/>
        <v>39715000</v>
      </c>
      <c r="D50" s="55">
        <f t="shared" si="23"/>
        <v>29952000</v>
      </c>
      <c r="E50" s="55">
        <f t="shared" si="23"/>
        <v>39006000</v>
      </c>
      <c r="F50" s="55">
        <f t="shared" si="23"/>
        <v>28736000</v>
      </c>
      <c r="G50" s="55">
        <f t="shared" si="23"/>
        <v>3007333.333333333</v>
      </c>
      <c r="H50" s="55">
        <f t="shared" si="23"/>
        <v>16860000</v>
      </c>
      <c r="I50" s="55">
        <f t="shared" si="23"/>
        <v>6732000</v>
      </c>
      <c r="J50" s="55">
        <f t="shared" si="23"/>
        <v>3997000</v>
      </c>
      <c r="K50" s="55">
        <f t="shared" si="23"/>
        <v>8903000</v>
      </c>
      <c r="L50" s="57"/>
      <c r="M50" s="65">
        <f>A47</f>
        <v>44174</v>
      </c>
      <c r="N50" s="66">
        <f>SUM(B50:K50)</f>
        <v>247388333.33333334</v>
      </c>
      <c r="O50" s="94"/>
      <c r="P50" s="97"/>
      <c r="Q50" s="100"/>
      <c r="R50" s="103"/>
      <c r="S50" s="106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</row>
    <row r="51" spans="1:32">
      <c r="A51" s="110">
        <f>+A47+1</f>
        <v>44175</v>
      </c>
      <c r="B51" s="31">
        <v>925</v>
      </c>
      <c r="C51" s="31">
        <v>661</v>
      </c>
      <c r="D51" s="31">
        <v>1693</v>
      </c>
      <c r="E51" s="31">
        <f>964+858</f>
        <v>1822</v>
      </c>
      <c r="F51" s="31">
        <v>926</v>
      </c>
      <c r="G51" s="31">
        <v>759</v>
      </c>
      <c r="H51" s="31">
        <v>582</v>
      </c>
      <c r="I51" s="31">
        <v>569</v>
      </c>
      <c r="J51" s="31">
        <v>582</v>
      </c>
      <c r="K51" s="32">
        <v>622</v>
      </c>
      <c r="L51" s="15"/>
      <c r="M51" s="60"/>
      <c r="N51" s="46" t="s">
        <v>38</v>
      </c>
      <c r="O51" s="92">
        <f>+IFERROR(IF(HLOOKUP(S51,$S$3:$AB$3,1,)=S51,S52,0),0)</f>
        <v>0</v>
      </c>
      <c r="P51" s="95">
        <f>IFERROR(+N52/O51,0)</f>
        <v>0</v>
      </c>
      <c r="Q51" s="98">
        <f>+IFERROR(IF(HLOOKUP(S51,$S$4:$AB$4,1,)=S51,S52,0),0)</f>
        <v>42</v>
      </c>
      <c r="R51" s="101">
        <f>IFERROR(N52/Q51,0)</f>
        <v>248492.06349206349</v>
      </c>
      <c r="S51" s="47" t="s">
        <v>24</v>
      </c>
      <c r="T51" s="107">
        <v>14</v>
      </c>
      <c r="U51" s="107">
        <v>9</v>
      </c>
      <c r="V51" s="107">
        <v>9</v>
      </c>
      <c r="W51" s="107">
        <v>6</v>
      </c>
      <c r="X51" s="107">
        <v>0</v>
      </c>
      <c r="Y51" s="107">
        <v>0</v>
      </c>
      <c r="Z51" s="107">
        <v>3</v>
      </c>
      <c r="AA51" s="107">
        <v>0</v>
      </c>
      <c r="AB51" s="107"/>
      <c r="AC51" s="107">
        <v>0</v>
      </c>
      <c r="AD51" s="107">
        <v>1</v>
      </c>
      <c r="AE51" s="107">
        <v>0</v>
      </c>
      <c r="AF51" s="107">
        <v>0</v>
      </c>
    </row>
    <row r="52" spans="1:32" ht="17.25" thickBot="1">
      <c r="A52" s="111"/>
      <c r="B52" s="35">
        <f t="shared" ref="B52:K52" si="24">+(B51-(B47+B49))*B$4</f>
        <v>3520000</v>
      </c>
      <c r="C52" s="35">
        <f t="shared" si="24"/>
        <v>3250000</v>
      </c>
      <c r="D52" s="35">
        <f t="shared" si="24"/>
        <v>522000</v>
      </c>
      <c r="E52" s="35">
        <f t="shared" si="24"/>
        <v>1078000</v>
      </c>
      <c r="F52" s="35">
        <f t="shared" si="24"/>
        <v>896000</v>
      </c>
      <c r="G52" s="35">
        <f t="shared" si="24"/>
        <v>281666.66666666663</v>
      </c>
      <c r="H52" s="35">
        <f t="shared" si="24"/>
        <v>600000</v>
      </c>
      <c r="I52" s="35">
        <f t="shared" si="24"/>
        <v>96000</v>
      </c>
      <c r="J52" s="35">
        <f t="shared" si="24"/>
        <v>77000</v>
      </c>
      <c r="K52" s="35">
        <f t="shared" si="24"/>
        <v>116000</v>
      </c>
      <c r="L52" s="35">
        <f>MONTH(M54)</f>
        <v>12</v>
      </c>
      <c r="M52" s="48" t="str">
        <f>IF(O51&gt;0,"Y","X")</f>
        <v>X</v>
      </c>
      <c r="N52" s="49">
        <f>IF(SUM(B51:K51)=0,0,SUM(B52:K52))</f>
        <v>10436666.666666666</v>
      </c>
      <c r="O52" s="93"/>
      <c r="P52" s="96"/>
      <c r="Q52" s="99"/>
      <c r="R52" s="102"/>
      <c r="S52" s="104">
        <f>SUM(T51:XFD51)</f>
        <v>42</v>
      </c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</row>
    <row r="53" spans="1:32" ht="17.25" thickTop="1">
      <c r="A53" s="111"/>
      <c r="B53" s="50">
        <v>0</v>
      </c>
      <c r="C53" s="50">
        <v>0</v>
      </c>
      <c r="D53" s="50">
        <v>0</v>
      </c>
      <c r="E53" s="50">
        <v>-100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1">
        <v>0</v>
      </c>
      <c r="L53" s="52"/>
      <c r="M53" s="63"/>
      <c r="N53" s="54" t="s">
        <v>39</v>
      </c>
      <c r="O53" s="93"/>
      <c r="P53" s="96"/>
      <c r="Q53" s="99"/>
      <c r="R53" s="102"/>
      <c r="S53" s="105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</row>
    <row r="54" spans="1:32" ht="17.25" thickBot="1">
      <c r="A54" s="112"/>
      <c r="B54" s="55">
        <f t="shared" ref="B54:K54" si="25">+(B51+B53)*B$4</f>
        <v>74000000</v>
      </c>
      <c r="C54" s="55">
        <f t="shared" si="25"/>
        <v>42965000</v>
      </c>
      <c r="D54" s="55">
        <f t="shared" si="25"/>
        <v>30474000</v>
      </c>
      <c r="E54" s="55">
        <f t="shared" si="25"/>
        <v>37884000</v>
      </c>
      <c r="F54" s="55">
        <f t="shared" si="25"/>
        <v>29632000</v>
      </c>
      <c r="G54" s="55">
        <f t="shared" si="25"/>
        <v>3289000</v>
      </c>
      <c r="H54" s="55">
        <f t="shared" si="25"/>
        <v>17460000</v>
      </c>
      <c r="I54" s="55">
        <f t="shared" si="25"/>
        <v>6828000</v>
      </c>
      <c r="J54" s="55">
        <f t="shared" si="25"/>
        <v>4074000</v>
      </c>
      <c r="K54" s="55">
        <f t="shared" si="25"/>
        <v>9019000</v>
      </c>
      <c r="L54" s="57"/>
      <c r="M54" s="65">
        <f>A51</f>
        <v>44175</v>
      </c>
      <c r="N54" s="59">
        <f>SUM(B54:K54)</f>
        <v>255625000</v>
      </c>
      <c r="O54" s="94"/>
      <c r="P54" s="97"/>
      <c r="Q54" s="100"/>
      <c r="R54" s="103"/>
      <c r="S54" s="106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</row>
    <row r="55" spans="1:32">
      <c r="A55" s="110">
        <f>+A51+1</f>
        <v>44176</v>
      </c>
      <c r="B55" s="31">
        <v>965</v>
      </c>
      <c r="C55" s="31">
        <v>686</v>
      </c>
      <c r="D55" s="31">
        <v>1715</v>
      </c>
      <c r="E55" s="31">
        <v>1855</v>
      </c>
      <c r="F55" s="31">
        <v>948</v>
      </c>
      <c r="G55" s="31">
        <v>808</v>
      </c>
      <c r="H55" s="31">
        <v>598</v>
      </c>
      <c r="I55" s="31">
        <v>582</v>
      </c>
      <c r="J55" s="31">
        <v>599</v>
      </c>
      <c r="K55" s="32">
        <v>636</v>
      </c>
      <c r="L55" s="15"/>
      <c r="M55" s="60"/>
      <c r="N55" s="61" t="s">
        <v>38</v>
      </c>
      <c r="O55" s="92">
        <f>+IFERROR(IF(HLOOKUP(S55,$S$3:$AB$3,1,)=S55,S56,0),0)</f>
        <v>0</v>
      </c>
      <c r="P55" s="95">
        <f>IFERROR(+N56/O55,0)</f>
        <v>0</v>
      </c>
      <c r="Q55" s="98">
        <f>+IFERROR(IF(HLOOKUP(S55,$S$4:$AB$4,1,)=S55,S56,0),0)</f>
        <v>41</v>
      </c>
      <c r="R55" s="101">
        <f>IFERROR(N56/Q55,0)</f>
        <v>244422.7642276423</v>
      </c>
      <c r="S55" s="47" t="s">
        <v>23</v>
      </c>
      <c r="T55" s="107">
        <v>11</v>
      </c>
      <c r="U55" s="107">
        <v>6</v>
      </c>
      <c r="V55" s="107">
        <v>6</v>
      </c>
      <c r="W55" s="107">
        <v>9</v>
      </c>
      <c r="X55" s="107">
        <v>0</v>
      </c>
      <c r="Y55" s="107">
        <v>0</v>
      </c>
      <c r="Z55" s="107">
        <v>0</v>
      </c>
      <c r="AA55" s="107">
        <v>0</v>
      </c>
      <c r="AB55" s="107">
        <v>6</v>
      </c>
      <c r="AC55" s="107">
        <v>0</v>
      </c>
      <c r="AD55" s="107">
        <v>3</v>
      </c>
      <c r="AE55" s="107">
        <v>0</v>
      </c>
      <c r="AF55" s="107">
        <v>0</v>
      </c>
    </row>
    <row r="56" spans="1:32" ht="17.25" thickBot="1">
      <c r="A56" s="111"/>
      <c r="B56" s="35">
        <f t="shared" ref="B56:K56" si="26">+(B55-(B51+B53))*B$4</f>
        <v>3200000</v>
      </c>
      <c r="C56" s="35">
        <f t="shared" si="26"/>
        <v>1625000</v>
      </c>
      <c r="D56" s="35">
        <f t="shared" si="26"/>
        <v>396000</v>
      </c>
      <c r="E56" s="35">
        <f t="shared" si="26"/>
        <v>2926000</v>
      </c>
      <c r="F56" s="35">
        <f t="shared" si="26"/>
        <v>704000</v>
      </c>
      <c r="G56" s="35">
        <f t="shared" si="26"/>
        <v>212333.33333333331</v>
      </c>
      <c r="H56" s="35">
        <f t="shared" si="26"/>
        <v>480000</v>
      </c>
      <c r="I56" s="35">
        <f t="shared" si="26"/>
        <v>156000</v>
      </c>
      <c r="J56" s="35">
        <f t="shared" si="26"/>
        <v>119000</v>
      </c>
      <c r="K56" s="35">
        <f t="shared" si="26"/>
        <v>203000</v>
      </c>
      <c r="L56" s="35">
        <f>MONTH(M58)</f>
        <v>12</v>
      </c>
      <c r="M56" s="48" t="str">
        <f>IF(O55&gt;0,"Y","X")</f>
        <v>X</v>
      </c>
      <c r="N56" s="62">
        <f>IF(SUM(B55:K55)=0,0,SUM(B56:K56))</f>
        <v>10021333.333333334</v>
      </c>
      <c r="O56" s="93"/>
      <c r="P56" s="96"/>
      <c r="Q56" s="99"/>
      <c r="R56" s="102"/>
      <c r="S56" s="104">
        <f>SUM(T55:XFD55)</f>
        <v>41</v>
      </c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</row>
    <row r="57" spans="1:32" ht="17.25" thickTop="1">
      <c r="A57" s="111"/>
      <c r="B57" s="50">
        <v>0</v>
      </c>
      <c r="C57" s="50">
        <v>0</v>
      </c>
      <c r="D57" s="50">
        <v>-210</v>
      </c>
      <c r="E57" s="50">
        <v>-100</v>
      </c>
      <c r="F57" s="50">
        <v>-105</v>
      </c>
      <c r="G57" s="50">
        <v>0</v>
      </c>
      <c r="H57" s="50">
        <v>0</v>
      </c>
      <c r="I57" s="50">
        <v>0</v>
      </c>
      <c r="J57" s="50">
        <v>0</v>
      </c>
      <c r="K57" s="51">
        <v>0</v>
      </c>
      <c r="L57" s="52"/>
      <c r="M57" s="63"/>
      <c r="N57" s="64" t="s">
        <v>39</v>
      </c>
      <c r="O57" s="93"/>
      <c r="P57" s="96"/>
      <c r="Q57" s="99"/>
      <c r="R57" s="102"/>
      <c r="S57" s="105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</row>
    <row r="58" spans="1:32" ht="17.25" thickBot="1">
      <c r="A58" s="112"/>
      <c r="B58" s="55">
        <f t="shared" ref="B58:K58" si="27">+(B55+B57)*B$4</f>
        <v>77200000</v>
      </c>
      <c r="C58" s="55">
        <f t="shared" si="27"/>
        <v>44590000</v>
      </c>
      <c r="D58" s="55">
        <f t="shared" si="27"/>
        <v>27090000</v>
      </c>
      <c r="E58" s="55">
        <f t="shared" si="27"/>
        <v>38610000</v>
      </c>
      <c r="F58" s="55">
        <f t="shared" si="27"/>
        <v>26976000</v>
      </c>
      <c r="G58" s="55">
        <f t="shared" si="27"/>
        <v>3501333.333333333</v>
      </c>
      <c r="H58" s="55">
        <f t="shared" si="27"/>
        <v>17940000</v>
      </c>
      <c r="I58" s="55">
        <f t="shared" si="27"/>
        <v>6984000</v>
      </c>
      <c r="J58" s="55">
        <f t="shared" si="27"/>
        <v>4193000</v>
      </c>
      <c r="K58" s="55">
        <f t="shared" si="27"/>
        <v>9222000</v>
      </c>
      <c r="L58" s="57"/>
      <c r="M58" s="65">
        <f>A55</f>
        <v>44176</v>
      </c>
      <c r="N58" s="66">
        <f>SUM(B58:K58)</f>
        <v>256306333.33333334</v>
      </c>
      <c r="O58" s="94"/>
      <c r="P58" s="97"/>
      <c r="Q58" s="100"/>
      <c r="R58" s="103"/>
      <c r="S58" s="106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</row>
    <row r="59" spans="1:32">
      <c r="A59" s="113">
        <f>+A55+1</f>
        <v>44177</v>
      </c>
      <c r="B59" s="31">
        <v>1013</v>
      </c>
      <c r="C59" s="31">
        <v>748</v>
      </c>
      <c r="D59" s="31">
        <v>1552</v>
      </c>
      <c r="E59" s="31">
        <v>1806</v>
      </c>
      <c r="F59" s="31">
        <v>877</v>
      </c>
      <c r="G59" s="31">
        <v>850</v>
      </c>
      <c r="H59" s="31">
        <v>604</v>
      </c>
      <c r="I59" s="31">
        <v>592</v>
      </c>
      <c r="J59" s="31">
        <v>608</v>
      </c>
      <c r="K59" s="32">
        <v>659</v>
      </c>
      <c r="L59" s="15"/>
      <c r="M59" s="60"/>
      <c r="N59" s="46" t="s">
        <v>38</v>
      </c>
      <c r="O59" s="92">
        <f>+IFERROR(IF(HLOOKUP(S59,$S$3:$AB$3,1,)=S59,S60,0),0)</f>
        <v>27</v>
      </c>
      <c r="P59" s="95">
        <f>IFERROR(+N60/O59,0)</f>
        <v>437203.70370370371</v>
      </c>
      <c r="Q59" s="98">
        <f>+IFERROR(IF(HLOOKUP(S59,$S$4:$AB$4,1,)=S59,S60,0),0)</f>
        <v>0</v>
      </c>
      <c r="R59" s="101">
        <f>IFERROR(N60/Q59,0)</f>
        <v>0</v>
      </c>
      <c r="S59" s="47" t="s">
        <v>17</v>
      </c>
      <c r="T59" s="107">
        <v>9</v>
      </c>
      <c r="U59" s="107">
        <v>6</v>
      </c>
      <c r="V59" s="107">
        <v>6</v>
      </c>
      <c r="W59" s="107">
        <v>0</v>
      </c>
      <c r="X59" s="107">
        <v>0</v>
      </c>
      <c r="Y59" s="107">
        <v>0</v>
      </c>
      <c r="Z59" s="107">
        <v>6</v>
      </c>
      <c r="AA59" s="107">
        <v>0</v>
      </c>
      <c r="AB59" s="107">
        <v>0</v>
      </c>
      <c r="AC59" s="107">
        <v>0</v>
      </c>
      <c r="AD59" s="107">
        <v>0</v>
      </c>
      <c r="AE59" s="107">
        <v>0</v>
      </c>
      <c r="AF59" s="107">
        <v>0</v>
      </c>
    </row>
    <row r="60" spans="1:32" ht="17.25" thickBot="1">
      <c r="A60" s="114"/>
      <c r="B60" s="35">
        <f t="shared" ref="B60:K60" si="28">+(B59-(B55+B57))*B$4</f>
        <v>3840000</v>
      </c>
      <c r="C60" s="35">
        <f t="shared" si="28"/>
        <v>4030000</v>
      </c>
      <c r="D60" s="35">
        <f t="shared" si="28"/>
        <v>846000</v>
      </c>
      <c r="E60" s="35">
        <f t="shared" si="28"/>
        <v>1122000</v>
      </c>
      <c r="F60" s="35">
        <f t="shared" si="28"/>
        <v>1088000</v>
      </c>
      <c r="G60" s="35">
        <f t="shared" si="28"/>
        <v>182000</v>
      </c>
      <c r="H60" s="35">
        <f t="shared" si="28"/>
        <v>180000</v>
      </c>
      <c r="I60" s="35">
        <f t="shared" si="28"/>
        <v>120000</v>
      </c>
      <c r="J60" s="35">
        <f t="shared" si="28"/>
        <v>63000</v>
      </c>
      <c r="K60" s="35">
        <f t="shared" si="28"/>
        <v>333500</v>
      </c>
      <c r="L60" s="35">
        <f>MONTH(M62)</f>
        <v>12</v>
      </c>
      <c r="M60" s="48" t="str">
        <f>IF(O59&gt;0,"Y","X")</f>
        <v>Y</v>
      </c>
      <c r="N60" s="49">
        <f>IF(SUM(B59:K59)=0,0,SUM(B60:K60))</f>
        <v>11804500</v>
      </c>
      <c r="O60" s="93"/>
      <c r="P60" s="96"/>
      <c r="Q60" s="99"/>
      <c r="R60" s="102"/>
      <c r="S60" s="104">
        <f>SUM(T59:XFD59)</f>
        <v>27</v>
      </c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</row>
    <row r="61" spans="1:32" ht="17.25" thickTop="1">
      <c r="A61" s="114"/>
      <c r="B61" s="50">
        <v>-100</v>
      </c>
      <c r="C61" s="50">
        <v>-200</v>
      </c>
      <c r="D61" s="50">
        <f>-210-30</f>
        <v>-240</v>
      </c>
      <c r="E61" s="50">
        <v>0</v>
      </c>
      <c r="F61" s="50">
        <v>-205</v>
      </c>
      <c r="G61" s="50">
        <v>0</v>
      </c>
      <c r="H61" s="50">
        <v>0</v>
      </c>
      <c r="I61" s="50">
        <v>0</v>
      </c>
      <c r="J61" s="50">
        <v>0</v>
      </c>
      <c r="K61" s="51">
        <v>0</v>
      </c>
      <c r="L61" s="52"/>
      <c r="M61" s="63"/>
      <c r="N61" s="54" t="s">
        <v>39</v>
      </c>
      <c r="O61" s="93"/>
      <c r="P61" s="96"/>
      <c r="Q61" s="99"/>
      <c r="R61" s="102"/>
      <c r="S61" s="105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</row>
    <row r="62" spans="1:32" ht="17.25" thickBot="1">
      <c r="A62" s="115"/>
      <c r="B62" s="55">
        <f t="shared" ref="B62:K62" si="29">+(B59+B61)*B$4</f>
        <v>73040000</v>
      </c>
      <c r="C62" s="55">
        <f t="shared" si="29"/>
        <v>35620000</v>
      </c>
      <c r="D62" s="55">
        <f t="shared" si="29"/>
        <v>23616000</v>
      </c>
      <c r="E62" s="55">
        <f t="shared" si="29"/>
        <v>39732000</v>
      </c>
      <c r="F62" s="55">
        <f t="shared" si="29"/>
        <v>21504000</v>
      </c>
      <c r="G62" s="55">
        <f t="shared" si="29"/>
        <v>3683333.333333333</v>
      </c>
      <c r="H62" s="55">
        <f t="shared" si="29"/>
        <v>18120000</v>
      </c>
      <c r="I62" s="55">
        <f t="shared" si="29"/>
        <v>7104000</v>
      </c>
      <c r="J62" s="55">
        <f t="shared" si="29"/>
        <v>4256000</v>
      </c>
      <c r="K62" s="55">
        <f t="shared" si="29"/>
        <v>9555500</v>
      </c>
      <c r="L62" s="57"/>
      <c r="M62" s="65">
        <f>A59</f>
        <v>44177</v>
      </c>
      <c r="N62" s="59">
        <f>SUM(B62:K62)</f>
        <v>236230833.33333334</v>
      </c>
      <c r="O62" s="94"/>
      <c r="P62" s="97"/>
      <c r="Q62" s="100"/>
      <c r="R62" s="103"/>
      <c r="S62" s="106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</row>
    <row r="63" spans="1:32">
      <c r="A63" s="113">
        <f>+A59+1</f>
        <v>44178</v>
      </c>
      <c r="B63" s="31">
        <v>1014</v>
      </c>
      <c r="C63" s="31">
        <v>647</v>
      </c>
      <c r="D63" s="31">
        <v>1398</v>
      </c>
      <c r="E63" s="31">
        <v>1895</v>
      </c>
      <c r="F63" s="31">
        <v>718</v>
      </c>
      <c r="G63" s="31">
        <v>904</v>
      </c>
      <c r="H63" s="31">
        <v>614</v>
      </c>
      <c r="I63" s="31">
        <v>607</v>
      </c>
      <c r="J63" s="31">
        <v>630</v>
      </c>
      <c r="K63" s="32">
        <v>680</v>
      </c>
      <c r="L63" s="15"/>
      <c r="M63" s="60"/>
      <c r="N63" s="61" t="s">
        <v>38</v>
      </c>
      <c r="O63" s="92">
        <f>+IFERROR(IF(HLOOKUP(S63,$S$3:$AB$3,1,)=S63,S64,0),0)</f>
        <v>56</v>
      </c>
      <c r="P63" s="95">
        <f>IFERROR(+N64/O63,0)</f>
        <v>369026.78571428574</v>
      </c>
      <c r="Q63" s="98">
        <f>+IFERROR(IF(HLOOKUP(S63,$S$4:$AB$4,1,)=S63,S64,0),0)</f>
        <v>0</v>
      </c>
      <c r="R63" s="101">
        <f>IFERROR(N64/Q63,0)</f>
        <v>0</v>
      </c>
      <c r="S63" s="47" t="s">
        <v>19</v>
      </c>
      <c r="T63" s="107">
        <v>11</v>
      </c>
      <c r="U63" s="107">
        <v>6</v>
      </c>
      <c r="V63" s="107">
        <v>6</v>
      </c>
      <c r="W63" s="107">
        <v>6</v>
      </c>
      <c r="X63" s="107">
        <v>0</v>
      </c>
      <c r="Y63" s="107">
        <v>6</v>
      </c>
      <c r="Z63" s="107">
        <v>9</v>
      </c>
      <c r="AA63" s="107">
        <v>6</v>
      </c>
      <c r="AB63" s="107">
        <v>6</v>
      </c>
      <c r="AC63" s="107">
        <v>0</v>
      </c>
      <c r="AD63" s="107">
        <v>0</v>
      </c>
      <c r="AE63" s="107">
        <v>0</v>
      </c>
      <c r="AF63" s="107">
        <v>0</v>
      </c>
    </row>
    <row r="64" spans="1:32" ht="17.25" thickBot="1">
      <c r="A64" s="114"/>
      <c r="B64" s="35">
        <f t="shared" ref="B64:K64" si="30">+(B63-(B59+B61))*B$4</f>
        <v>8080000</v>
      </c>
      <c r="C64" s="35">
        <f t="shared" si="30"/>
        <v>6435000</v>
      </c>
      <c r="D64" s="35">
        <f t="shared" si="30"/>
        <v>1548000</v>
      </c>
      <c r="E64" s="35">
        <f t="shared" si="30"/>
        <v>1958000</v>
      </c>
      <c r="F64" s="35">
        <f t="shared" si="30"/>
        <v>1472000</v>
      </c>
      <c r="G64" s="35">
        <f t="shared" si="30"/>
        <v>233999.99999999997</v>
      </c>
      <c r="H64" s="35">
        <f t="shared" si="30"/>
        <v>300000</v>
      </c>
      <c r="I64" s="35">
        <f t="shared" si="30"/>
        <v>180000</v>
      </c>
      <c r="J64" s="35">
        <f t="shared" si="30"/>
        <v>154000</v>
      </c>
      <c r="K64" s="35">
        <f t="shared" si="30"/>
        <v>304500</v>
      </c>
      <c r="L64" s="35">
        <f>MONTH(M66)</f>
        <v>12</v>
      </c>
      <c r="M64" s="48" t="str">
        <f>IF(O63&gt;0,"Y","X")</f>
        <v>Y</v>
      </c>
      <c r="N64" s="62">
        <f>IF(SUM(B63:K63)=0,0,SUM(B64:K64))</f>
        <v>20665500</v>
      </c>
      <c r="O64" s="93"/>
      <c r="P64" s="96"/>
      <c r="Q64" s="99"/>
      <c r="R64" s="102"/>
      <c r="S64" s="104">
        <f>SUM(T63:XFD63)</f>
        <v>56</v>
      </c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</row>
    <row r="65" spans="1:32" ht="17.25" thickTop="1">
      <c r="A65" s="114"/>
      <c r="B65" s="50">
        <v>0</v>
      </c>
      <c r="C65" s="50">
        <v>0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1">
        <v>0</v>
      </c>
      <c r="L65" s="52"/>
      <c r="M65" s="63"/>
      <c r="N65" s="64" t="s">
        <v>39</v>
      </c>
      <c r="O65" s="93"/>
      <c r="P65" s="96"/>
      <c r="Q65" s="99"/>
      <c r="R65" s="102"/>
      <c r="S65" s="105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</row>
    <row r="66" spans="1:32" ht="17.25" thickBot="1">
      <c r="A66" s="115"/>
      <c r="B66" s="55">
        <f t="shared" ref="B66:K66" si="31">+(B63+B65)*B$4</f>
        <v>81120000</v>
      </c>
      <c r="C66" s="55">
        <f t="shared" si="31"/>
        <v>42055000</v>
      </c>
      <c r="D66" s="55">
        <f t="shared" si="31"/>
        <v>25164000</v>
      </c>
      <c r="E66" s="55">
        <f t="shared" si="31"/>
        <v>41690000</v>
      </c>
      <c r="F66" s="55">
        <f t="shared" si="31"/>
        <v>22976000</v>
      </c>
      <c r="G66" s="55">
        <f t="shared" si="31"/>
        <v>3917333.333333333</v>
      </c>
      <c r="H66" s="55">
        <f t="shared" si="31"/>
        <v>18420000</v>
      </c>
      <c r="I66" s="55">
        <f t="shared" si="31"/>
        <v>7284000</v>
      </c>
      <c r="J66" s="55">
        <f t="shared" si="31"/>
        <v>4410000</v>
      </c>
      <c r="K66" s="55">
        <f t="shared" si="31"/>
        <v>9860000</v>
      </c>
      <c r="L66" s="57"/>
      <c r="M66" s="65">
        <f>A63</f>
        <v>44178</v>
      </c>
      <c r="N66" s="66">
        <f>SUM(B66:K66)</f>
        <v>256896333.33333334</v>
      </c>
      <c r="O66" s="94"/>
      <c r="P66" s="97"/>
      <c r="Q66" s="100"/>
      <c r="R66" s="103"/>
      <c r="S66" s="106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</row>
    <row r="67" spans="1:32">
      <c r="A67" s="110">
        <f>+A63+1</f>
        <v>44179</v>
      </c>
      <c r="B67" s="31">
        <v>1062</v>
      </c>
      <c r="C67" s="31">
        <v>685</v>
      </c>
      <c r="D67" s="31">
        <v>1436</v>
      </c>
      <c r="E67" s="31">
        <v>1929</v>
      </c>
      <c r="F67" s="31">
        <v>741</v>
      </c>
      <c r="G67" s="31">
        <v>946</v>
      </c>
      <c r="H67" s="31">
        <v>624</v>
      </c>
      <c r="I67" s="31">
        <v>613</v>
      </c>
      <c r="J67" s="31">
        <v>633</v>
      </c>
      <c r="K67" s="32">
        <v>688</v>
      </c>
      <c r="L67" s="15"/>
      <c r="M67" s="45"/>
      <c r="N67" s="46" t="s">
        <v>38</v>
      </c>
      <c r="O67" s="92">
        <f>+IFERROR(IF(HLOOKUP(S67,$S$3:$AB$3,1,)=S67,S68,0),0)</f>
        <v>29</v>
      </c>
      <c r="P67" s="95">
        <f>IFERROR(+N68/O67,0)</f>
        <v>316172.41379310342</v>
      </c>
      <c r="Q67" s="98">
        <f>+IFERROR(IF(HLOOKUP(S67,$S$4:$AB$4,1,)=S67,S68,0),0)</f>
        <v>0</v>
      </c>
      <c r="R67" s="101">
        <f>IFERROR(N68/Q67,0)</f>
        <v>0</v>
      </c>
      <c r="S67" s="47" t="s">
        <v>20</v>
      </c>
      <c r="T67" s="107">
        <v>11</v>
      </c>
      <c r="U67" s="107">
        <v>6</v>
      </c>
      <c r="V67" s="107">
        <v>6</v>
      </c>
      <c r="W67" s="107">
        <v>0</v>
      </c>
      <c r="X67" s="107">
        <v>0</v>
      </c>
      <c r="Y67" s="107">
        <v>0</v>
      </c>
      <c r="Z67" s="107">
        <v>6</v>
      </c>
      <c r="AA67" s="107">
        <v>0</v>
      </c>
      <c r="AB67" s="107">
        <v>0</v>
      </c>
      <c r="AC67" s="107">
        <v>0</v>
      </c>
      <c r="AD67" s="107">
        <v>0</v>
      </c>
      <c r="AE67" s="107">
        <v>0</v>
      </c>
      <c r="AF67" s="107">
        <v>0</v>
      </c>
    </row>
    <row r="68" spans="1:32" ht="17.25" thickBot="1">
      <c r="A68" s="111"/>
      <c r="B68" s="35">
        <f t="shared" ref="B68:K68" si="32">+(B67-(B63+B65))*B$4</f>
        <v>3840000</v>
      </c>
      <c r="C68" s="35">
        <f t="shared" si="32"/>
        <v>2470000</v>
      </c>
      <c r="D68" s="35">
        <f t="shared" si="32"/>
        <v>684000</v>
      </c>
      <c r="E68" s="35">
        <f t="shared" si="32"/>
        <v>748000</v>
      </c>
      <c r="F68" s="35">
        <f t="shared" si="32"/>
        <v>736000</v>
      </c>
      <c r="G68" s="35">
        <f t="shared" si="32"/>
        <v>182000</v>
      </c>
      <c r="H68" s="35">
        <f t="shared" si="32"/>
        <v>300000</v>
      </c>
      <c r="I68" s="35">
        <f t="shared" si="32"/>
        <v>72000</v>
      </c>
      <c r="J68" s="35">
        <f t="shared" si="32"/>
        <v>21000</v>
      </c>
      <c r="K68" s="35">
        <f t="shared" si="32"/>
        <v>116000</v>
      </c>
      <c r="L68" s="35">
        <f>MONTH(M70)</f>
        <v>12</v>
      </c>
      <c r="M68" s="48" t="str">
        <f>IF(O67&gt;0,"Y","X")</f>
        <v>Y</v>
      </c>
      <c r="N68" s="49">
        <f>IF(SUM(B67:K67)=0,0,SUM(B68:K68))</f>
        <v>9169000</v>
      </c>
      <c r="O68" s="93"/>
      <c r="P68" s="96"/>
      <c r="Q68" s="99"/>
      <c r="R68" s="102"/>
      <c r="S68" s="104">
        <f>SUM(T67:XFD67)</f>
        <v>29</v>
      </c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</row>
    <row r="69" spans="1:32" ht="17.25" thickTop="1">
      <c r="A69" s="111"/>
      <c r="B69" s="50">
        <v>0</v>
      </c>
      <c r="C69" s="50">
        <v>0</v>
      </c>
      <c r="D69" s="50">
        <v>0</v>
      </c>
      <c r="E69" s="50">
        <v>0</v>
      </c>
      <c r="F69" s="50">
        <v>0</v>
      </c>
      <c r="G69" s="50">
        <v>0</v>
      </c>
      <c r="H69" s="50">
        <v>0</v>
      </c>
      <c r="I69" s="50">
        <v>0</v>
      </c>
      <c r="J69" s="50">
        <v>0</v>
      </c>
      <c r="K69" s="51">
        <v>0</v>
      </c>
      <c r="L69" s="52"/>
      <c r="M69" s="53"/>
      <c r="N69" s="54" t="s">
        <v>39</v>
      </c>
      <c r="O69" s="93"/>
      <c r="P69" s="96"/>
      <c r="Q69" s="99"/>
      <c r="R69" s="102"/>
      <c r="S69" s="105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</row>
    <row r="70" spans="1:32" ht="17.25" thickBot="1">
      <c r="A70" s="112"/>
      <c r="B70" s="55">
        <f t="shared" ref="B70:K70" si="33">+(B67+B69)*B$4</f>
        <v>84960000</v>
      </c>
      <c r="C70" s="55">
        <f t="shared" si="33"/>
        <v>44525000</v>
      </c>
      <c r="D70" s="55">
        <f t="shared" si="33"/>
        <v>25848000</v>
      </c>
      <c r="E70" s="55">
        <f t="shared" si="33"/>
        <v>42438000</v>
      </c>
      <c r="F70" s="55">
        <f t="shared" si="33"/>
        <v>23712000</v>
      </c>
      <c r="G70" s="55">
        <f t="shared" si="33"/>
        <v>4099333.333333333</v>
      </c>
      <c r="H70" s="55">
        <f t="shared" si="33"/>
        <v>18720000</v>
      </c>
      <c r="I70" s="55">
        <f t="shared" si="33"/>
        <v>7356000</v>
      </c>
      <c r="J70" s="55">
        <f t="shared" si="33"/>
        <v>4431000</v>
      </c>
      <c r="K70" s="55">
        <f t="shared" si="33"/>
        <v>9976000</v>
      </c>
      <c r="L70" s="57"/>
      <c r="M70" s="58">
        <f>A67</f>
        <v>44179</v>
      </c>
      <c r="N70" s="59">
        <f>SUM(B70:K70)</f>
        <v>266065333.33333334</v>
      </c>
      <c r="O70" s="94"/>
      <c r="P70" s="97"/>
      <c r="Q70" s="100"/>
      <c r="R70" s="103"/>
      <c r="S70" s="106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</row>
    <row r="71" spans="1:32">
      <c r="A71" s="110">
        <f>+A67+1</f>
        <v>44180</v>
      </c>
      <c r="B71" s="31">
        <v>1113</v>
      </c>
      <c r="C71" s="31">
        <v>743</v>
      </c>
      <c r="D71" s="31">
        <v>1471</v>
      </c>
      <c r="E71" s="31">
        <v>1964</v>
      </c>
      <c r="F71" s="31">
        <v>764</v>
      </c>
      <c r="G71" s="31">
        <v>1001</v>
      </c>
      <c r="H71" s="31">
        <v>635</v>
      </c>
      <c r="I71" s="31">
        <v>621</v>
      </c>
      <c r="J71" s="31">
        <v>644</v>
      </c>
      <c r="K71" s="32">
        <v>695</v>
      </c>
      <c r="L71" s="15"/>
      <c r="M71" s="60"/>
      <c r="N71" s="61" t="s">
        <v>38</v>
      </c>
      <c r="O71" s="92">
        <f>+IFERROR(IF(HLOOKUP(S71,$S$3:$AB$3,1,)=S71,S72,0),0)</f>
        <v>35</v>
      </c>
      <c r="P71" s="95">
        <f>IFERROR(+N72/O71,0)</f>
        <v>309395.23809523811</v>
      </c>
      <c r="Q71" s="98">
        <f>+IFERROR(IF(HLOOKUP(S71,$S$4:$AB$4,1,)=S71,S72,0),0)</f>
        <v>0</v>
      </c>
      <c r="R71" s="101">
        <f>IFERROR(N72/Q71,0)</f>
        <v>0</v>
      </c>
      <c r="S71" s="47" t="s">
        <v>18</v>
      </c>
      <c r="T71" s="107">
        <v>11</v>
      </c>
      <c r="U71" s="107">
        <v>6</v>
      </c>
      <c r="V71" s="107">
        <v>6</v>
      </c>
      <c r="W71" s="107">
        <v>6</v>
      </c>
      <c r="X71" s="107">
        <v>0</v>
      </c>
      <c r="Y71" s="107">
        <v>0</v>
      </c>
      <c r="Z71" s="107">
        <v>6</v>
      </c>
      <c r="AA71" s="107">
        <v>0</v>
      </c>
      <c r="AB71" s="107">
        <v>0</v>
      </c>
      <c r="AC71" s="107">
        <v>0</v>
      </c>
      <c r="AD71" s="107">
        <v>0</v>
      </c>
      <c r="AE71" s="107">
        <v>0</v>
      </c>
      <c r="AF71" s="107">
        <v>0</v>
      </c>
    </row>
    <row r="72" spans="1:32" ht="17.25" thickBot="1">
      <c r="A72" s="111"/>
      <c r="B72" s="35">
        <f t="shared" ref="B72:K72" si="34">+(B71-(B67+B69))*B$4</f>
        <v>4080000</v>
      </c>
      <c r="C72" s="35">
        <f t="shared" si="34"/>
        <v>3770000</v>
      </c>
      <c r="D72" s="35">
        <f t="shared" si="34"/>
        <v>630000</v>
      </c>
      <c r="E72" s="35">
        <f t="shared" si="34"/>
        <v>770000</v>
      </c>
      <c r="F72" s="35">
        <f t="shared" si="34"/>
        <v>736000</v>
      </c>
      <c r="G72" s="35">
        <f t="shared" si="34"/>
        <v>238333.33333333331</v>
      </c>
      <c r="H72" s="35">
        <f t="shared" si="34"/>
        <v>330000</v>
      </c>
      <c r="I72" s="35">
        <f t="shared" si="34"/>
        <v>96000</v>
      </c>
      <c r="J72" s="35">
        <f t="shared" si="34"/>
        <v>77000</v>
      </c>
      <c r="K72" s="35">
        <f t="shared" si="34"/>
        <v>101500</v>
      </c>
      <c r="L72" s="35">
        <f>MONTH(M74)</f>
        <v>12</v>
      </c>
      <c r="M72" s="48" t="str">
        <f>IF(O71&gt;0,"Y","X")</f>
        <v>Y</v>
      </c>
      <c r="N72" s="62">
        <f>IF(SUM(B71:K71)=0,0,SUM(B72:K72))</f>
        <v>10828833.333333334</v>
      </c>
      <c r="O72" s="93"/>
      <c r="P72" s="96"/>
      <c r="Q72" s="99"/>
      <c r="R72" s="102"/>
      <c r="S72" s="104">
        <f>SUM(T71:XFD71)</f>
        <v>35</v>
      </c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</row>
    <row r="73" spans="1:32" ht="17.25" thickTop="1">
      <c r="A73" s="111"/>
      <c r="B73" s="50">
        <v>0</v>
      </c>
      <c r="C73" s="50">
        <v>0</v>
      </c>
      <c r="D73" s="50">
        <f>333-10</f>
        <v>323</v>
      </c>
      <c r="E73" s="50">
        <v>0</v>
      </c>
      <c r="F73" s="50">
        <v>-5</v>
      </c>
      <c r="G73" s="50">
        <f>-D73*3</f>
        <v>-969</v>
      </c>
      <c r="H73" s="50">
        <v>0</v>
      </c>
      <c r="I73" s="50">
        <v>0</v>
      </c>
      <c r="J73" s="50">
        <v>0</v>
      </c>
      <c r="K73" s="51">
        <v>0</v>
      </c>
      <c r="L73" s="52"/>
      <c r="M73" s="63"/>
      <c r="N73" s="64" t="s">
        <v>39</v>
      </c>
      <c r="O73" s="93"/>
      <c r="P73" s="96"/>
      <c r="Q73" s="99"/>
      <c r="R73" s="102"/>
      <c r="S73" s="105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</row>
    <row r="74" spans="1:32" ht="17.25" thickBot="1">
      <c r="A74" s="112"/>
      <c r="B74" s="55">
        <f t="shared" ref="B74:K74" si="35">+(B71+B73)*B$4</f>
        <v>89040000</v>
      </c>
      <c r="C74" s="55">
        <f t="shared" si="35"/>
        <v>48295000</v>
      </c>
      <c r="D74" s="55">
        <f t="shared" si="35"/>
        <v>32292000</v>
      </c>
      <c r="E74" s="55">
        <f t="shared" si="35"/>
        <v>43208000</v>
      </c>
      <c r="F74" s="55">
        <f t="shared" si="35"/>
        <v>24288000</v>
      </c>
      <c r="G74" s="55">
        <f t="shared" si="35"/>
        <v>138666.66666666666</v>
      </c>
      <c r="H74" s="55">
        <f t="shared" si="35"/>
        <v>19050000</v>
      </c>
      <c r="I74" s="55">
        <f t="shared" si="35"/>
        <v>7452000</v>
      </c>
      <c r="J74" s="55">
        <f t="shared" si="35"/>
        <v>4508000</v>
      </c>
      <c r="K74" s="55">
        <f t="shared" si="35"/>
        <v>10077500</v>
      </c>
      <c r="L74" s="57"/>
      <c r="M74" s="65">
        <f>A71</f>
        <v>44180</v>
      </c>
      <c r="N74" s="66">
        <f>SUM(B74:K74)</f>
        <v>278349166.66666663</v>
      </c>
      <c r="O74" s="94"/>
      <c r="P74" s="97"/>
      <c r="Q74" s="100"/>
      <c r="R74" s="103"/>
      <c r="S74" s="106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</row>
    <row r="75" spans="1:32">
      <c r="A75" s="110">
        <f>+A71+1</f>
        <v>44181</v>
      </c>
      <c r="B75" s="31">
        <v>1138</v>
      </c>
      <c r="C75" s="31">
        <v>764</v>
      </c>
      <c r="D75" s="31">
        <v>1811</v>
      </c>
      <c r="E75" s="31">
        <v>1996</v>
      </c>
      <c r="F75" s="31">
        <v>776</v>
      </c>
      <c r="G75" s="31">
        <v>40</v>
      </c>
      <c r="H75" s="31">
        <v>644</v>
      </c>
      <c r="I75" s="31">
        <v>632</v>
      </c>
      <c r="J75" s="31">
        <v>654</v>
      </c>
      <c r="K75" s="32">
        <v>702</v>
      </c>
      <c r="L75" s="15"/>
      <c r="M75" s="60"/>
      <c r="N75" s="46" t="s">
        <v>38</v>
      </c>
      <c r="O75" s="92">
        <f>+IFERROR(IF(HLOOKUP(S75,$S$3:$AB$3,1,)=S75,S76,0),0)</f>
        <v>0</v>
      </c>
      <c r="P75" s="95">
        <f>IFERROR(+N76/O75,0)</f>
        <v>0</v>
      </c>
      <c r="Q75" s="98">
        <f>+IFERROR(IF(HLOOKUP(S75,$S$4:$AB$4,1,)=S75,S76,0),0)</f>
        <v>23</v>
      </c>
      <c r="R75" s="101">
        <f>IFERROR(N76/Q75,0)</f>
        <v>240311.59420289856</v>
      </c>
      <c r="S75" s="47" t="s">
        <v>24</v>
      </c>
      <c r="T75" s="107">
        <v>11</v>
      </c>
      <c r="U75" s="107">
        <v>6</v>
      </c>
      <c r="V75" s="107">
        <v>6</v>
      </c>
      <c r="W75" s="107">
        <v>0</v>
      </c>
      <c r="X75" s="107">
        <v>0</v>
      </c>
      <c r="Y75" s="107">
        <v>0</v>
      </c>
      <c r="Z75" s="107">
        <v>0</v>
      </c>
      <c r="AA75" s="107">
        <v>0</v>
      </c>
      <c r="AB75" s="107">
        <v>0</v>
      </c>
      <c r="AC75" s="107">
        <v>0</v>
      </c>
      <c r="AD75" s="107">
        <v>0</v>
      </c>
      <c r="AE75" s="107">
        <v>0</v>
      </c>
      <c r="AF75" s="107">
        <v>0</v>
      </c>
    </row>
    <row r="76" spans="1:32" ht="17.25" thickBot="1">
      <c r="A76" s="111"/>
      <c r="B76" s="35">
        <f t="shared" ref="B76:K76" si="36">+(B75-(B71+B73))*B$4</f>
        <v>2000000</v>
      </c>
      <c r="C76" s="35">
        <f t="shared" si="36"/>
        <v>1365000</v>
      </c>
      <c r="D76" s="35">
        <f t="shared" si="36"/>
        <v>306000</v>
      </c>
      <c r="E76" s="35">
        <f t="shared" si="36"/>
        <v>704000</v>
      </c>
      <c r="F76" s="35">
        <f t="shared" si="36"/>
        <v>544000</v>
      </c>
      <c r="G76" s="35">
        <f t="shared" si="36"/>
        <v>34666.666666666664</v>
      </c>
      <c r="H76" s="35">
        <f t="shared" si="36"/>
        <v>270000</v>
      </c>
      <c r="I76" s="35">
        <f t="shared" si="36"/>
        <v>132000</v>
      </c>
      <c r="J76" s="35">
        <f t="shared" si="36"/>
        <v>70000</v>
      </c>
      <c r="K76" s="35">
        <f t="shared" si="36"/>
        <v>101500</v>
      </c>
      <c r="L76" s="35">
        <f>MONTH(M78)</f>
        <v>12</v>
      </c>
      <c r="M76" s="48" t="str">
        <f>IF(O75&gt;0,"Y","X")</f>
        <v>X</v>
      </c>
      <c r="N76" s="49">
        <f>IF(SUM(B75:K75)=0,0,SUM(B76:K76))</f>
        <v>5527166.666666667</v>
      </c>
      <c r="O76" s="93"/>
      <c r="P76" s="96"/>
      <c r="Q76" s="99"/>
      <c r="R76" s="102"/>
      <c r="S76" s="104">
        <f>SUM(T75:XFD75)</f>
        <v>23</v>
      </c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</row>
    <row r="77" spans="1:32" ht="17.25" thickTop="1">
      <c r="A77" s="111"/>
      <c r="B77" s="50">
        <f>-100-200-100</f>
        <v>-400</v>
      </c>
      <c r="C77" s="50">
        <v>-150</v>
      </c>
      <c r="D77" s="50">
        <f>-10-200-200+100+200</f>
        <v>-110</v>
      </c>
      <c r="E77" s="50">
        <f>-200-200-200-100-100</f>
        <v>-800</v>
      </c>
      <c r="F77" s="50">
        <f>-5-200+200</f>
        <v>-5</v>
      </c>
      <c r="G77" s="50">
        <v>0</v>
      </c>
      <c r="H77" s="50">
        <v>-100</v>
      </c>
      <c r="I77" s="50">
        <v>-100</v>
      </c>
      <c r="J77" s="50">
        <v>-100</v>
      </c>
      <c r="K77" s="51">
        <v>-100</v>
      </c>
      <c r="L77" s="52"/>
      <c r="M77" s="63"/>
      <c r="N77" s="54" t="s">
        <v>39</v>
      </c>
      <c r="O77" s="93"/>
      <c r="P77" s="96"/>
      <c r="Q77" s="99"/>
      <c r="R77" s="102"/>
      <c r="S77" s="105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</row>
    <row r="78" spans="1:32" ht="17.25" thickBot="1">
      <c r="A78" s="112"/>
      <c r="B78" s="55">
        <f t="shared" ref="B78:K78" si="37">+(B75+B77)*B$4</f>
        <v>59040000</v>
      </c>
      <c r="C78" s="55">
        <f t="shared" si="37"/>
        <v>39910000</v>
      </c>
      <c r="D78" s="55">
        <f t="shared" si="37"/>
        <v>30618000</v>
      </c>
      <c r="E78" s="55">
        <f t="shared" si="37"/>
        <v>26312000</v>
      </c>
      <c r="F78" s="55">
        <f t="shared" si="37"/>
        <v>24672000</v>
      </c>
      <c r="G78" s="55">
        <f t="shared" si="37"/>
        <v>173333.33333333331</v>
      </c>
      <c r="H78" s="55">
        <f t="shared" si="37"/>
        <v>16320000</v>
      </c>
      <c r="I78" s="55">
        <f t="shared" si="37"/>
        <v>6384000</v>
      </c>
      <c r="J78" s="55">
        <f t="shared" si="37"/>
        <v>3878000</v>
      </c>
      <c r="K78" s="55">
        <f t="shared" si="37"/>
        <v>8729000</v>
      </c>
      <c r="L78" s="57"/>
      <c r="M78" s="65">
        <f>A75</f>
        <v>44181</v>
      </c>
      <c r="N78" s="59">
        <f>SUM(B78:K78)</f>
        <v>216036333.33333334</v>
      </c>
      <c r="O78" s="94"/>
      <c r="P78" s="97"/>
      <c r="Q78" s="100"/>
      <c r="R78" s="103"/>
      <c r="S78" s="106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</row>
    <row r="79" spans="1:32">
      <c r="A79" s="110">
        <f>+A75+1</f>
        <v>44182</v>
      </c>
      <c r="B79" s="31">
        <v>793</v>
      </c>
      <c r="C79" s="31">
        <v>654</v>
      </c>
      <c r="D79" s="31">
        <v>1744</v>
      </c>
      <c r="E79" s="31">
        <v>1236</v>
      </c>
      <c r="F79" s="31">
        <v>802</v>
      </c>
      <c r="G79" s="31">
        <v>113</v>
      </c>
      <c r="H79" s="31">
        <v>554</v>
      </c>
      <c r="I79" s="31">
        <v>540</v>
      </c>
      <c r="J79" s="31">
        <v>559</v>
      </c>
      <c r="K79" s="32">
        <v>617</v>
      </c>
      <c r="L79" s="15"/>
      <c r="M79" s="60"/>
      <c r="N79" s="61" t="s">
        <v>38</v>
      </c>
      <c r="O79" s="92">
        <f>+IFERROR(IF(HLOOKUP(S79,$S$3:$AB$3,1,)=S79,S80,0),0)</f>
        <v>0</v>
      </c>
      <c r="P79" s="95">
        <f>IFERROR(+N80/O79,0)</f>
        <v>0</v>
      </c>
      <c r="Q79" s="98">
        <f>+IFERROR(IF(HLOOKUP(S79,$S$4:$AB$4,1,)=S79,S80,0),0)</f>
        <v>39</v>
      </c>
      <c r="R79" s="101">
        <f>IFERROR(N80/Q79,0)</f>
        <v>272072.64957264956</v>
      </c>
      <c r="S79" s="47" t="s">
        <v>23</v>
      </c>
      <c r="T79" s="107">
        <v>11</v>
      </c>
      <c r="U79" s="107">
        <v>6</v>
      </c>
      <c r="V79" s="107">
        <v>9</v>
      </c>
      <c r="W79" s="107">
        <v>6</v>
      </c>
      <c r="X79" s="107">
        <v>0</v>
      </c>
      <c r="Y79" s="107">
        <v>1</v>
      </c>
      <c r="Z79" s="107">
        <v>6</v>
      </c>
      <c r="AA79" s="107">
        <v>0</v>
      </c>
      <c r="AB79" s="107">
        <v>0</v>
      </c>
      <c r="AC79" s="107">
        <v>0</v>
      </c>
      <c r="AD79" s="107">
        <v>0</v>
      </c>
      <c r="AE79" s="107">
        <v>0</v>
      </c>
      <c r="AF79" s="107">
        <v>0</v>
      </c>
    </row>
    <row r="80" spans="1:32" ht="17.25" thickBot="1">
      <c r="A80" s="111"/>
      <c r="B80" s="35">
        <f t="shared" ref="B80:K80" si="38">+(B79-(B75+B77))*B$4</f>
        <v>4400000</v>
      </c>
      <c r="C80" s="35">
        <f t="shared" si="38"/>
        <v>2600000</v>
      </c>
      <c r="D80" s="35">
        <f t="shared" si="38"/>
        <v>774000</v>
      </c>
      <c r="E80" s="35">
        <f t="shared" si="38"/>
        <v>880000</v>
      </c>
      <c r="F80" s="35">
        <f t="shared" si="38"/>
        <v>992000</v>
      </c>
      <c r="G80" s="35">
        <f t="shared" si="38"/>
        <v>316333.33333333331</v>
      </c>
      <c r="H80" s="35">
        <f t="shared" si="38"/>
        <v>300000</v>
      </c>
      <c r="I80" s="35">
        <f t="shared" si="38"/>
        <v>96000</v>
      </c>
      <c r="J80" s="35">
        <f t="shared" si="38"/>
        <v>35000</v>
      </c>
      <c r="K80" s="35">
        <f t="shared" si="38"/>
        <v>217500</v>
      </c>
      <c r="L80" s="35">
        <f>MONTH(M82)</f>
        <v>12</v>
      </c>
      <c r="M80" s="48" t="str">
        <f>IF(O79&gt;0,"Y","X")</f>
        <v>X</v>
      </c>
      <c r="N80" s="62">
        <f>IF(SUM(B79:K79)=0,0,SUM(B80:K80))</f>
        <v>10610833.333333334</v>
      </c>
      <c r="O80" s="93"/>
      <c r="P80" s="96"/>
      <c r="Q80" s="99"/>
      <c r="R80" s="102"/>
      <c r="S80" s="104">
        <f>SUM(T79:XFD79)</f>
        <v>39</v>
      </c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</row>
    <row r="81" spans="1:32" ht="17.25" thickTop="1">
      <c r="A81" s="111"/>
      <c r="B81" s="50">
        <v>0</v>
      </c>
      <c r="C81" s="50">
        <v>-10</v>
      </c>
      <c r="D81" s="50">
        <v>0</v>
      </c>
      <c r="E81" s="50">
        <v>0</v>
      </c>
      <c r="F81" s="50">
        <v>0</v>
      </c>
      <c r="G81" s="50">
        <v>0</v>
      </c>
      <c r="H81" s="50">
        <v>0</v>
      </c>
      <c r="I81" s="50">
        <v>0</v>
      </c>
      <c r="J81" s="50">
        <v>0</v>
      </c>
      <c r="K81" s="51">
        <v>0</v>
      </c>
      <c r="L81" s="52"/>
      <c r="M81" s="63"/>
      <c r="N81" s="64" t="s">
        <v>39</v>
      </c>
      <c r="O81" s="93"/>
      <c r="P81" s="96"/>
      <c r="Q81" s="99"/>
      <c r="R81" s="102"/>
      <c r="S81" s="105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</row>
    <row r="82" spans="1:32" ht="17.25" thickBot="1">
      <c r="A82" s="112"/>
      <c r="B82" s="55">
        <f t="shared" ref="B82:K82" si="39">+(B79+B81)*B$4</f>
        <v>63440000</v>
      </c>
      <c r="C82" s="55">
        <f t="shared" si="39"/>
        <v>41860000</v>
      </c>
      <c r="D82" s="55">
        <f t="shared" si="39"/>
        <v>31392000</v>
      </c>
      <c r="E82" s="55">
        <f t="shared" si="39"/>
        <v>27192000</v>
      </c>
      <c r="F82" s="55">
        <f t="shared" si="39"/>
        <v>25664000</v>
      </c>
      <c r="G82" s="55">
        <f t="shared" si="39"/>
        <v>489666.66666666663</v>
      </c>
      <c r="H82" s="55">
        <f t="shared" si="39"/>
        <v>16620000</v>
      </c>
      <c r="I82" s="55">
        <f t="shared" si="39"/>
        <v>6480000</v>
      </c>
      <c r="J82" s="55">
        <f t="shared" si="39"/>
        <v>3913000</v>
      </c>
      <c r="K82" s="55">
        <f t="shared" si="39"/>
        <v>8946500</v>
      </c>
      <c r="L82" s="57"/>
      <c r="M82" s="65">
        <f>A79</f>
        <v>44182</v>
      </c>
      <c r="N82" s="66">
        <f>SUM(B82:K82)</f>
        <v>225997166.66666666</v>
      </c>
      <c r="O82" s="94"/>
      <c r="P82" s="97"/>
      <c r="Q82" s="100"/>
      <c r="R82" s="103"/>
      <c r="S82" s="106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</row>
    <row r="83" spans="1:32">
      <c r="A83" s="110">
        <f>+A79+1</f>
        <v>44183</v>
      </c>
      <c r="B83" s="31">
        <v>854</v>
      </c>
      <c r="C83" s="31">
        <v>704</v>
      </c>
      <c r="D83" s="31">
        <v>1778</v>
      </c>
      <c r="E83" s="31">
        <v>1297</v>
      </c>
      <c r="F83" s="31">
        <v>833</v>
      </c>
      <c r="G83" s="31">
        <v>176</v>
      </c>
      <c r="H83" s="31">
        <v>566</v>
      </c>
      <c r="I83" s="31">
        <v>559</v>
      </c>
      <c r="J83" s="31">
        <v>567</v>
      </c>
      <c r="K83" s="32">
        <v>631</v>
      </c>
      <c r="L83" s="15"/>
      <c r="M83" s="60"/>
      <c r="N83" s="46" t="s">
        <v>38</v>
      </c>
      <c r="O83" s="92">
        <f>+IFERROR(IF(HLOOKUP(S83,$S$3:$AB$3,1,)=S83,S84,0),0)</f>
        <v>53</v>
      </c>
      <c r="P83" s="95">
        <f>IFERROR(+N84/O83,0)</f>
        <v>242377.35849056602</v>
      </c>
      <c r="Q83" s="98">
        <f>+IFERROR(IF(HLOOKUP(S83,$S$4:$AB$4,1,)=S83,S84,0),0)</f>
        <v>0</v>
      </c>
      <c r="R83" s="101">
        <f>IFERROR(N84/Q83,0)</f>
        <v>0</v>
      </c>
      <c r="S83" s="47" t="s">
        <v>17</v>
      </c>
      <c r="T83" s="107">
        <v>14</v>
      </c>
      <c r="U83" s="107">
        <v>9</v>
      </c>
      <c r="V83" s="107">
        <v>6</v>
      </c>
      <c r="W83" s="107">
        <v>6</v>
      </c>
      <c r="X83" s="107">
        <v>6</v>
      </c>
      <c r="Y83" s="107">
        <v>6</v>
      </c>
      <c r="Z83" s="107">
        <v>6</v>
      </c>
      <c r="AA83" s="107">
        <v>0</v>
      </c>
      <c r="AB83" s="107">
        <v>0</v>
      </c>
      <c r="AC83" s="107">
        <v>0</v>
      </c>
      <c r="AD83" s="107">
        <v>0</v>
      </c>
      <c r="AE83" s="107">
        <v>0</v>
      </c>
      <c r="AF83" s="107">
        <v>0</v>
      </c>
    </row>
    <row r="84" spans="1:32" ht="17.25" thickBot="1">
      <c r="A84" s="111"/>
      <c r="B84" s="35">
        <f t="shared" ref="B84:K84" si="40">+(B83-(B79+B81))*B$4</f>
        <v>4880000</v>
      </c>
      <c r="C84" s="35">
        <f t="shared" si="40"/>
        <v>3900000</v>
      </c>
      <c r="D84" s="35">
        <f t="shared" si="40"/>
        <v>612000</v>
      </c>
      <c r="E84" s="35">
        <f t="shared" si="40"/>
        <v>1342000</v>
      </c>
      <c r="F84" s="35">
        <f t="shared" si="40"/>
        <v>992000</v>
      </c>
      <c r="G84" s="35">
        <f t="shared" si="40"/>
        <v>273000</v>
      </c>
      <c r="H84" s="35">
        <f t="shared" si="40"/>
        <v>360000</v>
      </c>
      <c r="I84" s="35">
        <f t="shared" si="40"/>
        <v>228000</v>
      </c>
      <c r="J84" s="35">
        <f t="shared" si="40"/>
        <v>56000</v>
      </c>
      <c r="K84" s="35">
        <f t="shared" si="40"/>
        <v>203000</v>
      </c>
      <c r="L84" s="35">
        <f>MONTH(M86)</f>
        <v>12</v>
      </c>
      <c r="M84" s="48" t="str">
        <f>IF(O83&gt;0,"Y","X")</f>
        <v>Y</v>
      </c>
      <c r="N84" s="49">
        <f>IF(SUM(B83:K83)=0,0,SUM(B84:K84))</f>
        <v>12846000</v>
      </c>
      <c r="O84" s="93"/>
      <c r="P84" s="96"/>
      <c r="Q84" s="99"/>
      <c r="R84" s="102"/>
      <c r="S84" s="104">
        <f>SUM(T83:XFD83)</f>
        <v>53</v>
      </c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</row>
    <row r="85" spans="1:32" ht="17.25" thickTop="1">
      <c r="A85" s="111"/>
      <c r="B85" s="50">
        <v>-18</v>
      </c>
      <c r="C85" s="50">
        <v>-64</v>
      </c>
      <c r="D85" s="50">
        <v>-28</v>
      </c>
      <c r="E85" s="50">
        <v>0</v>
      </c>
      <c r="F85" s="50">
        <v>0</v>
      </c>
      <c r="G85" s="50">
        <v>0</v>
      </c>
      <c r="H85" s="50">
        <v>0</v>
      </c>
      <c r="I85" s="50">
        <v>0</v>
      </c>
      <c r="J85" s="50">
        <v>0</v>
      </c>
      <c r="K85" s="51">
        <v>0</v>
      </c>
      <c r="L85" s="52"/>
      <c r="M85" s="63"/>
      <c r="N85" s="54" t="s">
        <v>39</v>
      </c>
      <c r="O85" s="93"/>
      <c r="P85" s="96"/>
      <c r="Q85" s="99"/>
      <c r="R85" s="102"/>
      <c r="S85" s="105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</row>
    <row r="86" spans="1:32" ht="17.25" thickBot="1">
      <c r="A86" s="112"/>
      <c r="B86" s="55">
        <f t="shared" ref="B86:K86" si="41">+(B83+B85)*B$4</f>
        <v>66880000</v>
      </c>
      <c r="C86" s="55">
        <f t="shared" si="41"/>
        <v>41600000</v>
      </c>
      <c r="D86" s="55">
        <f t="shared" si="41"/>
        <v>31500000</v>
      </c>
      <c r="E86" s="55">
        <f t="shared" si="41"/>
        <v>28534000</v>
      </c>
      <c r="F86" s="55">
        <f t="shared" si="41"/>
        <v>26656000</v>
      </c>
      <c r="G86" s="55">
        <f t="shared" si="41"/>
        <v>762666.66666666663</v>
      </c>
      <c r="H86" s="55">
        <f t="shared" si="41"/>
        <v>16980000</v>
      </c>
      <c r="I86" s="55">
        <f t="shared" si="41"/>
        <v>6708000</v>
      </c>
      <c r="J86" s="55">
        <f t="shared" si="41"/>
        <v>3969000</v>
      </c>
      <c r="K86" s="55">
        <f t="shared" si="41"/>
        <v>9149500</v>
      </c>
      <c r="L86" s="57"/>
      <c r="M86" s="65">
        <f>A83</f>
        <v>44183</v>
      </c>
      <c r="N86" s="59">
        <f>SUM(B86:K86)</f>
        <v>232739166.66666666</v>
      </c>
      <c r="O86" s="94"/>
      <c r="P86" s="97"/>
      <c r="Q86" s="100"/>
      <c r="R86" s="103"/>
      <c r="S86" s="106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  <c r="AF86" s="109"/>
    </row>
    <row r="87" spans="1:32">
      <c r="A87" s="113">
        <f>+A83+1</f>
        <v>44184</v>
      </c>
      <c r="B87" s="31">
        <v>914</v>
      </c>
      <c r="C87" s="31">
        <v>734</v>
      </c>
      <c r="D87" s="31">
        <v>1805</v>
      </c>
      <c r="E87" s="31">
        <v>1399</v>
      </c>
      <c r="F87" s="31">
        <v>869</v>
      </c>
      <c r="G87" s="31">
        <v>255</v>
      </c>
      <c r="H87" s="31">
        <v>579</v>
      </c>
      <c r="I87" s="31">
        <v>580</v>
      </c>
      <c r="J87" s="31">
        <v>584</v>
      </c>
      <c r="K87" s="32">
        <v>647</v>
      </c>
      <c r="L87" s="15"/>
      <c r="M87" s="60"/>
      <c r="N87" s="61" t="s">
        <v>38</v>
      </c>
      <c r="O87" s="92">
        <f>+IFERROR(IF(HLOOKUP(S87,$S$3:$AB$3,1,)=S87,S88,0),0)</f>
        <v>55</v>
      </c>
      <c r="P87" s="95">
        <f>IFERROR(+N88/O87,0)</f>
        <v>328569.69696969696</v>
      </c>
      <c r="Q87" s="98">
        <f>+IFERROR(IF(HLOOKUP(S87,$S$4:$AB$4,1,)=S87,S88,0),0)</f>
        <v>0</v>
      </c>
      <c r="R87" s="101">
        <f>IFERROR(N88/Q87,0)</f>
        <v>0</v>
      </c>
      <c r="S87" s="47" t="s">
        <v>19</v>
      </c>
      <c r="T87" s="107">
        <v>9</v>
      </c>
      <c r="U87" s="107">
        <v>6</v>
      </c>
      <c r="V87" s="107">
        <v>9</v>
      </c>
      <c r="W87" s="107">
        <v>6</v>
      </c>
      <c r="X87" s="107">
        <v>9</v>
      </c>
      <c r="Y87" s="107">
        <v>6</v>
      </c>
      <c r="Z87" s="107">
        <v>6</v>
      </c>
      <c r="AA87" s="107">
        <v>0</v>
      </c>
      <c r="AB87" s="107">
        <v>0</v>
      </c>
      <c r="AC87" s="107">
        <v>0</v>
      </c>
      <c r="AD87" s="107">
        <v>0</v>
      </c>
      <c r="AE87" s="107">
        <v>4</v>
      </c>
      <c r="AF87" s="107">
        <v>0</v>
      </c>
    </row>
    <row r="88" spans="1:32" ht="17.25" thickBot="1">
      <c r="A88" s="114"/>
      <c r="B88" s="35">
        <f t="shared" ref="B88:K88" si="42">+(B87-(B83+B85))*B$4</f>
        <v>6240000</v>
      </c>
      <c r="C88" s="35">
        <f t="shared" si="42"/>
        <v>6110000</v>
      </c>
      <c r="D88" s="35">
        <f t="shared" si="42"/>
        <v>990000</v>
      </c>
      <c r="E88" s="35">
        <f t="shared" si="42"/>
        <v>2244000</v>
      </c>
      <c r="F88" s="35">
        <f t="shared" si="42"/>
        <v>1152000</v>
      </c>
      <c r="G88" s="35">
        <f t="shared" si="42"/>
        <v>342333.33333333331</v>
      </c>
      <c r="H88" s="35">
        <f t="shared" si="42"/>
        <v>390000</v>
      </c>
      <c r="I88" s="35">
        <f t="shared" si="42"/>
        <v>252000</v>
      </c>
      <c r="J88" s="35">
        <f t="shared" si="42"/>
        <v>119000</v>
      </c>
      <c r="K88" s="35">
        <f t="shared" si="42"/>
        <v>232000</v>
      </c>
      <c r="L88" s="35">
        <f>MONTH(M90)</f>
        <v>12</v>
      </c>
      <c r="M88" s="48" t="str">
        <f>IF(O87&gt;0,"Y","X")</f>
        <v>Y</v>
      </c>
      <c r="N88" s="62">
        <f>IF(SUM(B87:K87)=0,0,SUM(B88:K88))</f>
        <v>18071333.333333332</v>
      </c>
      <c r="O88" s="93"/>
      <c r="P88" s="96"/>
      <c r="Q88" s="99"/>
      <c r="R88" s="102"/>
      <c r="S88" s="104">
        <f>SUM(T87:XFD87)</f>
        <v>55</v>
      </c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</row>
    <row r="89" spans="1:32" ht="17.25" thickTop="1">
      <c r="A89" s="114"/>
      <c r="B89" s="50">
        <v>0</v>
      </c>
      <c r="C89" s="50">
        <v>-35</v>
      </c>
      <c r="D89" s="50">
        <f>-30+100</f>
        <v>70</v>
      </c>
      <c r="E89" s="50">
        <v>0</v>
      </c>
      <c r="F89" s="50">
        <v>-15</v>
      </c>
      <c r="G89" s="50">
        <v>0</v>
      </c>
      <c r="H89" s="50">
        <v>0</v>
      </c>
      <c r="I89" s="50">
        <v>0</v>
      </c>
      <c r="J89" s="50">
        <v>0</v>
      </c>
      <c r="K89" s="51">
        <v>0</v>
      </c>
      <c r="L89" s="52"/>
      <c r="M89" s="63"/>
      <c r="N89" s="64" t="s">
        <v>39</v>
      </c>
      <c r="O89" s="93"/>
      <c r="P89" s="96"/>
      <c r="Q89" s="99"/>
      <c r="R89" s="102"/>
      <c r="S89" s="105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</row>
    <row r="90" spans="1:32" ht="17.25" thickBot="1">
      <c r="A90" s="115"/>
      <c r="B90" s="55">
        <f t="shared" ref="B90:K90" si="43">+(B87+B89)*B$4</f>
        <v>73120000</v>
      </c>
      <c r="C90" s="55">
        <f t="shared" si="43"/>
        <v>45435000</v>
      </c>
      <c r="D90" s="55">
        <f t="shared" si="43"/>
        <v>33750000</v>
      </c>
      <c r="E90" s="55">
        <f t="shared" si="43"/>
        <v>30778000</v>
      </c>
      <c r="F90" s="55">
        <f t="shared" si="43"/>
        <v>27328000</v>
      </c>
      <c r="G90" s="55">
        <f t="shared" si="43"/>
        <v>1105000</v>
      </c>
      <c r="H90" s="55">
        <f t="shared" si="43"/>
        <v>17370000</v>
      </c>
      <c r="I90" s="55">
        <f t="shared" si="43"/>
        <v>6960000</v>
      </c>
      <c r="J90" s="55">
        <f t="shared" si="43"/>
        <v>4088000</v>
      </c>
      <c r="K90" s="55">
        <f t="shared" si="43"/>
        <v>9381500</v>
      </c>
      <c r="L90" s="57"/>
      <c r="M90" s="65">
        <f>A87</f>
        <v>44184</v>
      </c>
      <c r="N90" s="66">
        <f>SUM(B90:K90)</f>
        <v>249315500</v>
      </c>
      <c r="O90" s="94"/>
      <c r="P90" s="97"/>
      <c r="Q90" s="100"/>
      <c r="R90" s="103"/>
      <c r="S90" s="106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</row>
    <row r="91" spans="1:32">
      <c r="A91" s="113">
        <f>+A87+1</f>
        <v>44185</v>
      </c>
      <c r="B91" s="31">
        <v>996</v>
      </c>
      <c r="C91" s="31">
        <v>780</v>
      </c>
      <c r="D91" s="31">
        <v>1932</v>
      </c>
      <c r="E91" s="31">
        <v>1484</v>
      </c>
      <c r="F91" s="31">
        <v>899</v>
      </c>
      <c r="G91" s="31">
        <v>341</v>
      </c>
      <c r="H91" s="31">
        <v>591</v>
      </c>
      <c r="I91" s="31">
        <v>597</v>
      </c>
      <c r="J91" s="31">
        <v>604</v>
      </c>
      <c r="K91" s="32">
        <v>659</v>
      </c>
      <c r="L91" s="15"/>
      <c r="M91" s="60"/>
      <c r="N91" s="46" t="s">
        <v>38</v>
      </c>
      <c r="O91" s="92">
        <f>+IFERROR(IF(HLOOKUP(S91,$S$3:$AB$3,1,)=S91,S92,0),0)</f>
        <v>56</v>
      </c>
      <c r="P91" s="95">
        <f>IFERROR(+N92/O91,0)</f>
        <v>310922.61904761899</v>
      </c>
      <c r="Q91" s="98">
        <f>+IFERROR(IF(HLOOKUP(S91,$S$4:$AB$4,1,)=S91,S92,0),0)</f>
        <v>0</v>
      </c>
      <c r="R91" s="101">
        <f>IFERROR(N92/Q91,0)</f>
        <v>0</v>
      </c>
      <c r="S91" s="47" t="s">
        <v>20</v>
      </c>
      <c r="T91" s="107">
        <v>11</v>
      </c>
      <c r="U91" s="107">
        <v>6</v>
      </c>
      <c r="V91" s="107">
        <v>6</v>
      </c>
      <c r="W91" s="107">
        <v>9</v>
      </c>
      <c r="X91" s="107">
        <v>6</v>
      </c>
      <c r="Y91" s="107">
        <v>9</v>
      </c>
      <c r="Z91" s="107">
        <v>9</v>
      </c>
      <c r="AA91" s="107">
        <v>0</v>
      </c>
      <c r="AB91" s="107">
        <v>0</v>
      </c>
      <c r="AC91" s="107">
        <v>0</v>
      </c>
      <c r="AD91" s="107">
        <v>0</v>
      </c>
      <c r="AE91" s="107">
        <v>0</v>
      </c>
      <c r="AF91" s="107">
        <v>0</v>
      </c>
    </row>
    <row r="92" spans="1:32" ht="17.25" thickBot="1">
      <c r="A92" s="114"/>
      <c r="B92" s="35">
        <f t="shared" ref="B92:K92" si="44">+(B91-(B87+B89))*B$4</f>
        <v>6560000</v>
      </c>
      <c r="C92" s="35">
        <f t="shared" si="44"/>
        <v>5265000</v>
      </c>
      <c r="D92" s="35">
        <f t="shared" si="44"/>
        <v>1026000</v>
      </c>
      <c r="E92" s="35">
        <f t="shared" si="44"/>
        <v>1870000</v>
      </c>
      <c r="F92" s="35">
        <f t="shared" si="44"/>
        <v>1440000</v>
      </c>
      <c r="G92" s="35">
        <f t="shared" si="44"/>
        <v>372666.66666666663</v>
      </c>
      <c r="H92" s="35">
        <f t="shared" si="44"/>
        <v>360000</v>
      </c>
      <c r="I92" s="35">
        <f t="shared" si="44"/>
        <v>204000</v>
      </c>
      <c r="J92" s="35">
        <f t="shared" si="44"/>
        <v>140000</v>
      </c>
      <c r="K92" s="35">
        <f t="shared" si="44"/>
        <v>174000</v>
      </c>
      <c r="L92" s="35">
        <f>MONTH(M94)</f>
        <v>12</v>
      </c>
      <c r="M92" s="48" t="str">
        <f>IF(O91&gt;0,"Y","X")</f>
        <v>Y</v>
      </c>
      <c r="N92" s="49">
        <f>IF(SUM(B91:K91)=0,0,SUM(B92:K92))</f>
        <v>17411666.666666664</v>
      </c>
      <c r="O92" s="93"/>
      <c r="P92" s="96"/>
      <c r="Q92" s="99"/>
      <c r="R92" s="102"/>
      <c r="S92" s="104">
        <f>SUM(T91:XFD91)</f>
        <v>56</v>
      </c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</row>
    <row r="93" spans="1:32" ht="17.25" thickTop="1">
      <c r="A93" s="114"/>
      <c r="B93" s="50">
        <v>0</v>
      </c>
      <c r="C93" s="50">
        <v>-100</v>
      </c>
      <c r="D93" s="50">
        <v>-10</v>
      </c>
      <c r="E93" s="50">
        <v>0</v>
      </c>
      <c r="F93" s="50">
        <f>-200-5</f>
        <v>-205</v>
      </c>
      <c r="G93" s="50">
        <v>0</v>
      </c>
      <c r="H93" s="50">
        <v>-100</v>
      </c>
      <c r="I93" s="50">
        <v>-100</v>
      </c>
      <c r="J93" s="50">
        <v>-100</v>
      </c>
      <c r="K93" s="51">
        <v>-100</v>
      </c>
      <c r="L93" s="52"/>
      <c r="M93" s="63"/>
      <c r="N93" s="54" t="s">
        <v>39</v>
      </c>
      <c r="O93" s="93"/>
      <c r="P93" s="96"/>
      <c r="Q93" s="99"/>
      <c r="R93" s="102"/>
      <c r="S93" s="105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</row>
    <row r="94" spans="1:32" ht="17.25" thickBot="1">
      <c r="A94" s="115"/>
      <c r="B94" s="55">
        <f t="shared" ref="B94:K94" si="45">+(B91+B93)*B$4</f>
        <v>79680000</v>
      </c>
      <c r="C94" s="55">
        <f t="shared" si="45"/>
        <v>44200000</v>
      </c>
      <c r="D94" s="55">
        <f t="shared" si="45"/>
        <v>34596000</v>
      </c>
      <c r="E94" s="55">
        <f t="shared" si="45"/>
        <v>32648000</v>
      </c>
      <c r="F94" s="55">
        <f t="shared" si="45"/>
        <v>22208000</v>
      </c>
      <c r="G94" s="55">
        <f t="shared" si="45"/>
        <v>1477666.6666666665</v>
      </c>
      <c r="H94" s="55">
        <f t="shared" si="45"/>
        <v>14730000</v>
      </c>
      <c r="I94" s="55">
        <f t="shared" si="45"/>
        <v>5964000</v>
      </c>
      <c r="J94" s="55">
        <f t="shared" si="45"/>
        <v>3528000</v>
      </c>
      <c r="K94" s="55">
        <f t="shared" si="45"/>
        <v>8105500</v>
      </c>
      <c r="L94" s="57"/>
      <c r="M94" s="65">
        <f>A91</f>
        <v>44185</v>
      </c>
      <c r="N94" s="59">
        <f>SUM(B94:K94)</f>
        <v>247137166.66666666</v>
      </c>
      <c r="O94" s="94"/>
      <c r="P94" s="97"/>
      <c r="Q94" s="100"/>
      <c r="R94" s="103"/>
      <c r="S94" s="106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</row>
    <row r="95" spans="1:32">
      <c r="A95" s="110">
        <f>+A91+1</f>
        <v>44186</v>
      </c>
      <c r="B95" s="31">
        <v>1052</v>
      </c>
      <c r="C95" s="31">
        <v>737</v>
      </c>
      <c r="D95" s="31">
        <v>1953</v>
      </c>
      <c r="E95" s="31">
        <v>1532</v>
      </c>
      <c r="F95" s="31">
        <v>726</v>
      </c>
      <c r="G95" s="31">
        <v>395</v>
      </c>
      <c r="H95" s="31">
        <v>499</v>
      </c>
      <c r="I95" s="31">
        <v>507</v>
      </c>
      <c r="J95" s="31">
        <v>517</v>
      </c>
      <c r="K95" s="32">
        <v>568</v>
      </c>
      <c r="L95" s="15"/>
      <c r="M95" s="45"/>
      <c r="N95" s="61" t="s">
        <v>38</v>
      </c>
      <c r="O95" s="92">
        <f>+IFERROR(IF(HLOOKUP(S95,$S$3:$AB$3,1,)=S95,S96,0),0)</f>
        <v>34</v>
      </c>
      <c r="P95" s="95">
        <f>IFERROR(+N96/O95,0)</f>
        <v>342308.82352941175</v>
      </c>
      <c r="Q95" s="98">
        <f>+IFERROR(IF(HLOOKUP(S95,$S$4:$AB$4,1,)=S95,S96,0),0)</f>
        <v>0</v>
      </c>
      <c r="R95" s="101">
        <f>IFERROR(N96/Q95,0)</f>
        <v>0</v>
      </c>
      <c r="S95" s="47" t="s">
        <v>18</v>
      </c>
      <c r="T95" s="107">
        <v>11</v>
      </c>
      <c r="U95" s="107">
        <v>6</v>
      </c>
      <c r="V95" s="107">
        <v>5</v>
      </c>
      <c r="W95" s="107">
        <v>0</v>
      </c>
      <c r="X95" s="107">
        <v>6</v>
      </c>
      <c r="Y95" s="107">
        <v>6</v>
      </c>
      <c r="Z95" s="107">
        <v>0</v>
      </c>
      <c r="AA95" s="107">
        <v>0</v>
      </c>
      <c r="AB95" s="107">
        <v>0</v>
      </c>
      <c r="AC95" s="107">
        <v>0</v>
      </c>
      <c r="AD95" s="107">
        <v>0</v>
      </c>
      <c r="AE95" s="107">
        <v>0</v>
      </c>
      <c r="AF95" s="107">
        <v>0</v>
      </c>
    </row>
    <row r="96" spans="1:32" ht="17.25" thickBot="1">
      <c r="A96" s="111"/>
      <c r="B96" s="35">
        <f t="shared" ref="B96:K96" si="46">+(B95-(B91+B93))*B$4</f>
        <v>4480000</v>
      </c>
      <c r="C96" s="35">
        <f t="shared" si="46"/>
        <v>3705000</v>
      </c>
      <c r="D96" s="35">
        <f t="shared" si="46"/>
        <v>558000</v>
      </c>
      <c r="E96" s="35">
        <f t="shared" si="46"/>
        <v>1056000</v>
      </c>
      <c r="F96" s="35">
        <f t="shared" si="46"/>
        <v>1024000</v>
      </c>
      <c r="G96" s="35">
        <f t="shared" si="46"/>
        <v>233999.99999999997</v>
      </c>
      <c r="H96" s="35">
        <f t="shared" si="46"/>
        <v>240000</v>
      </c>
      <c r="I96" s="35">
        <f t="shared" si="46"/>
        <v>120000</v>
      </c>
      <c r="J96" s="35">
        <f t="shared" si="46"/>
        <v>91000</v>
      </c>
      <c r="K96" s="35">
        <f t="shared" si="46"/>
        <v>130500</v>
      </c>
      <c r="L96" s="35">
        <f>MONTH(M98)</f>
        <v>12</v>
      </c>
      <c r="M96" s="48" t="str">
        <f>IF(O95&gt;0,"Y","X")</f>
        <v>Y</v>
      </c>
      <c r="N96" s="62">
        <f>IF(SUM(B95:K95)=0,0,SUM(B96:K96))</f>
        <v>11638500</v>
      </c>
      <c r="O96" s="93"/>
      <c r="P96" s="96"/>
      <c r="Q96" s="99"/>
      <c r="R96" s="102"/>
      <c r="S96" s="104">
        <f>SUM(T95:XFD95)</f>
        <v>34</v>
      </c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</row>
    <row r="97" spans="1:32" ht="17.25" thickTop="1">
      <c r="A97" s="111"/>
      <c r="B97" s="50">
        <v>0</v>
      </c>
      <c r="C97" s="50">
        <v>0</v>
      </c>
      <c r="D97" s="50">
        <v>0</v>
      </c>
      <c r="E97" s="50">
        <v>0</v>
      </c>
      <c r="F97" s="50">
        <v>0</v>
      </c>
      <c r="G97" s="50">
        <v>0</v>
      </c>
      <c r="H97" s="50">
        <v>0</v>
      </c>
      <c r="I97" s="50">
        <v>0</v>
      </c>
      <c r="J97" s="50">
        <v>0</v>
      </c>
      <c r="K97" s="51">
        <v>0</v>
      </c>
      <c r="L97" s="52"/>
      <c r="M97" s="53"/>
      <c r="N97" s="64" t="s">
        <v>39</v>
      </c>
      <c r="O97" s="93"/>
      <c r="P97" s="96"/>
      <c r="Q97" s="99"/>
      <c r="R97" s="102"/>
      <c r="S97" s="105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</row>
    <row r="98" spans="1:32" ht="17.25" thickBot="1">
      <c r="A98" s="112"/>
      <c r="B98" s="55">
        <f t="shared" ref="B98:K98" si="47">+(B95+B97)*B$4</f>
        <v>84160000</v>
      </c>
      <c r="C98" s="55">
        <f t="shared" si="47"/>
        <v>47905000</v>
      </c>
      <c r="D98" s="55">
        <f t="shared" si="47"/>
        <v>35154000</v>
      </c>
      <c r="E98" s="55">
        <f t="shared" si="47"/>
        <v>33704000</v>
      </c>
      <c r="F98" s="55">
        <f t="shared" si="47"/>
        <v>23232000</v>
      </c>
      <c r="G98" s="55">
        <f t="shared" si="47"/>
        <v>1711666.6666666665</v>
      </c>
      <c r="H98" s="55">
        <f t="shared" si="47"/>
        <v>14970000</v>
      </c>
      <c r="I98" s="55">
        <f t="shared" si="47"/>
        <v>6084000</v>
      </c>
      <c r="J98" s="55">
        <f t="shared" si="47"/>
        <v>3619000</v>
      </c>
      <c r="K98" s="55">
        <f t="shared" si="47"/>
        <v>8236000</v>
      </c>
      <c r="L98" s="57"/>
      <c r="M98" s="58">
        <f>A95</f>
        <v>44186</v>
      </c>
      <c r="N98" s="66">
        <f>SUM(B98:K98)</f>
        <v>258775666.66666666</v>
      </c>
      <c r="O98" s="94"/>
      <c r="P98" s="97"/>
      <c r="Q98" s="100"/>
      <c r="R98" s="103"/>
      <c r="S98" s="106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  <c r="AF98" s="109"/>
    </row>
    <row r="99" spans="1:32">
      <c r="A99" s="110">
        <f>+A95+1</f>
        <v>44187</v>
      </c>
      <c r="B99" s="31">
        <v>1090</v>
      </c>
      <c r="C99" s="31">
        <v>794</v>
      </c>
      <c r="D99" s="31">
        <v>1992</v>
      </c>
      <c r="E99" s="31">
        <v>1580</v>
      </c>
      <c r="F99" s="31">
        <v>764</v>
      </c>
      <c r="G99" s="31">
        <v>465</v>
      </c>
      <c r="H99" s="31">
        <v>509</v>
      </c>
      <c r="I99" s="31">
        <v>519</v>
      </c>
      <c r="J99" s="31">
        <v>529</v>
      </c>
      <c r="K99" s="32">
        <v>585</v>
      </c>
      <c r="L99" s="15"/>
      <c r="M99" s="60"/>
      <c r="N99" s="46" t="s">
        <v>38</v>
      </c>
      <c r="O99" s="92">
        <f>+IFERROR(IF(HLOOKUP(S99,$S$3:$AB$3,1,)=S99,S100,0),0)</f>
        <v>0</v>
      </c>
      <c r="P99" s="95">
        <f>IFERROR(+N100/O99,0)</f>
        <v>0</v>
      </c>
      <c r="Q99" s="98">
        <f>+IFERROR(IF(HLOOKUP(S99,$S$4:$AB$4,1,)=S99,S100,0),0)</f>
        <v>42</v>
      </c>
      <c r="R99" s="101">
        <f>IFERROR(N100/Q99,0)</f>
        <v>257067.46031746033</v>
      </c>
      <c r="S99" s="47" t="s">
        <v>24</v>
      </c>
      <c r="T99" s="107">
        <v>6</v>
      </c>
      <c r="U99" s="107">
        <v>6</v>
      </c>
      <c r="V99" s="107">
        <v>6</v>
      </c>
      <c r="W99" s="107">
        <v>6</v>
      </c>
      <c r="X99" s="107">
        <v>6</v>
      </c>
      <c r="Y99" s="107">
        <v>6</v>
      </c>
      <c r="Z99" s="107">
        <v>6</v>
      </c>
      <c r="AA99" s="107">
        <v>0</v>
      </c>
      <c r="AB99" s="107">
        <v>0</v>
      </c>
      <c r="AC99" s="107">
        <v>0</v>
      </c>
      <c r="AD99" s="107">
        <v>0</v>
      </c>
      <c r="AE99" s="107">
        <v>0</v>
      </c>
      <c r="AF99" s="107">
        <v>0</v>
      </c>
    </row>
    <row r="100" spans="1:32" ht="17.25" thickBot="1">
      <c r="A100" s="111"/>
      <c r="B100" s="35">
        <f t="shared" ref="B100:K100" si="48">+(B99-(B95+B97))*B$4</f>
        <v>3040000</v>
      </c>
      <c r="C100" s="35">
        <f t="shared" si="48"/>
        <v>3705000</v>
      </c>
      <c r="D100" s="35">
        <f t="shared" si="48"/>
        <v>702000</v>
      </c>
      <c r="E100" s="35">
        <f t="shared" si="48"/>
        <v>1056000</v>
      </c>
      <c r="F100" s="35">
        <f t="shared" si="48"/>
        <v>1216000</v>
      </c>
      <c r="G100" s="35">
        <f t="shared" si="48"/>
        <v>303333.33333333331</v>
      </c>
      <c r="H100" s="35">
        <f t="shared" si="48"/>
        <v>300000</v>
      </c>
      <c r="I100" s="35">
        <f t="shared" si="48"/>
        <v>144000</v>
      </c>
      <c r="J100" s="35">
        <f t="shared" si="48"/>
        <v>84000</v>
      </c>
      <c r="K100" s="35">
        <f t="shared" si="48"/>
        <v>246500</v>
      </c>
      <c r="L100" s="35">
        <f>MONTH(M102)</f>
        <v>12</v>
      </c>
      <c r="M100" s="48" t="str">
        <f>IF(O99&gt;0,"Y","X")</f>
        <v>X</v>
      </c>
      <c r="N100" s="49">
        <f>IF(SUM(B99:K99)=0,0,SUM(B100:K100))</f>
        <v>10796833.333333334</v>
      </c>
      <c r="O100" s="93"/>
      <c r="P100" s="96"/>
      <c r="Q100" s="99"/>
      <c r="R100" s="102"/>
      <c r="S100" s="104">
        <f>SUM(T99:XFD99)</f>
        <v>42</v>
      </c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</row>
    <row r="101" spans="1:32" ht="17.25" thickTop="1">
      <c r="A101" s="111"/>
      <c r="B101" s="50">
        <v>0</v>
      </c>
      <c r="C101" s="50">
        <v>0</v>
      </c>
      <c r="D101" s="50">
        <v>0</v>
      </c>
      <c r="E101" s="50">
        <v>0</v>
      </c>
      <c r="F101" s="50">
        <v>0</v>
      </c>
      <c r="G101" s="50">
        <v>0</v>
      </c>
      <c r="H101" s="50">
        <v>0</v>
      </c>
      <c r="I101" s="50">
        <v>0</v>
      </c>
      <c r="J101" s="50">
        <v>100</v>
      </c>
      <c r="K101" s="51">
        <v>100</v>
      </c>
      <c r="L101" s="52"/>
      <c r="M101" s="63"/>
      <c r="N101" s="54" t="s">
        <v>39</v>
      </c>
      <c r="O101" s="93"/>
      <c r="P101" s="96"/>
      <c r="Q101" s="99"/>
      <c r="R101" s="102"/>
      <c r="S101" s="105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</row>
    <row r="102" spans="1:32" ht="17.25" thickBot="1">
      <c r="A102" s="112"/>
      <c r="B102" s="55">
        <f t="shared" ref="B102:K102" si="49">+(B99+B101)*B$4</f>
        <v>87200000</v>
      </c>
      <c r="C102" s="55">
        <f t="shared" si="49"/>
        <v>51610000</v>
      </c>
      <c r="D102" s="55">
        <f t="shared" si="49"/>
        <v>35856000</v>
      </c>
      <c r="E102" s="55">
        <f t="shared" si="49"/>
        <v>34760000</v>
      </c>
      <c r="F102" s="55">
        <f t="shared" si="49"/>
        <v>24448000</v>
      </c>
      <c r="G102" s="55">
        <f t="shared" si="49"/>
        <v>2014999.9999999998</v>
      </c>
      <c r="H102" s="55">
        <f t="shared" si="49"/>
        <v>15270000</v>
      </c>
      <c r="I102" s="55">
        <f t="shared" si="49"/>
        <v>6228000</v>
      </c>
      <c r="J102" s="55">
        <f t="shared" si="49"/>
        <v>4403000</v>
      </c>
      <c r="K102" s="55">
        <f t="shared" si="49"/>
        <v>9932500</v>
      </c>
      <c r="L102" s="57"/>
      <c r="M102" s="65">
        <f>A99</f>
        <v>44187</v>
      </c>
      <c r="N102" s="59">
        <f>SUM(B102:K102)</f>
        <v>271722500</v>
      </c>
      <c r="O102" s="94"/>
      <c r="P102" s="97"/>
      <c r="Q102" s="100"/>
      <c r="R102" s="103"/>
      <c r="S102" s="106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</row>
    <row r="103" spans="1:32">
      <c r="A103" s="110">
        <f>+A99+1</f>
        <v>44188</v>
      </c>
      <c r="B103" s="31">
        <v>1146</v>
      </c>
      <c r="C103" s="31">
        <v>857</v>
      </c>
      <c r="D103" s="31">
        <v>2035</v>
      </c>
      <c r="E103" s="31">
        <v>1633</v>
      </c>
      <c r="F103" s="31">
        <v>797</v>
      </c>
      <c r="G103" s="31">
        <v>539</v>
      </c>
      <c r="H103" s="31">
        <v>525</v>
      </c>
      <c r="I103" s="31">
        <v>530</v>
      </c>
      <c r="J103" s="31">
        <v>642</v>
      </c>
      <c r="K103" s="32">
        <v>705</v>
      </c>
      <c r="L103" s="15"/>
      <c r="M103" s="60"/>
      <c r="N103" s="61" t="s">
        <v>38</v>
      </c>
      <c r="O103" s="92">
        <f>+IFERROR(IF(HLOOKUP(S103,$S$3:$AB$3,1,)=S103,S104,0),0)</f>
        <v>0</v>
      </c>
      <c r="P103" s="95">
        <f>IFERROR(+N104/O103,0)</f>
        <v>0</v>
      </c>
      <c r="Q103" s="98">
        <f>+IFERROR(IF(HLOOKUP(S103,$S$4:$AB$4,1,)=S103,S104,0),0)</f>
        <v>36</v>
      </c>
      <c r="R103" s="101">
        <f>IFERROR(N104/Q103,0)</f>
        <v>357907.40740740742</v>
      </c>
      <c r="S103" s="47" t="s">
        <v>23</v>
      </c>
      <c r="T103" s="107">
        <v>6</v>
      </c>
      <c r="U103" s="107">
        <v>6</v>
      </c>
      <c r="V103" s="107">
        <v>6</v>
      </c>
      <c r="W103" s="107">
        <v>0</v>
      </c>
      <c r="X103" s="107">
        <v>6</v>
      </c>
      <c r="Y103" s="107">
        <v>0</v>
      </c>
      <c r="Z103" s="107">
        <v>6</v>
      </c>
      <c r="AA103" s="107">
        <v>0</v>
      </c>
      <c r="AB103" s="107">
        <v>0</v>
      </c>
      <c r="AC103" s="107">
        <v>0</v>
      </c>
      <c r="AD103" s="107">
        <v>0</v>
      </c>
      <c r="AE103" s="107">
        <v>0</v>
      </c>
      <c r="AF103" s="107">
        <v>6</v>
      </c>
    </row>
    <row r="104" spans="1:32" ht="17.25" thickBot="1">
      <c r="A104" s="111"/>
      <c r="B104" s="35">
        <f t="shared" ref="B104:K104" si="50">+(B103-(B99+B101))*B$4</f>
        <v>4480000</v>
      </c>
      <c r="C104" s="35">
        <f t="shared" si="50"/>
        <v>4095000</v>
      </c>
      <c r="D104" s="35">
        <f t="shared" si="50"/>
        <v>774000</v>
      </c>
      <c r="E104" s="35">
        <f t="shared" si="50"/>
        <v>1166000</v>
      </c>
      <c r="F104" s="35">
        <f t="shared" si="50"/>
        <v>1056000</v>
      </c>
      <c r="G104" s="35">
        <f t="shared" si="50"/>
        <v>320666.66666666663</v>
      </c>
      <c r="H104" s="35">
        <f t="shared" si="50"/>
        <v>480000</v>
      </c>
      <c r="I104" s="35">
        <f t="shared" si="50"/>
        <v>132000</v>
      </c>
      <c r="J104" s="35">
        <f t="shared" si="50"/>
        <v>91000</v>
      </c>
      <c r="K104" s="35">
        <f t="shared" si="50"/>
        <v>290000</v>
      </c>
      <c r="L104" s="35">
        <f>MONTH(M106)</f>
        <v>12</v>
      </c>
      <c r="M104" s="48" t="str">
        <f>IF(O103&gt;0,"Y","X")</f>
        <v>X</v>
      </c>
      <c r="N104" s="62">
        <f>IF(SUM(B103:K103)=0,0,SUM(B104:K104))</f>
        <v>12884666.666666666</v>
      </c>
      <c r="O104" s="93"/>
      <c r="P104" s="96"/>
      <c r="Q104" s="99"/>
      <c r="R104" s="102"/>
      <c r="S104" s="104">
        <f>SUM(T103:XFD103)</f>
        <v>36</v>
      </c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</row>
    <row r="105" spans="1:32" ht="17.25" thickTop="1">
      <c r="A105" s="111"/>
      <c r="B105" s="50">
        <v>-100</v>
      </c>
      <c r="C105" s="50">
        <f>-100-100</f>
        <v>-200</v>
      </c>
      <c r="D105" s="50">
        <f>-10-200-200-100</f>
        <v>-510</v>
      </c>
      <c r="E105" s="50">
        <f>-200-100-100</f>
        <v>-400</v>
      </c>
      <c r="F105" s="50">
        <f>-5-100-100</f>
        <v>-205</v>
      </c>
      <c r="G105" s="50">
        <v>0</v>
      </c>
      <c r="H105" s="50">
        <v>0</v>
      </c>
      <c r="I105" s="50">
        <v>0</v>
      </c>
      <c r="J105" s="50">
        <v>0</v>
      </c>
      <c r="K105" s="51">
        <v>0</v>
      </c>
      <c r="L105" s="52"/>
      <c r="M105" s="63"/>
      <c r="N105" s="64" t="s">
        <v>39</v>
      </c>
      <c r="O105" s="93"/>
      <c r="P105" s="96"/>
      <c r="Q105" s="99"/>
      <c r="R105" s="102"/>
      <c r="S105" s="105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</row>
    <row r="106" spans="1:32" ht="17.25" thickBot="1">
      <c r="A106" s="112"/>
      <c r="B106" s="55">
        <f t="shared" ref="B106:K106" si="51">+(B103+B105)*B$4</f>
        <v>83680000</v>
      </c>
      <c r="C106" s="55">
        <f t="shared" si="51"/>
        <v>42705000</v>
      </c>
      <c r="D106" s="55">
        <f t="shared" si="51"/>
        <v>27450000</v>
      </c>
      <c r="E106" s="55">
        <f t="shared" si="51"/>
        <v>27126000</v>
      </c>
      <c r="F106" s="55">
        <f t="shared" si="51"/>
        <v>18944000</v>
      </c>
      <c r="G106" s="55">
        <f t="shared" si="51"/>
        <v>2335666.6666666665</v>
      </c>
      <c r="H106" s="55">
        <f t="shared" si="51"/>
        <v>15750000</v>
      </c>
      <c r="I106" s="55">
        <f t="shared" si="51"/>
        <v>6360000</v>
      </c>
      <c r="J106" s="55">
        <f t="shared" si="51"/>
        <v>4494000</v>
      </c>
      <c r="K106" s="55">
        <f t="shared" si="51"/>
        <v>10222500</v>
      </c>
      <c r="L106" s="57"/>
      <c r="M106" s="65">
        <f>A103</f>
        <v>44188</v>
      </c>
      <c r="N106" s="66">
        <f>SUM(B106:K106)</f>
        <v>239067166.66666666</v>
      </c>
      <c r="O106" s="94"/>
      <c r="P106" s="97"/>
      <c r="Q106" s="100"/>
      <c r="R106" s="103"/>
      <c r="S106" s="106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</row>
    <row r="107" spans="1:32">
      <c r="A107" s="110">
        <f>+A103+1</f>
        <v>44189</v>
      </c>
      <c r="B107" s="31">
        <v>1147</v>
      </c>
      <c r="C107" s="31">
        <v>743</v>
      </c>
      <c r="D107" s="31">
        <v>1587</v>
      </c>
      <c r="E107" s="31">
        <v>1331</v>
      </c>
      <c r="F107" s="31">
        <v>646</v>
      </c>
      <c r="G107" s="31">
        <v>645</v>
      </c>
      <c r="H107" s="31">
        <v>539</v>
      </c>
      <c r="I107" s="31">
        <v>548</v>
      </c>
      <c r="J107" s="31">
        <v>659</v>
      </c>
      <c r="K107" s="32">
        <v>738</v>
      </c>
      <c r="L107" s="15"/>
      <c r="M107" s="60"/>
      <c r="N107" s="46" t="s">
        <v>38</v>
      </c>
      <c r="O107" s="92">
        <f>+IFERROR(IF(HLOOKUP(S107,$S$3:$AB$3,1,)=S107,S108,0),0)</f>
        <v>66</v>
      </c>
      <c r="P107" s="95">
        <f>IFERROR(+N108/O107,0)</f>
        <v>308527.77777777775</v>
      </c>
      <c r="Q107" s="98">
        <f>+IFERROR(IF(HLOOKUP(S107,$S$4:$AB$4,1,)=S107,S108,0),0)</f>
        <v>0</v>
      </c>
      <c r="R107" s="101">
        <f>IFERROR(N108/Q107,0)</f>
        <v>0</v>
      </c>
      <c r="S107" s="47" t="s">
        <v>17</v>
      </c>
      <c r="T107" s="107">
        <v>6</v>
      </c>
      <c r="U107" s="107">
        <v>6</v>
      </c>
      <c r="V107" s="107">
        <v>6</v>
      </c>
      <c r="W107" s="107">
        <v>6</v>
      </c>
      <c r="X107" s="107">
        <v>6</v>
      </c>
      <c r="Y107" s="107">
        <v>6</v>
      </c>
      <c r="Z107" s="107">
        <v>6</v>
      </c>
      <c r="AA107" s="107">
        <v>6</v>
      </c>
      <c r="AB107" s="107">
        <v>0</v>
      </c>
      <c r="AC107" s="107">
        <v>0</v>
      </c>
      <c r="AD107" s="107">
        <v>6</v>
      </c>
      <c r="AE107" s="107">
        <v>6</v>
      </c>
      <c r="AF107" s="107">
        <v>6</v>
      </c>
    </row>
    <row r="108" spans="1:32" ht="17.25" thickBot="1">
      <c r="A108" s="111"/>
      <c r="B108" s="35">
        <f t="shared" ref="B108:K108" si="52">+(B107-(B103+B105))*B$4</f>
        <v>8080000</v>
      </c>
      <c r="C108" s="35">
        <f t="shared" si="52"/>
        <v>5590000</v>
      </c>
      <c r="D108" s="35">
        <f t="shared" si="52"/>
        <v>1116000</v>
      </c>
      <c r="E108" s="35">
        <f t="shared" si="52"/>
        <v>2156000</v>
      </c>
      <c r="F108" s="35">
        <f t="shared" si="52"/>
        <v>1728000</v>
      </c>
      <c r="G108" s="35">
        <f t="shared" si="52"/>
        <v>459333.33333333331</v>
      </c>
      <c r="H108" s="35">
        <f t="shared" si="52"/>
        <v>420000</v>
      </c>
      <c r="I108" s="35">
        <f t="shared" si="52"/>
        <v>216000</v>
      </c>
      <c r="J108" s="35">
        <f t="shared" si="52"/>
        <v>119000</v>
      </c>
      <c r="K108" s="35">
        <f t="shared" si="52"/>
        <v>478500</v>
      </c>
      <c r="L108" s="35">
        <f>MONTH(M110)</f>
        <v>12</v>
      </c>
      <c r="M108" s="48" t="str">
        <f>IF(O107&gt;0,"Y","X")</f>
        <v>Y</v>
      </c>
      <c r="N108" s="49">
        <f>IF(SUM(B107:K107)=0,0,SUM(B108:K108))</f>
        <v>20362833.333333332</v>
      </c>
      <c r="O108" s="93"/>
      <c r="P108" s="96"/>
      <c r="Q108" s="99"/>
      <c r="R108" s="102"/>
      <c r="S108" s="104">
        <f>SUM(T107:XFD107)</f>
        <v>66</v>
      </c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</row>
    <row r="109" spans="1:32" ht="17.25" thickTop="1">
      <c r="A109" s="111"/>
      <c r="B109" s="50">
        <v>0</v>
      </c>
      <c r="C109" s="50">
        <v>0</v>
      </c>
      <c r="D109" s="50">
        <v>-50</v>
      </c>
      <c r="E109" s="50">
        <v>0</v>
      </c>
      <c r="F109" s="50">
        <f>-25-100</f>
        <v>-125</v>
      </c>
      <c r="G109" s="50">
        <v>0</v>
      </c>
      <c r="H109" s="50">
        <v>0</v>
      </c>
      <c r="I109" s="50">
        <v>0</v>
      </c>
      <c r="J109" s="50">
        <v>0</v>
      </c>
      <c r="K109" s="51">
        <v>0</v>
      </c>
      <c r="L109" s="52"/>
      <c r="M109" s="63"/>
      <c r="N109" s="54" t="s">
        <v>39</v>
      </c>
      <c r="O109" s="93"/>
      <c r="P109" s="96"/>
      <c r="Q109" s="99"/>
      <c r="R109" s="102"/>
      <c r="S109" s="105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</row>
    <row r="110" spans="1:32" ht="17.25" thickBot="1">
      <c r="A110" s="112"/>
      <c r="B110" s="55">
        <f t="shared" ref="B110:K110" si="53">+(B107+B109)*B$4</f>
        <v>91760000</v>
      </c>
      <c r="C110" s="55">
        <f t="shared" si="53"/>
        <v>48295000</v>
      </c>
      <c r="D110" s="55">
        <f t="shared" si="53"/>
        <v>27666000</v>
      </c>
      <c r="E110" s="55">
        <f t="shared" si="53"/>
        <v>29282000</v>
      </c>
      <c r="F110" s="55">
        <f t="shared" si="53"/>
        <v>16672000</v>
      </c>
      <c r="G110" s="55">
        <f t="shared" si="53"/>
        <v>2795000</v>
      </c>
      <c r="H110" s="55">
        <f t="shared" si="53"/>
        <v>16170000</v>
      </c>
      <c r="I110" s="55">
        <f t="shared" si="53"/>
        <v>6576000</v>
      </c>
      <c r="J110" s="55">
        <f t="shared" si="53"/>
        <v>4613000</v>
      </c>
      <c r="K110" s="55">
        <f t="shared" si="53"/>
        <v>10701000</v>
      </c>
      <c r="L110" s="57"/>
      <c r="M110" s="65">
        <f>A107</f>
        <v>44189</v>
      </c>
      <c r="N110" s="59">
        <f>SUM(B110:K110)</f>
        <v>254530000</v>
      </c>
      <c r="O110" s="94"/>
      <c r="P110" s="97"/>
      <c r="Q110" s="100"/>
      <c r="R110" s="103"/>
      <c r="S110" s="106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09"/>
    </row>
    <row r="111" spans="1:32">
      <c r="A111" s="113">
        <f>+A107+1</f>
        <v>44190</v>
      </c>
      <c r="B111" s="31">
        <v>1251</v>
      </c>
      <c r="C111" s="31">
        <v>875</v>
      </c>
      <c r="D111" s="31">
        <v>1603</v>
      </c>
      <c r="E111" s="31">
        <v>1462</v>
      </c>
      <c r="F111" s="31">
        <v>568</v>
      </c>
      <c r="G111" s="31">
        <v>767</v>
      </c>
      <c r="H111" s="31">
        <v>565</v>
      </c>
      <c r="I111" s="31">
        <v>573</v>
      </c>
      <c r="J111" s="31">
        <v>685</v>
      </c>
      <c r="K111" s="32">
        <v>761</v>
      </c>
      <c r="L111" s="15"/>
      <c r="M111" s="60"/>
      <c r="N111" s="61" t="s">
        <v>38</v>
      </c>
      <c r="O111" s="92">
        <f>+IFERROR(IF(HLOOKUP(S111,$S$3:$AB$3,1,)=S111,S112,0),0)</f>
        <v>75</v>
      </c>
      <c r="P111" s="95">
        <f>IFERROR(+N112/O111,0)</f>
        <v>327975.55555555556</v>
      </c>
      <c r="Q111" s="98">
        <f>+IFERROR(IF(HLOOKUP(S111,$S$4:$AB$4,1,)=S111,S112,0),0)</f>
        <v>0</v>
      </c>
      <c r="R111" s="101">
        <f>IFERROR(N112/Q111,0)</f>
        <v>0</v>
      </c>
      <c r="S111" s="47" t="s">
        <v>19</v>
      </c>
      <c r="T111" s="107">
        <v>9</v>
      </c>
      <c r="U111" s="107">
        <v>9</v>
      </c>
      <c r="V111" s="107">
        <v>6</v>
      </c>
      <c r="W111" s="107">
        <v>6</v>
      </c>
      <c r="X111" s="107">
        <v>9</v>
      </c>
      <c r="Y111" s="107">
        <v>9</v>
      </c>
      <c r="Z111" s="107">
        <v>9</v>
      </c>
      <c r="AA111" s="107">
        <f>6+3+3</f>
        <v>12</v>
      </c>
      <c r="AB111" s="107">
        <v>0</v>
      </c>
      <c r="AC111" s="107">
        <v>0</v>
      </c>
      <c r="AD111" s="107">
        <v>0</v>
      </c>
      <c r="AE111" s="107">
        <v>6</v>
      </c>
      <c r="AF111" s="107">
        <v>0</v>
      </c>
    </row>
    <row r="112" spans="1:32" ht="17.25" thickBot="1">
      <c r="A112" s="114"/>
      <c r="B112" s="35">
        <f t="shared" ref="B112:K112" si="54">+(B111-(B107+B109))*B$4</f>
        <v>8320000</v>
      </c>
      <c r="C112" s="35">
        <f t="shared" si="54"/>
        <v>8580000</v>
      </c>
      <c r="D112" s="35">
        <f t="shared" si="54"/>
        <v>1188000</v>
      </c>
      <c r="E112" s="35">
        <f t="shared" si="54"/>
        <v>2882000</v>
      </c>
      <c r="F112" s="35">
        <f t="shared" si="54"/>
        <v>1504000</v>
      </c>
      <c r="G112" s="35">
        <f t="shared" si="54"/>
        <v>528666.66666666663</v>
      </c>
      <c r="H112" s="35">
        <f t="shared" si="54"/>
        <v>780000</v>
      </c>
      <c r="I112" s="35">
        <f t="shared" si="54"/>
        <v>300000</v>
      </c>
      <c r="J112" s="35">
        <f t="shared" si="54"/>
        <v>182000</v>
      </c>
      <c r="K112" s="35">
        <f t="shared" si="54"/>
        <v>333500</v>
      </c>
      <c r="L112" s="35">
        <f>MONTH(M114)</f>
        <v>12</v>
      </c>
      <c r="M112" s="48" t="str">
        <f>IF(O111&gt;0,"Y","X")</f>
        <v>Y</v>
      </c>
      <c r="N112" s="62">
        <f>IF(SUM(B111:K111)=0,0,SUM(B112:K112))</f>
        <v>24598166.666666668</v>
      </c>
      <c r="O112" s="93"/>
      <c r="P112" s="96"/>
      <c r="Q112" s="99"/>
      <c r="R112" s="102"/>
      <c r="S112" s="104">
        <f>SUM(T111:XFD111)</f>
        <v>75</v>
      </c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</row>
    <row r="113" spans="1:32" ht="17.25" thickTop="1">
      <c r="A113" s="114"/>
      <c r="B113" s="50">
        <v>0</v>
      </c>
      <c r="C113" s="50">
        <v>0</v>
      </c>
      <c r="D113" s="50">
        <v>0</v>
      </c>
      <c r="E113" s="50">
        <v>0</v>
      </c>
      <c r="F113" s="50">
        <v>0</v>
      </c>
      <c r="G113" s="50">
        <v>0</v>
      </c>
      <c r="H113" s="50">
        <v>0</v>
      </c>
      <c r="I113" s="50">
        <v>0</v>
      </c>
      <c r="J113" s="50">
        <v>0</v>
      </c>
      <c r="K113" s="51">
        <v>0</v>
      </c>
      <c r="L113" s="52"/>
      <c r="M113" s="63"/>
      <c r="N113" s="64" t="s">
        <v>39</v>
      </c>
      <c r="O113" s="93"/>
      <c r="P113" s="96"/>
      <c r="Q113" s="99"/>
      <c r="R113" s="102"/>
      <c r="S113" s="105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</row>
    <row r="114" spans="1:32" ht="17.25" thickBot="1">
      <c r="A114" s="115"/>
      <c r="B114" s="55">
        <f t="shared" ref="B114:K114" si="55">+(B111+B113)*B$4</f>
        <v>100080000</v>
      </c>
      <c r="C114" s="55">
        <f t="shared" si="55"/>
        <v>56875000</v>
      </c>
      <c r="D114" s="55">
        <f t="shared" si="55"/>
        <v>28854000</v>
      </c>
      <c r="E114" s="55">
        <f t="shared" si="55"/>
        <v>32164000</v>
      </c>
      <c r="F114" s="55">
        <f t="shared" si="55"/>
        <v>18176000</v>
      </c>
      <c r="G114" s="55">
        <f t="shared" si="55"/>
        <v>3323666.6666666665</v>
      </c>
      <c r="H114" s="55">
        <f t="shared" si="55"/>
        <v>16950000</v>
      </c>
      <c r="I114" s="55">
        <f t="shared" si="55"/>
        <v>6876000</v>
      </c>
      <c r="J114" s="55">
        <f t="shared" si="55"/>
        <v>4795000</v>
      </c>
      <c r="K114" s="55">
        <f t="shared" si="55"/>
        <v>11034500</v>
      </c>
      <c r="L114" s="57"/>
      <c r="M114" s="65">
        <f>A111</f>
        <v>44190</v>
      </c>
      <c r="N114" s="66">
        <f>SUM(B114:K114)</f>
        <v>279128166.66666663</v>
      </c>
      <c r="O114" s="94"/>
      <c r="P114" s="97"/>
      <c r="Q114" s="100"/>
      <c r="R114" s="103"/>
      <c r="S114" s="106"/>
      <c r="T114" s="109"/>
      <c r="U114" s="109"/>
      <c r="V114" s="109"/>
      <c r="W114" s="109"/>
      <c r="X114" s="109"/>
      <c r="Y114" s="109"/>
      <c r="Z114" s="109"/>
      <c r="AA114" s="109"/>
      <c r="AB114" s="109"/>
      <c r="AC114" s="109"/>
      <c r="AD114" s="109"/>
      <c r="AE114" s="109"/>
      <c r="AF114" s="109"/>
    </row>
    <row r="115" spans="1:32">
      <c r="A115" s="113">
        <f>+A111+1</f>
        <v>44191</v>
      </c>
      <c r="B115" s="31">
        <v>1345</v>
      </c>
      <c r="C115" s="31">
        <v>979</v>
      </c>
      <c r="D115" s="31">
        <v>1666</v>
      </c>
      <c r="E115" s="31">
        <v>1555</v>
      </c>
      <c r="F115" s="31">
        <v>628</v>
      </c>
      <c r="G115" s="31">
        <v>854</v>
      </c>
      <c r="H115" s="31">
        <v>575</v>
      </c>
      <c r="I115" s="31">
        <v>598</v>
      </c>
      <c r="J115" s="31">
        <v>702</v>
      </c>
      <c r="K115" s="32">
        <v>785</v>
      </c>
      <c r="L115" s="15"/>
      <c r="M115" s="60"/>
      <c r="N115" s="46" t="s">
        <v>38</v>
      </c>
      <c r="O115" s="92">
        <f>+IFERROR(IF(HLOOKUP(S115,$S$3:$AB$3,1,)=S115,S116,0),0)</f>
        <v>63</v>
      </c>
      <c r="P115" s="95">
        <f>IFERROR(+N116/O115,0)</f>
        <v>330539.68253968254</v>
      </c>
      <c r="Q115" s="98">
        <f>+IFERROR(IF(HLOOKUP(S115,$S$4:$AB$4,1,)=S115,S116,0),0)</f>
        <v>0</v>
      </c>
      <c r="R115" s="101">
        <f>IFERROR(N116/Q115,0)</f>
        <v>0</v>
      </c>
      <c r="S115" s="47" t="s">
        <v>20</v>
      </c>
      <c r="T115" s="107">
        <v>3</v>
      </c>
      <c r="U115" s="107">
        <v>6</v>
      </c>
      <c r="V115" s="107">
        <v>9</v>
      </c>
      <c r="W115" s="107">
        <v>0</v>
      </c>
      <c r="X115" s="107">
        <v>0</v>
      </c>
      <c r="Y115" s="107">
        <v>0</v>
      </c>
      <c r="Z115" s="107">
        <v>6</v>
      </c>
      <c r="AA115" s="107">
        <v>6</v>
      </c>
      <c r="AB115" s="107">
        <v>12</v>
      </c>
      <c r="AC115" s="107">
        <v>0</v>
      </c>
      <c r="AD115" s="107">
        <v>9</v>
      </c>
      <c r="AE115" s="107">
        <v>12</v>
      </c>
      <c r="AF115" s="107">
        <v>0</v>
      </c>
    </row>
    <row r="116" spans="1:32" ht="17.25" thickBot="1">
      <c r="A116" s="114"/>
      <c r="B116" s="35">
        <f t="shared" ref="B116:K116" si="56">+(B115-(B111+B113))*B$4</f>
        <v>7520000</v>
      </c>
      <c r="C116" s="35">
        <f t="shared" si="56"/>
        <v>6760000</v>
      </c>
      <c r="D116" s="35">
        <f t="shared" si="56"/>
        <v>1134000</v>
      </c>
      <c r="E116" s="35">
        <f t="shared" si="56"/>
        <v>2046000</v>
      </c>
      <c r="F116" s="35">
        <f t="shared" si="56"/>
        <v>1920000</v>
      </c>
      <c r="G116" s="35">
        <f t="shared" si="56"/>
        <v>377000</v>
      </c>
      <c r="H116" s="35">
        <f t="shared" si="56"/>
        <v>300000</v>
      </c>
      <c r="I116" s="35">
        <f t="shared" si="56"/>
        <v>300000</v>
      </c>
      <c r="J116" s="35">
        <f t="shared" si="56"/>
        <v>119000</v>
      </c>
      <c r="K116" s="35">
        <f t="shared" si="56"/>
        <v>348000</v>
      </c>
      <c r="L116" s="35">
        <f>MONTH(M118)</f>
        <v>12</v>
      </c>
      <c r="M116" s="48" t="str">
        <f>IF(O115&gt;0,"Y","X")</f>
        <v>Y</v>
      </c>
      <c r="N116" s="49">
        <f>IF(SUM(B115:K115)=0,0,SUM(B116:K116))</f>
        <v>20824000</v>
      </c>
      <c r="O116" s="93"/>
      <c r="P116" s="96"/>
      <c r="Q116" s="99"/>
      <c r="R116" s="102"/>
      <c r="S116" s="104">
        <f>SUM(T115:XFD115)</f>
        <v>63</v>
      </c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8"/>
    </row>
    <row r="117" spans="1:32" ht="17.25" thickTop="1">
      <c r="A117" s="114"/>
      <c r="B117" s="50">
        <v>0</v>
      </c>
      <c r="C117" s="50">
        <v>0</v>
      </c>
      <c r="D117" s="50">
        <v>0</v>
      </c>
      <c r="E117" s="50">
        <v>0</v>
      </c>
      <c r="F117" s="50">
        <v>0</v>
      </c>
      <c r="G117" s="50">
        <v>0</v>
      </c>
      <c r="H117" s="50">
        <v>0</v>
      </c>
      <c r="I117" s="50">
        <v>0</v>
      </c>
      <c r="J117" s="50">
        <v>0</v>
      </c>
      <c r="K117" s="51">
        <v>0</v>
      </c>
      <c r="L117" s="52"/>
      <c r="M117" s="63"/>
      <c r="N117" s="54" t="s">
        <v>39</v>
      </c>
      <c r="O117" s="93"/>
      <c r="P117" s="96"/>
      <c r="Q117" s="99"/>
      <c r="R117" s="102"/>
      <c r="S117" s="105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8"/>
    </row>
    <row r="118" spans="1:32" ht="17.25" thickBot="1">
      <c r="A118" s="115"/>
      <c r="B118" s="55">
        <f t="shared" ref="B118:K118" si="57">+(B115+B117)*B$4</f>
        <v>107600000</v>
      </c>
      <c r="C118" s="55">
        <f t="shared" si="57"/>
        <v>63635000</v>
      </c>
      <c r="D118" s="55">
        <f t="shared" si="57"/>
        <v>29988000</v>
      </c>
      <c r="E118" s="55">
        <f t="shared" si="57"/>
        <v>34210000</v>
      </c>
      <c r="F118" s="55">
        <f t="shared" si="57"/>
        <v>20096000</v>
      </c>
      <c r="G118" s="55">
        <f t="shared" si="57"/>
        <v>3700666.6666666665</v>
      </c>
      <c r="H118" s="55">
        <f t="shared" si="57"/>
        <v>17250000</v>
      </c>
      <c r="I118" s="55">
        <f t="shared" si="57"/>
        <v>7176000</v>
      </c>
      <c r="J118" s="55">
        <f t="shared" si="57"/>
        <v>4914000</v>
      </c>
      <c r="K118" s="55">
        <f t="shared" si="57"/>
        <v>11382500</v>
      </c>
      <c r="L118" s="57"/>
      <c r="M118" s="65">
        <f>A115</f>
        <v>44191</v>
      </c>
      <c r="N118" s="59">
        <f>SUM(B118:K118)</f>
        <v>299952166.66666663</v>
      </c>
      <c r="O118" s="94"/>
      <c r="P118" s="97"/>
      <c r="Q118" s="100"/>
      <c r="R118" s="103"/>
      <c r="S118" s="106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</row>
    <row r="119" spans="1:32">
      <c r="A119" s="113">
        <f>+A115+1</f>
        <v>44192</v>
      </c>
      <c r="B119" s="31">
        <v>1401</v>
      </c>
      <c r="C119" s="31">
        <v>1053</v>
      </c>
      <c r="D119" s="31">
        <v>1693</v>
      </c>
      <c r="E119" s="31">
        <v>1625</v>
      </c>
      <c r="F119" s="31">
        <v>657</v>
      </c>
      <c r="G119" s="31">
        <v>903</v>
      </c>
      <c r="H119" s="31">
        <v>590</v>
      </c>
      <c r="I119" s="31">
        <v>617</v>
      </c>
      <c r="J119" s="31">
        <v>710</v>
      </c>
      <c r="K119" s="32">
        <v>803</v>
      </c>
      <c r="L119" s="15"/>
      <c r="M119" s="60"/>
      <c r="N119" s="61" t="s">
        <v>38</v>
      </c>
      <c r="O119" s="92">
        <f>+IFERROR(IF(HLOOKUP(S119,$S$3:$AB$3,1,)=S119,S120,0),0)</f>
        <v>39</v>
      </c>
      <c r="P119" s="95">
        <f>IFERROR(+N120/O119,0)</f>
        <v>344905.98290598294</v>
      </c>
      <c r="Q119" s="98">
        <f>+IFERROR(IF(HLOOKUP(S119,$S$4:$AB$4,1,)=S119,S120,0),0)</f>
        <v>0</v>
      </c>
      <c r="R119" s="101">
        <f>IFERROR(N120/Q119,0)</f>
        <v>0</v>
      </c>
      <c r="S119" s="47" t="s">
        <v>18</v>
      </c>
      <c r="T119" s="107">
        <v>6</v>
      </c>
      <c r="U119" s="107">
        <v>6</v>
      </c>
      <c r="V119" s="107">
        <v>6</v>
      </c>
      <c r="W119" s="107">
        <v>9</v>
      </c>
      <c r="X119" s="107">
        <v>6</v>
      </c>
      <c r="Y119" s="107">
        <v>0</v>
      </c>
      <c r="Z119" s="107">
        <v>6</v>
      </c>
      <c r="AA119" s="107">
        <v>0</v>
      </c>
      <c r="AB119" s="107">
        <v>0</v>
      </c>
      <c r="AC119" s="107">
        <v>0</v>
      </c>
      <c r="AD119" s="107">
        <v>0</v>
      </c>
      <c r="AE119" s="107">
        <v>0</v>
      </c>
      <c r="AF119" s="107">
        <v>0</v>
      </c>
    </row>
    <row r="120" spans="1:32" ht="17.25" thickBot="1">
      <c r="A120" s="114"/>
      <c r="B120" s="35">
        <f t="shared" ref="B120:K120" si="58">+(B119-(B115+B117))*B$4</f>
        <v>4480000</v>
      </c>
      <c r="C120" s="35">
        <f t="shared" si="58"/>
        <v>4810000</v>
      </c>
      <c r="D120" s="35">
        <f t="shared" si="58"/>
        <v>486000</v>
      </c>
      <c r="E120" s="35">
        <f t="shared" si="58"/>
        <v>1540000</v>
      </c>
      <c r="F120" s="35">
        <f t="shared" si="58"/>
        <v>928000</v>
      </c>
      <c r="G120" s="35">
        <f t="shared" si="58"/>
        <v>212333.33333333331</v>
      </c>
      <c r="H120" s="35">
        <f t="shared" si="58"/>
        <v>450000</v>
      </c>
      <c r="I120" s="35">
        <f t="shared" si="58"/>
        <v>228000</v>
      </c>
      <c r="J120" s="35">
        <f t="shared" si="58"/>
        <v>56000</v>
      </c>
      <c r="K120" s="35">
        <f t="shared" si="58"/>
        <v>261000</v>
      </c>
      <c r="L120" s="35">
        <f>MONTH(M122)</f>
        <v>12</v>
      </c>
      <c r="M120" s="48" t="str">
        <f>IF(O119&gt;0,"Y","X")</f>
        <v>Y</v>
      </c>
      <c r="N120" s="62">
        <f>IF(SUM(B119:K119)=0,0,SUM(B120:K120))</f>
        <v>13451333.333333334</v>
      </c>
      <c r="O120" s="93"/>
      <c r="P120" s="96"/>
      <c r="Q120" s="99"/>
      <c r="R120" s="102"/>
      <c r="S120" s="104">
        <f>SUM(T119:XFD119)</f>
        <v>39</v>
      </c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</row>
    <row r="121" spans="1:32" ht="17.25" thickTop="1">
      <c r="A121" s="114"/>
      <c r="B121" s="50">
        <v>0</v>
      </c>
      <c r="C121" s="50">
        <v>0</v>
      </c>
      <c r="D121" s="50">
        <v>150</v>
      </c>
      <c r="E121" s="50">
        <v>0</v>
      </c>
      <c r="F121" s="50">
        <v>0</v>
      </c>
      <c r="G121" s="50">
        <v>-450</v>
      </c>
      <c r="H121" s="50">
        <v>0</v>
      </c>
      <c r="I121" s="50">
        <v>0</v>
      </c>
      <c r="J121" s="50">
        <v>0</v>
      </c>
      <c r="K121" s="51">
        <v>0</v>
      </c>
      <c r="L121" s="52"/>
      <c r="M121" s="63"/>
      <c r="N121" s="64" t="s">
        <v>39</v>
      </c>
      <c r="O121" s="93"/>
      <c r="P121" s="96"/>
      <c r="Q121" s="99"/>
      <c r="R121" s="102"/>
      <c r="S121" s="105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</row>
    <row r="122" spans="1:32" ht="17.25" thickBot="1">
      <c r="A122" s="115"/>
      <c r="B122" s="55">
        <f t="shared" ref="B122:K122" si="59">+(B119+B121)*B$4</f>
        <v>112080000</v>
      </c>
      <c r="C122" s="55">
        <f t="shared" si="59"/>
        <v>68445000</v>
      </c>
      <c r="D122" s="55">
        <f t="shared" si="59"/>
        <v>33174000</v>
      </c>
      <c r="E122" s="55">
        <f t="shared" si="59"/>
        <v>35750000</v>
      </c>
      <c r="F122" s="55">
        <f t="shared" si="59"/>
        <v>21024000</v>
      </c>
      <c r="G122" s="55">
        <f t="shared" si="59"/>
        <v>1962999.9999999998</v>
      </c>
      <c r="H122" s="55">
        <f t="shared" si="59"/>
        <v>17700000</v>
      </c>
      <c r="I122" s="55">
        <f t="shared" si="59"/>
        <v>7404000</v>
      </c>
      <c r="J122" s="55">
        <f t="shared" si="59"/>
        <v>4970000</v>
      </c>
      <c r="K122" s="55">
        <f t="shared" si="59"/>
        <v>11643500</v>
      </c>
      <c r="L122" s="57"/>
      <c r="M122" s="65">
        <f>A119</f>
        <v>44192</v>
      </c>
      <c r="N122" s="66">
        <f>SUM(B122:K122)</f>
        <v>314153500</v>
      </c>
      <c r="O122" s="94"/>
      <c r="P122" s="97"/>
      <c r="Q122" s="100"/>
      <c r="R122" s="103"/>
      <c r="S122" s="106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109"/>
      <c r="AF122" s="109"/>
    </row>
    <row r="123" spans="1:32">
      <c r="A123" s="110">
        <f>+A119+1</f>
        <v>44193</v>
      </c>
      <c r="B123" s="31">
        <v>1425</v>
      </c>
      <c r="C123" s="31">
        <v>1086</v>
      </c>
      <c r="D123" s="31">
        <v>1871</v>
      </c>
      <c r="E123" s="31">
        <v>1654</v>
      </c>
      <c r="F123" s="31">
        <v>671</v>
      </c>
      <c r="G123" s="31">
        <v>487</v>
      </c>
      <c r="H123" s="31">
        <v>594</v>
      </c>
      <c r="I123" s="31">
        <v>621</v>
      </c>
      <c r="J123" s="31">
        <v>713</v>
      </c>
      <c r="K123" s="32">
        <v>805</v>
      </c>
      <c r="L123" s="15"/>
      <c r="M123" s="45"/>
      <c r="N123" s="46" t="s">
        <v>38</v>
      </c>
      <c r="O123" s="92">
        <f>+IFERROR(IF(HLOOKUP(S123,$S$3:$AB$3,1,)=S123,S124,0),0)</f>
        <v>0</v>
      </c>
      <c r="P123" s="95">
        <f>IFERROR(+N124/O123,0)</f>
        <v>0</v>
      </c>
      <c r="Q123" s="98">
        <f>+IFERROR(IF(HLOOKUP(S123,$S$4:$AB$4,1,)=S123,S124,0),0)</f>
        <v>24</v>
      </c>
      <c r="R123" s="101">
        <f>IFERROR(N124/Q123,0)</f>
        <v>250847.22222222222</v>
      </c>
      <c r="S123" s="47" t="s">
        <v>24</v>
      </c>
      <c r="T123" s="107">
        <v>6</v>
      </c>
      <c r="U123" s="107">
        <v>6</v>
      </c>
      <c r="V123" s="107">
        <v>0</v>
      </c>
      <c r="W123" s="107">
        <v>0</v>
      </c>
      <c r="X123" s="107">
        <v>6</v>
      </c>
      <c r="Y123" s="107">
        <v>0</v>
      </c>
      <c r="Z123" s="107">
        <v>0</v>
      </c>
      <c r="AA123" s="107">
        <v>6</v>
      </c>
      <c r="AB123" s="107">
        <v>0</v>
      </c>
      <c r="AC123" s="107">
        <v>0</v>
      </c>
      <c r="AD123" s="107">
        <v>0</v>
      </c>
      <c r="AE123" s="107">
        <v>0</v>
      </c>
      <c r="AF123" s="107">
        <v>0</v>
      </c>
    </row>
    <row r="124" spans="1:32" ht="17.25" thickBot="1">
      <c r="A124" s="111"/>
      <c r="B124" s="35">
        <f t="shared" ref="B124:K124" si="60">+(B123-(B119+B121))*B$4</f>
        <v>1920000</v>
      </c>
      <c r="C124" s="35">
        <f t="shared" si="60"/>
        <v>2145000</v>
      </c>
      <c r="D124" s="35">
        <f t="shared" si="60"/>
        <v>504000</v>
      </c>
      <c r="E124" s="35">
        <f t="shared" si="60"/>
        <v>638000</v>
      </c>
      <c r="F124" s="35">
        <f t="shared" si="60"/>
        <v>448000</v>
      </c>
      <c r="G124" s="35">
        <f t="shared" si="60"/>
        <v>147333.33333333331</v>
      </c>
      <c r="H124" s="35">
        <f t="shared" si="60"/>
        <v>120000</v>
      </c>
      <c r="I124" s="35">
        <f t="shared" si="60"/>
        <v>48000</v>
      </c>
      <c r="J124" s="35">
        <f t="shared" si="60"/>
        <v>21000</v>
      </c>
      <c r="K124" s="35">
        <f t="shared" si="60"/>
        <v>29000</v>
      </c>
      <c r="L124" s="35">
        <f>MONTH(M126)</f>
        <v>12</v>
      </c>
      <c r="M124" s="48" t="str">
        <f>IF(O123&gt;0,"Y","X")</f>
        <v>X</v>
      </c>
      <c r="N124" s="49">
        <f>IF(SUM(B123:K123)=0,0,SUM(B124:K124))</f>
        <v>6020333.333333333</v>
      </c>
      <c r="O124" s="93"/>
      <c r="P124" s="96"/>
      <c r="Q124" s="99"/>
      <c r="R124" s="102"/>
      <c r="S124" s="104">
        <f>SUM(T123:XFD123)</f>
        <v>24</v>
      </c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08"/>
    </row>
    <row r="125" spans="1:32" ht="17.25" thickTop="1">
      <c r="A125" s="111"/>
      <c r="B125" s="50">
        <v>0</v>
      </c>
      <c r="C125" s="50">
        <v>0</v>
      </c>
      <c r="D125" s="50">
        <v>0</v>
      </c>
      <c r="E125" s="50">
        <v>0</v>
      </c>
      <c r="F125" s="50">
        <v>0</v>
      </c>
      <c r="G125" s="50">
        <v>0</v>
      </c>
      <c r="H125" s="50">
        <v>0</v>
      </c>
      <c r="I125" s="50">
        <v>0</v>
      </c>
      <c r="J125" s="50">
        <v>0</v>
      </c>
      <c r="K125" s="51">
        <v>0</v>
      </c>
      <c r="L125" s="52"/>
      <c r="M125" s="53"/>
      <c r="N125" s="54" t="s">
        <v>39</v>
      </c>
      <c r="O125" s="93"/>
      <c r="P125" s="96"/>
      <c r="Q125" s="99"/>
      <c r="R125" s="102"/>
      <c r="S125" s="105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8"/>
    </row>
    <row r="126" spans="1:32" ht="17.25" thickBot="1">
      <c r="A126" s="112"/>
      <c r="B126" s="55">
        <f t="shared" ref="B126:K126" si="61">+(B123+B125)*B$4</f>
        <v>114000000</v>
      </c>
      <c r="C126" s="55">
        <f t="shared" si="61"/>
        <v>70590000</v>
      </c>
      <c r="D126" s="55">
        <f t="shared" si="61"/>
        <v>33678000</v>
      </c>
      <c r="E126" s="55">
        <f t="shared" si="61"/>
        <v>36388000</v>
      </c>
      <c r="F126" s="55">
        <f t="shared" si="61"/>
        <v>21472000</v>
      </c>
      <c r="G126" s="55">
        <f t="shared" si="61"/>
        <v>2110333.333333333</v>
      </c>
      <c r="H126" s="55">
        <f t="shared" si="61"/>
        <v>17820000</v>
      </c>
      <c r="I126" s="55">
        <f t="shared" si="61"/>
        <v>7452000</v>
      </c>
      <c r="J126" s="55">
        <f t="shared" si="61"/>
        <v>4991000</v>
      </c>
      <c r="K126" s="55">
        <f t="shared" si="61"/>
        <v>11672500</v>
      </c>
      <c r="L126" s="57"/>
      <c r="M126" s="58">
        <f>A123</f>
        <v>44193</v>
      </c>
      <c r="N126" s="59">
        <f>SUM(B126:K126)</f>
        <v>320173833.33333331</v>
      </c>
      <c r="O126" s="94"/>
      <c r="P126" s="97"/>
      <c r="Q126" s="100"/>
      <c r="R126" s="103"/>
      <c r="S126" s="106"/>
      <c r="T126" s="109"/>
      <c r="U126" s="109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</row>
    <row r="127" spans="1:32">
      <c r="A127" s="110">
        <f>+A123+1</f>
        <v>44194</v>
      </c>
      <c r="B127" s="31">
        <v>1451</v>
      </c>
      <c r="C127" s="31">
        <v>1112</v>
      </c>
      <c r="D127" s="31">
        <v>1887</v>
      </c>
      <c r="E127" s="31">
        <v>1672</v>
      </c>
      <c r="F127" s="31">
        <v>682</v>
      </c>
      <c r="G127" s="31">
        <v>516</v>
      </c>
      <c r="H127" s="31">
        <v>601</v>
      </c>
      <c r="I127" s="31">
        <v>624</v>
      </c>
      <c r="J127" s="31">
        <v>718</v>
      </c>
      <c r="K127" s="32">
        <v>809</v>
      </c>
      <c r="L127" s="15"/>
      <c r="M127" s="60"/>
      <c r="N127" s="61" t="s">
        <v>38</v>
      </c>
      <c r="O127" s="92">
        <f>+IFERROR(IF(HLOOKUP(S127,$S$3:$AB$3,1,)=S127,S128,0),0)</f>
        <v>0</v>
      </c>
      <c r="P127" s="95">
        <f>IFERROR(+N128/O127,0)</f>
        <v>0</v>
      </c>
      <c r="Q127" s="98">
        <f>+IFERROR(IF(HLOOKUP(S127,$S$4:$AB$4,1,)=S127,S128,0),0)</f>
        <v>18</v>
      </c>
      <c r="R127" s="101">
        <f>IFERROR(N128/Q127,0)</f>
        <v>292814.81481481483</v>
      </c>
      <c r="S127" s="47" t="s">
        <v>23</v>
      </c>
      <c r="T127" s="107">
        <v>6</v>
      </c>
      <c r="U127" s="107">
        <v>0</v>
      </c>
      <c r="V127" s="107">
        <v>0</v>
      </c>
      <c r="W127" s="107">
        <v>0</v>
      </c>
      <c r="X127" s="107">
        <v>6</v>
      </c>
      <c r="Y127" s="107">
        <v>0</v>
      </c>
      <c r="Z127" s="107">
        <v>0</v>
      </c>
      <c r="AA127" s="107">
        <v>6</v>
      </c>
      <c r="AB127" s="107">
        <v>0</v>
      </c>
      <c r="AC127" s="107">
        <v>0</v>
      </c>
      <c r="AD127" s="107">
        <v>0</v>
      </c>
      <c r="AE127" s="107">
        <v>0</v>
      </c>
      <c r="AF127" s="107">
        <v>0</v>
      </c>
    </row>
    <row r="128" spans="1:32" ht="17.25" thickBot="1">
      <c r="A128" s="111"/>
      <c r="B128" s="35">
        <f t="shared" ref="B128:K128" si="62">+(B127-(B123+B125))*B$4</f>
        <v>2080000</v>
      </c>
      <c r="C128" s="35">
        <f t="shared" si="62"/>
        <v>1690000</v>
      </c>
      <c r="D128" s="35">
        <f t="shared" si="62"/>
        <v>288000</v>
      </c>
      <c r="E128" s="35">
        <f t="shared" si="62"/>
        <v>396000</v>
      </c>
      <c r="F128" s="35">
        <f t="shared" si="62"/>
        <v>352000</v>
      </c>
      <c r="G128" s="35">
        <f t="shared" si="62"/>
        <v>125666.66666666666</v>
      </c>
      <c r="H128" s="35">
        <f t="shared" si="62"/>
        <v>210000</v>
      </c>
      <c r="I128" s="35">
        <f t="shared" si="62"/>
        <v>36000</v>
      </c>
      <c r="J128" s="35">
        <f t="shared" si="62"/>
        <v>35000</v>
      </c>
      <c r="K128" s="35">
        <f t="shared" si="62"/>
        <v>58000</v>
      </c>
      <c r="L128" s="35">
        <f>MONTH(M130)</f>
        <v>12</v>
      </c>
      <c r="M128" s="48" t="str">
        <f>IF(O127&gt;0,"Y","X")</f>
        <v>X</v>
      </c>
      <c r="N128" s="62">
        <f>IF(SUM(B127:K127)=0,0,SUM(B128:K128))</f>
        <v>5270666.666666667</v>
      </c>
      <c r="O128" s="93"/>
      <c r="P128" s="96"/>
      <c r="Q128" s="99"/>
      <c r="R128" s="102"/>
      <c r="S128" s="104">
        <f>SUM(T127:XFD127)</f>
        <v>18</v>
      </c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08"/>
      <c r="AF128" s="108"/>
    </row>
    <row r="129" spans="1:32" ht="17.25" thickTop="1">
      <c r="A129" s="111"/>
      <c r="B129" s="50">
        <v>0</v>
      </c>
      <c r="C129" s="50">
        <v>0</v>
      </c>
      <c r="D129" s="50">
        <v>0</v>
      </c>
      <c r="E129" s="50">
        <v>0</v>
      </c>
      <c r="F129" s="50">
        <v>0</v>
      </c>
      <c r="G129" s="50">
        <v>0</v>
      </c>
      <c r="H129" s="50">
        <v>0</v>
      </c>
      <c r="I129" s="50">
        <v>0</v>
      </c>
      <c r="J129" s="50">
        <v>0</v>
      </c>
      <c r="K129" s="51">
        <v>0</v>
      </c>
      <c r="L129" s="52"/>
      <c r="M129" s="63"/>
      <c r="N129" s="64" t="s">
        <v>39</v>
      </c>
      <c r="O129" s="93"/>
      <c r="P129" s="96"/>
      <c r="Q129" s="99"/>
      <c r="R129" s="102"/>
      <c r="S129" s="105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8"/>
      <c r="AE129" s="108"/>
      <c r="AF129" s="108"/>
    </row>
    <row r="130" spans="1:32" ht="17.25" thickBot="1">
      <c r="A130" s="112"/>
      <c r="B130" s="55">
        <f t="shared" ref="B130:K130" si="63">+(B127+B129)*B$4</f>
        <v>116080000</v>
      </c>
      <c r="C130" s="55">
        <f t="shared" si="63"/>
        <v>72280000</v>
      </c>
      <c r="D130" s="55">
        <f t="shared" si="63"/>
        <v>33966000</v>
      </c>
      <c r="E130" s="55">
        <f t="shared" si="63"/>
        <v>36784000</v>
      </c>
      <c r="F130" s="55">
        <f t="shared" si="63"/>
        <v>21824000</v>
      </c>
      <c r="G130" s="55">
        <f t="shared" si="63"/>
        <v>2236000</v>
      </c>
      <c r="H130" s="55">
        <f t="shared" si="63"/>
        <v>18030000</v>
      </c>
      <c r="I130" s="55">
        <f t="shared" si="63"/>
        <v>7488000</v>
      </c>
      <c r="J130" s="55">
        <f t="shared" si="63"/>
        <v>5026000</v>
      </c>
      <c r="K130" s="55">
        <f t="shared" si="63"/>
        <v>11730500</v>
      </c>
      <c r="L130" s="57"/>
      <c r="M130" s="65">
        <f>A127</f>
        <v>44194</v>
      </c>
      <c r="N130" s="66">
        <f>SUM(B130:K130)</f>
        <v>325444500</v>
      </c>
      <c r="O130" s="94"/>
      <c r="P130" s="97"/>
      <c r="Q130" s="100"/>
      <c r="R130" s="103"/>
      <c r="S130" s="106"/>
      <c r="T130" s="109"/>
      <c r="U130" s="109"/>
      <c r="V130" s="109"/>
      <c r="W130" s="109"/>
      <c r="X130" s="109"/>
      <c r="Y130" s="109"/>
      <c r="Z130" s="109"/>
      <c r="AA130" s="109"/>
      <c r="AB130" s="109"/>
      <c r="AC130" s="109"/>
      <c r="AD130" s="109"/>
      <c r="AE130" s="109"/>
      <c r="AF130" s="109"/>
    </row>
    <row r="131" spans="1:32">
      <c r="A131" s="110">
        <f>+A127+1</f>
        <v>44195</v>
      </c>
      <c r="B131" s="31">
        <v>1505</v>
      </c>
      <c r="C131" s="31">
        <v>1164</v>
      </c>
      <c r="D131" s="31">
        <v>1920</v>
      </c>
      <c r="E131" s="31">
        <v>1733</v>
      </c>
      <c r="F131" s="31">
        <v>708</v>
      </c>
      <c r="G131" s="31">
        <v>576</v>
      </c>
      <c r="H131" s="31">
        <v>614</v>
      </c>
      <c r="I131" s="31">
        <v>633</v>
      </c>
      <c r="J131" s="31">
        <v>731</v>
      </c>
      <c r="K131" s="32">
        <v>823</v>
      </c>
      <c r="L131" s="15"/>
      <c r="M131" s="60"/>
      <c r="N131" s="46" t="s">
        <v>38</v>
      </c>
      <c r="O131" s="92">
        <f>+IFERROR(IF(HLOOKUP(S131,$S$3:$AB$3,1,)=S131,S132,0),0)</f>
        <v>36</v>
      </c>
      <c r="P131" s="95">
        <f>IFERROR(+N132/O131,0)</f>
        <v>320000</v>
      </c>
      <c r="Q131" s="98">
        <f>+IFERROR(IF(HLOOKUP(S131,$S$4:$AB$4,1,)=S131,S132,0),0)</f>
        <v>0</v>
      </c>
      <c r="R131" s="101">
        <f>IFERROR(N132/Q131,0)</f>
        <v>0</v>
      </c>
      <c r="S131" s="47" t="s">
        <v>17</v>
      </c>
      <c r="T131" s="107">
        <v>6</v>
      </c>
      <c r="U131" s="107">
        <v>6</v>
      </c>
      <c r="V131" s="107">
        <v>6</v>
      </c>
      <c r="W131" s="107">
        <v>6</v>
      </c>
      <c r="X131" s="107">
        <v>6</v>
      </c>
      <c r="Y131" s="107">
        <v>0</v>
      </c>
      <c r="Z131" s="107">
        <v>6</v>
      </c>
      <c r="AA131" s="107">
        <v>0</v>
      </c>
      <c r="AB131" s="107">
        <v>0</v>
      </c>
      <c r="AC131" s="107">
        <v>0</v>
      </c>
      <c r="AD131" s="107">
        <v>0</v>
      </c>
      <c r="AE131" s="107">
        <v>0</v>
      </c>
      <c r="AF131" s="107">
        <v>0</v>
      </c>
    </row>
    <row r="132" spans="1:32" ht="17.25" thickBot="1">
      <c r="A132" s="111"/>
      <c r="B132" s="35">
        <f t="shared" ref="B132:K132" si="64">+(B131-(B127+B129))*B$4</f>
        <v>4320000</v>
      </c>
      <c r="C132" s="35">
        <f t="shared" si="64"/>
        <v>3380000</v>
      </c>
      <c r="D132" s="35">
        <f t="shared" si="64"/>
        <v>594000</v>
      </c>
      <c r="E132" s="35">
        <f t="shared" si="64"/>
        <v>1342000</v>
      </c>
      <c r="F132" s="35">
        <f t="shared" si="64"/>
        <v>832000</v>
      </c>
      <c r="G132" s="35">
        <f t="shared" si="64"/>
        <v>259999.99999999997</v>
      </c>
      <c r="H132" s="35">
        <f t="shared" si="64"/>
        <v>390000</v>
      </c>
      <c r="I132" s="35">
        <f t="shared" si="64"/>
        <v>108000</v>
      </c>
      <c r="J132" s="35">
        <f t="shared" si="64"/>
        <v>91000</v>
      </c>
      <c r="K132" s="35">
        <f t="shared" si="64"/>
        <v>203000</v>
      </c>
      <c r="L132" s="35">
        <f>MONTH(M134)</f>
        <v>12</v>
      </c>
      <c r="M132" s="48" t="str">
        <f>IF(O131&gt;0,"Y","X")</f>
        <v>Y</v>
      </c>
      <c r="N132" s="49">
        <f>IF(SUM(B131:K131)=0,0,SUM(B132:K132))</f>
        <v>11520000</v>
      </c>
      <c r="O132" s="93"/>
      <c r="P132" s="96"/>
      <c r="Q132" s="99"/>
      <c r="R132" s="102"/>
      <c r="S132" s="104">
        <f>SUM(T131:XFD131)</f>
        <v>36</v>
      </c>
      <c r="T132" s="108"/>
      <c r="U132" s="108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108"/>
      <c r="AF132" s="108"/>
    </row>
    <row r="133" spans="1:32" ht="17.25" thickTop="1">
      <c r="A133" s="111"/>
      <c r="B133" s="50">
        <v>0</v>
      </c>
      <c r="C133" s="50">
        <v>0</v>
      </c>
      <c r="D133" s="50">
        <v>-40</v>
      </c>
      <c r="E133" s="50">
        <v>0</v>
      </c>
      <c r="F133" s="50">
        <v>-20</v>
      </c>
      <c r="G133" s="50">
        <v>0</v>
      </c>
      <c r="H133" s="50">
        <v>0</v>
      </c>
      <c r="I133" s="50">
        <v>0</v>
      </c>
      <c r="J133" s="50">
        <v>0</v>
      </c>
      <c r="K133" s="51">
        <v>0</v>
      </c>
      <c r="L133" s="52"/>
      <c r="M133" s="63"/>
      <c r="N133" s="54" t="s">
        <v>39</v>
      </c>
      <c r="O133" s="93"/>
      <c r="P133" s="96"/>
      <c r="Q133" s="99"/>
      <c r="R133" s="102"/>
      <c r="S133" s="105"/>
      <c r="T133" s="108"/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108"/>
      <c r="AF133" s="108"/>
    </row>
    <row r="134" spans="1:32" ht="17.25" thickBot="1">
      <c r="A134" s="112"/>
      <c r="B134" s="55">
        <f t="shared" ref="B134:K134" si="65">+(B131+B133)*B$4</f>
        <v>120400000</v>
      </c>
      <c r="C134" s="55">
        <f t="shared" si="65"/>
        <v>75660000</v>
      </c>
      <c r="D134" s="55">
        <f t="shared" si="65"/>
        <v>33840000</v>
      </c>
      <c r="E134" s="55">
        <f t="shared" si="65"/>
        <v>38126000</v>
      </c>
      <c r="F134" s="55">
        <f t="shared" si="65"/>
        <v>22016000</v>
      </c>
      <c r="G134" s="55">
        <f t="shared" si="65"/>
        <v>2496000</v>
      </c>
      <c r="H134" s="55">
        <f t="shared" si="65"/>
        <v>18420000</v>
      </c>
      <c r="I134" s="55">
        <f t="shared" si="65"/>
        <v>7596000</v>
      </c>
      <c r="J134" s="55">
        <f t="shared" si="65"/>
        <v>5117000</v>
      </c>
      <c r="K134" s="55">
        <f t="shared" si="65"/>
        <v>11933500</v>
      </c>
      <c r="L134" s="57"/>
      <c r="M134" s="65">
        <f>A131</f>
        <v>44195</v>
      </c>
      <c r="N134" s="59">
        <f>SUM(B134:K134)</f>
        <v>335604500</v>
      </c>
      <c r="O134" s="94"/>
      <c r="P134" s="97"/>
      <c r="Q134" s="100"/>
      <c r="R134" s="103"/>
      <c r="S134" s="106"/>
      <c r="T134" s="109"/>
      <c r="U134" s="109"/>
      <c r="V134" s="109"/>
      <c r="W134" s="109"/>
      <c r="X134" s="109"/>
      <c r="Y134" s="109"/>
      <c r="Z134" s="109"/>
      <c r="AA134" s="109"/>
      <c r="AB134" s="109"/>
      <c r="AC134" s="109"/>
      <c r="AD134" s="109"/>
      <c r="AE134" s="109"/>
      <c r="AF134" s="109"/>
    </row>
    <row r="135" spans="1:32">
      <c r="A135" s="110">
        <f>+A131+1</f>
        <v>44196</v>
      </c>
      <c r="B135" s="31">
        <v>1579</v>
      </c>
      <c r="C135" s="31">
        <v>1223</v>
      </c>
      <c r="D135" s="31">
        <v>1922</v>
      </c>
      <c r="E135" s="31">
        <v>1795</v>
      </c>
      <c r="F135" s="31">
        <v>726</v>
      </c>
      <c r="G135" s="31">
        <v>641</v>
      </c>
      <c r="H135" s="31">
        <v>627</v>
      </c>
      <c r="I135" s="31">
        <v>656</v>
      </c>
      <c r="J135" s="31">
        <v>743</v>
      </c>
      <c r="K135" s="32">
        <v>845</v>
      </c>
      <c r="L135" s="15"/>
      <c r="M135" s="60"/>
      <c r="N135" s="61" t="s">
        <v>38</v>
      </c>
      <c r="O135" s="92">
        <f>+IFERROR(IF(HLOOKUP(S135,$S$3:$AB$3,1,)=S135,S136,0),0)</f>
        <v>44</v>
      </c>
      <c r="P135" s="95">
        <f>IFERROR(+N136/O135,0)</f>
        <v>328219.69696969696</v>
      </c>
      <c r="Q135" s="98">
        <f>+IFERROR(IF(HLOOKUP(S135,$S$4:$AB$4,1,)=S135,S136,0),0)</f>
        <v>0</v>
      </c>
      <c r="R135" s="101">
        <f>IFERROR(N136/Q135,0)</f>
        <v>0</v>
      </c>
      <c r="S135" s="47" t="s">
        <v>19</v>
      </c>
      <c r="T135" s="107">
        <v>6</v>
      </c>
      <c r="U135" s="107">
        <v>6</v>
      </c>
      <c r="V135" s="107">
        <v>6</v>
      </c>
      <c r="W135" s="107">
        <v>6</v>
      </c>
      <c r="X135" s="107">
        <v>6</v>
      </c>
      <c r="Y135" s="107">
        <v>1</v>
      </c>
      <c r="Z135" s="107">
        <v>6</v>
      </c>
      <c r="AA135" s="107">
        <v>6</v>
      </c>
      <c r="AB135" s="107">
        <v>1</v>
      </c>
      <c r="AC135" s="107">
        <v>0</v>
      </c>
      <c r="AD135" s="107">
        <v>0</v>
      </c>
      <c r="AE135" s="107">
        <v>0</v>
      </c>
      <c r="AF135" s="107">
        <v>0</v>
      </c>
    </row>
    <row r="136" spans="1:32" ht="17.25" thickBot="1">
      <c r="A136" s="111"/>
      <c r="B136" s="35">
        <f t="shared" ref="B136:K136" si="66">+(B135-(B131+B133))*B$4</f>
        <v>5920000</v>
      </c>
      <c r="C136" s="35">
        <f t="shared" si="66"/>
        <v>3835000</v>
      </c>
      <c r="D136" s="35">
        <f t="shared" si="66"/>
        <v>756000</v>
      </c>
      <c r="E136" s="35">
        <f t="shared" si="66"/>
        <v>1364000</v>
      </c>
      <c r="F136" s="35">
        <f t="shared" si="66"/>
        <v>1216000</v>
      </c>
      <c r="G136" s="35">
        <f t="shared" si="66"/>
        <v>281666.66666666663</v>
      </c>
      <c r="H136" s="35">
        <f t="shared" si="66"/>
        <v>390000</v>
      </c>
      <c r="I136" s="35">
        <f t="shared" si="66"/>
        <v>276000</v>
      </c>
      <c r="J136" s="35">
        <f t="shared" si="66"/>
        <v>84000</v>
      </c>
      <c r="K136" s="35">
        <f t="shared" si="66"/>
        <v>319000</v>
      </c>
      <c r="L136" s="35">
        <f>MONTH(M138)</f>
        <v>12</v>
      </c>
      <c r="M136" s="48" t="str">
        <f>IF(O135&gt;0,"Y","X")</f>
        <v>Y</v>
      </c>
      <c r="N136" s="62">
        <f>IF(SUM(B135:K135)=0,0,SUM(B136:K136))</f>
        <v>14441666.666666666</v>
      </c>
      <c r="O136" s="93"/>
      <c r="P136" s="96"/>
      <c r="Q136" s="99"/>
      <c r="R136" s="102"/>
      <c r="S136" s="104">
        <f>SUM(T135:XFD135)</f>
        <v>44</v>
      </c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8"/>
      <c r="AF136" s="108"/>
    </row>
    <row r="137" spans="1:32" ht="17.25" thickTop="1">
      <c r="A137" s="111"/>
      <c r="B137" s="50">
        <v>0</v>
      </c>
      <c r="C137" s="50">
        <v>0</v>
      </c>
      <c r="D137" s="50">
        <v>0</v>
      </c>
      <c r="E137" s="50">
        <v>0</v>
      </c>
      <c r="F137" s="50">
        <v>0</v>
      </c>
      <c r="G137" s="50">
        <v>0</v>
      </c>
      <c r="H137" s="50">
        <v>0</v>
      </c>
      <c r="I137" s="50">
        <v>0</v>
      </c>
      <c r="J137" s="50">
        <v>0</v>
      </c>
      <c r="K137" s="51">
        <v>0</v>
      </c>
      <c r="L137" s="52"/>
      <c r="M137" s="63"/>
      <c r="N137" s="64" t="s">
        <v>39</v>
      </c>
      <c r="O137" s="93"/>
      <c r="P137" s="96"/>
      <c r="Q137" s="99"/>
      <c r="R137" s="102"/>
      <c r="S137" s="105"/>
      <c r="T137" s="108"/>
      <c r="U137" s="108"/>
      <c r="V137" s="108"/>
      <c r="W137" s="108"/>
      <c r="X137" s="108"/>
      <c r="Y137" s="108"/>
      <c r="Z137" s="108"/>
      <c r="AA137" s="108"/>
      <c r="AB137" s="108"/>
      <c r="AC137" s="108"/>
      <c r="AD137" s="108"/>
      <c r="AE137" s="108"/>
      <c r="AF137" s="108"/>
    </row>
    <row r="138" spans="1:32" ht="17.25" thickBot="1">
      <c r="A138" s="112"/>
      <c r="B138" s="55">
        <f t="shared" ref="B138:K138" si="67">+(B135+B137)*B$4</f>
        <v>126320000</v>
      </c>
      <c r="C138" s="55">
        <f t="shared" si="67"/>
        <v>79495000</v>
      </c>
      <c r="D138" s="55">
        <f t="shared" si="67"/>
        <v>34596000</v>
      </c>
      <c r="E138" s="55">
        <f t="shared" si="67"/>
        <v>39490000</v>
      </c>
      <c r="F138" s="55">
        <f t="shared" si="67"/>
        <v>23232000</v>
      </c>
      <c r="G138" s="55">
        <f t="shared" si="67"/>
        <v>2777666.6666666665</v>
      </c>
      <c r="H138" s="55">
        <f t="shared" si="67"/>
        <v>18810000</v>
      </c>
      <c r="I138" s="55">
        <f t="shared" si="67"/>
        <v>7872000</v>
      </c>
      <c r="J138" s="55">
        <f t="shared" si="67"/>
        <v>5201000</v>
      </c>
      <c r="K138" s="55">
        <f t="shared" si="67"/>
        <v>12252500</v>
      </c>
      <c r="L138" s="57"/>
      <c r="M138" s="65">
        <f>A135</f>
        <v>44196</v>
      </c>
      <c r="N138" s="66">
        <f>SUM(B138:K138)</f>
        <v>350046166.66666669</v>
      </c>
      <c r="O138" s="94"/>
      <c r="P138" s="97"/>
      <c r="Q138" s="100"/>
      <c r="R138" s="103"/>
      <c r="S138" s="106"/>
      <c r="T138" s="109"/>
      <c r="U138" s="109"/>
      <c r="V138" s="109"/>
      <c r="W138" s="109"/>
      <c r="X138" s="109"/>
      <c r="Y138" s="109"/>
      <c r="Z138" s="109"/>
      <c r="AA138" s="109"/>
      <c r="AB138" s="109"/>
      <c r="AC138" s="109"/>
      <c r="AD138" s="109"/>
      <c r="AE138" s="109"/>
      <c r="AF138" s="109"/>
    </row>
    <row r="139" spans="1:32">
      <c r="A139" s="113">
        <f>+A135+1</f>
        <v>44197</v>
      </c>
      <c r="B139" s="31">
        <v>1691</v>
      </c>
      <c r="C139" s="31">
        <v>1351</v>
      </c>
      <c r="D139" s="31">
        <v>1992</v>
      </c>
      <c r="E139" s="31">
        <v>1919</v>
      </c>
      <c r="F139" s="31">
        <v>781</v>
      </c>
      <c r="G139" s="31">
        <v>736</v>
      </c>
      <c r="H139" s="31">
        <v>654</v>
      </c>
      <c r="I139" s="31">
        <v>677</v>
      </c>
      <c r="J139" s="31">
        <v>765</v>
      </c>
      <c r="K139" s="32">
        <v>862</v>
      </c>
      <c r="L139" s="15"/>
      <c r="M139" s="60"/>
      <c r="N139" s="46" t="s">
        <v>38</v>
      </c>
      <c r="O139" s="92">
        <f>+IFERROR(IF(HLOOKUP(S139,$S$3:$AB$3,1,)=S139,S140,0),0)</f>
        <v>75</v>
      </c>
      <c r="P139" s="95">
        <f>IFERROR(+N140/O139,0)</f>
        <v>332028.88888888893</v>
      </c>
      <c r="Q139" s="98">
        <f>+IFERROR(IF(HLOOKUP(S139,$S$4:$AB$4,1,)=S139,S140,0),0)</f>
        <v>0</v>
      </c>
      <c r="R139" s="101">
        <f>IFERROR(N140/Q139,0)</f>
        <v>0</v>
      </c>
      <c r="S139" s="47" t="s">
        <v>20</v>
      </c>
      <c r="T139" s="107">
        <v>7</v>
      </c>
      <c r="U139" s="107">
        <v>10</v>
      </c>
      <c r="V139" s="107">
        <v>6</v>
      </c>
      <c r="W139" s="107">
        <v>6</v>
      </c>
      <c r="X139" s="107">
        <v>10</v>
      </c>
      <c r="Y139" s="107">
        <v>6</v>
      </c>
      <c r="Z139" s="107">
        <v>6</v>
      </c>
      <c r="AA139" s="107">
        <v>9</v>
      </c>
      <c r="AB139" s="107">
        <v>9</v>
      </c>
      <c r="AC139" s="107">
        <v>0</v>
      </c>
      <c r="AD139" s="107">
        <v>0</v>
      </c>
      <c r="AE139" s="107">
        <v>6</v>
      </c>
      <c r="AF139" s="107">
        <v>0</v>
      </c>
    </row>
    <row r="140" spans="1:32" ht="17.25" thickBot="1">
      <c r="A140" s="114"/>
      <c r="B140" s="35">
        <f t="shared" ref="B140:K140" si="68">+(B139-(B135+B137))*B$4</f>
        <v>8960000</v>
      </c>
      <c r="C140" s="35">
        <f t="shared" si="68"/>
        <v>8320000</v>
      </c>
      <c r="D140" s="35">
        <f t="shared" si="68"/>
        <v>1260000</v>
      </c>
      <c r="E140" s="35">
        <f t="shared" si="68"/>
        <v>2728000</v>
      </c>
      <c r="F140" s="35">
        <f t="shared" si="68"/>
        <v>1760000</v>
      </c>
      <c r="G140" s="35">
        <f t="shared" si="68"/>
        <v>411666.66666666663</v>
      </c>
      <c r="H140" s="35">
        <f t="shared" si="68"/>
        <v>810000</v>
      </c>
      <c r="I140" s="35">
        <f t="shared" si="68"/>
        <v>252000</v>
      </c>
      <c r="J140" s="35">
        <f t="shared" si="68"/>
        <v>154000</v>
      </c>
      <c r="K140" s="35">
        <f t="shared" si="68"/>
        <v>246500</v>
      </c>
      <c r="L140" s="35">
        <f>MONTH(M142)</f>
        <v>1</v>
      </c>
      <c r="M140" s="48" t="str">
        <f>IF(O139&gt;0,"Y","X")</f>
        <v>Y</v>
      </c>
      <c r="N140" s="49">
        <f>IF(SUM(B139:K139)=0,0,SUM(B140:K140))</f>
        <v>24902166.666666668</v>
      </c>
      <c r="O140" s="93"/>
      <c r="P140" s="96"/>
      <c r="Q140" s="99"/>
      <c r="R140" s="102"/>
      <c r="S140" s="104">
        <f>SUM(T139:XFD139)</f>
        <v>75</v>
      </c>
      <c r="T140" s="108"/>
      <c r="U140" s="108"/>
      <c r="V140" s="108"/>
      <c r="W140" s="108"/>
      <c r="X140" s="108"/>
      <c r="Y140" s="108"/>
      <c r="Z140" s="108"/>
      <c r="AA140" s="108"/>
      <c r="AB140" s="108"/>
      <c r="AC140" s="108"/>
      <c r="AD140" s="108"/>
      <c r="AE140" s="108"/>
      <c r="AF140" s="108"/>
    </row>
    <row r="141" spans="1:32" ht="17.25" thickTop="1">
      <c r="A141" s="114"/>
      <c r="B141" s="50">
        <v>0</v>
      </c>
      <c r="C141" s="50">
        <v>0</v>
      </c>
      <c r="D141" s="50">
        <v>-10</v>
      </c>
      <c r="E141" s="50">
        <v>0</v>
      </c>
      <c r="F141" s="50">
        <v>-5</v>
      </c>
      <c r="G141" s="50">
        <v>0</v>
      </c>
      <c r="H141" s="50">
        <v>0</v>
      </c>
      <c r="I141" s="50">
        <v>0</v>
      </c>
      <c r="J141" s="50">
        <v>0</v>
      </c>
      <c r="K141" s="51">
        <v>0</v>
      </c>
      <c r="L141" s="52"/>
      <c r="M141" s="63"/>
      <c r="N141" s="54" t="s">
        <v>39</v>
      </c>
      <c r="O141" s="93"/>
      <c r="P141" s="96"/>
      <c r="Q141" s="99"/>
      <c r="R141" s="102"/>
      <c r="S141" s="105"/>
      <c r="T141" s="108"/>
      <c r="U141" s="108"/>
      <c r="V141" s="108"/>
      <c r="W141" s="108"/>
      <c r="X141" s="108"/>
      <c r="Y141" s="108"/>
      <c r="Z141" s="108"/>
      <c r="AA141" s="108"/>
      <c r="AB141" s="108"/>
      <c r="AC141" s="108"/>
      <c r="AD141" s="108"/>
      <c r="AE141" s="108"/>
      <c r="AF141" s="108"/>
    </row>
    <row r="142" spans="1:32" ht="17.25" thickBot="1">
      <c r="A142" s="115"/>
      <c r="B142" s="55">
        <f t="shared" ref="B142:K142" si="69">+(B139+B141)*B$4</f>
        <v>135280000</v>
      </c>
      <c r="C142" s="55">
        <f t="shared" si="69"/>
        <v>87815000</v>
      </c>
      <c r="D142" s="55">
        <f t="shared" si="69"/>
        <v>35676000</v>
      </c>
      <c r="E142" s="55">
        <f t="shared" si="69"/>
        <v>42218000</v>
      </c>
      <c r="F142" s="55">
        <f t="shared" si="69"/>
        <v>24832000</v>
      </c>
      <c r="G142" s="55">
        <f t="shared" si="69"/>
        <v>3189333.333333333</v>
      </c>
      <c r="H142" s="55">
        <f t="shared" si="69"/>
        <v>19620000</v>
      </c>
      <c r="I142" s="55">
        <f t="shared" si="69"/>
        <v>8124000</v>
      </c>
      <c r="J142" s="55">
        <f t="shared" si="69"/>
        <v>5355000</v>
      </c>
      <c r="K142" s="55">
        <f t="shared" si="69"/>
        <v>12499000</v>
      </c>
      <c r="L142" s="57"/>
      <c r="M142" s="65">
        <f>A139</f>
        <v>44197</v>
      </c>
      <c r="N142" s="59">
        <f>SUM(B142:K142)</f>
        <v>374608333.33333331</v>
      </c>
      <c r="O142" s="94"/>
      <c r="P142" s="97"/>
      <c r="Q142" s="100"/>
      <c r="R142" s="103"/>
      <c r="S142" s="106"/>
      <c r="T142" s="109"/>
      <c r="U142" s="109"/>
      <c r="V142" s="109"/>
      <c r="W142" s="109"/>
      <c r="X142" s="109"/>
      <c r="Y142" s="109"/>
      <c r="Z142" s="109"/>
      <c r="AA142" s="109"/>
      <c r="AB142" s="109"/>
      <c r="AC142" s="109"/>
      <c r="AD142" s="109"/>
      <c r="AE142" s="109"/>
      <c r="AF142" s="109"/>
    </row>
    <row r="143" spans="1:32">
      <c r="A143" s="113">
        <f>+A139+1</f>
        <v>44198</v>
      </c>
      <c r="B143" s="31">
        <v>1775</v>
      </c>
      <c r="C143" s="31">
        <v>1431</v>
      </c>
      <c r="D143" s="31">
        <v>2035</v>
      </c>
      <c r="E143" s="31">
        <v>2006</v>
      </c>
      <c r="F143" s="31">
        <v>812</v>
      </c>
      <c r="G143" s="31">
        <v>805</v>
      </c>
      <c r="H143" s="31">
        <v>678</v>
      </c>
      <c r="I143" s="31">
        <v>700</v>
      </c>
      <c r="J143" s="31">
        <v>782</v>
      </c>
      <c r="K143" s="32">
        <v>873</v>
      </c>
      <c r="L143" s="15"/>
      <c r="M143" s="60"/>
      <c r="N143" s="61" t="s">
        <v>38</v>
      </c>
      <c r="O143" s="92">
        <f>+IFERROR(IF(HLOOKUP(S143,$S$3:$AB$3,1,)=S143,S144,0),0)</f>
        <v>49</v>
      </c>
      <c r="P143" s="95">
        <f>IFERROR(+N144/O143,0)</f>
        <v>357418.36734693876</v>
      </c>
      <c r="Q143" s="98">
        <f>+IFERROR(IF(HLOOKUP(S143,$S$4:$AB$4,1,)=S143,S144,0),0)</f>
        <v>0</v>
      </c>
      <c r="R143" s="101">
        <f>IFERROR(N144/Q143,0)</f>
        <v>0</v>
      </c>
      <c r="S143" s="47" t="s">
        <v>18</v>
      </c>
      <c r="T143" s="107">
        <v>6</v>
      </c>
      <c r="U143" s="107">
        <v>6</v>
      </c>
      <c r="V143" s="107">
        <v>9</v>
      </c>
      <c r="W143" s="107">
        <v>9</v>
      </c>
      <c r="X143" s="107">
        <v>6</v>
      </c>
      <c r="Y143" s="107">
        <v>1</v>
      </c>
      <c r="Z143" s="107">
        <v>6</v>
      </c>
      <c r="AA143" s="107">
        <v>6</v>
      </c>
      <c r="AB143" s="107"/>
      <c r="AC143" s="107">
        <v>0</v>
      </c>
      <c r="AD143" s="107"/>
      <c r="AE143" s="107"/>
      <c r="AF143" s="107"/>
    </row>
    <row r="144" spans="1:32" ht="17.25" thickBot="1">
      <c r="A144" s="114"/>
      <c r="B144" s="35">
        <f t="shared" ref="B144:K144" si="70">+(B143-(B139+B141))*B$4</f>
        <v>6720000</v>
      </c>
      <c r="C144" s="35">
        <f t="shared" si="70"/>
        <v>5200000</v>
      </c>
      <c r="D144" s="35">
        <f t="shared" si="70"/>
        <v>954000</v>
      </c>
      <c r="E144" s="35">
        <f t="shared" si="70"/>
        <v>1914000</v>
      </c>
      <c r="F144" s="35">
        <f t="shared" si="70"/>
        <v>1152000</v>
      </c>
      <c r="G144" s="35">
        <f t="shared" si="70"/>
        <v>299000</v>
      </c>
      <c r="H144" s="35">
        <f t="shared" si="70"/>
        <v>720000</v>
      </c>
      <c r="I144" s="35">
        <f t="shared" si="70"/>
        <v>276000</v>
      </c>
      <c r="J144" s="35">
        <f t="shared" si="70"/>
        <v>119000</v>
      </c>
      <c r="K144" s="35">
        <f t="shared" si="70"/>
        <v>159500</v>
      </c>
      <c r="L144" s="35">
        <f>MONTH(M146)</f>
        <v>1</v>
      </c>
      <c r="M144" s="48" t="str">
        <f>IF(O143&gt;0,"Y","X")</f>
        <v>Y</v>
      </c>
      <c r="N144" s="62">
        <f>IF(SUM(B143:K143)=0,0,SUM(B144:K144))</f>
        <v>17513500</v>
      </c>
      <c r="O144" s="93"/>
      <c r="P144" s="96"/>
      <c r="Q144" s="99"/>
      <c r="R144" s="102"/>
      <c r="S144" s="104">
        <f>SUM(T143:XFD143)</f>
        <v>49</v>
      </c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8"/>
      <c r="AF144" s="108"/>
    </row>
    <row r="145" spans="1:32" ht="17.25" thickTop="1">
      <c r="A145" s="114"/>
      <c r="B145" s="50">
        <v>0</v>
      </c>
      <c r="C145" s="50">
        <v>0</v>
      </c>
      <c r="D145" s="50">
        <v>0</v>
      </c>
      <c r="E145" s="50">
        <v>0</v>
      </c>
      <c r="F145" s="50">
        <v>0</v>
      </c>
      <c r="G145" s="50">
        <v>0</v>
      </c>
      <c r="H145" s="50">
        <v>0</v>
      </c>
      <c r="I145" s="50">
        <v>0</v>
      </c>
      <c r="J145" s="50">
        <v>0</v>
      </c>
      <c r="K145" s="51">
        <v>0</v>
      </c>
      <c r="L145" s="52"/>
      <c r="M145" s="63"/>
      <c r="N145" s="64" t="s">
        <v>39</v>
      </c>
      <c r="O145" s="93"/>
      <c r="P145" s="96"/>
      <c r="Q145" s="99"/>
      <c r="R145" s="102"/>
      <c r="S145" s="105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</row>
    <row r="146" spans="1:32" ht="17.25" thickBot="1">
      <c r="A146" s="115"/>
      <c r="B146" s="55">
        <f t="shared" ref="B146:K146" si="71">+(B143+B145)*B$4</f>
        <v>142000000</v>
      </c>
      <c r="C146" s="55">
        <f t="shared" si="71"/>
        <v>93015000</v>
      </c>
      <c r="D146" s="55">
        <f t="shared" si="71"/>
        <v>36630000</v>
      </c>
      <c r="E146" s="55">
        <f t="shared" si="71"/>
        <v>44132000</v>
      </c>
      <c r="F146" s="55">
        <f t="shared" si="71"/>
        <v>25984000</v>
      </c>
      <c r="G146" s="55">
        <f t="shared" si="71"/>
        <v>3488333.333333333</v>
      </c>
      <c r="H146" s="55">
        <f t="shared" si="71"/>
        <v>20340000</v>
      </c>
      <c r="I146" s="55">
        <f t="shared" si="71"/>
        <v>8400000</v>
      </c>
      <c r="J146" s="55">
        <f t="shared" si="71"/>
        <v>5474000</v>
      </c>
      <c r="K146" s="55">
        <f t="shared" si="71"/>
        <v>12658500</v>
      </c>
      <c r="L146" s="57"/>
      <c r="M146" s="65">
        <f>A143</f>
        <v>44198</v>
      </c>
      <c r="N146" s="66">
        <f>SUM(B146:K146)</f>
        <v>392121833.33333331</v>
      </c>
      <c r="O146" s="94"/>
      <c r="P146" s="97"/>
      <c r="Q146" s="100"/>
      <c r="R146" s="103"/>
      <c r="S146" s="106"/>
      <c r="T146" s="109"/>
      <c r="U146" s="109"/>
      <c r="V146" s="109"/>
      <c r="W146" s="109"/>
      <c r="X146" s="109"/>
      <c r="Y146" s="109"/>
      <c r="Z146" s="109"/>
      <c r="AA146" s="109"/>
      <c r="AB146" s="109"/>
      <c r="AC146" s="109"/>
      <c r="AD146" s="109"/>
      <c r="AE146" s="109"/>
      <c r="AF146" s="109"/>
    </row>
    <row r="147" spans="1:32">
      <c r="A147" s="113">
        <f>+A143+1</f>
        <v>44199</v>
      </c>
      <c r="B147" s="31">
        <v>1839</v>
      </c>
      <c r="C147" s="31">
        <v>1494</v>
      </c>
      <c r="D147" s="31">
        <v>2074</v>
      </c>
      <c r="E147" s="31">
        <v>2068</v>
      </c>
      <c r="F147" s="31">
        <v>849</v>
      </c>
      <c r="G147" s="31">
        <v>870</v>
      </c>
      <c r="H147" s="31">
        <v>693</v>
      </c>
      <c r="I147" s="31">
        <v>711</v>
      </c>
      <c r="J147" s="31">
        <v>790</v>
      </c>
      <c r="K147" s="32">
        <v>881</v>
      </c>
      <c r="L147" s="15"/>
      <c r="M147" s="60"/>
      <c r="N147" s="46" t="s">
        <v>38</v>
      </c>
      <c r="O147" s="92">
        <f>+IFERROR(IF(HLOOKUP(S147,$S$3:$AB$3,1,)=S147,S148,0),0)</f>
        <v>0</v>
      </c>
      <c r="P147" s="95">
        <f>IFERROR(+N148/O147,0)</f>
        <v>0</v>
      </c>
      <c r="Q147" s="98">
        <f>+IFERROR(IF(HLOOKUP(S147,$S$4:$AB$4,1,)=S147,S148,0),0)</f>
        <v>43</v>
      </c>
      <c r="R147" s="101">
        <f>IFERROR(N148/Q147,0)</f>
        <v>313968.99224806199</v>
      </c>
      <c r="S147" s="47" t="s">
        <v>24</v>
      </c>
      <c r="T147" s="107">
        <v>5</v>
      </c>
      <c r="U147" s="107">
        <v>6</v>
      </c>
      <c r="V147" s="107">
        <v>6</v>
      </c>
      <c r="W147" s="107">
        <v>6</v>
      </c>
      <c r="X147" s="107">
        <v>6</v>
      </c>
      <c r="Y147" s="107">
        <v>5</v>
      </c>
      <c r="Z147" s="107">
        <v>9</v>
      </c>
      <c r="AA147" s="107"/>
      <c r="AB147" s="107"/>
      <c r="AC147" s="107">
        <v>0</v>
      </c>
      <c r="AD147" s="107"/>
      <c r="AE147" s="107"/>
      <c r="AF147" s="107"/>
    </row>
    <row r="148" spans="1:32" ht="17.25" thickBot="1">
      <c r="A148" s="114"/>
      <c r="B148" s="35">
        <f t="shared" ref="B148:K148" si="72">+(B147-(B143+B145))*B$4</f>
        <v>5120000</v>
      </c>
      <c r="C148" s="35">
        <f t="shared" si="72"/>
        <v>4095000</v>
      </c>
      <c r="D148" s="35">
        <f t="shared" si="72"/>
        <v>702000</v>
      </c>
      <c r="E148" s="35">
        <f t="shared" si="72"/>
        <v>1364000</v>
      </c>
      <c r="F148" s="35">
        <f t="shared" si="72"/>
        <v>1184000</v>
      </c>
      <c r="G148" s="35">
        <f t="shared" si="72"/>
        <v>281666.66666666663</v>
      </c>
      <c r="H148" s="35">
        <f t="shared" si="72"/>
        <v>450000</v>
      </c>
      <c r="I148" s="35">
        <f t="shared" si="72"/>
        <v>132000</v>
      </c>
      <c r="J148" s="35">
        <f t="shared" si="72"/>
        <v>56000</v>
      </c>
      <c r="K148" s="35">
        <f t="shared" si="72"/>
        <v>116000</v>
      </c>
      <c r="L148" s="35">
        <f>MONTH(M150)</f>
        <v>1</v>
      </c>
      <c r="M148" s="48" t="str">
        <f>IF(O147&gt;0,"Y","X")</f>
        <v>X</v>
      </c>
      <c r="N148" s="49">
        <f>IF(SUM(B147:K147)=0,0,SUM(B148:K148))</f>
        <v>13500666.666666666</v>
      </c>
      <c r="O148" s="93"/>
      <c r="P148" s="96"/>
      <c r="Q148" s="99"/>
      <c r="R148" s="102"/>
      <c r="S148" s="104">
        <f>SUM(T147:XFD147)</f>
        <v>43</v>
      </c>
      <c r="T148" s="108"/>
      <c r="U148" s="108"/>
      <c r="V148" s="108"/>
      <c r="W148" s="108"/>
      <c r="X148" s="108"/>
      <c r="Y148" s="108"/>
      <c r="Z148" s="108"/>
      <c r="AA148" s="108"/>
      <c r="AB148" s="108"/>
      <c r="AC148" s="108"/>
      <c r="AD148" s="108"/>
      <c r="AE148" s="108"/>
      <c r="AF148" s="108"/>
    </row>
    <row r="149" spans="1:32" ht="17.25" thickTop="1">
      <c r="A149" s="114"/>
      <c r="B149" s="50">
        <v>0</v>
      </c>
      <c r="C149" s="50">
        <v>0</v>
      </c>
      <c r="D149" s="50">
        <v>0</v>
      </c>
      <c r="E149" s="50">
        <v>0</v>
      </c>
      <c r="F149" s="50">
        <v>0</v>
      </c>
      <c r="G149" s="50">
        <v>0</v>
      </c>
      <c r="H149" s="50">
        <v>0</v>
      </c>
      <c r="I149" s="50">
        <v>0</v>
      </c>
      <c r="J149" s="50">
        <v>0</v>
      </c>
      <c r="K149" s="51">
        <v>0</v>
      </c>
      <c r="L149" s="52"/>
      <c r="M149" s="63"/>
      <c r="N149" s="54" t="s">
        <v>39</v>
      </c>
      <c r="O149" s="93"/>
      <c r="P149" s="96"/>
      <c r="Q149" s="99"/>
      <c r="R149" s="102"/>
      <c r="S149" s="105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</row>
    <row r="150" spans="1:32" ht="17.25" thickBot="1">
      <c r="A150" s="115"/>
      <c r="B150" s="55">
        <f t="shared" ref="B150:K150" si="73">+(B147+B149)*B$4</f>
        <v>147120000</v>
      </c>
      <c r="C150" s="55">
        <f t="shared" si="73"/>
        <v>97110000</v>
      </c>
      <c r="D150" s="55">
        <f t="shared" si="73"/>
        <v>37332000</v>
      </c>
      <c r="E150" s="55">
        <f t="shared" si="73"/>
        <v>45496000</v>
      </c>
      <c r="F150" s="55">
        <f t="shared" si="73"/>
        <v>27168000</v>
      </c>
      <c r="G150" s="55">
        <f t="shared" si="73"/>
        <v>3769999.9999999995</v>
      </c>
      <c r="H150" s="55">
        <f t="shared" si="73"/>
        <v>20790000</v>
      </c>
      <c r="I150" s="55">
        <f t="shared" si="73"/>
        <v>8532000</v>
      </c>
      <c r="J150" s="55">
        <f t="shared" si="73"/>
        <v>5530000</v>
      </c>
      <c r="K150" s="55">
        <f t="shared" si="73"/>
        <v>12774500</v>
      </c>
      <c r="L150" s="57"/>
      <c r="M150" s="65">
        <f>A147</f>
        <v>44199</v>
      </c>
      <c r="N150" s="59">
        <f>SUM(B150:K150)</f>
        <v>405622500</v>
      </c>
      <c r="O150" s="94"/>
      <c r="P150" s="97"/>
      <c r="Q150" s="100"/>
      <c r="R150" s="103"/>
      <c r="S150" s="106"/>
      <c r="T150" s="109"/>
      <c r="U150" s="109"/>
      <c r="V150" s="109"/>
      <c r="W150" s="109"/>
      <c r="X150" s="109"/>
      <c r="Y150" s="109"/>
      <c r="Z150" s="109"/>
      <c r="AA150" s="109"/>
      <c r="AB150" s="109"/>
      <c r="AC150" s="109"/>
      <c r="AD150" s="109"/>
      <c r="AE150" s="109"/>
      <c r="AF150" s="109"/>
    </row>
    <row r="151" spans="1:32">
      <c r="A151" s="110">
        <f>+A147+1</f>
        <v>44200</v>
      </c>
      <c r="B151" s="31">
        <v>1868</v>
      </c>
      <c r="C151" s="31">
        <v>1520</v>
      </c>
      <c r="D151" s="31">
        <v>2095</v>
      </c>
      <c r="E151" s="31">
        <v>2099</v>
      </c>
      <c r="F151" s="31">
        <v>869</v>
      </c>
      <c r="G151" s="31">
        <v>919</v>
      </c>
      <c r="H151" s="31">
        <v>699</v>
      </c>
      <c r="I151" s="31">
        <v>722</v>
      </c>
      <c r="J151" s="31">
        <v>799</v>
      </c>
      <c r="K151" s="32">
        <v>886</v>
      </c>
      <c r="L151" s="15"/>
      <c r="M151" s="45"/>
      <c r="N151" s="61" t="s">
        <v>38</v>
      </c>
      <c r="O151" s="92">
        <f>+IFERROR(IF(HLOOKUP(S151,$S$3:$AB$3,1,)=S151,S152,0),0)</f>
        <v>0</v>
      </c>
      <c r="P151" s="95">
        <f>IFERROR(+N152/O151,0)</f>
        <v>0</v>
      </c>
      <c r="Q151" s="98">
        <f>+IFERROR(IF(HLOOKUP(S151,$S$4:$AB$4,1,)=S151,S152,0),0)</f>
        <v>25</v>
      </c>
      <c r="R151" s="101">
        <f>IFERROR(N152/Q151,0)</f>
        <v>254793.33333333331</v>
      </c>
      <c r="S151" s="47" t="s">
        <v>23</v>
      </c>
      <c r="T151" s="107">
        <v>6</v>
      </c>
      <c r="U151" s="107">
        <v>6</v>
      </c>
      <c r="V151" s="107">
        <v>6</v>
      </c>
      <c r="W151" s="107"/>
      <c r="X151" s="107">
        <v>6</v>
      </c>
      <c r="Y151" s="107"/>
      <c r="Z151" s="107">
        <v>1</v>
      </c>
      <c r="AA151" s="107"/>
      <c r="AB151" s="107"/>
      <c r="AC151" s="107">
        <v>0</v>
      </c>
      <c r="AD151" s="107"/>
      <c r="AE151" s="107"/>
      <c r="AF151" s="107"/>
    </row>
    <row r="152" spans="1:32" ht="17.25" thickBot="1">
      <c r="A152" s="111"/>
      <c r="B152" s="35">
        <f t="shared" ref="B152:K152" si="74">+(B151-(B147+B149))*B$4</f>
        <v>2320000</v>
      </c>
      <c r="C152" s="35">
        <f t="shared" si="74"/>
        <v>1690000</v>
      </c>
      <c r="D152" s="35">
        <f t="shared" si="74"/>
        <v>378000</v>
      </c>
      <c r="E152" s="35">
        <f t="shared" si="74"/>
        <v>682000</v>
      </c>
      <c r="F152" s="35">
        <f t="shared" si="74"/>
        <v>640000</v>
      </c>
      <c r="G152" s="35">
        <f t="shared" si="74"/>
        <v>212333.33333333331</v>
      </c>
      <c r="H152" s="35">
        <f t="shared" si="74"/>
        <v>180000</v>
      </c>
      <c r="I152" s="35">
        <f t="shared" si="74"/>
        <v>132000</v>
      </c>
      <c r="J152" s="35">
        <f t="shared" si="74"/>
        <v>63000</v>
      </c>
      <c r="K152" s="35">
        <f t="shared" si="74"/>
        <v>72500</v>
      </c>
      <c r="L152" s="35">
        <f>MONTH(M154)</f>
        <v>1</v>
      </c>
      <c r="M152" s="48" t="str">
        <f>IF(O151&gt;0,"Y","X")</f>
        <v>X</v>
      </c>
      <c r="N152" s="62">
        <f>IF(SUM(B151:K151)=0,0,SUM(B152:K152))</f>
        <v>6369833.333333333</v>
      </c>
      <c r="O152" s="93"/>
      <c r="P152" s="96"/>
      <c r="Q152" s="99"/>
      <c r="R152" s="102"/>
      <c r="S152" s="104">
        <f>SUM(T151:XFD151)</f>
        <v>25</v>
      </c>
      <c r="T152" s="108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8"/>
      <c r="AF152" s="108"/>
    </row>
    <row r="153" spans="1:32" ht="17.25" thickTop="1">
      <c r="A153" s="111"/>
      <c r="B153" s="50">
        <v>0</v>
      </c>
      <c r="C153" s="50">
        <v>0</v>
      </c>
      <c r="D153" s="50">
        <v>0</v>
      </c>
      <c r="E153" s="50">
        <v>0</v>
      </c>
      <c r="F153" s="50">
        <v>0</v>
      </c>
      <c r="G153" s="50">
        <v>0</v>
      </c>
      <c r="H153" s="50">
        <v>0</v>
      </c>
      <c r="I153" s="50">
        <v>0</v>
      </c>
      <c r="J153" s="50">
        <v>0</v>
      </c>
      <c r="K153" s="51">
        <v>0</v>
      </c>
      <c r="L153" s="52"/>
      <c r="M153" s="53"/>
      <c r="N153" s="64" t="s">
        <v>39</v>
      </c>
      <c r="O153" s="93"/>
      <c r="P153" s="96"/>
      <c r="Q153" s="99"/>
      <c r="R153" s="102"/>
      <c r="S153" s="105"/>
      <c r="T153" s="108"/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08"/>
      <c r="AE153" s="108"/>
      <c r="AF153" s="108"/>
    </row>
    <row r="154" spans="1:32" ht="17.25" thickBot="1">
      <c r="A154" s="112"/>
      <c r="B154" s="55">
        <f t="shared" ref="B154:K154" si="75">+(B151+B153)*B$4</f>
        <v>149440000</v>
      </c>
      <c r="C154" s="55">
        <f t="shared" si="75"/>
        <v>98800000</v>
      </c>
      <c r="D154" s="55">
        <f t="shared" si="75"/>
        <v>37710000</v>
      </c>
      <c r="E154" s="55">
        <f t="shared" si="75"/>
        <v>46178000</v>
      </c>
      <c r="F154" s="55">
        <f t="shared" si="75"/>
        <v>27808000</v>
      </c>
      <c r="G154" s="55">
        <f t="shared" si="75"/>
        <v>3982333.333333333</v>
      </c>
      <c r="H154" s="55">
        <f t="shared" si="75"/>
        <v>20970000</v>
      </c>
      <c r="I154" s="55">
        <f t="shared" si="75"/>
        <v>8664000</v>
      </c>
      <c r="J154" s="55">
        <f t="shared" si="75"/>
        <v>5593000</v>
      </c>
      <c r="K154" s="55">
        <f t="shared" si="75"/>
        <v>12847000</v>
      </c>
      <c r="L154" s="57"/>
      <c r="M154" s="58">
        <f>A151</f>
        <v>44200</v>
      </c>
      <c r="N154" s="66">
        <f>SUM(B154:K154)</f>
        <v>411992333.33333331</v>
      </c>
      <c r="O154" s="94"/>
      <c r="P154" s="97"/>
      <c r="Q154" s="100"/>
      <c r="R154" s="103"/>
      <c r="S154" s="106"/>
      <c r="T154" s="109"/>
      <c r="U154" s="109"/>
      <c r="V154" s="109"/>
      <c r="W154" s="109"/>
      <c r="X154" s="109"/>
      <c r="Y154" s="109"/>
      <c r="Z154" s="109"/>
      <c r="AA154" s="109"/>
      <c r="AB154" s="109"/>
      <c r="AC154" s="109"/>
      <c r="AD154" s="109"/>
      <c r="AE154" s="109"/>
      <c r="AF154" s="109"/>
    </row>
    <row r="155" spans="1:32">
      <c r="A155" s="110">
        <f>+A151+1</f>
        <v>44201</v>
      </c>
      <c r="B155" s="31">
        <v>1928</v>
      </c>
      <c r="C155" s="31">
        <v>1580</v>
      </c>
      <c r="D155" s="31">
        <v>2125</v>
      </c>
      <c r="E155" s="31">
        <v>2156</v>
      </c>
      <c r="F155" s="31">
        <v>899</v>
      </c>
      <c r="G155" s="31">
        <v>971</v>
      </c>
      <c r="H155" s="31">
        <v>709</v>
      </c>
      <c r="I155" s="31">
        <v>736</v>
      </c>
      <c r="J155" s="31">
        <v>811</v>
      </c>
      <c r="K155" s="32">
        <v>901</v>
      </c>
      <c r="L155" s="15"/>
      <c r="M155" s="60"/>
      <c r="N155" s="46" t="s">
        <v>38</v>
      </c>
      <c r="O155" s="92">
        <f>+IFERROR(IF(HLOOKUP(S155,$S$3:$AB$3,1,)=S155,S156,0),0)</f>
        <v>36</v>
      </c>
      <c r="P155" s="95">
        <f>IFERROR(+N156/O155,0)</f>
        <v>345800.92592592596</v>
      </c>
      <c r="Q155" s="98">
        <f>+IFERROR(IF(HLOOKUP(S155,$S$4:$AB$4,1,)=S155,S156,0),0)</f>
        <v>0</v>
      </c>
      <c r="R155" s="101">
        <f>IFERROR(N156/Q155,0)</f>
        <v>0</v>
      </c>
      <c r="S155" s="47" t="s">
        <v>17</v>
      </c>
      <c r="T155" s="107">
        <v>6</v>
      </c>
      <c r="U155" s="107">
        <v>6</v>
      </c>
      <c r="V155" s="107">
        <v>6</v>
      </c>
      <c r="W155" s="107"/>
      <c r="X155" s="107">
        <v>6</v>
      </c>
      <c r="Y155" s="107"/>
      <c r="Z155" s="107"/>
      <c r="AA155" s="107">
        <v>6</v>
      </c>
      <c r="AB155" s="107">
        <v>6</v>
      </c>
      <c r="AC155" s="107">
        <v>0</v>
      </c>
      <c r="AD155" s="107"/>
      <c r="AE155" s="107"/>
      <c r="AF155" s="107"/>
    </row>
    <row r="156" spans="1:32" ht="17.25" thickBot="1">
      <c r="A156" s="111"/>
      <c r="B156" s="35">
        <f t="shared" ref="B156:K156" si="76">+(B155-(B151+B153))*B$4</f>
        <v>4800000</v>
      </c>
      <c r="C156" s="35">
        <f t="shared" si="76"/>
        <v>3900000</v>
      </c>
      <c r="D156" s="35">
        <f t="shared" si="76"/>
        <v>540000</v>
      </c>
      <c r="E156" s="35">
        <f t="shared" si="76"/>
        <v>1254000</v>
      </c>
      <c r="F156" s="35">
        <f t="shared" si="76"/>
        <v>960000</v>
      </c>
      <c r="G156" s="35">
        <f t="shared" si="76"/>
        <v>225333.33333333331</v>
      </c>
      <c r="H156" s="35">
        <f t="shared" si="76"/>
        <v>300000</v>
      </c>
      <c r="I156" s="35">
        <f t="shared" si="76"/>
        <v>168000</v>
      </c>
      <c r="J156" s="35">
        <f t="shared" si="76"/>
        <v>84000</v>
      </c>
      <c r="K156" s="35">
        <f t="shared" si="76"/>
        <v>217500</v>
      </c>
      <c r="L156" s="35">
        <f>MONTH(M158)</f>
        <v>1</v>
      </c>
      <c r="M156" s="48" t="str">
        <f>IF(O155&gt;0,"Y","X")</f>
        <v>Y</v>
      </c>
      <c r="N156" s="49">
        <f>IF(SUM(B155:K155)=0,0,SUM(B156:K156))</f>
        <v>12448833.333333334</v>
      </c>
      <c r="O156" s="93"/>
      <c r="P156" s="96"/>
      <c r="Q156" s="99"/>
      <c r="R156" s="102"/>
      <c r="S156" s="104">
        <f>SUM(T155:XFD155)</f>
        <v>36</v>
      </c>
      <c r="T156" s="108"/>
      <c r="U156" s="108"/>
      <c r="V156" s="108"/>
      <c r="W156" s="108"/>
      <c r="X156" s="108"/>
      <c r="Y156" s="108"/>
      <c r="Z156" s="108"/>
      <c r="AA156" s="108"/>
      <c r="AB156" s="108"/>
      <c r="AC156" s="108"/>
      <c r="AD156" s="108"/>
      <c r="AE156" s="108"/>
      <c r="AF156" s="108"/>
    </row>
    <row r="157" spans="1:32" ht="17.25" thickTop="1">
      <c r="A157" s="111"/>
      <c r="B157" s="50">
        <v>0</v>
      </c>
      <c r="C157" s="50">
        <v>0</v>
      </c>
      <c r="D157" s="50">
        <v>170</v>
      </c>
      <c r="E157" s="50">
        <v>0</v>
      </c>
      <c r="F157" s="50">
        <v>0</v>
      </c>
      <c r="G157" s="50">
        <f>-170*3</f>
        <v>-510</v>
      </c>
      <c r="H157" s="50">
        <v>0</v>
      </c>
      <c r="I157" s="50">
        <v>0</v>
      </c>
      <c r="J157" s="50">
        <v>0</v>
      </c>
      <c r="K157" s="51">
        <v>0</v>
      </c>
      <c r="L157" s="52"/>
      <c r="M157" s="63"/>
      <c r="N157" s="54" t="s">
        <v>39</v>
      </c>
      <c r="O157" s="93"/>
      <c r="P157" s="96"/>
      <c r="Q157" s="99"/>
      <c r="R157" s="102"/>
      <c r="S157" s="105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  <c r="AD157" s="108"/>
      <c r="AE157" s="108"/>
      <c r="AF157" s="108"/>
    </row>
    <row r="158" spans="1:32" ht="17.25" thickBot="1">
      <c r="A158" s="112"/>
      <c r="B158" s="55">
        <f t="shared" ref="B158:K158" si="77">+(B155+B157)*B$4</f>
        <v>154240000</v>
      </c>
      <c r="C158" s="55">
        <f t="shared" si="77"/>
        <v>102700000</v>
      </c>
      <c r="D158" s="55">
        <f t="shared" si="77"/>
        <v>41310000</v>
      </c>
      <c r="E158" s="55">
        <f t="shared" si="77"/>
        <v>47432000</v>
      </c>
      <c r="F158" s="55">
        <f t="shared" si="77"/>
        <v>28768000</v>
      </c>
      <c r="G158" s="55">
        <f t="shared" si="77"/>
        <v>1997666.6666666665</v>
      </c>
      <c r="H158" s="55">
        <f t="shared" si="77"/>
        <v>21270000</v>
      </c>
      <c r="I158" s="55">
        <f t="shared" si="77"/>
        <v>8832000</v>
      </c>
      <c r="J158" s="55">
        <f t="shared" si="77"/>
        <v>5677000</v>
      </c>
      <c r="K158" s="55">
        <f t="shared" si="77"/>
        <v>13064500</v>
      </c>
      <c r="L158" s="57"/>
      <c r="M158" s="65">
        <f>A155</f>
        <v>44201</v>
      </c>
      <c r="N158" s="59">
        <f>SUM(B158:K158)</f>
        <v>425291166.66666669</v>
      </c>
      <c r="O158" s="94"/>
      <c r="P158" s="97"/>
      <c r="Q158" s="100"/>
      <c r="R158" s="103"/>
      <c r="S158" s="106"/>
      <c r="T158" s="109"/>
      <c r="U158" s="109"/>
      <c r="V158" s="109"/>
      <c r="W158" s="109"/>
      <c r="X158" s="109"/>
      <c r="Y158" s="109"/>
      <c r="Z158" s="109"/>
      <c r="AA158" s="109"/>
      <c r="AB158" s="109"/>
      <c r="AC158" s="109"/>
      <c r="AD158" s="109"/>
      <c r="AE158" s="109"/>
      <c r="AF158" s="109"/>
    </row>
    <row r="159" spans="1:32">
      <c r="A159" s="110">
        <f>+A155+1</f>
        <v>44202</v>
      </c>
      <c r="B159" s="31">
        <v>1993</v>
      </c>
      <c r="C159" s="31">
        <v>1640</v>
      </c>
      <c r="D159" s="31">
        <v>2322</v>
      </c>
      <c r="E159" s="31">
        <v>2224</v>
      </c>
      <c r="F159" s="31">
        <v>938</v>
      </c>
      <c r="G159" s="31">
        <v>547</v>
      </c>
      <c r="H159" s="31">
        <v>729</v>
      </c>
      <c r="I159" s="31">
        <v>759</v>
      </c>
      <c r="J159" s="31">
        <v>838</v>
      </c>
      <c r="K159" s="32">
        <v>926</v>
      </c>
      <c r="L159" s="15"/>
      <c r="M159" s="60"/>
      <c r="N159" s="61" t="s">
        <v>38</v>
      </c>
      <c r="O159" s="92">
        <f>+IFERROR(IF(HLOOKUP(S159,$S$3:$AB$3,1,)=S159,S160,0),0)</f>
        <v>44</v>
      </c>
      <c r="P159" s="95">
        <f>IFERROR(+N160/O159,0)</f>
        <v>321140.15151515149</v>
      </c>
      <c r="Q159" s="98">
        <f>+IFERROR(IF(HLOOKUP(S159,$S$4:$AB$4,1,)=S159,S160,0),0)</f>
        <v>0</v>
      </c>
      <c r="R159" s="101">
        <f>IFERROR(N160/Q159,0)</f>
        <v>0</v>
      </c>
      <c r="S159" s="47" t="s">
        <v>19</v>
      </c>
      <c r="T159" s="107">
        <v>6</v>
      </c>
      <c r="U159" s="107">
        <v>6</v>
      </c>
      <c r="V159" s="107">
        <v>6</v>
      </c>
      <c r="W159" s="107">
        <v>6</v>
      </c>
      <c r="X159" s="107">
        <v>6</v>
      </c>
      <c r="Y159" s="107">
        <v>7</v>
      </c>
      <c r="Z159" s="107">
        <v>6</v>
      </c>
      <c r="AA159" s="107">
        <v>1</v>
      </c>
      <c r="AB159" s="107"/>
      <c r="AC159" s="107">
        <v>0</v>
      </c>
      <c r="AD159" s="107"/>
      <c r="AE159" s="107"/>
      <c r="AF159" s="107"/>
    </row>
    <row r="160" spans="1:32" ht="17.25" thickBot="1">
      <c r="A160" s="111"/>
      <c r="B160" s="35">
        <f t="shared" ref="B160:K160" si="78">+(B159-(B155+B157))*B$4</f>
        <v>5200000</v>
      </c>
      <c r="C160" s="35">
        <f t="shared" si="78"/>
        <v>3900000</v>
      </c>
      <c r="D160" s="35">
        <f t="shared" si="78"/>
        <v>486000</v>
      </c>
      <c r="E160" s="35">
        <f t="shared" si="78"/>
        <v>1496000</v>
      </c>
      <c r="F160" s="35">
        <f t="shared" si="78"/>
        <v>1248000</v>
      </c>
      <c r="G160" s="35">
        <f t="shared" si="78"/>
        <v>372666.66666666663</v>
      </c>
      <c r="H160" s="35">
        <f t="shared" si="78"/>
        <v>600000</v>
      </c>
      <c r="I160" s="35">
        <f t="shared" si="78"/>
        <v>276000</v>
      </c>
      <c r="J160" s="35">
        <f t="shared" si="78"/>
        <v>189000</v>
      </c>
      <c r="K160" s="35">
        <f t="shared" si="78"/>
        <v>362500</v>
      </c>
      <c r="L160" s="35">
        <f>MONTH(M162)</f>
        <v>1</v>
      </c>
      <c r="M160" s="48" t="str">
        <f>IF(O159&gt;0,"Y","X")</f>
        <v>Y</v>
      </c>
      <c r="N160" s="62">
        <f>IF(SUM(B159:K159)=0,0,SUM(B160:K160))</f>
        <v>14130166.666666666</v>
      </c>
      <c r="O160" s="93"/>
      <c r="P160" s="96"/>
      <c r="Q160" s="99"/>
      <c r="R160" s="102"/>
      <c r="S160" s="104">
        <f>SUM(T159:XFD159)</f>
        <v>44</v>
      </c>
      <c r="T160" s="108"/>
      <c r="U160" s="108"/>
      <c r="V160" s="108"/>
      <c r="W160" s="108"/>
      <c r="X160" s="108"/>
      <c r="Y160" s="108"/>
      <c r="Z160" s="108"/>
      <c r="AA160" s="108"/>
      <c r="AB160" s="108"/>
      <c r="AC160" s="108"/>
      <c r="AD160" s="108"/>
      <c r="AE160" s="108"/>
      <c r="AF160" s="108"/>
    </row>
    <row r="161" spans="1:34" ht="17.25" thickTop="1">
      <c r="A161" s="111"/>
      <c r="B161" s="50">
        <f>-100-100</f>
        <v>-200</v>
      </c>
      <c r="C161" s="50">
        <f>-100-100</f>
        <v>-200</v>
      </c>
      <c r="D161" s="50">
        <f>-200+182-100-100-60</f>
        <v>-278</v>
      </c>
      <c r="E161" s="50">
        <f>-200-200</f>
        <v>-400</v>
      </c>
      <c r="F161" s="50">
        <f>-100-100-100-100-100</f>
        <v>-500</v>
      </c>
      <c r="G161" s="50">
        <v>-546</v>
      </c>
      <c r="H161" s="50">
        <f>-100-100</f>
        <v>-200</v>
      </c>
      <c r="I161" s="50">
        <f>-100-100</f>
        <v>-200</v>
      </c>
      <c r="J161" s="50">
        <v>-100</v>
      </c>
      <c r="K161" s="51">
        <v>-100</v>
      </c>
      <c r="L161" s="52"/>
      <c r="M161" s="63"/>
      <c r="N161" s="64" t="s">
        <v>39</v>
      </c>
      <c r="O161" s="93"/>
      <c r="P161" s="96"/>
      <c r="Q161" s="99"/>
      <c r="R161" s="102"/>
      <c r="S161" s="105"/>
      <c r="T161" s="108"/>
      <c r="U161" s="108"/>
      <c r="V161" s="108"/>
      <c r="W161" s="108"/>
      <c r="X161" s="108"/>
      <c r="Y161" s="108"/>
      <c r="Z161" s="108"/>
      <c r="AA161" s="108"/>
      <c r="AB161" s="108"/>
      <c r="AC161" s="108"/>
      <c r="AD161" s="108"/>
      <c r="AE161" s="108"/>
      <c r="AF161" s="108"/>
    </row>
    <row r="162" spans="1:34" ht="17.25" thickBot="1">
      <c r="A162" s="112"/>
      <c r="B162" s="55">
        <f t="shared" ref="B162:K162" si="79">+(B159+B161)*B$4</f>
        <v>143440000</v>
      </c>
      <c r="C162" s="55">
        <f t="shared" si="79"/>
        <v>93600000</v>
      </c>
      <c r="D162" s="55">
        <f t="shared" si="79"/>
        <v>36792000</v>
      </c>
      <c r="E162" s="55">
        <f t="shared" si="79"/>
        <v>40128000</v>
      </c>
      <c r="F162" s="55">
        <f t="shared" si="79"/>
        <v>14016000</v>
      </c>
      <c r="G162" s="55">
        <f t="shared" si="79"/>
        <v>4333.333333333333</v>
      </c>
      <c r="H162" s="55">
        <f t="shared" si="79"/>
        <v>15870000</v>
      </c>
      <c r="I162" s="55">
        <f t="shared" si="79"/>
        <v>6708000</v>
      </c>
      <c r="J162" s="55">
        <f t="shared" si="79"/>
        <v>5166000</v>
      </c>
      <c r="K162" s="55">
        <f t="shared" si="79"/>
        <v>11977000</v>
      </c>
      <c r="L162" s="57"/>
      <c r="M162" s="65">
        <f>A159</f>
        <v>44202</v>
      </c>
      <c r="N162" s="66">
        <f>SUM(B162:K162)</f>
        <v>367701333.33333331</v>
      </c>
      <c r="O162" s="94"/>
      <c r="P162" s="97"/>
      <c r="Q162" s="100"/>
      <c r="R162" s="103"/>
      <c r="S162" s="106"/>
      <c r="T162" s="109"/>
      <c r="U162" s="109"/>
      <c r="V162" s="109"/>
      <c r="W162" s="109"/>
      <c r="X162" s="109"/>
      <c r="Y162" s="109"/>
      <c r="Z162" s="109"/>
      <c r="AA162" s="109"/>
      <c r="AB162" s="109"/>
      <c r="AC162" s="109"/>
      <c r="AD162" s="109"/>
      <c r="AE162" s="109"/>
      <c r="AF162" s="109"/>
      <c r="AG162" t="s">
        <v>40</v>
      </c>
      <c r="AH162" s="22">
        <f>83265167-5225000-1852500-1852500-2090000-337725</f>
        <v>71907442</v>
      </c>
    </row>
    <row r="163" spans="1:34">
      <c r="A163" s="110">
        <f>+A159+1</f>
        <v>44203</v>
      </c>
      <c r="B163" s="31">
        <v>1857</v>
      </c>
      <c r="C163" s="31">
        <v>1525</v>
      </c>
      <c r="D163" s="31">
        <v>2075</v>
      </c>
      <c r="E163" s="31">
        <v>1889</v>
      </c>
      <c r="F163" s="31">
        <v>476</v>
      </c>
      <c r="G163" s="31">
        <v>73</v>
      </c>
      <c r="H163" s="31">
        <v>539</v>
      </c>
      <c r="I163" s="31">
        <v>571</v>
      </c>
      <c r="J163" s="31">
        <v>745</v>
      </c>
      <c r="K163" s="32">
        <v>831</v>
      </c>
      <c r="L163" s="15"/>
      <c r="M163" s="60"/>
      <c r="N163" s="46" t="s">
        <v>38</v>
      </c>
      <c r="O163" s="92">
        <f>+IFERROR(IF(HLOOKUP(S163,$S$3:$AB$3,1,)=S163,S164,0),0)</f>
        <v>44</v>
      </c>
      <c r="P163" s="95">
        <f>IFERROR(+N164/O163,0)</f>
        <v>334693.18181818182</v>
      </c>
      <c r="Q163" s="98">
        <f>+IFERROR(IF(HLOOKUP(S163,$S$4:$AB$4,1,)=S163,S164,0),0)</f>
        <v>0</v>
      </c>
      <c r="R163" s="101">
        <f>IFERROR(N164/Q163,0)</f>
        <v>0</v>
      </c>
      <c r="S163" s="47" t="s">
        <v>20</v>
      </c>
      <c r="T163" s="107">
        <f>3+4</f>
        <v>7</v>
      </c>
      <c r="U163" s="107">
        <v>6</v>
      </c>
      <c r="V163" s="107">
        <v>6</v>
      </c>
      <c r="W163" s="107">
        <v>6</v>
      </c>
      <c r="X163" s="107"/>
      <c r="Y163" s="107">
        <v>7</v>
      </c>
      <c r="Z163" s="107"/>
      <c r="AA163" s="107"/>
      <c r="AB163" s="107">
        <v>6</v>
      </c>
      <c r="AC163" s="107">
        <v>0</v>
      </c>
      <c r="AD163" s="107"/>
      <c r="AE163" s="107">
        <v>6</v>
      </c>
      <c r="AF163" s="107"/>
    </row>
    <row r="164" spans="1:34" ht="17.25" thickBot="1">
      <c r="A164" s="111"/>
      <c r="B164" s="35">
        <f t="shared" ref="B164:K164" si="80">+(B163-(B159+B161))*B$4</f>
        <v>5120000</v>
      </c>
      <c r="C164" s="35">
        <f t="shared" si="80"/>
        <v>5525000</v>
      </c>
      <c r="D164" s="35">
        <f t="shared" si="80"/>
        <v>558000</v>
      </c>
      <c r="E164" s="35">
        <f t="shared" si="80"/>
        <v>1430000</v>
      </c>
      <c r="F164" s="35">
        <f t="shared" si="80"/>
        <v>1216000</v>
      </c>
      <c r="G164" s="35">
        <f t="shared" si="80"/>
        <v>312000</v>
      </c>
      <c r="H164" s="35">
        <f t="shared" si="80"/>
        <v>300000</v>
      </c>
      <c r="I164" s="35">
        <f t="shared" si="80"/>
        <v>144000</v>
      </c>
      <c r="J164" s="35">
        <f t="shared" si="80"/>
        <v>49000</v>
      </c>
      <c r="K164" s="35">
        <f t="shared" si="80"/>
        <v>72500</v>
      </c>
      <c r="L164" s="35">
        <f>MONTH(M166)</f>
        <v>1</v>
      </c>
      <c r="M164" s="48" t="str">
        <f>IF(O163&gt;0,"Y","X")</f>
        <v>Y</v>
      </c>
      <c r="N164" s="49">
        <f>IF(SUM(B163:K163)=0,0,SUM(B164:K164))</f>
        <v>14726500</v>
      </c>
      <c r="O164" s="93"/>
      <c r="P164" s="96"/>
      <c r="Q164" s="99"/>
      <c r="R164" s="102"/>
      <c r="S164" s="104">
        <f>SUM(T163:XFD163)</f>
        <v>44</v>
      </c>
      <c r="T164" s="108"/>
      <c r="U164" s="108"/>
      <c r="V164" s="108"/>
      <c r="W164" s="108"/>
      <c r="X164" s="108"/>
      <c r="Y164" s="108"/>
      <c r="Z164" s="108"/>
      <c r="AA164" s="108"/>
      <c r="AB164" s="108"/>
      <c r="AC164" s="108"/>
      <c r="AD164" s="108"/>
      <c r="AE164" s="108"/>
      <c r="AF164" s="108"/>
    </row>
    <row r="165" spans="1:34" ht="17.25" thickTop="1">
      <c r="A165" s="111"/>
      <c r="B165" s="50">
        <f>-10-100-100-100-100-100-100</f>
        <v>-610</v>
      </c>
      <c r="C165" s="50">
        <f>-10-100-100-100-100-100-100</f>
        <v>-610</v>
      </c>
      <c r="D165" s="50">
        <f>-30+100-100-100-100</f>
        <v>-230</v>
      </c>
      <c r="E165" s="50">
        <v>0</v>
      </c>
      <c r="F165" s="50">
        <v>-15</v>
      </c>
      <c r="G165" s="50">
        <v>0</v>
      </c>
      <c r="H165" s="50">
        <f>100-200</f>
        <v>-100</v>
      </c>
      <c r="I165" s="50">
        <v>100</v>
      </c>
      <c r="J165" s="50">
        <v>-100</v>
      </c>
      <c r="K165" s="51">
        <v>-200</v>
      </c>
      <c r="L165" s="52"/>
      <c r="M165" s="63"/>
      <c r="N165" s="54" t="s">
        <v>39</v>
      </c>
      <c r="O165" s="93"/>
      <c r="P165" s="96"/>
      <c r="Q165" s="99"/>
      <c r="R165" s="102"/>
      <c r="S165" s="105"/>
      <c r="T165" s="108"/>
      <c r="U165" s="108"/>
      <c r="V165" s="108"/>
      <c r="W165" s="108"/>
      <c r="X165" s="108"/>
      <c r="Y165" s="108"/>
      <c r="Z165" s="108"/>
      <c r="AA165" s="108"/>
      <c r="AB165" s="108"/>
      <c r="AC165" s="108"/>
      <c r="AD165" s="108"/>
      <c r="AE165" s="108"/>
      <c r="AF165" s="108"/>
    </row>
    <row r="166" spans="1:34" ht="17.25" thickBot="1">
      <c r="A166" s="112"/>
      <c r="B166" s="55">
        <f t="shared" ref="B166:K166" si="81">+(B163+B165)*B$4</f>
        <v>99760000</v>
      </c>
      <c r="C166" s="55">
        <f t="shared" si="81"/>
        <v>59475000</v>
      </c>
      <c r="D166" s="55">
        <f t="shared" si="81"/>
        <v>33210000</v>
      </c>
      <c r="E166" s="55">
        <f t="shared" si="81"/>
        <v>41558000</v>
      </c>
      <c r="F166" s="55">
        <f t="shared" si="81"/>
        <v>14752000</v>
      </c>
      <c r="G166" s="55">
        <f t="shared" si="81"/>
        <v>316333.33333333331</v>
      </c>
      <c r="H166" s="55">
        <f t="shared" si="81"/>
        <v>13170000</v>
      </c>
      <c r="I166" s="55">
        <f t="shared" si="81"/>
        <v>8052000</v>
      </c>
      <c r="J166" s="55">
        <f t="shared" si="81"/>
        <v>4515000</v>
      </c>
      <c r="K166" s="55">
        <f t="shared" si="81"/>
        <v>9149500</v>
      </c>
      <c r="L166" s="57"/>
      <c r="M166" s="65">
        <f>A163</f>
        <v>44203</v>
      </c>
      <c r="N166" s="59">
        <f>SUM(B166:K166)</f>
        <v>283957833.33333337</v>
      </c>
      <c r="O166" s="94"/>
      <c r="P166" s="97"/>
      <c r="Q166" s="100"/>
      <c r="R166" s="103"/>
      <c r="S166" s="106"/>
      <c r="T166" s="109"/>
      <c r="U166" s="109"/>
      <c r="V166" s="109"/>
      <c r="W166" s="109"/>
      <c r="X166" s="109"/>
      <c r="Y166" s="109"/>
      <c r="Z166" s="109"/>
      <c r="AA166" s="109"/>
      <c r="AB166" s="109"/>
      <c r="AC166" s="109"/>
      <c r="AD166" s="109"/>
      <c r="AE166" s="109"/>
      <c r="AF166" s="109"/>
    </row>
    <row r="167" spans="1:34">
      <c r="A167" s="110">
        <f>+A163+1</f>
        <v>44204</v>
      </c>
      <c r="B167" s="31">
        <v>1329</v>
      </c>
      <c r="C167" s="31">
        <v>1002</v>
      </c>
      <c r="D167" s="31">
        <v>1896</v>
      </c>
      <c r="E167" s="31">
        <v>1965</v>
      </c>
      <c r="F167" s="31">
        <v>504</v>
      </c>
      <c r="G167" s="31">
        <v>144</v>
      </c>
      <c r="H167" s="31">
        <v>458</v>
      </c>
      <c r="I167" s="31">
        <v>689</v>
      </c>
      <c r="J167" s="31">
        <v>657</v>
      </c>
      <c r="K167" s="32">
        <v>642</v>
      </c>
      <c r="L167" s="15"/>
      <c r="M167" s="60"/>
      <c r="N167" s="61" t="s">
        <v>38</v>
      </c>
      <c r="O167" s="92">
        <f>+IFERROR(IF(HLOOKUP(S167,$S$3:$AB$3,1,)=S167,S168,0),0)</f>
        <v>53</v>
      </c>
      <c r="P167" s="95">
        <f>IFERROR(+N168/O167,0)</f>
        <v>330531.44654088048</v>
      </c>
      <c r="Q167" s="98">
        <f>+IFERROR(IF(HLOOKUP(S167,$S$4:$AB$4,1,)=S167,S168,0),0)</f>
        <v>0</v>
      </c>
      <c r="R167" s="101">
        <f>IFERROR(N168/Q167,0)</f>
        <v>0</v>
      </c>
      <c r="S167" s="47" t="s">
        <v>18</v>
      </c>
      <c r="T167" s="107">
        <v>6</v>
      </c>
      <c r="U167" s="107">
        <v>6</v>
      </c>
      <c r="V167" s="107">
        <v>8</v>
      </c>
      <c r="W167" s="107">
        <v>8</v>
      </c>
      <c r="X167" s="107">
        <v>6</v>
      </c>
      <c r="Y167" s="107">
        <v>7</v>
      </c>
      <c r="Z167" s="107">
        <v>6</v>
      </c>
      <c r="AA167" s="107">
        <v>6</v>
      </c>
      <c r="AB167" s="107"/>
      <c r="AC167" s="107">
        <v>0</v>
      </c>
      <c r="AD167" s="107"/>
      <c r="AE167" s="107"/>
      <c r="AF167" s="107"/>
    </row>
    <row r="168" spans="1:34" ht="17.25" thickBot="1">
      <c r="A168" s="111"/>
      <c r="B168" s="35">
        <f t="shared" ref="B168:K168" si="82">+(B167-(B163+B165))*B$4</f>
        <v>6560000</v>
      </c>
      <c r="C168" s="35">
        <f t="shared" si="82"/>
        <v>5655000</v>
      </c>
      <c r="D168" s="35">
        <f t="shared" si="82"/>
        <v>918000</v>
      </c>
      <c r="E168" s="35">
        <f t="shared" si="82"/>
        <v>1672000</v>
      </c>
      <c r="F168" s="35">
        <f t="shared" si="82"/>
        <v>1376000</v>
      </c>
      <c r="G168" s="35">
        <f t="shared" si="82"/>
        <v>307666.66666666663</v>
      </c>
      <c r="H168" s="35">
        <f t="shared" si="82"/>
        <v>570000</v>
      </c>
      <c r="I168" s="35">
        <f t="shared" si="82"/>
        <v>216000</v>
      </c>
      <c r="J168" s="35">
        <f t="shared" si="82"/>
        <v>84000</v>
      </c>
      <c r="K168" s="35">
        <f t="shared" si="82"/>
        <v>159500</v>
      </c>
      <c r="L168" s="35">
        <f>MONTH(M170)</f>
        <v>1</v>
      </c>
      <c r="M168" s="48" t="str">
        <f>IF(O167&gt;0,"Y","X")</f>
        <v>Y</v>
      </c>
      <c r="N168" s="62">
        <f>IF(SUM(B167:K167)=0,0,SUM(B168:K168))</f>
        <v>17518166.666666664</v>
      </c>
      <c r="O168" s="93"/>
      <c r="P168" s="96"/>
      <c r="Q168" s="99"/>
      <c r="R168" s="102"/>
      <c r="S168" s="104">
        <f>SUM(T167:XFD167)</f>
        <v>53</v>
      </c>
      <c r="T168" s="108"/>
      <c r="U168" s="108"/>
      <c r="V168" s="108"/>
      <c r="W168" s="108"/>
      <c r="X168" s="108"/>
      <c r="Y168" s="108"/>
      <c r="Z168" s="108"/>
      <c r="AA168" s="108"/>
      <c r="AB168" s="108"/>
      <c r="AC168" s="108"/>
      <c r="AD168" s="108"/>
      <c r="AE168" s="108"/>
      <c r="AF168" s="108"/>
    </row>
    <row r="169" spans="1:34" ht="17.25" thickTop="1">
      <c r="A169" s="111"/>
      <c r="B169" s="50">
        <f>-100-200-100-100</f>
        <v>-500</v>
      </c>
      <c r="C169" s="50">
        <f>-100-100-100</f>
        <v>-300</v>
      </c>
      <c r="D169" s="50">
        <f>-100-50-10-100-10-200-200</f>
        <v>-670</v>
      </c>
      <c r="E169" s="50">
        <f>-100-100-200-100-200-200-200</f>
        <v>-1100</v>
      </c>
      <c r="F169" s="50">
        <f>-25-5-5</f>
        <v>-35</v>
      </c>
      <c r="G169" s="50">
        <v>0</v>
      </c>
      <c r="H169" s="50">
        <f>-100-100-100</f>
        <v>-300</v>
      </c>
      <c r="I169" s="50">
        <f>-100+100</f>
        <v>0</v>
      </c>
      <c r="J169" s="50">
        <f>-100+139-200-200</f>
        <v>-361</v>
      </c>
      <c r="K169" s="51">
        <f>134-200-200</f>
        <v>-266</v>
      </c>
      <c r="L169" s="52"/>
      <c r="M169" s="63"/>
      <c r="N169" s="64" t="s">
        <v>39</v>
      </c>
      <c r="O169" s="93"/>
      <c r="P169" s="96"/>
      <c r="Q169" s="99"/>
      <c r="R169" s="102"/>
      <c r="S169" s="105"/>
      <c r="T169" s="108"/>
      <c r="U169" s="108"/>
      <c r="V169" s="108"/>
      <c r="W169" s="108"/>
      <c r="X169" s="108"/>
      <c r="Y169" s="108"/>
      <c r="Z169" s="108"/>
      <c r="AA169" s="108"/>
      <c r="AB169" s="108"/>
      <c r="AC169" s="108"/>
      <c r="AD169" s="108"/>
      <c r="AE169" s="108"/>
      <c r="AF169" s="108"/>
    </row>
    <row r="170" spans="1:34" ht="17.25" thickBot="1">
      <c r="A170" s="112"/>
      <c r="B170" s="55">
        <f t="shared" ref="B170:K170" si="83">+(B167+B169)*B$4</f>
        <v>66320000</v>
      </c>
      <c r="C170" s="55">
        <f t="shared" si="83"/>
        <v>45630000</v>
      </c>
      <c r="D170" s="55">
        <f t="shared" si="83"/>
        <v>22068000</v>
      </c>
      <c r="E170" s="55">
        <f t="shared" si="83"/>
        <v>19030000</v>
      </c>
      <c r="F170" s="55">
        <f t="shared" si="83"/>
        <v>15008000</v>
      </c>
      <c r="G170" s="55">
        <f t="shared" si="83"/>
        <v>624000</v>
      </c>
      <c r="H170" s="55">
        <f t="shared" si="83"/>
        <v>4740000</v>
      </c>
      <c r="I170" s="55">
        <f t="shared" si="83"/>
        <v>8268000</v>
      </c>
      <c r="J170" s="55">
        <f t="shared" si="83"/>
        <v>2072000</v>
      </c>
      <c r="K170" s="55">
        <f t="shared" si="83"/>
        <v>5452000</v>
      </c>
      <c r="L170" s="57"/>
      <c r="M170" s="65">
        <f>A167</f>
        <v>44204</v>
      </c>
      <c r="N170" s="66">
        <f>SUM(B170:K170)</f>
        <v>189212000</v>
      </c>
      <c r="O170" s="94"/>
      <c r="P170" s="97"/>
      <c r="Q170" s="100"/>
      <c r="R170" s="103"/>
      <c r="S170" s="106"/>
      <c r="T170" s="109"/>
      <c r="U170" s="109"/>
      <c r="V170" s="109"/>
      <c r="W170" s="109"/>
      <c r="X170" s="109"/>
      <c r="Y170" s="109"/>
      <c r="Z170" s="109"/>
      <c r="AA170" s="109"/>
      <c r="AB170" s="109"/>
      <c r="AC170" s="109"/>
      <c r="AD170" s="109"/>
      <c r="AE170" s="109"/>
      <c r="AF170" s="109"/>
    </row>
    <row r="171" spans="1:34">
      <c r="A171" s="113">
        <f>+A167+1</f>
        <v>44205</v>
      </c>
      <c r="B171" s="31">
        <v>908</v>
      </c>
      <c r="C171" s="31">
        <v>780</v>
      </c>
      <c r="D171" s="31">
        <v>1267</v>
      </c>
      <c r="E171" s="31">
        <v>924</v>
      </c>
      <c r="F171" s="31">
        <v>501</v>
      </c>
      <c r="G171" s="31">
        <v>234</v>
      </c>
      <c r="H171" s="31">
        <v>184</v>
      </c>
      <c r="I171" s="31">
        <v>705</v>
      </c>
      <c r="J171" s="31">
        <v>321</v>
      </c>
      <c r="K171" s="32">
        <v>389</v>
      </c>
      <c r="L171" s="15"/>
      <c r="M171" s="60"/>
      <c r="N171" s="46" t="s">
        <v>38</v>
      </c>
      <c r="O171" s="92">
        <f>+IFERROR(IF(HLOOKUP(S171,$S$3:$AB$3,1,)=S171,S172,0),0)</f>
        <v>0</v>
      </c>
      <c r="P171" s="95">
        <f>IFERROR(+N172/O171,0)</f>
        <v>0</v>
      </c>
      <c r="Q171" s="98">
        <f>+IFERROR(IF(HLOOKUP(S171,$S$4:$AB$4,1,)=S171,S172,0),0)</f>
        <v>54</v>
      </c>
      <c r="R171" s="101">
        <f>IFERROR(N172/Q171,0)</f>
        <v>299546.29629629629</v>
      </c>
      <c r="S171" s="47" t="s">
        <v>24</v>
      </c>
      <c r="T171" s="107">
        <v>8</v>
      </c>
      <c r="U171" s="107">
        <f>6+3</f>
        <v>9</v>
      </c>
      <c r="V171" s="107">
        <v>7</v>
      </c>
      <c r="W171" s="107"/>
      <c r="X171" s="107">
        <v>6</v>
      </c>
      <c r="Y171" s="107">
        <v>7</v>
      </c>
      <c r="Z171" s="107"/>
      <c r="AA171" s="107">
        <v>8</v>
      </c>
      <c r="AB171" s="107">
        <v>9</v>
      </c>
      <c r="AC171" s="107">
        <v>0</v>
      </c>
      <c r="AD171" s="107"/>
      <c r="AE171" s="107"/>
      <c r="AF171" s="107"/>
    </row>
    <row r="172" spans="1:34" ht="17.25" thickBot="1">
      <c r="A172" s="114"/>
      <c r="B172" s="35">
        <f t="shared" ref="B172:K172" si="84">+(B171-(B167+B169))*B$4</f>
        <v>6320000</v>
      </c>
      <c r="C172" s="35">
        <f t="shared" si="84"/>
        <v>5070000</v>
      </c>
      <c r="D172" s="35">
        <f t="shared" si="84"/>
        <v>738000</v>
      </c>
      <c r="E172" s="35">
        <f t="shared" si="84"/>
        <v>1298000</v>
      </c>
      <c r="F172" s="35">
        <f t="shared" si="84"/>
        <v>1024000</v>
      </c>
      <c r="G172" s="35">
        <f t="shared" si="84"/>
        <v>390000</v>
      </c>
      <c r="H172" s="35">
        <f t="shared" si="84"/>
        <v>780000</v>
      </c>
      <c r="I172" s="35">
        <f t="shared" si="84"/>
        <v>192000</v>
      </c>
      <c r="J172" s="35">
        <f t="shared" si="84"/>
        <v>175000</v>
      </c>
      <c r="K172" s="35">
        <f t="shared" si="84"/>
        <v>188500</v>
      </c>
      <c r="L172" s="35">
        <f>MONTH(M174)</f>
        <v>1</v>
      </c>
      <c r="M172" s="48" t="str">
        <f>IF(O171&gt;0,"Y","X")</f>
        <v>X</v>
      </c>
      <c r="N172" s="49">
        <f>IF(SUM(B171:K171)=0,0,SUM(B172:K172))</f>
        <v>16175500</v>
      </c>
      <c r="O172" s="93"/>
      <c r="P172" s="96"/>
      <c r="Q172" s="99"/>
      <c r="R172" s="102"/>
      <c r="S172" s="104">
        <f>SUM(T171:XFD171)</f>
        <v>54</v>
      </c>
      <c r="T172" s="108"/>
      <c r="U172" s="108"/>
      <c r="V172" s="108"/>
      <c r="W172" s="108"/>
      <c r="X172" s="108"/>
      <c r="Y172" s="108"/>
      <c r="Z172" s="108"/>
      <c r="AA172" s="108"/>
      <c r="AB172" s="108"/>
      <c r="AC172" s="108"/>
      <c r="AD172" s="108"/>
      <c r="AE172" s="108"/>
      <c r="AF172" s="108"/>
    </row>
    <row r="173" spans="1:34" ht="17.25" thickTop="1">
      <c r="A173" s="114"/>
      <c r="B173" s="50">
        <f>-100-100-100-100-100-100-100-100</f>
        <v>-800</v>
      </c>
      <c r="C173" s="50">
        <f>-100-100-100</f>
        <v>-300</v>
      </c>
      <c r="D173" s="50">
        <f>-20-20-100-20-100-100-100-200-20-10</f>
        <v>-690</v>
      </c>
      <c r="E173" s="50">
        <f>-100-200-100-100-100</f>
        <v>-600</v>
      </c>
      <c r="F173" s="50">
        <f>-10-100-10-10-100-100-10-5</f>
        <v>-345</v>
      </c>
      <c r="G173" s="50">
        <v>0</v>
      </c>
      <c r="H173" s="50">
        <v>49</v>
      </c>
      <c r="I173" s="50">
        <v>-200</v>
      </c>
      <c r="J173" s="50">
        <v>0</v>
      </c>
      <c r="K173" s="51">
        <f>-100-100</f>
        <v>-200</v>
      </c>
      <c r="L173" s="52"/>
      <c r="M173" s="63"/>
      <c r="N173" s="54" t="s">
        <v>39</v>
      </c>
      <c r="O173" s="93"/>
      <c r="P173" s="96"/>
      <c r="Q173" s="99"/>
      <c r="R173" s="102"/>
      <c r="S173" s="105"/>
      <c r="T173" s="108"/>
      <c r="U173" s="108"/>
      <c r="V173" s="108"/>
      <c r="W173" s="108"/>
      <c r="X173" s="108"/>
      <c r="Y173" s="108"/>
      <c r="Z173" s="108"/>
      <c r="AA173" s="108"/>
      <c r="AB173" s="108"/>
      <c r="AC173" s="108"/>
      <c r="AD173" s="108"/>
      <c r="AE173" s="108"/>
      <c r="AF173" s="108"/>
    </row>
    <row r="174" spans="1:34" ht="17.25" thickBot="1">
      <c r="A174" s="115"/>
      <c r="B174" s="55">
        <f t="shared" ref="B174:K174" si="85">+(B171+B173)*B$4</f>
        <v>8640000</v>
      </c>
      <c r="C174" s="55">
        <f t="shared" si="85"/>
        <v>31200000</v>
      </c>
      <c r="D174" s="55">
        <f t="shared" si="85"/>
        <v>10386000</v>
      </c>
      <c r="E174" s="55">
        <f t="shared" si="85"/>
        <v>7128000</v>
      </c>
      <c r="F174" s="55">
        <f t="shared" si="85"/>
        <v>4992000</v>
      </c>
      <c r="G174" s="55">
        <f t="shared" si="85"/>
        <v>1013999.9999999999</v>
      </c>
      <c r="H174" s="55">
        <f t="shared" si="85"/>
        <v>6990000</v>
      </c>
      <c r="I174" s="55">
        <f t="shared" si="85"/>
        <v>6060000</v>
      </c>
      <c r="J174" s="55">
        <f t="shared" si="85"/>
        <v>2247000</v>
      </c>
      <c r="K174" s="55">
        <f t="shared" si="85"/>
        <v>2740500</v>
      </c>
      <c r="L174" s="57"/>
      <c r="M174" s="65">
        <f>A171</f>
        <v>44205</v>
      </c>
      <c r="N174" s="59">
        <f>SUM(B174:K174)</f>
        <v>81397500</v>
      </c>
      <c r="O174" s="94"/>
      <c r="P174" s="97"/>
      <c r="Q174" s="100"/>
      <c r="R174" s="103"/>
      <c r="S174" s="106"/>
      <c r="T174" s="109"/>
      <c r="U174" s="109"/>
      <c r="V174" s="109"/>
      <c r="W174" s="109"/>
      <c r="X174" s="109"/>
      <c r="Y174" s="109"/>
      <c r="Z174" s="109"/>
      <c r="AA174" s="109"/>
      <c r="AB174" s="109"/>
      <c r="AC174" s="109"/>
      <c r="AD174" s="109"/>
      <c r="AE174" s="109"/>
      <c r="AF174" s="109"/>
    </row>
    <row r="175" spans="1:34">
      <c r="A175" s="113">
        <f>+A171+1</f>
        <v>44206</v>
      </c>
      <c r="B175" s="31">
        <v>160</v>
      </c>
      <c r="C175" s="31">
        <v>545</v>
      </c>
      <c r="D175" s="31">
        <v>625</v>
      </c>
      <c r="E175" s="31">
        <v>384</v>
      </c>
      <c r="F175" s="31">
        <v>199</v>
      </c>
      <c r="G175" s="31">
        <v>293</v>
      </c>
      <c r="H175" s="31">
        <v>243</v>
      </c>
      <c r="I175" s="31">
        <v>514</v>
      </c>
      <c r="J175" s="31">
        <v>537</v>
      </c>
      <c r="K175" s="32">
        <v>210</v>
      </c>
      <c r="L175" s="15"/>
      <c r="M175" s="60"/>
      <c r="N175" s="61" t="s">
        <v>38</v>
      </c>
      <c r="O175" s="92">
        <f>+IFERROR(IF(HLOOKUP(S175,$S$3:$AB$3,1,)=S175,S176,0),0)</f>
        <v>0</v>
      </c>
      <c r="P175" s="95">
        <f>IFERROR(+N176/O175,0)</f>
        <v>0</v>
      </c>
      <c r="Q175" s="98">
        <f>+IFERROR(IF(HLOOKUP(S175,$S$4:$AB$4,1,)=S175,S176,0),0)</f>
        <v>37</v>
      </c>
      <c r="R175" s="101">
        <f>IFERROR(N176/Q175,0)</f>
        <v>389869.36936936935</v>
      </c>
      <c r="S175" s="47" t="s">
        <v>23</v>
      </c>
      <c r="T175" s="107">
        <v>9</v>
      </c>
      <c r="U175" s="107">
        <v>6</v>
      </c>
      <c r="V175" s="107"/>
      <c r="W175" s="107">
        <v>7</v>
      </c>
      <c r="X175" s="107">
        <v>9</v>
      </c>
      <c r="Y175" s="107"/>
      <c r="Z175" s="107">
        <v>6</v>
      </c>
      <c r="AA175" s="107"/>
      <c r="AB175" s="107"/>
      <c r="AC175" s="107">
        <v>0</v>
      </c>
      <c r="AD175" s="107"/>
      <c r="AE175" s="107"/>
      <c r="AF175" s="107"/>
    </row>
    <row r="176" spans="1:34" ht="17.25" thickBot="1">
      <c r="A176" s="114"/>
      <c r="B176" s="35">
        <f t="shared" ref="B176:K176" si="86">+(B175-(B171+B173))*B$4</f>
        <v>4160000</v>
      </c>
      <c r="C176" s="35">
        <f t="shared" si="86"/>
        <v>4225000</v>
      </c>
      <c r="D176" s="35">
        <f t="shared" si="86"/>
        <v>864000</v>
      </c>
      <c r="E176" s="35">
        <f t="shared" si="86"/>
        <v>1320000</v>
      </c>
      <c r="F176" s="35">
        <f t="shared" si="86"/>
        <v>1376000</v>
      </c>
      <c r="G176" s="35">
        <f t="shared" si="86"/>
        <v>255666.66666666666</v>
      </c>
      <c r="H176" s="35">
        <f t="shared" si="86"/>
        <v>300000</v>
      </c>
      <c r="I176" s="35">
        <f t="shared" si="86"/>
        <v>108000</v>
      </c>
      <c r="J176" s="35">
        <f t="shared" si="86"/>
        <v>1512000</v>
      </c>
      <c r="K176" s="35">
        <f t="shared" si="86"/>
        <v>304500</v>
      </c>
      <c r="L176" s="35">
        <f>MONTH(M178)</f>
        <v>1</v>
      </c>
      <c r="M176" s="48" t="str">
        <f>IF(O175&gt;0,"Y","X")</f>
        <v>X</v>
      </c>
      <c r="N176" s="62">
        <f>IF(SUM(B175:K175)=0,0,SUM(B176:K176))</f>
        <v>14425166.666666666</v>
      </c>
      <c r="O176" s="93"/>
      <c r="P176" s="96"/>
      <c r="Q176" s="99"/>
      <c r="R176" s="102"/>
      <c r="S176" s="104">
        <f>SUM(T175:XFD175)</f>
        <v>37</v>
      </c>
      <c r="T176" s="108"/>
      <c r="U176" s="108"/>
      <c r="V176" s="108"/>
      <c r="W176" s="108"/>
      <c r="X176" s="108"/>
      <c r="Y176" s="108"/>
      <c r="Z176" s="108"/>
      <c r="AA176" s="108"/>
      <c r="AB176" s="108"/>
      <c r="AC176" s="108"/>
      <c r="AD176" s="108"/>
      <c r="AE176" s="108"/>
      <c r="AF176" s="108"/>
    </row>
    <row r="177" spans="1:32" ht="17.25" thickTop="1">
      <c r="A177" s="114"/>
      <c r="B177" s="50">
        <v>-146</v>
      </c>
      <c r="C177" s="50">
        <f>100-146+10</f>
        <v>-36</v>
      </c>
      <c r="D177" s="50">
        <f>-93+10</f>
        <v>-83</v>
      </c>
      <c r="E177" s="50">
        <v>0</v>
      </c>
      <c r="F177" s="50">
        <f>-40+100</f>
        <v>60</v>
      </c>
      <c r="G177" s="50">
        <v>0</v>
      </c>
      <c r="H177" s="50">
        <v>-200</v>
      </c>
      <c r="I177" s="50">
        <f>-200</f>
        <v>-200</v>
      </c>
      <c r="J177" s="50">
        <v>-200</v>
      </c>
      <c r="K177" s="51">
        <v>-200</v>
      </c>
      <c r="L177" s="52"/>
      <c r="M177" s="63"/>
      <c r="N177" s="64" t="s">
        <v>39</v>
      </c>
      <c r="O177" s="93"/>
      <c r="P177" s="96"/>
      <c r="Q177" s="99"/>
      <c r="R177" s="102"/>
      <c r="S177" s="105"/>
      <c r="T177" s="108"/>
      <c r="U177" s="108"/>
      <c r="V177" s="108"/>
      <c r="W177" s="108"/>
      <c r="X177" s="108"/>
      <c r="Y177" s="108"/>
      <c r="Z177" s="108"/>
      <c r="AA177" s="108"/>
      <c r="AB177" s="108"/>
      <c r="AC177" s="108"/>
      <c r="AD177" s="108"/>
      <c r="AE177" s="108"/>
      <c r="AF177" s="108"/>
    </row>
    <row r="178" spans="1:32" ht="17.25" thickBot="1">
      <c r="A178" s="115"/>
      <c r="B178" s="55">
        <f t="shared" ref="B178:K178" si="87">+(B175+B177)*B$4</f>
        <v>1120000</v>
      </c>
      <c r="C178" s="55">
        <f t="shared" si="87"/>
        <v>33085000</v>
      </c>
      <c r="D178" s="55">
        <f t="shared" si="87"/>
        <v>9756000</v>
      </c>
      <c r="E178" s="55">
        <f t="shared" si="87"/>
        <v>8448000</v>
      </c>
      <c r="F178" s="55">
        <f t="shared" si="87"/>
        <v>8288000</v>
      </c>
      <c r="G178" s="55">
        <f t="shared" si="87"/>
        <v>1269666.6666666665</v>
      </c>
      <c r="H178" s="55">
        <f t="shared" si="87"/>
        <v>1290000</v>
      </c>
      <c r="I178" s="55">
        <f t="shared" si="87"/>
        <v>3768000</v>
      </c>
      <c r="J178" s="55">
        <f t="shared" si="87"/>
        <v>2359000</v>
      </c>
      <c r="K178" s="55">
        <f t="shared" si="87"/>
        <v>145000</v>
      </c>
      <c r="L178" s="57"/>
      <c r="M178" s="65">
        <f>A175</f>
        <v>44206</v>
      </c>
      <c r="N178" s="66">
        <f>SUM(B178:K178)</f>
        <v>69528666.666666657</v>
      </c>
      <c r="O178" s="94"/>
      <c r="P178" s="97"/>
      <c r="Q178" s="100"/>
      <c r="R178" s="103"/>
      <c r="S178" s="106"/>
      <c r="T178" s="109"/>
      <c r="U178" s="109"/>
      <c r="V178" s="109"/>
      <c r="W178" s="109"/>
      <c r="X178" s="109"/>
      <c r="Y178" s="109"/>
      <c r="Z178" s="109"/>
      <c r="AA178" s="109"/>
      <c r="AB178" s="109"/>
      <c r="AC178" s="109"/>
      <c r="AD178" s="109"/>
      <c r="AE178" s="109"/>
      <c r="AF178" s="109"/>
    </row>
    <row r="179" spans="1:32">
      <c r="A179" s="110">
        <f>+A175+1</f>
        <v>44207</v>
      </c>
      <c r="B179" s="31">
        <v>70</v>
      </c>
      <c r="C179" s="31">
        <v>556</v>
      </c>
      <c r="D179" s="31">
        <v>579</v>
      </c>
      <c r="E179" s="31">
        <v>448</v>
      </c>
      <c r="F179" s="31">
        <v>298</v>
      </c>
      <c r="G179" s="31">
        <v>351</v>
      </c>
      <c r="H179" s="31">
        <v>55</v>
      </c>
      <c r="I179" s="31">
        <v>323</v>
      </c>
      <c r="J179" s="31">
        <v>346</v>
      </c>
      <c r="K179" s="32">
        <v>23</v>
      </c>
      <c r="L179" s="15"/>
      <c r="M179" s="45"/>
      <c r="N179" s="46" t="s">
        <v>38</v>
      </c>
      <c r="O179" s="92">
        <f>+IFERROR(IF(HLOOKUP(S179,$S$3:$AB$3,1,)=S179,S180,0),0)</f>
        <v>38</v>
      </c>
      <c r="P179" s="95">
        <f>IFERROR(+N180/O179,0)</f>
        <v>311258.77192982455</v>
      </c>
      <c r="Q179" s="98">
        <f>+IFERROR(IF(HLOOKUP(S179,$S$4:$AB$4,1,)=S179,S180,0),0)</f>
        <v>0</v>
      </c>
      <c r="R179" s="101">
        <f>IFERROR(N180/Q179,0)</f>
        <v>0</v>
      </c>
      <c r="S179" s="47" t="s">
        <v>17</v>
      </c>
      <c r="T179" s="107">
        <v>8</v>
      </c>
      <c r="U179" s="107">
        <v>6</v>
      </c>
      <c r="V179" s="107">
        <v>6</v>
      </c>
      <c r="W179" s="107">
        <v>6</v>
      </c>
      <c r="X179" s="107">
        <v>6</v>
      </c>
      <c r="Y179" s="107"/>
      <c r="Z179" s="107">
        <v>6</v>
      </c>
      <c r="AA179" s="107"/>
      <c r="AB179" s="107"/>
      <c r="AC179" s="107">
        <v>0</v>
      </c>
      <c r="AD179" s="107"/>
      <c r="AE179" s="107"/>
      <c r="AF179" s="107"/>
    </row>
    <row r="180" spans="1:32" ht="17.25" thickBot="1">
      <c r="A180" s="111"/>
      <c r="B180" s="35">
        <f t="shared" ref="B180:K180" si="88">+(B179-(B175+B177))*B$4</f>
        <v>4480000</v>
      </c>
      <c r="C180" s="35">
        <f t="shared" si="88"/>
        <v>3055000</v>
      </c>
      <c r="D180" s="35">
        <f t="shared" si="88"/>
        <v>666000</v>
      </c>
      <c r="E180" s="35">
        <f t="shared" si="88"/>
        <v>1408000</v>
      </c>
      <c r="F180" s="35">
        <f t="shared" si="88"/>
        <v>1248000</v>
      </c>
      <c r="G180" s="35">
        <f t="shared" si="88"/>
        <v>251333.33333333331</v>
      </c>
      <c r="H180" s="35">
        <f t="shared" si="88"/>
        <v>360000</v>
      </c>
      <c r="I180" s="35">
        <f t="shared" si="88"/>
        <v>108000</v>
      </c>
      <c r="J180" s="35">
        <f t="shared" si="88"/>
        <v>63000</v>
      </c>
      <c r="K180" s="35">
        <f t="shared" si="88"/>
        <v>188500</v>
      </c>
      <c r="L180" s="35">
        <f>MONTH(M182)</f>
        <v>1</v>
      </c>
      <c r="M180" s="48" t="str">
        <f>IF(O179&gt;0,"Y","X")</f>
        <v>Y</v>
      </c>
      <c r="N180" s="49">
        <f>IF(SUM(B179:K179)=0,0,SUM(B180:K180))</f>
        <v>11827833.333333334</v>
      </c>
      <c r="O180" s="93"/>
      <c r="P180" s="96"/>
      <c r="Q180" s="99"/>
      <c r="R180" s="102"/>
      <c r="S180" s="104">
        <f>SUM(T179:XFD179)</f>
        <v>38</v>
      </c>
      <c r="T180" s="108"/>
      <c r="U180" s="108"/>
      <c r="V180" s="108"/>
      <c r="W180" s="108"/>
      <c r="X180" s="108"/>
      <c r="Y180" s="108"/>
      <c r="Z180" s="108"/>
      <c r="AA180" s="108"/>
      <c r="AB180" s="108"/>
      <c r="AC180" s="108"/>
      <c r="AD180" s="108"/>
      <c r="AE180" s="108"/>
      <c r="AF180" s="108"/>
    </row>
    <row r="181" spans="1:32" ht="17.25" thickTop="1">
      <c r="A181" s="111"/>
      <c r="B181" s="50">
        <v>0</v>
      </c>
      <c r="C181" s="50">
        <f>-200-100</f>
        <v>-300</v>
      </c>
      <c r="D181" s="50">
        <f>-200-100</f>
        <v>-300</v>
      </c>
      <c r="E181" s="50">
        <v>-200</v>
      </c>
      <c r="F181" s="50">
        <v>-200</v>
      </c>
      <c r="G181" s="50">
        <v>0</v>
      </c>
      <c r="H181" s="50">
        <v>0</v>
      </c>
      <c r="I181" s="50">
        <v>0</v>
      </c>
      <c r="J181" s="50">
        <v>0</v>
      </c>
      <c r="K181" s="51">
        <v>0</v>
      </c>
      <c r="L181" s="52"/>
      <c r="M181" s="53"/>
      <c r="N181" s="54" t="s">
        <v>39</v>
      </c>
      <c r="O181" s="93"/>
      <c r="P181" s="96"/>
      <c r="Q181" s="99"/>
      <c r="R181" s="102"/>
      <c r="S181" s="105"/>
      <c r="T181" s="108"/>
      <c r="U181" s="108"/>
      <c r="V181" s="108"/>
      <c r="W181" s="108"/>
      <c r="X181" s="108"/>
      <c r="Y181" s="108"/>
      <c r="Z181" s="108"/>
      <c r="AA181" s="108"/>
      <c r="AB181" s="108"/>
      <c r="AC181" s="108"/>
      <c r="AD181" s="108"/>
      <c r="AE181" s="108"/>
      <c r="AF181" s="108"/>
    </row>
    <row r="182" spans="1:32" ht="17.25" thickBot="1">
      <c r="A182" s="112"/>
      <c r="B182" s="55">
        <f t="shared" ref="B182:K182" si="89">+(B179+B181)*B$4</f>
        <v>5600000</v>
      </c>
      <c r="C182" s="55">
        <f t="shared" si="89"/>
        <v>16640000</v>
      </c>
      <c r="D182" s="55">
        <f t="shared" si="89"/>
        <v>5022000</v>
      </c>
      <c r="E182" s="55">
        <f t="shared" si="89"/>
        <v>5456000</v>
      </c>
      <c r="F182" s="55">
        <f t="shared" si="89"/>
        <v>3136000</v>
      </c>
      <c r="G182" s="55">
        <f t="shared" si="89"/>
        <v>1521000</v>
      </c>
      <c r="H182" s="55">
        <f t="shared" si="89"/>
        <v>1650000</v>
      </c>
      <c r="I182" s="55">
        <f t="shared" si="89"/>
        <v>3876000</v>
      </c>
      <c r="J182" s="55">
        <f t="shared" si="89"/>
        <v>2422000</v>
      </c>
      <c r="K182" s="55">
        <f t="shared" si="89"/>
        <v>333500</v>
      </c>
      <c r="L182" s="57"/>
      <c r="M182" s="58">
        <f>A179</f>
        <v>44207</v>
      </c>
      <c r="N182" s="59">
        <f>SUM(B182:K182)</f>
        <v>45656500</v>
      </c>
      <c r="O182" s="94"/>
      <c r="P182" s="97"/>
      <c r="Q182" s="100"/>
      <c r="R182" s="103"/>
      <c r="S182" s="106"/>
      <c r="T182" s="109"/>
      <c r="U182" s="109"/>
      <c r="V182" s="109"/>
      <c r="W182" s="109"/>
      <c r="X182" s="109"/>
      <c r="Y182" s="109"/>
      <c r="Z182" s="109"/>
      <c r="AA182" s="109"/>
      <c r="AB182" s="109"/>
      <c r="AC182" s="109"/>
      <c r="AD182" s="109"/>
      <c r="AE182" s="109"/>
      <c r="AF182" s="109"/>
    </row>
    <row r="183" spans="1:32">
      <c r="A183" s="110">
        <f>+A179+1</f>
        <v>44208</v>
      </c>
      <c r="B183" s="31">
        <v>95</v>
      </c>
      <c r="C183" s="31">
        <v>293</v>
      </c>
      <c r="D183" s="31">
        <v>300</v>
      </c>
      <c r="E183" s="31">
        <v>278</v>
      </c>
      <c r="F183" s="31">
        <v>108</v>
      </c>
      <c r="G183" s="31">
        <v>382</v>
      </c>
      <c r="H183" s="31">
        <v>64</v>
      </c>
      <c r="I183" s="31">
        <v>331</v>
      </c>
      <c r="J183" s="31">
        <v>350</v>
      </c>
      <c r="K183" s="32">
        <v>36</v>
      </c>
      <c r="L183" s="15"/>
      <c r="M183" s="60"/>
      <c r="N183" s="61" t="s">
        <v>38</v>
      </c>
      <c r="O183" s="92">
        <f>+IFERROR(IF(HLOOKUP(S183,$S$3:$AB$3,1,)=S183,S184,0),0)</f>
        <v>22</v>
      </c>
      <c r="P183" s="95">
        <f>IFERROR(+N184/O183,0)</f>
        <v>294537.87878787878</v>
      </c>
      <c r="Q183" s="98">
        <f>+IFERROR(IF(HLOOKUP(S183,$S$4:$AB$4,1,)=S183,S184,0),0)</f>
        <v>0</v>
      </c>
      <c r="R183" s="101">
        <f>IFERROR(N184/Q183,0)</f>
        <v>0</v>
      </c>
      <c r="S183" s="47" t="s">
        <v>19</v>
      </c>
      <c r="T183" s="107">
        <v>4</v>
      </c>
      <c r="U183" s="107">
        <v>6</v>
      </c>
      <c r="V183" s="107">
        <v>6</v>
      </c>
      <c r="W183" s="107"/>
      <c r="X183" s="107"/>
      <c r="Y183" s="107"/>
      <c r="Z183" s="107">
        <v>6</v>
      </c>
      <c r="AA183" s="107"/>
      <c r="AB183" s="107"/>
      <c r="AC183" s="107">
        <v>0</v>
      </c>
      <c r="AD183" s="107"/>
      <c r="AE183" s="107"/>
      <c r="AF183" s="107"/>
    </row>
    <row r="184" spans="1:32" ht="17.25" thickBot="1">
      <c r="A184" s="111"/>
      <c r="B184" s="35">
        <f t="shared" ref="B184:K184" si="90">+(B183-(B179+B181))*B$4</f>
        <v>2000000</v>
      </c>
      <c r="C184" s="35">
        <f t="shared" si="90"/>
        <v>2405000</v>
      </c>
      <c r="D184" s="35">
        <f t="shared" si="90"/>
        <v>378000</v>
      </c>
      <c r="E184" s="35">
        <f t="shared" si="90"/>
        <v>660000</v>
      </c>
      <c r="F184" s="35">
        <f t="shared" si="90"/>
        <v>320000</v>
      </c>
      <c r="G184" s="35">
        <f t="shared" si="90"/>
        <v>134333.33333333331</v>
      </c>
      <c r="H184" s="35">
        <f t="shared" si="90"/>
        <v>270000</v>
      </c>
      <c r="I184" s="35">
        <f t="shared" si="90"/>
        <v>96000</v>
      </c>
      <c r="J184" s="35">
        <f t="shared" si="90"/>
        <v>28000</v>
      </c>
      <c r="K184" s="35">
        <f t="shared" si="90"/>
        <v>188500</v>
      </c>
      <c r="L184" s="35">
        <f>MONTH(M186)</f>
        <v>1</v>
      </c>
      <c r="M184" s="48" t="str">
        <f>IF(O183&gt;0,"Y","X")</f>
        <v>Y</v>
      </c>
      <c r="N184" s="62">
        <f>IF(SUM(B183:K183)=0,0,SUM(B184:K184))</f>
        <v>6479833.333333333</v>
      </c>
      <c r="O184" s="93"/>
      <c r="P184" s="96"/>
      <c r="Q184" s="99"/>
      <c r="R184" s="102"/>
      <c r="S184" s="104">
        <f>SUM(T183:XFD183)</f>
        <v>22</v>
      </c>
      <c r="T184" s="108"/>
      <c r="U184" s="108"/>
      <c r="V184" s="108"/>
      <c r="W184" s="108"/>
      <c r="X184" s="108"/>
      <c r="Y184" s="108"/>
      <c r="Z184" s="108"/>
      <c r="AA184" s="108"/>
      <c r="AB184" s="108"/>
      <c r="AC184" s="108"/>
      <c r="AD184" s="108"/>
      <c r="AE184" s="108"/>
      <c r="AF184" s="108"/>
    </row>
    <row r="185" spans="1:32" ht="17.25" thickTop="1">
      <c r="A185" s="111"/>
      <c r="B185" s="50">
        <v>0</v>
      </c>
      <c r="C185" s="50">
        <v>0</v>
      </c>
      <c r="D185" s="50">
        <v>0</v>
      </c>
      <c r="E185" s="50">
        <v>0</v>
      </c>
      <c r="F185" s="50">
        <v>0</v>
      </c>
      <c r="G185" s="50">
        <v>0</v>
      </c>
      <c r="H185" s="50">
        <v>0</v>
      </c>
      <c r="I185" s="50">
        <v>0</v>
      </c>
      <c r="J185" s="50">
        <v>0</v>
      </c>
      <c r="K185" s="51">
        <v>0</v>
      </c>
      <c r="L185" s="52"/>
      <c r="M185" s="63"/>
      <c r="N185" s="64" t="s">
        <v>39</v>
      </c>
      <c r="O185" s="93"/>
      <c r="P185" s="96"/>
      <c r="Q185" s="99"/>
      <c r="R185" s="102"/>
      <c r="S185" s="105"/>
      <c r="T185" s="108"/>
      <c r="U185" s="108"/>
      <c r="V185" s="108"/>
      <c r="W185" s="108"/>
      <c r="X185" s="108"/>
      <c r="Y185" s="108"/>
      <c r="Z185" s="108"/>
      <c r="AA185" s="108"/>
      <c r="AB185" s="108"/>
      <c r="AC185" s="108"/>
      <c r="AD185" s="108"/>
      <c r="AE185" s="108"/>
      <c r="AF185" s="108"/>
    </row>
    <row r="186" spans="1:32" ht="17.25" thickBot="1">
      <c r="A186" s="112"/>
      <c r="B186" s="55">
        <f t="shared" ref="B186:K186" si="91">+(B183+B185)*B$4</f>
        <v>7600000</v>
      </c>
      <c r="C186" s="55">
        <f t="shared" si="91"/>
        <v>19045000</v>
      </c>
      <c r="D186" s="55">
        <f t="shared" si="91"/>
        <v>5400000</v>
      </c>
      <c r="E186" s="55">
        <f t="shared" si="91"/>
        <v>6116000</v>
      </c>
      <c r="F186" s="55">
        <f t="shared" si="91"/>
        <v>3456000</v>
      </c>
      <c r="G186" s="55">
        <f t="shared" si="91"/>
        <v>1655333.3333333333</v>
      </c>
      <c r="H186" s="55">
        <f t="shared" si="91"/>
        <v>1920000</v>
      </c>
      <c r="I186" s="55">
        <f t="shared" si="91"/>
        <v>3972000</v>
      </c>
      <c r="J186" s="55">
        <f t="shared" si="91"/>
        <v>2450000</v>
      </c>
      <c r="K186" s="55">
        <f t="shared" si="91"/>
        <v>522000</v>
      </c>
      <c r="L186" s="57"/>
      <c r="M186" s="65">
        <f>A183</f>
        <v>44208</v>
      </c>
      <c r="N186" s="66">
        <f>SUM(B186:K186)</f>
        <v>52136333.333333336</v>
      </c>
      <c r="O186" s="94"/>
      <c r="P186" s="97"/>
      <c r="Q186" s="100"/>
      <c r="R186" s="103"/>
      <c r="S186" s="106"/>
      <c r="T186" s="109"/>
      <c r="U186" s="109"/>
      <c r="V186" s="109"/>
      <c r="W186" s="109"/>
      <c r="X186" s="109"/>
      <c r="Y186" s="109"/>
      <c r="Z186" s="109"/>
      <c r="AA186" s="109"/>
      <c r="AB186" s="109"/>
      <c r="AC186" s="109"/>
      <c r="AD186" s="109"/>
      <c r="AE186" s="109"/>
      <c r="AF186" s="109"/>
    </row>
    <row r="187" spans="1:32">
      <c r="A187" s="110">
        <f>+A183+1</f>
        <v>44209</v>
      </c>
      <c r="B187" s="31">
        <v>134</v>
      </c>
      <c r="C187" s="31">
        <v>318</v>
      </c>
      <c r="D187" s="31">
        <v>316</v>
      </c>
      <c r="E187" s="31">
        <v>309</v>
      </c>
      <c r="F187" s="31">
        <v>127</v>
      </c>
      <c r="G187" s="31">
        <v>411</v>
      </c>
      <c r="H187" s="31">
        <v>71</v>
      </c>
      <c r="I187" s="31">
        <v>336</v>
      </c>
      <c r="J187" s="31">
        <v>357</v>
      </c>
      <c r="K187" s="32">
        <v>39</v>
      </c>
      <c r="L187" s="15"/>
      <c r="M187" s="60"/>
      <c r="N187" s="46" t="s">
        <v>38</v>
      </c>
      <c r="O187" s="92">
        <f>+IFERROR(IF(HLOOKUP(S187,$S$3:$AB$3,1,)=S187,S188,0),0)</f>
        <v>21</v>
      </c>
      <c r="P187" s="95">
        <f>IFERROR(+N188/O187,0)</f>
        <v>324341.26984126988</v>
      </c>
      <c r="Q187" s="98">
        <f>+IFERROR(IF(HLOOKUP(S187,$S$4:$AB$4,1,)=S187,S188,0),0)</f>
        <v>0</v>
      </c>
      <c r="R187" s="101">
        <f>IFERROR(N188/Q187,0)</f>
        <v>0</v>
      </c>
      <c r="S187" s="47" t="s">
        <v>20</v>
      </c>
      <c r="T187" s="107">
        <v>9</v>
      </c>
      <c r="U187" s="107">
        <v>6</v>
      </c>
      <c r="V187" s="107"/>
      <c r="W187" s="107"/>
      <c r="X187" s="107">
        <v>6</v>
      </c>
      <c r="Y187" s="107"/>
      <c r="Z187" s="107"/>
      <c r="AA187" s="107"/>
      <c r="AB187" s="107"/>
      <c r="AC187" s="107">
        <v>0</v>
      </c>
      <c r="AD187" s="107"/>
      <c r="AE187" s="107"/>
      <c r="AF187" s="107"/>
    </row>
    <row r="188" spans="1:32" ht="17.25" thickBot="1">
      <c r="A188" s="111"/>
      <c r="B188" s="35">
        <f t="shared" ref="B188:K188" si="92">+(B187-(B183+B185))*B$4</f>
        <v>3120000</v>
      </c>
      <c r="C188" s="35">
        <f t="shared" si="92"/>
        <v>1625000</v>
      </c>
      <c r="D188" s="35">
        <f t="shared" si="92"/>
        <v>288000</v>
      </c>
      <c r="E188" s="35">
        <f t="shared" si="92"/>
        <v>682000</v>
      </c>
      <c r="F188" s="35">
        <f t="shared" si="92"/>
        <v>608000</v>
      </c>
      <c r="G188" s="35">
        <f t="shared" si="92"/>
        <v>125666.66666666666</v>
      </c>
      <c r="H188" s="35">
        <f t="shared" si="92"/>
        <v>210000</v>
      </c>
      <c r="I188" s="35">
        <f t="shared" si="92"/>
        <v>60000</v>
      </c>
      <c r="J188" s="35">
        <f t="shared" si="92"/>
        <v>49000</v>
      </c>
      <c r="K188" s="35">
        <f t="shared" si="92"/>
        <v>43500</v>
      </c>
      <c r="L188" s="35">
        <f>MONTH(M190)</f>
        <v>1</v>
      </c>
      <c r="M188" s="48" t="str">
        <f>IF(O187&gt;0,"Y","X")</f>
        <v>Y</v>
      </c>
      <c r="N188" s="49">
        <f>IF(SUM(B187:K187)=0,0,SUM(B188:K188))</f>
        <v>6811166.666666667</v>
      </c>
      <c r="O188" s="93"/>
      <c r="P188" s="96"/>
      <c r="Q188" s="99"/>
      <c r="R188" s="102"/>
      <c r="S188" s="104">
        <f>SUM(T187:XFD187)</f>
        <v>21</v>
      </c>
      <c r="T188" s="108"/>
      <c r="U188" s="108"/>
      <c r="V188" s="108"/>
      <c r="W188" s="108"/>
      <c r="X188" s="108"/>
      <c r="Y188" s="108"/>
      <c r="Z188" s="108"/>
      <c r="AA188" s="108"/>
      <c r="AB188" s="108"/>
      <c r="AC188" s="108"/>
      <c r="AD188" s="108"/>
      <c r="AE188" s="108"/>
      <c r="AF188" s="108"/>
    </row>
    <row r="189" spans="1:32" ht="17.25" thickTop="1">
      <c r="A189" s="111"/>
      <c r="B189" s="50">
        <v>0</v>
      </c>
      <c r="C189" s="50">
        <v>0</v>
      </c>
      <c r="D189" s="50">
        <v>0</v>
      </c>
      <c r="E189" s="50">
        <v>0</v>
      </c>
      <c r="F189" s="50">
        <v>0</v>
      </c>
      <c r="G189" s="50">
        <v>0</v>
      </c>
      <c r="H189" s="50">
        <v>0</v>
      </c>
      <c r="I189" s="50">
        <v>0</v>
      </c>
      <c r="J189" s="50">
        <v>0</v>
      </c>
      <c r="K189" s="51">
        <v>0</v>
      </c>
      <c r="L189" s="52"/>
      <c r="M189" s="63"/>
      <c r="N189" s="54" t="s">
        <v>39</v>
      </c>
      <c r="O189" s="93"/>
      <c r="P189" s="96"/>
      <c r="Q189" s="99"/>
      <c r="R189" s="102"/>
      <c r="S189" s="105"/>
      <c r="T189" s="108"/>
      <c r="U189" s="108"/>
      <c r="V189" s="108"/>
      <c r="W189" s="108"/>
      <c r="X189" s="108"/>
      <c r="Y189" s="108"/>
      <c r="Z189" s="108"/>
      <c r="AA189" s="108"/>
      <c r="AB189" s="108"/>
      <c r="AC189" s="108"/>
      <c r="AD189" s="108"/>
      <c r="AE189" s="108"/>
      <c r="AF189" s="108"/>
    </row>
    <row r="190" spans="1:32" ht="17.25" thickBot="1">
      <c r="A190" s="112"/>
      <c r="B190" s="55">
        <f t="shared" ref="B190:K190" si="93">+(B187+B189)*B$4</f>
        <v>10720000</v>
      </c>
      <c r="C190" s="55">
        <f t="shared" si="93"/>
        <v>20670000</v>
      </c>
      <c r="D190" s="55">
        <f t="shared" si="93"/>
        <v>5688000</v>
      </c>
      <c r="E190" s="55">
        <f t="shared" si="93"/>
        <v>6798000</v>
      </c>
      <c r="F190" s="55">
        <f t="shared" si="93"/>
        <v>4064000</v>
      </c>
      <c r="G190" s="55">
        <f t="shared" si="93"/>
        <v>1780999.9999999998</v>
      </c>
      <c r="H190" s="55">
        <f t="shared" si="93"/>
        <v>2130000</v>
      </c>
      <c r="I190" s="55">
        <f t="shared" si="93"/>
        <v>4032000</v>
      </c>
      <c r="J190" s="55">
        <f t="shared" si="93"/>
        <v>2499000</v>
      </c>
      <c r="K190" s="55">
        <f t="shared" si="93"/>
        <v>565500</v>
      </c>
      <c r="L190" s="57"/>
      <c r="M190" s="65">
        <f>A187</f>
        <v>44209</v>
      </c>
      <c r="N190" s="59">
        <f>SUM(B190:K190)</f>
        <v>58947500</v>
      </c>
      <c r="O190" s="94"/>
      <c r="P190" s="97"/>
      <c r="Q190" s="100"/>
      <c r="R190" s="103"/>
      <c r="S190" s="106"/>
      <c r="T190" s="109"/>
      <c r="U190" s="109"/>
      <c r="V190" s="109"/>
      <c r="W190" s="109"/>
      <c r="X190" s="109"/>
      <c r="Y190" s="109"/>
      <c r="Z190" s="109"/>
      <c r="AA190" s="109"/>
      <c r="AB190" s="109"/>
      <c r="AC190" s="109"/>
      <c r="AD190" s="109"/>
      <c r="AE190" s="109"/>
      <c r="AF190" s="109"/>
    </row>
    <row r="191" spans="1:32">
      <c r="A191" s="110">
        <f>+A187+1</f>
        <v>44210</v>
      </c>
      <c r="B191" s="31">
        <v>165</v>
      </c>
      <c r="C191" s="31">
        <v>349</v>
      </c>
      <c r="D191" s="31">
        <v>341</v>
      </c>
      <c r="E191" s="31">
        <v>344</v>
      </c>
      <c r="F191" s="31">
        <v>140</v>
      </c>
      <c r="G191" s="31">
        <v>461</v>
      </c>
      <c r="H191" s="31">
        <v>77</v>
      </c>
      <c r="I191" s="31">
        <v>343</v>
      </c>
      <c r="J191" s="31">
        <v>363</v>
      </c>
      <c r="K191" s="32">
        <v>48</v>
      </c>
      <c r="L191" s="15"/>
      <c r="M191" s="60"/>
      <c r="N191" s="61" t="s">
        <v>38</v>
      </c>
      <c r="O191" s="92">
        <f>+IFERROR(IF(HLOOKUP(S191,$S$3:$AB$3,1,)=S191,S192,0),0)</f>
        <v>25</v>
      </c>
      <c r="P191" s="95">
        <f>IFERROR(+N192/O191,0)</f>
        <v>271366.66666666669</v>
      </c>
      <c r="Q191" s="98">
        <f>+IFERROR(IF(HLOOKUP(S191,$S$4:$AB$4,1,)=S191,S192,0),0)</f>
        <v>0</v>
      </c>
      <c r="R191" s="101">
        <f>IFERROR(N192/Q191,0)</f>
        <v>0</v>
      </c>
      <c r="S191" s="47" t="s">
        <v>18</v>
      </c>
      <c r="T191" s="107">
        <v>7</v>
      </c>
      <c r="U191" s="107">
        <v>6</v>
      </c>
      <c r="V191" s="107">
        <v>6</v>
      </c>
      <c r="W191" s="107"/>
      <c r="X191" s="107">
        <v>6</v>
      </c>
      <c r="Y191" s="107"/>
      <c r="Z191" s="107"/>
      <c r="AA191" s="107"/>
      <c r="AB191" s="107"/>
      <c r="AC191" s="107">
        <v>0</v>
      </c>
      <c r="AD191" s="107"/>
      <c r="AE191" s="107"/>
      <c r="AF191" s="107"/>
    </row>
    <row r="192" spans="1:32" ht="17.25" thickBot="1">
      <c r="A192" s="111"/>
      <c r="B192" s="35">
        <f t="shared" ref="B192:K192" si="94">+(B191-(B187+B189))*B$4</f>
        <v>2480000</v>
      </c>
      <c r="C192" s="35">
        <f t="shared" si="94"/>
        <v>2015000</v>
      </c>
      <c r="D192" s="35">
        <f t="shared" si="94"/>
        <v>450000</v>
      </c>
      <c r="E192" s="35">
        <f t="shared" si="94"/>
        <v>770000</v>
      </c>
      <c r="F192" s="35">
        <f t="shared" si="94"/>
        <v>416000</v>
      </c>
      <c r="G192" s="35">
        <f t="shared" si="94"/>
        <v>216666.66666666666</v>
      </c>
      <c r="H192" s="35">
        <f t="shared" si="94"/>
        <v>180000</v>
      </c>
      <c r="I192" s="35">
        <f t="shared" si="94"/>
        <v>84000</v>
      </c>
      <c r="J192" s="35">
        <f t="shared" si="94"/>
        <v>42000</v>
      </c>
      <c r="K192" s="35">
        <f t="shared" si="94"/>
        <v>130500</v>
      </c>
      <c r="L192" s="35">
        <f>MONTH(M194)</f>
        <v>1</v>
      </c>
      <c r="M192" s="48" t="str">
        <f>IF(O191&gt;0,"Y","X")</f>
        <v>Y</v>
      </c>
      <c r="N192" s="62">
        <f>IF(SUM(B191:K191)=0,0,SUM(B192:K192))</f>
        <v>6784166.666666667</v>
      </c>
      <c r="O192" s="93"/>
      <c r="P192" s="96"/>
      <c r="Q192" s="99"/>
      <c r="R192" s="102"/>
      <c r="S192" s="104">
        <f>SUM(T191:XFD191)</f>
        <v>25</v>
      </c>
      <c r="T192" s="108"/>
      <c r="U192" s="108"/>
      <c r="V192" s="108"/>
      <c r="W192" s="108"/>
      <c r="X192" s="108"/>
      <c r="Y192" s="108"/>
      <c r="Z192" s="108"/>
      <c r="AA192" s="108"/>
      <c r="AB192" s="108"/>
      <c r="AC192" s="108"/>
      <c r="AD192" s="108"/>
      <c r="AE192" s="108"/>
      <c r="AF192" s="108"/>
    </row>
    <row r="193" spans="1:32" ht="17.25" thickTop="1">
      <c r="A193" s="111"/>
      <c r="B193" s="50">
        <v>-50</v>
      </c>
      <c r="C193" s="50">
        <v>-50</v>
      </c>
      <c r="D193" s="50">
        <v>100</v>
      </c>
      <c r="E193" s="50">
        <v>0</v>
      </c>
      <c r="F193" s="50">
        <v>0</v>
      </c>
      <c r="G193" s="50">
        <v>-300</v>
      </c>
      <c r="H193" s="50">
        <v>0</v>
      </c>
      <c r="I193" s="50">
        <v>0</v>
      </c>
      <c r="J193" s="50">
        <v>0</v>
      </c>
      <c r="K193" s="51">
        <v>0</v>
      </c>
      <c r="L193" s="52"/>
      <c r="M193" s="63"/>
      <c r="N193" s="64" t="s">
        <v>39</v>
      </c>
      <c r="O193" s="93"/>
      <c r="P193" s="96"/>
      <c r="Q193" s="99"/>
      <c r="R193" s="102"/>
      <c r="S193" s="105"/>
      <c r="T193" s="108"/>
      <c r="U193" s="108"/>
      <c r="V193" s="108"/>
      <c r="W193" s="108"/>
      <c r="X193" s="108"/>
      <c r="Y193" s="108"/>
      <c r="Z193" s="108"/>
      <c r="AA193" s="108"/>
      <c r="AB193" s="108"/>
      <c r="AC193" s="108"/>
      <c r="AD193" s="108"/>
      <c r="AE193" s="108"/>
      <c r="AF193" s="108"/>
    </row>
    <row r="194" spans="1:32" ht="17.25" thickBot="1">
      <c r="A194" s="112"/>
      <c r="B194" s="55">
        <f t="shared" ref="B194:K194" si="95">+(B191+B193)*B$4</f>
        <v>9200000</v>
      </c>
      <c r="C194" s="55">
        <f t="shared" si="95"/>
        <v>19435000</v>
      </c>
      <c r="D194" s="55">
        <f t="shared" si="95"/>
        <v>7938000</v>
      </c>
      <c r="E194" s="55">
        <f t="shared" si="95"/>
        <v>7568000</v>
      </c>
      <c r="F194" s="55">
        <f t="shared" si="95"/>
        <v>4480000</v>
      </c>
      <c r="G194" s="55">
        <f t="shared" si="95"/>
        <v>697666.66666666663</v>
      </c>
      <c r="H194" s="55">
        <f t="shared" si="95"/>
        <v>2310000</v>
      </c>
      <c r="I194" s="55">
        <f t="shared" si="95"/>
        <v>4116000</v>
      </c>
      <c r="J194" s="55">
        <f t="shared" si="95"/>
        <v>2541000</v>
      </c>
      <c r="K194" s="55">
        <f t="shared" si="95"/>
        <v>696000</v>
      </c>
      <c r="L194" s="57"/>
      <c r="M194" s="65">
        <f>A191</f>
        <v>44210</v>
      </c>
      <c r="N194" s="66">
        <f>SUM(B194:K194)</f>
        <v>58981666.666666664</v>
      </c>
      <c r="O194" s="94"/>
      <c r="P194" s="97"/>
      <c r="Q194" s="100"/>
      <c r="R194" s="103"/>
      <c r="S194" s="106"/>
      <c r="T194" s="109"/>
      <c r="U194" s="109"/>
      <c r="V194" s="109"/>
      <c r="W194" s="109"/>
      <c r="X194" s="109"/>
      <c r="Y194" s="109"/>
      <c r="Z194" s="109"/>
      <c r="AA194" s="109"/>
      <c r="AB194" s="109"/>
      <c r="AC194" s="109"/>
      <c r="AD194" s="109"/>
      <c r="AE194" s="109"/>
      <c r="AF194" s="109"/>
    </row>
    <row r="195" spans="1:32">
      <c r="A195" s="110">
        <f>+A191+1</f>
        <v>44211</v>
      </c>
      <c r="B195" s="31">
        <v>132</v>
      </c>
      <c r="C195" s="31">
        <v>319</v>
      </c>
      <c r="D195" s="31">
        <v>462</v>
      </c>
      <c r="E195" s="31">
        <v>366</v>
      </c>
      <c r="F195" s="31">
        <v>159</v>
      </c>
      <c r="G195" s="31">
        <v>184</v>
      </c>
      <c r="H195" s="31">
        <v>90</v>
      </c>
      <c r="I195" s="31">
        <v>350</v>
      </c>
      <c r="J195" s="31">
        <v>371</v>
      </c>
      <c r="K195" s="32">
        <v>61</v>
      </c>
      <c r="L195" s="15"/>
      <c r="M195" s="60"/>
      <c r="N195" s="46" t="s">
        <v>38</v>
      </c>
      <c r="O195" s="92">
        <f>+IFERROR(IF(HLOOKUP(S195,$S$3:$AB$3,1,)=S195,S196,0),0)</f>
        <v>0</v>
      </c>
      <c r="P195" s="95">
        <f>IFERROR(+N196/O195,0)</f>
        <v>0</v>
      </c>
      <c r="Q195" s="98">
        <f>+IFERROR(IF(HLOOKUP(S195,$S$4:$AB$4,1,)=S195,S196,0),0)</f>
        <v>21</v>
      </c>
      <c r="R195" s="101">
        <f>IFERROR(N196/Q195,0)</f>
        <v>235626.98412698414</v>
      </c>
      <c r="S195" s="47" t="s">
        <v>24</v>
      </c>
      <c r="T195" s="107">
        <v>3</v>
      </c>
      <c r="U195" s="107">
        <v>6</v>
      </c>
      <c r="V195" s="107">
        <v>6</v>
      </c>
      <c r="W195" s="107"/>
      <c r="X195" s="107">
        <v>6</v>
      </c>
      <c r="Y195" s="107"/>
      <c r="Z195" s="107"/>
      <c r="AA195" s="107"/>
      <c r="AB195" s="107"/>
      <c r="AC195" s="107">
        <v>0</v>
      </c>
      <c r="AD195" s="107"/>
      <c r="AE195" s="107"/>
      <c r="AF195" s="107"/>
    </row>
    <row r="196" spans="1:32" ht="17.25" thickBot="1">
      <c r="A196" s="111"/>
      <c r="B196" s="35">
        <f t="shared" ref="B196:K196" si="96">+(B195-(B191+B193))*B$4</f>
        <v>1360000</v>
      </c>
      <c r="C196" s="35">
        <f t="shared" si="96"/>
        <v>1300000</v>
      </c>
      <c r="D196" s="35">
        <f t="shared" si="96"/>
        <v>378000</v>
      </c>
      <c r="E196" s="35">
        <f t="shared" si="96"/>
        <v>484000</v>
      </c>
      <c r="F196" s="35">
        <f t="shared" si="96"/>
        <v>608000</v>
      </c>
      <c r="G196" s="35">
        <f t="shared" si="96"/>
        <v>99666.666666666657</v>
      </c>
      <c r="H196" s="35">
        <f t="shared" si="96"/>
        <v>390000</v>
      </c>
      <c r="I196" s="35">
        <f t="shared" si="96"/>
        <v>84000</v>
      </c>
      <c r="J196" s="35">
        <f t="shared" si="96"/>
        <v>56000</v>
      </c>
      <c r="K196" s="35">
        <f t="shared" si="96"/>
        <v>188500</v>
      </c>
      <c r="L196" s="35">
        <f>MONTH(M198)</f>
        <v>1</v>
      </c>
      <c r="M196" s="48" t="str">
        <f>IF(O195&gt;0,"Y","X")</f>
        <v>X</v>
      </c>
      <c r="N196" s="49">
        <f>IF(SUM(B195:K195)=0,0,SUM(B196:K196))</f>
        <v>4948166.666666667</v>
      </c>
      <c r="O196" s="93"/>
      <c r="P196" s="96"/>
      <c r="Q196" s="99"/>
      <c r="R196" s="102"/>
      <c r="S196" s="104">
        <f>SUM(T195:XFD195)</f>
        <v>21</v>
      </c>
      <c r="T196" s="108"/>
      <c r="U196" s="108"/>
      <c r="V196" s="108"/>
      <c r="W196" s="108"/>
      <c r="X196" s="108"/>
      <c r="Y196" s="108"/>
      <c r="Z196" s="108"/>
      <c r="AA196" s="108"/>
      <c r="AB196" s="108"/>
      <c r="AC196" s="108"/>
      <c r="AD196" s="108"/>
      <c r="AE196" s="108"/>
      <c r="AF196" s="108"/>
    </row>
    <row r="197" spans="1:32" ht="17.25" thickTop="1">
      <c r="A197" s="111"/>
      <c r="B197" s="50">
        <v>0</v>
      </c>
      <c r="C197" s="50">
        <v>0</v>
      </c>
      <c r="D197" s="50">
        <v>0</v>
      </c>
      <c r="E197" s="50">
        <v>0</v>
      </c>
      <c r="F197" s="50">
        <v>0</v>
      </c>
      <c r="G197" s="50">
        <v>0</v>
      </c>
      <c r="H197" s="50">
        <v>0</v>
      </c>
      <c r="I197" s="50">
        <v>0</v>
      </c>
      <c r="J197" s="50">
        <v>0</v>
      </c>
      <c r="K197" s="51">
        <v>0</v>
      </c>
      <c r="L197" s="52"/>
      <c r="M197" s="63"/>
      <c r="N197" s="54" t="s">
        <v>39</v>
      </c>
      <c r="O197" s="93"/>
      <c r="P197" s="96"/>
      <c r="Q197" s="99"/>
      <c r="R197" s="102"/>
      <c r="S197" s="105"/>
      <c r="T197" s="108"/>
      <c r="U197" s="108"/>
      <c r="V197" s="108"/>
      <c r="W197" s="108"/>
      <c r="X197" s="108"/>
      <c r="Y197" s="108"/>
      <c r="Z197" s="108"/>
      <c r="AA197" s="108"/>
      <c r="AB197" s="108"/>
      <c r="AC197" s="108"/>
      <c r="AD197" s="108"/>
      <c r="AE197" s="108"/>
      <c r="AF197" s="108"/>
    </row>
    <row r="198" spans="1:32" ht="17.25" thickBot="1">
      <c r="A198" s="112"/>
      <c r="B198" s="55">
        <f t="shared" ref="B198:K198" si="97">+(B195+B197)*B$4</f>
        <v>10560000</v>
      </c>
      <c r="C198" s="55">
        <f t="shared" si="97"/>
        <v>20735000</v>
      </c>
      <c r="D198" s="55">
        <f t="shared" si="97"/>
        <v>8316000</v>
      </c>
      <c r="E198" s="55">
        <f t="shared" si="97"/>
        <v>8052000</v>
      </c>
      <c r="F198" s="55">
        <f t="shared" si="97"/>
        <v>5088000</v>
      </c>
      <c r="G198" s="55">
        <f t="shared" si="97"/>
        <v>797333.33333333326</v>
      </c>
      <c r="H198" s="55">
        <f t="shared" si="97"/>
        <v>2700000</v>
      </c>
      <c r="I198" s="55">
        <f t="shared" si="97"/>
        <v>4200000</v>
      </c>
      <c r="J198" s="55">
        <f t="shared" si="97"/>
        <v>2597000</v>
      </c>
      <c r="K198" s="55">
        <f t="shared" si="97"/>
        <v>884500</v>
      </c>
      <c r="L198" s="57"/>
      <c r="M198" s="65">
        <f>A195</f>
        <v>44211</v>
      </c>
      <c r="N198" s="59">
        <f>SUM(B198:K198)</f>
        <v>63929833.333333336</v>
      </c>
      <c r="O198" s="94"/>
      <c r="P198" s="97"/>
      <c r="Q198" s="100"/>
      <c r="R198" s="103"/>
      <c r="S198" s="106"/>
      <c r="T198" s="109"/>
      <c r="U198" s="109"/>
      <c r="V198" s="109"/>
      <c r="W198" s="109"/>
      <c r="X198" s="109"/>
      <c r="Y198" s="109"/>
      <c r="Z198" s="109"/>
      <c r="AA198" s="109"/>
      <c r="AB198" s="109"/>
      <c r="AC198" s="109"/>
      <c r="AD198" s="109"/>
      <c r="AE198" s="109"/>
      <c r="AF198" s="109"/>
    </row>
    <row r="199" spans="1:32">
      <c r="A199" s="113">
        <f>+A195+1</f>
        <v>44212</v>
      </c>
      <c r="B199" s="31">
        <v>184</v>
      </c>
      <c r="C199" s="31">
        <v>365</v>
      </c>
      <c r="D199" s="31">
        <v>496</v>
      </c>
      <c r="E199" s="31">
        <v>431</v>
      </c>
      <c r="F199" s="31">
        <v>195</v>
      </c>
      <c r="G199" s="31">
        <v>250</v>
      </c>
      <c r="H199" s="31">
        <v>111</v>
      </c>
      <c r="I199" s="31">
        <v>365</v>
      </c>
      <c r="J199" s="31">
        <v>384</v>
      </c>
      <c r="K199" s="32">
        <v>76</v>
      </c>
      <c r="L199" s="15"/>
      <c r="M199" s="60"/>
      <c r="N199" s="61" t="s">
        <v>38</v>
      </c>
      <c r="O199" s="92">
        <f>+IFERROR(IF(HLOOKUP(S199,$S$3:$AB$3,1,)=S199,S200,0),0)</f>
        <v>0</v>
      </c>
      <c r="P199" s="95">
        <f>IFERROR(+N200/O199,0)</f>
        <v>0</v>
      </c>
      <c r="Q199" s="98">
        <f>+IFERROR(IF(HLOOKUP(S199,$S$4:$AB$4,1,)=S199,S200,0),0)</f>
        <v>39</v>
      </c>
      <c r="R199" s="101">
        <f>IFERROR(N200/Q199,0)</f>
        <v>301243.58974358975</v>
      </c>
      <c r="S199" s="47" t="s">
        <v>23</v>
      </c>
      <c r="T199" s="107">
        <v>3</v>
      </c>
      <c r="U199" s="107">
        <v>6</v>
      </c>
      <c r="V199" s="107">
        <v>6</v>
      </c>
      <c r="W199" s="107">
        <v>6</v>
      </c>
      <c r="X199" s="107">
        <v>6</v>
      </c>
      <c r="Y199" s="107"/>
      <c r="Z199" s="107">
        <v>6</v>
      </c>
      <c r="AA199" s="107">
        <v>6</v>
      </c>
      <c r="AB199" s="107"/>
      <c r="AC199" s="107">
        <v>0</v>
      </c>
      <c r="AD199" s="107"/>
      <c r="AE199" s="107"/>
      <c r="AF199" s="107"/>
    </row>
    <row r="200" spans="1:32" ht="17.25" thickBot="1">
      <c r="A200" s="114"/>
      <c r="B200" s="35">
        <f t="shared" ref="B200:K200" si="98">+(B199-(B195+B197))*B$4</f>
        <v>4160000</v>
      </c>
      <c r="C200" s="35">
        <f t="shared" si="98"/>
        <v>2990000</v>
      </c>
      <c r="D200" s="35">
        <f t="shared" si="98"/>
        <v>612000</v>
      </c>
      <c r="E200" s="35">
        <f t="shared" si="98"/>
        <v>1430000</v>
      </c>
      <c r="F200" s="35">
        <f t="shared" si="98"/>
        <v>1152000</v>
      </c>
      <c r="G200" s="35">
        <f t="shared" si="98"/>
        <v>286000</v>
      </c>
      <c r="H200" s="35">
        <f t="shared" si="98"/>
        <v>630000</v>
      </c>
      <c r="I200" s="35">
        <f t="shared" si="98"/>
        <v>180000</v>
      </c>
      <c r="J200" s="35">
        <f t="shared" si="98"/>
        <v>91000</v>
      </c>
      <c r="K200" s="35">
        <f t="shared" si="98"/>
        <v>217500</v>
      </c>
      <c r="L200" s="35">
        <f>MONTH(M202)</f>
        <v>1</v>
      </c>
      <c r="M200" s="48" t="str">
        <f>IF(O199&gt;0,"Y","X")</f>
        <v>X</v>
      </c>
      <c r="N200" s="62">
        <f>IF(SUM(B199:K199)=0,0,SUM(B200:K200))</f>
        <v>11748500</v>
      </c>
      <c r="O200" s="93"/>
      <c r="P200" s="96"/>
      <c r="Q200" s="99"/>
      <c r="R200" s="102"/>
      <c r="S200" s="104">
        <f>SUM(T199:XFD199)</f>
        <v>39</v>
      </c>
      <c r="T200" s="108"/>
      <c r="U200" s="108"/>
      <c r="V200" s="108"/>
      <c r="W200" s="108"/>
      <c r="X200" s="108"/>
      <c r="Y200" s="108"/>
      <c r="Z200" s="108"/>
      <c r="AA200" s="108"/>
      <c r="AB200" s="108"/>
      <c r="AC200" s="108"/>
      <c r="AD200" s="108"/>
      <c r="AE200" s="108"/>
      <c r="AF200" s="108"/>
    </row>
    <row r="201" spans="1:32" ht="17.25" thickTop="1">
      <c r="A201" s="114"/>
      <c r="B201" s="50">
        <v>0</v>
      </c>
      <c r="C201" s="50">
        <v>0</v>
      </c>
      <c r="D201" s="50">
        <v>0</v>
      </c>
      <c r="E201" s="50">
        <v>0</v>
      </c>
      <c r="F201" s="50">
        <v>0</v>
      </c>
      <c r="G201" s="50">
        <v>0</v>
      </c>
      <c r="H201" s="50">
        <v>-98</v>
      </c>
      <c r="I201" s="50">
        <v>-98</v>
      </c>
      <c r="J201" s="50">
        <v>-98</v>
      </c>
      <c r="K201" s="51">
        <v>-98</v>
      </c>
      <c r="L201" s="52"/>
      <c r="M201" s="63"/>
      <c r="N201" s="64" t="s">
        <v>39</v>
      </c>
      <c r="O201" s="93"/>
      <c r="P201" s="96"/>
      <c r="Q201" s="99"/>
      <c r="R201" s="102"/>
      <c r="S201" s="105"/>
      <c r="T201" s="108"/>
      <c r="U201" s="108"/>
      <c r="V201" s="108"/>
      <c r="W201" s="108"/>
      <c r="X201" s="108"/>
      <c r="Y201" s="108"/>
      <c r="Z201" s="108"/>
      <c r="AA201" s="108"/>
      <c r="AB201" s="108"/>
      <c r="AC201" s="108"/>
      <c r="AD201" s="108"/>
      <c r="AE201" s="108"/>
      <c r="AF201" s="108"/>
    </row>
    <row r="202" spans="1:32" ht="17.25" thickBot="1">
      <c r="A202" s="115"/>
      <c r="B202" s="55">
        <f t="shared" ref="B202:K202" si="99">+(B199+B201)*B$4</f>
        <v>14720000</v>
      </c>
      <c r="C202" s="55">
        <f t="shared" si="99"/>
        <v>23725000</v>
      </c>
      <c r="D202" s="55">
        <f t="shared" si="99"/>
        <v>8928000</v>
      </c>
      <c r="E202" s="55">
        <f t="shared" si="99"/>
        <v>9482000</v>
      </c>
      <c r="F202" s="55">
        <f t="shared" si="99"/>
        <v>6240000</v>
      </c>
      <c r="G202" s="55">
        <f t="shared" si="99"/>
        <v>1083333.3333333333</v>
      </c>
      <c r="H202" s="55">
        <f t="shared" si="99"/>
        <v>390000</v>
      </c>
      <c r="I202" s="55">
        <f t="shared" si="99"/>
        <v>3204000</v>
      </c>
      <c r="J202" s="55">
        <f t="shared" si="99"/>
        <v>2002000</v>
      </c>
      <c r="K202" s="55">
        <f t="shared" si="99"/>
        <v>-319000</v>
      </c>
      <c r="L202" s="57"/>
      <c r="M202" s="65">
        <f>A199</f>
        <v>44212</v>
      </c>
      <c r="N202" s="66">
        <f>SUM(B202:K202)</f>
        <v>69455333.333333343</v>
      </c>
      <c r="O202" s="94"/>
      <c r="P202" s="97"/>
      <c r="Q202" s="100"/>
      <c r="R202" s="103"/>
      <c r="S202" s="106"/>
      <c r="T202" s="109"/>
      <c r="U202" s="109"/>
      <c r="V202" s="109"/>
      <c r="W202" s="109"/>
      <c r="X202" s="109"/>
      <c r="Y202" s="109"/>
      <c r="Z202" s="109"/>
      <c r="AA202" s="109"/>
      <c r="AB202" s="109"/>
      <c r="AC202" s="109"/>
      <c r="AD202" s="109"/>
      <c r="AE202" s="109"/>
      <c r="AF202" s="109"/>
    </row>
    <row r="203" spans="1:32">
      <c r="A203" s="113">
        <f>+A199+1</f>
        <v>44213</v>
      </c>
      <c r="B203" s="31">
        <v>261</v>
      </c>
      <c r="C203" s="31">
        <v>459</v>
      </c>
      <c r="D203" s="31">
        <v>554</v>
      </c>
      <c r="E203" s="31">
        <v>523</v>
      </c>
      <c r="F203" s="31">
        <v>235</v>
      </c>
      <c r="G203" s="31">
        <v>339</v>
      </c>
      <c r="H203" s="31">
        <v>32</v>
      </c>
      <c r="I203" s="31">
        <v>286</v>
      </c>
      <c r="J203" s="31">
        <v>305</v>
      </c>
      <c r="K203" s="32">
        <v>4</v>
      </c>
      <c r="L203" s="15"/>
      <c r="M203" s="60"/>
      <c r="N203" s="46" t="s">
        <v>38</v>
      </c>
      <c r="O203" s="92">
        <f>+IFERROR(IF(HLOOKUP(S203,$S$3:$AB$3,1,)=S203,S204,0),0)</f>
        <v>60</v>
      </c>
      <c r="P203" s="95">
        <f>IFERROR(+N204/O203,0)</f>
        <v>305194.44444444444</v>
      </c>
      <c r="Q203" s="98">
        <f>+IFERROR(IF(HLOOKUP(S203,$S$4:$AB$4,1,)=S203,S204,0),0)</f>
        <v>0</v>
      </c>
      <c r="R203" s="101">
        <f>IFERROR(N204/Q203,0)</f>
        <v>0</v>
      </c>
      <c r="S203" s="47" t="s">
        <v>17</v>
      </c>
      <c r="T203" s="107">
        <v>3</v>
      </c>
      <c r="U203" s="107">
        <v>9</v>
      </c>
      <c r="V203" s="107">
        <v>9</v>
      </c>
      <c r="W203" s="107">
        <v>6</v>
      </c>
      <c r="X203" s="107">
        <v>9</v>
      </c>
      <c r="Y203" s="107"/>
      <c r="Z203" s="107">
        <f>6+3+3</f>
        <v>12</v>
      </c>
      <c r="AA203" s="107">
        <v>6</v>
      </c>
      <c r="AB203" s="107">
        <v>6</v>
      </c>
      <c r="AC203" s="107">
        <v>0</v>
      </c>
      <c r="AD203" s="107"/>
      <c r="AE203" s="107"/>
      <c r="AF203" s="107"/>
    </row>
    <row r="204" spans="1:32" ht="17.25" thickBot="1">
      <c r="A204" s="114"/>
      <c r="B204" s="35">
        <f t="shared" ref="B204:K204" si="100">+(B203-(B199+B201))*B$4</f>
        <v>6160000</v>
      </c>
      <c r="C204" s="35">
        <f t="shared" si="100"/>
        <v>6110000</v>
      </c>
      <c r="D204" s="35">
        <f t="shared" si="100"/>
        <v>1044000</v>
      </c>
      <c r="E204" s="35">
        <f t="shared" si="100"/>
        <v>2024000</v>
      </c>
      <c r="F204" s="35">
        <f t="shared" si="100"/>
        <v>1280000</v>
      </c>
      <c r="G204" s="35">
        <f t="shared" si="100"/>
        <v>385666.66666666663</v>
      </c>
      <c r="H204" s="35">
        <f t="shared" si="100"/>
        <v>570000</v>
      </c>
      <c r="I204" s="35">
        <f t="shared" si="100"/>
        <v>228000</v>
      </c>
      <c r="J204" s="35">
        <f t="shared" si="100"/>
        <v>133000</v>
      </c>
      <c r="K204" s="35">
        <f t="shared" si="100"/>
        <v>377000</v>
      </c>
      <c r="L204" s="35">
        <f>MONTH(M206)</f>
        <v>1</v>
      </c>
      <c r="M204" s="48" t="str">
        <f>IF(O203&gt;0,"Y","X")</f>
        <v>Y</v>
      </c>
      <c r="N204" s="49">
        <f>IF(SUM(B203:K203)=0,0,SUM(B204:K204))</f>
        <v>18311666.666666668</v>
      </c>
      <c r="O204" s="93"/>
      <c r="P204" s="96"/>
      <c r="Q204" s="99"/>
      <c r="R204" s="102"/>
      <c r="S204" s="104">
        <f>SUM(T203:XFD203)</f>
        <v>60</v>
      </c>
      <c r="T204" s="108"/>
      <c r="U204" s="108"/>
      <c r="V204" s="108"/>
      <c r="W204" s="108"/>
      <c r="X204" s="108"/>
      <c r="Y204" s="108"/>
      <c r="Z204" s="108"/>
      <c r="AA204" s="108"/>
      <c r="AB204" s="108"/>
      <c r="AC204" s="108"/>
      <c r="AD204" s="108"/>
      <c r="AE204" s="108"/>
      <c r="AF204" s="108"/>
    </row>
    <row r="205" spans="1:32" ht="17.25" thickTop="1">
      <c r="A205" s="114"/>
      <c r="B205" s="50">
        <v>0</v>
      </c>
      <c r="C205" s="50">
        <v>0</v>
      </c>
      <c r="D205" s="50">
        <v>0</v>
      </c>
      <c r="E205" s="50">
        <v>0</v>
      </c>
      <c r="F205" s="50">
        <v>0</v>
      </c>
      <c r="G205" s="50">
        <v>0</v>
      </c>
      <c r="H205" s="50"/>
      <c r="I205" s="50"/>
      <c r="J205" s="50"/>
      <c r="K205" s="51"/>
      <c r="L205" s="52"/>
      <c r="M205" s="63"/>
      <c r="N205" s="54" t="s">
        <v>39</v>
      </c>
      <c r="O205" s="93"/>
      <c r="P205" s="96"/>
      <c r="Q205" s="99"/>
      <c r="R205" s="102"/>
      <c r="S205" s="105"/>
      <c r="T205" s="108"/>
      <c r="U205" s="108"/>
      <c r="V205" s="108"/>
      <c r="W205" s="108"/>
      <c r="X205" s="108"/>
      <c r="Y205" s="108"/>
      <c r="Z205" s="108"/>
      <c r="AA205" s="108"/>
      <c r="AB205" s="108"/>
      <c r="AC205" s="108"/>
      <c r="AD205" s="108"/>
      <c r="AE205" s="108"/>
      <c r="AF205" s="108"/>
    </row>
    <row r="206" spans="1:32" ht="17.25" thickBot="1">
      <c r="A206" s="115"/>
      <c r="B206" s="55">
        <f t="shared" ref="B206:K206" si="101">+(B203+B205)*B$4</f>
        <v>20880000</v>
      </c>
      <c r="C206" s="55">
        <f t="shared" si="101"/>
        <v>29835000</v>
      </c>
      <c r="D206" s="55">
        <f t="shared" si="101"/>
        <v>9972000</v>
      </c>
      <c r="E206" s="55">
        <f t="shared" si="101"/>
        <v>11506000</v>
      </c>
      <c r="F206" s="55">
        <f t="shared" si="101"/>
        <v>7520000</v>
      </c>
      <c r="G206" s="55">
        <f t="shared" si="101"/>
        <v>1469000</v>
      </c>
      <c r="H206" s="55">
        <f t="shared" si="101"/>
        <v>960000</v>
      </c>
      <c r="I206" s="55">
        <f t="shared" si="101"/>
        <v>3432000</v>
      </c>
      <c r="J206" s="55">
        <f t="shared" si="101"/>
        <v>2135000</v>
      </c>
      <c r="K206" s="55">
        <f t="shared" si="101"/>
        <v>58000</v>
      </c>
      <c r="L206" s="57"/>
      <c r="M206" s="65">
        <f>A203</f>
        <v>44213</v>
      </c>
      <c r="N206" s="59">
        <f>SUM(B206:K206)</f>
        <v>87767000</v>
      </c>
      <c r="O206" s="94"/>
      <c r="P206" s="97"/>
      <c r="Q206" s="100"/>
      <c r="R206" s="103"/>
      <c r="S206" s="106"/>
      <c r="T206" s="109"/>
      <c r="U206" s="109"/>
      <c r="V206" s="109"/>
      <c r="W206" s="109"/>
      <c r="X206" s="109"/>
      <c r="Y206" s="109"/>
      <c r="Z206" s="109"/>
      <c r="AA206" s="109"/>
      <c r="AB206" s="109"/>
      <c r="AC206" s="109"/>
      <c r="AD206" s="109"/>
      <c r="AE206" s="109"/>
      <c r="AF206" s="109"/>
    </row>
    <row r="207" spans="1:32">
      <c r="A207" s="110">
        <f>+A203+1</f>
        <v>44214</v>
      </c>
      <c r="B207" s="31">
        <v>299</v>
      </c>
      <c r="C207" s="31">
        <v>487</v>
      </c>
      <c r="D207" s="31">
        <v>571</v>
      </c>
      <c r="E207" s="31">
        <v>551</v>
      </c>
      <c r="F207" s="31">
        <v>249</v>
      </c>
      <c r="G207" s="31">
        <v>369</v>
      </c>
      <c r="H207" s="31">
        <v>45</v>
      </c>
      <c r="I207" s="31">
        <v>295</v>
      </c>
      <c r="J207" s="31">
        <v>314</v>
      </c>
      <c r="K207" s="32">
        <v>11</v>
      </c>
      <c r="L207" s="15"/>
      <c r="M207" s="45"/>
      <c r="N207" s="61" t="s">
        <v>38</v>
      </c>
      <c r="O207" s="92">
        <f>+IFERROR(IF(HLOOKUP(S207,$S$3:$AB$3,1,)=S207,S208,0),0)</f>
        <v>20</v>
      </c>
      <c r="P207" s="95">
        <f>IFERROR(+N208/O207,0)</f>
        <v>351125</v>
      </c>
      <c r="Q207" s="98">
        <f>+IFERROR(IF(HLOOKUP(S207,$S$4:$AB$4,1,)=S207,S208,0),0)</f>
        <v>0</v>
      </c>
      <c r="R207" s="101">
        <f>IFERROR(N208/Q207,0)</f>
        <v>0</v>
      </c>
      <c r="S207" s="47" t="s">
        <v>19</v>
      </c>
      <c r="T207" s="107">
        <v>3</v>
      </c>
      <c r="U207" s="107">
        <v>6</v>
      </c>
      <c r="V207" s="107">
        <v>4</v>
      </c>
      <c r="W207" s="107">
        <v>1</v>
      </c>
      <c r="X207" s="107">
        <v>6</v>
      </c>
      <c r="Y207" s="107"/>
      <c r="Z207" s="107"/>
      <c r="AA207" s="107"/>
      <c r="AB207" s="107"/>
      <c r="AC207" s="107">
        <v>0</v>
      </c>
      <c r="AD207" s="107"/>
      <c r="AE207" s="107"/>
      <c r="AF207" s="107"/>
    </row>
    <row r="208" spans="1:32" ht="17.25" thickBot="1">
      <c r="A208" s="111"/>
      <c r="B208" s="35">
        <f t="shared" ref="B208:K208" si="102">+(B207-(B203+B205))*B$4</f>
        <v>3040000</v>
      </c>
      <c r="C208" s="35">
        <f t="shared" si="102"/>
        <v>1820000</v>
      </c>
      <c r="D208" s="35">
        <f t="shared" si="102"/>
        <v>306000</v>
      </c>
      <c r="E208" s="35">
        <f t="shared" si="102"/>
        <v>616000</v>
      </c>
      <c r="F208" s="35">
        <f t="shared" si="102"/>
        <v>448000</v>
      </c>
      <c r="G208" s="35">
        <f t="shared" si="102"/>
        <v>129999.99999999999</v>
      </c>
      <c r="H208" s="35">
        <f t="shared" si="102"/>
        <v>390000</v>
      </c>
      <c r="I208" s="35">
        <f t="shared" si="102"/>
        <v>108000</v>
      </c>
      <c r="J208" s="35">
        <f t="shared" si="102"/>
        <v>63000</v>
      </c>
      <c r="K208" s="35">
        <f t="shared" si="102"/>
        <v>101500</v>
      </c>
      <c r="L208" s="35">
        <f>MONTH(M210)</f>
        <v>1</v>
      </c>
      <c r="M208" s="48" t="str">
        <f>IF(O207&gt;0,"Y","X")</f>
        <v>Y</v>
      </c>
      <c r="N208" s="62">
        <f>IF(SUM(B207:K207)=0,0,SUM(B208:K208))</f>
        <v>7022500</v>
      </c>
      <c r="O208" s="93"/>
      <c r="P208" s="96"/>
      <c r="Q208" s="99"/>
      <c r="R208" s="102"/>
      <c r="S208" s="104">
        <f>SUM(T207:XFD207)</f>
        <v>20</v>
      </c>
      <c r="T208" s="108"/>
      <c r="U208" s="108"/>
      <c r="V208" s="108"/>
      <c r="W208" s="108"/>
      <c r="X208" s="108"/>
      <c r="Y208" s="108"/>
      <c r="Z208" s="108"/>
      <c r="AA208" s="108"/>
      <c r="AB208" s="108"/>
      <c r="AC208" s="108"/>
      <c r="AD208" s="108"/>
      <c r="AE208" s="108"/>
      <c r="AF208" s="108"/>
    </row>
    <row r="209" spans="1:32" ht="17.25" thickTop="1">
      <c r="A209" s="111"/>
      <c r="B209" s="50">
        <v>0</v>
      </c>
      <c r="C209" s="50">
        <v>0</v>
      </c>
      <c r="D209" s="50">
        <v>0</v>
      </c>
      <c r="E209" s="50">
        <v>0</v>
      </c>
      <c r="F209" s="50">
        <v>0</v>
      </c>
      <c r="G209" s="50">
        <v>0</v>
      </c>
      <c r="H209" s="50">
        <v>0</v>
      </c>
      <c r="I209" s="50">
        <v>0</v>
      </c>
      <c r="J209" s="50">
        <v>0</v>
      </c>
      <c r="K209" s="51">
        <v>0</v>
      </c>
      <c r="L209" s="52"/>
      <c r="M209" s="53"/>
      <c r="N209" s="64" t="s">
        <v>39</v>
      </c>
      <c r="O209" s="93"/>
      <c r="P209" s="96"/>
      <c r="Q209" s="99"/>
      <c r="R209" s="102"/>
      <c r="S209" s="105"/>
      <c r="T209" s="108"/>
      <c r="U209" s="108"/>
      <c r="V209" s="108"/>
      <c r="W209" s="108"/>
      <c r="X209" s="108"/>
      <c r="Y209" s="108"/>
      <c r="Z209" s="108"/>
      <c r="AA209" s="108"/>
      <c r="AB209" s="108"/>
      <c r="AC209" s="108"/>
      <c r="AD209" s="108"/>
      <c r="AE209" s="108"/>
      <c r="AF209" s="108"/>
    </row>
    <row r="210" spans="1:32" ht="17.25" thickBot="1">
      <c r="A210" s="112"/>
      <c r="B210" s="55">
        <f t="shared" ref="B210:K210" si="103">+(B207+B209)*B$4</f>
        <v>23920000</v>
      </c>
      <c r="C210" s="55">
        <f t="shared" si="103"/>
        <v>31655000</v>
      </c>
      <c r="D210" s="55">
        <f t="shared" si="103"/>
        <v>10278000</v>
      </c>
      <c r="E210" s="55">
        <f t="shared" si="103"/>
        <v>12122000</v>
      </c>
      <c r="F210" s="55">
        <f t="shared" si="103"/>
        <v>7968000</v>
      </c>
      <c r="G210" s="55">
        <f t="shared" si="103"/>
        <v>1599000</v>
      </c>
      <c r="H210" s="55">
        <f t="shared" si="103"/>
        <v>1350000</v>
      </c>
      <c r="I210" s="55">
        <f t="shared" si="103"/>
        <v>3540000</v>
      </c>
      <c r="J210" s="55">
        <f t="shared" si="103"/>
        <v>2198000</v>
      </c>
      <c r="K210" s="55">
        <f t="shared" si="103"/>
        <v>159500</v>
      </c>
      <c r="L210" s="57"/>
      <c r="M210" s="58">
        <f>A207</f>
        <v>44214</v>
      </c>
      <c r="N210" s="66">
        <f>SUM(B210:K210)</f>
        <v>94789500</v>
      </c>
      <c r="O210" s="94"/>
      <c r="P210" s="97"/>
      <c r="Q210" s="100"/>
      <c r="R210" s="103"/>
      <c r="S210" s="106"/>
      <c r="T210" s="109"/>
      <c r="U210" s="109"/>
      <c r="V210" s="109"/>
      <c r="W210" s="109"/>
      <c r="X210" s="109"/>
      <c r="Y210" s="109"/>
      <c r="Z210" s="109"/>
      <c r="AA210" s="109"/>
      <c r="AB210" s="109"/>
      <c r="AC210" s="109"/>
      <c r="AD210" s="109"/>
      <c r="AE210" s="109"/>
      <c r="AF210" s="109"/>
    </row>
    <row r="211" spans="1:32">
      <c r="A211" s="110">
        <f>+A207+1</f>
        <v>44215</v>
      </c>
      <c r="B211" s="31">
        <v>353</v>
      </c>
      <c r="C211" s="31">
        <v>546</v>
      </c>
      <c r="D211" s="31">
        <v>615</v>
      </c>
      <c r="E211" s="31">
        <v>602</v>
      </c>
      <c r="F211" s="31">
        <v>286</v>
      </c>
      <c r="G211" s="31">
        <v>444</v>
      </c>
      <c r="H211" s="31">
        <v>58</v>
      </c>
      <c r="I211" s="31">
        <v>302</v>
      </c>
      <c r="J211" s="31">
        <v>327</v>
      </c>
      <c r="K211" s="32">
        <v>16</v>
      </c>
      <c r="L211" s="15"/>
      <c r="M211" s="60"/>
      <c r="N211" s="46" t="s">
        <v>38</v>
      </c>
      <c r="O211" s="92">
        <f>+IFERROR(IF(HLOOKUP(S211,$S$3:$AB$3,1,)=S211,S212,0),0)</f>
        <v>35</v>
      </c>
      <c r="P211" s="95">
        <f>IFERROR(+N212/O211,0)</f>
        <v>349014.28571428574</v>
      </c>
      <c r="Q211" s="98">
        <f>+IFERROR(IF(HLOOKUP(S211,$S$4:$AB$4,1,)=S211,S212,0),0)</f>
        <v>0</v>
      </c>
      <c r="R211" s="101">
        <f>IFERROR(N212/Q211,0)</f>
        <v>0</v>
      </c>
      <c r="S211" s="47" t="s">
        <v>20</v>
      </c>
      <c r="T211" s="107">
        <v>5</v>
      </c>
      <c r="U211" s="107">
        <v>6</v>
      </c>
      <c r="V211" s="107">
        <v>6</v>
      </c>
      <c r="W211" s="107"/>
      <c r="X211" s="107">
        <v>6</v>
      </c>
      <c r="Y211" s="107"/>
      <c r="Z211" s="107">
        <v>6</v>
      </c>
      <c r="AA211" s="107"/>
      <c r="AB211" s="107">
        <v>6</v>
      </c>
      <c r="AC211" s="107">
        <v>0</v>
      </c>
      <c r="AD211" s="107"/>
      <c r="AE211" s="107"/>
      <c r="AF211" s="107"/>
    </row>
    <row r="212" spans="1:32" ht="17.25" thickBot="1">
      <c r="A212" s="111"/>
      <c r="B212" s="35">
        <f t="shared" ref="B212:K212" si="104">+(B211-(B207+B209))*B$4</f>
        <v>4320000</v>
      </c>
      <c r="C212" s="35">
        <f t="shared" si="104"/>
        <v>3835000</v>
      </c>
      <c r="D212" s="35">
        <f t="shared" si="104"/>
        <v>792000</v>
      </c>
      <c r="E212" s="35">
        <f t="shared" si="104"/>
        <v>1122000</v>
      </c>
      <c r="F212" s="35">
        <f t="shared" si="104"/>
        <v>1184000</v>
      </c>
      <c r="G212" s="35">
        <f t="shared" si="104"/>
        <v>325000</v>
      </c>
      <c r="H212" s="35">
        <f t="shared" si="104"/>
        <v>390000</v>
      </c>
      <c r="I212" s="35">
        <f t="shared" si="104"/>
        <v>84000</v>
      </c>
      <c r="J212" s="35">
        <f t="shared" si="104"/>
        <v>91000</v>
      </c>
      <c r="K212" s="35">
        <f t="shared" si="104"/>
        <v>72500</v>
      </c>
      <c r="L212" s="35">
        <f>MONTH(M214)</f>
        <v>1</v>
      </c>
      <c r="M212" s="48" t="str">
        <f>IF(O211&gt;0,"Y","X")</f>
        <v>Y</v>
      </c>
      <c r="N212" s="49">
        <f>IF(SUM(B211:K211)=0,0,SUM(B212:K212))</f>
        <v>12215500</v>
      </c>
      <c r="O212" s="93"/>
      <c r="P212" s="96"/>
      <c r="Q212" s="99"/>
      <c r="R212" s="102"/>
      <c r="S212" s="104">
        <f>SUM(T211:XFD211)</f>
        <v>35</v>
      </c>
      <c r="T212" s="108"/>
      <c r="U212" s="108"/>
      <c r="V212" s="108"/>
      <c r="W212" s="108"/>
      <c r="X212" s="108"/>
      <c r="Y212" s="108"/>
      <c r="Z212" s="108"/>
      <c r="AA212" s="108"/>
      <c r="AB212" s="108"/>
      <c r="AC212" s="108"/>
      <c r="AD212" s="108"/>
      <c r="AE212" s="108"/>
      <c r="AF212" s="108"/>
    </row>
    <row r="213" spans="1:32" ht="17.25" thickTop="1">
      <c r="A213" s="111"/>
      <c r="B213" s="50">
        <v>0</v>
      </c>
      <c r="C213" s="50">
        <v>0</v>
      </c>
      <c r="D213" s="50">
        <v>0</v>
      </c>
      <c r="E213" s="50">
        <v>0</v>
      </c>
      <c r="F213" s="50">
        <v>0</v>
      </c>
      <c r="G213" s="50">
        <v>0</v>
      </c>
      <c r="H213" s="50">
        <v>0</v>
      </c>
      <c r="I213" s="50">
        <v>0</v>
      </c>
      <c r="J213" s="50">
        <v>0</v>
      </c>
      <c r="K213" s="51">
        <v>0</v>
      </c>
      <c r="L213" s="52"/>
      <c r="M213" s="63"/>
      <c r="N213" s="54" t="s">
        <v>39</v>
      </c>
      <c r="O213" s="93"/>
      <c r="P213" s="96"/>
      <c r="Q213" s="99"/>
      <c r="R213" s="102"/>
      <c r="S213" s="105"/>
      <c r="T213" s="108"/>
      <c r="U213" s="108"/>
      <c r="V213" s="108"/>
      <c r="W213" s="108"/>
      <c r="X213" s="108"/>
      <c r="Y213" s="108"/>
      <c r="Z213" s="108"/>
      <c r="AA213" s="108"/>
      <c r="AB213" s="108"/>
      <c r="AC213" s="108"/>
      <c r="AD213" s="108"/>
      <c r="AE213" s="108"/>
      <c r="AF213" s="108"/>
    </row>
    <row r="214" spans="1:32" ht="17.25" thickBot="1">
      <c r="A214" s="112"/>
      <c r="B214" s="55">
        <f t="shared" ref="B214:K214" si="105">+(B211+B213)*B$4</f>
        <v>28240000</v>
      </c>
      <c r="C214" s="55">
        <f t="shared" si="105"/>
        <v>35490000</v>
      </c>
      <c r="D214" s="55">
        <f t="shared" si="105"/>
        <v>11070000</v>
      </c>
      <c r="E214" s="55">
        <f t="shared" si="105"/>
        <v>13244000</v>
      </c>
      <c r="F214" s="55">
        <f t="shared" si="105"/>
        <v>9152000</v>
      </c>
      <c r="G214" s="55">
        <f t="shared" si="105"/>
        <v>1923999.9999999998</v>
      </c>
      <c r="H214" s="55">
        <f t="shared" si="105"/>
        <v>1740000</v>
      </c>
      <c r="I214" s="55">
        <f t="shared" si="105"/>
        <v>3624000</v>
      </c>
      <c r="J214" s="55">
        <f t="shared" si="105"/>
        <v>2289000</v>
      </c>
      <c r="K214" s="55">
        <f t="shared" si="105"/>
        <v>232000</v>
      </c>
      <c r="L214" s="57"/>
      <c r="M214" s="65">
        <f>A211</f>
        <v>44215</v>
      </c>
      <c r="N214" s="59">
        <f>SUM(B214:K214)</f>
        <v>107005000</v>
      </c>
      <c r="O214" s="94"/>
      <c r="P214" s="97"/>
      <c r="Q214" s="100"/>
      <c r="R214" s="103"/>
      <c r="S214" s="106"/>
      <c r="T214" s="109"/>
      <c r="U214" s="109"/>
      <c r="V214" s="109"/>
      <c r="W214" s="109"/>
      <c r="X214" s="109"/>
      <c r="Y214" s="109"/>
      <c r="Z214" s="109"/>
      <c r="AA214" s="109"/>
      <c r="AB214" s="109"/>
      <c r="AC214" s="109"/>
      <c r="AD214" s="109"/>
      <c r="AE214" s="109"/>
      <c r="AF214" s="109"/>
    </row>
    <row r="215" spans="1:32">
      <c r="A215" s="110">
        <f>+A211+1</f>
        <v>44216</v>
      </c>
      <c r="B215" s="31">
        <v>394</v>
      </c>
      <c r="C215" s="31">
        <v>598</v>
      </c>
      <c r="D215" s="31">
        <v>654</v>
      </c>
      <c r="E215" s="31">
        <v>652</v>
      </c>
      <c r="F215" s="31">
        <v>312</v>
      </c>
      <c r="G215" s="31">
        <v>484</v>
      </c>
      <c r="H215" s="31">
        <v>71</v>
      </c>
      <c r="I215" s="31">
        <v>311</v>
      </c>
      <c r="J215" s="31">
        <v>341</v>
      </c>
      <c r="K215" s="32">
        <v>28</v>
      </c>
      <c r="L215" s="15"/>
      <c r="M215" s="60"/>
      <c r="N215" s="61" t="s">
        <v>38</v>
      </c>
      <c r="O215" s="92">
        <f>+IFERROR(IF(HLOOKUP(S215,$S$3:$AB$3,1,)=S215,S216,0),0)</f>
        <v>33</v>
      </c>
      <c r="P215" s="95">
        <f>IFERROR(+N216/O215,0)</f>
        <v>310222.22222222225</v>
      </c>
      <c r="Q215" s="98">
        <f>+IFERROR(IF(HLOOKUP(S215,$S$4:$AB$4,1,)=S215,S216,0),0)</f>
        <v>0</v>
      </c>
      <c r="R215" s="101">
        <f>IFERROR(N216/Q215,0)</f>
        <v>0</v>
      </c>
      <c r="S215" s="47" t="s">
        <v>18</v>
      </c>
      <c r="T215" s="107">
        <v>3</v>
      </c>
      <c r="U215" s="107">
        <v>6</v>
      </c>
      <c r="V215" s="107">
        <v>3</v>
      </c>
      <c r="W215" s="107">
        <v>6</v>
      </c>
      <c r="X215" s="107">
        <v>6</v>
      </c>
      <c r="Y215" s="107">
        <v>1</v>
      </c>
      <c r="Z215" s="107">
        <v>6</v>
      </c>
      <c r="AA215" s="107">
        <v>1</v>
      </c>
      <c r="AB215" s="107"/>
      <c r="AC215" s="107">
        <v>0</v>
      </c>
      <c r="AD215" s="107"/>
      <c r="AE215" s="107">
        <v>1</v>
      </c>
      <c r="AF215" s="107"/>
    </row>
    <row r="216" spans="1:32" ht="17.25" thickBot="1">
      <c r="A216" s="111"/>
      <c r="B216" s="35">
        <f t="shared" ref="B216:K216" si="106">+(B215-(B211+B213))*B$4</f>
        <v>3280000</v>
      </c>
      <c r="C216" s="35">
        <f t="shared" si="106"/>
        <v>3380000</v>
      </c>
      <c r="D216" s="35">
        <f t="shared" si="106"/>
        <v>702000</v>
      </c>
      <c r="E216" s="35">
        <f t="shared" si="106"/>
        <v>1100000</v>
      </c>
      <c r="F216" s="35">
        <f t="shared" si="106"/>
        <v>832000</v>
      </c>
      <c r="G216" s="35">
        <f t="shared" si="106"/>
        <v>173333.33333333331</v>
      </c>
      <c r="H216" s="35">
        <f t="shared" si="106"/>
        <v>390000</v>
      </c>
      <c r="I216" s="35">
        <f t="shared" si="106"/>
        <v>108000</v>
      </c>
      <c r="J216" s="35">
        <f t="shared" si="106"/>
        <v>98000</v>
      </c>
      <c r="K216" s="35">
        <f t="shared" si="106"/>
        <v>174000</v>
      </c>
      <c r="L216" s="35">
        <f>MONTH(M218)</f>
        <v>1</v>
      </c>
      <c r="M216" s="48" t="str">
        <f>IF(O215&gt;0,"Y","X")</f>
        <v>Y</v>
      </c>
      <c r="N216" s="62">
        <f>IF(SUM(B215:K215)=0,0,SUM(B216:K216))</f>
        <v>10237333.333333334</v>
      </c>
      <c r="O216" s="93"/>
      <c r="P216" s="96"/>
      <c r="Q216" s="99"/>
      <c r="R216" s="102"/>
      <c r="S216" s="104">
        <f>SUM(T215:XFD215)</f>
        <v>33</v>
      </c>
      <c r="T216" s="108"/>
      <c r="U216" s="108"/>
      <c r="V216" s="108"/>
      <c r="W216" s="108"/>
      <c r="X216" s="108"/>
      <c r="Y216" s="108"/>
      <c r="Z216" s="108"/>
      <c r="AA216" s="108"/>
      <c r="AB216" s="108"/>
      <c r="AC216" s="108"/>
      <c r="AD216" s="108"/>
      <c r="AE216" s="108"/>
      <c r="AF216" s="108"/>
    </row>
    <row r="217" spans="1:32" ht="17.25" thickTop="1">
      <c r="A217" s="111"/>
      <c r="B217" s="50">
        <f>-50-60-80-160</f>
        <v>-350</v>
      </c>
      <c r="C217" s="50">
        <f>-50-60-80-160</f>
        <v>-350</v>
      </c>
      <c r="D217" s="50">
        <f>-60-80-80</f>
        <v>-220</v>
      </c>
      <c r="E217" s="50">
        <f>-200-100-100</f>
        <v>-400</v>
      </c>
      <c r="F217" s="50">
        <f>-60-80</f>
        <v>-140</v>
      </c>
      <c r="G217" s="50">
        <v>0</v>
      </c>
      <c r="H217" s="50">
        <v>0</v>
      </c>
      <c r="I217" s="50">
        <v>0</v>
      </c>
      <c r="J217" s="50">
        <v>0</v>
      </c>
      <c r="K217" s="51">
        <v>0</v>
      </c>
      <c r="L217" s="52"/>
      <c r="M217" s="63"/>
      <c r="N217" s="64" t="s">
        <v>39</v>
      </c>
      <c r="O217" s="93"/>
      <c r="P217" s="96"/>
      <c r="Q217" s="99"/>
      <c r="R217" s="102"/>
      <c r="S217" s="105"/>
      <c r="T217" s="108"/>
      <c r="U217" s="108"/>
      <c r="V217" s="108"/>
      <c r="W217" s="108"/>
      <c r="X217" s="108"/>
      <c r="Y217" s="108"/>
      <c r="Z217" s="108"/>
      <c r="AA217" s="108"/>
      <c r="AB217" s="108"/>
      <c r="AC217" s="108"/>
      <c r="AD217" s="108"/>
      <c r="AE217" s="108"/>
      <c r="AF217" s="108"/>
    </row>
    <row r="218" spans="1:32" ht="17.25" thickBot="1">
      <c r="A218" s="112"/>
      <c r="B218" s="55">
        <f t="shared" ref="B218:K218" si="107">+(B215+B217)*B$4</f>
        <v>3520000</v>
      </c>
      <c r="C218" s="55">
        <f t="shared" si="107"/>
        <v>16120000</v>
      </c>
      <c r="D218" s="55">
        <f t="shared" si="107"/>
        <v>7812000</v>
      </c>
      <c r="E218" s="55">
        <f t="shared" si="107"/>
        <v>5544000</v>
      </c>
      <c r="F218" s="55">
        <f t="shared" si="107"/>
        <v>5504000</v>
      </c>
      <c r="G218" s="55">
        <f t="shared" si="107"/>
        <v>2097333.333333333</v>
      </c>
      <c r="H218" s="55">
        <f t="shared" si="107"/>
        <v>2130000</v>
      </c>
      <c r="I218" s="55">
        <f t="shared" si="107"/>
        <v>3732000</v>
      </c>
      <c r="J218" s="55">
        <f t="shared" si="107"/>
        <v>2387000</v>
      </c>
      <c r="K218" s="55">
        <f t="shared" si="107"/>
        <v>406000</v>
      </c>
      <c r="L218" s="57"/>
      <c r="M218" s="65">
        <f>A215</f>
        <v>44216</v>
      </c>
      <c r="N218" s="66">
        <f>SUM(B218:K218)</f>
        <v>49252333.333333336</v>
      </c>
      <c r="O218" s="94"/>
      <c r="P218" s="97"/>
      <c r="Q218" s="100"/>
      <c r="R218" s="103"/>
      <c r="S218" s="106"/>
      <c r="T218" s="109"/>
      <c r="U218" s="109"/>
      <c r="V218" s="109"/>
      <c r="W218" s="109"/>
      <c r="X218" s="109"/>
      <c r="Y218" s="109"/>
      <c r="Z218" s="109"/>
      <c r="AA218" s="109"/>
      <c r="AB218" s="109"/>
      <c r="AC218" s="109"/>
      <c r="AD218" s="109"/>
      <c r="AE218" s="109"/>
      <c r="AF218" s="109"/>
    </row>
    <row r="219" spans="1:32">
      <c r="A219" s="110">
        <f>+A215+1</f>
        <v>44217</v>
      </c>
      <c r="B219" s="31">
        <v>85</v>
      </c>
      <c r="C219" s="31">
        <v>291</v>
      </c>
      <c r="D219" s="31">
        <v>463</v>
      </c>
      <c r="E219" s="31">
        <v>283</v>
      </c>
      <c r="F219" s="31">
        <v>200</v>
      </c>
      <c r="G219" s="31">
        <v>545</v>
      </c>
      <c r="H219" s="31">
        <v>75</v>
      </c>
      <c r="I219" s="31">
        <v>319</v>
      </c>
      <c r="J219" s="31">
        <v>349</v>
      </c>
      <c r="K219" s="32">
        <v>36</v>
      </c>
      <c r="L219" s="15"/>
      <c r="M219" s="60"/>
      <c r="N219" s="46" t="s">
        <v>38</v>
      </c>
      <c r="O219" s="92">
        <f>+IFERROR(IF(HLOOKUP(S219,$S$3:$AB$3,1,)=S219,S220,0),0)</f>
        <v>0</v>
      </c>
      <c r="P219" s="95">
        <f>IFERROR(+N220/O219,0)</f>
        <v>0</v>
      </c>
      <c r="Q219" s="98">
        <f>+IFERROR(IF(HLOOKUP(S219,$S$4:$AB$4,1,)=S219,S220,0),0)</f>
        <v>33</v>
      </c>
      <c r="R219" s="101">
        <f>IFERROR(N220/Q219,0)</f>
        <v>267494.94949494954</v>
      </c>
      <c r="S219" s="47" t="s">
        <v>24</v>
      </c>
      <c r="T219" s="107">
        <v>3</v>
      </c>
      <c r="U219" s="107">
        <v>6</v>
      </c>
      <c r="V219" s="107">
        <v>6</v>
      </c>
      <c r="W219" s="107"/>
      <c r="X219" s="107">
        <v>6</v>
      </c>
      <c r="Y219" s="107"/>
      <c r="Z219" s="107"/>
      <c r="AA219" s="107">
        <v>6</v>
      </c>
      <c r="AB219" s="107">
        <v>6</v>
      </c>
      <c r="AC219" s="107">
        <v>0</v>
      </c>
      <c r="AD219" s="107"/>
      <c r="AE219" s="107"/>
      <c r="AF219" s="107"/>
    </row>
    <row r="220" spans="1:32" ht="17.25" thickBot="1">
      <c r="A220" s="111"/>
      <c r="B220" s="35">
        <f t="shared" ref="B220:K220" si="108">+(B219-(B215+B217))*B$4</f>
        <v>3280000</v>
      </c>
      <c r="C220" s="35">
        <f t="shared" si="108"/>
        <v>2795000</v>
      </c>
      <c r="D220" s="35">
        <f t="shared" si="108"/>
        <v>522000</v>
      </c>
      <c r="E220" s="35">
        <f t="shared" si="108"/>
        <v>682000</v>
      </c>
      <c r="F220" s="35">
        <f t="shared" si="108"/>
        <v>896000</v>
      </c>
      <c r="G220" s="35">
        <f t="shared" si="108"/>
        <v>264333.33333333331</v>
      </c>
      <c r="H220" s="35">
        <f t="shared" si="108"/>
        <v>120000</v>
      </c>
      <c r="I220" s="35">
        <f t="shared" si="108"/>
        <v>96000</v>
      </c>
      <c r="J220" s="35">
        <f t="shared" si="108"/>
        <v>56000</v>
      </c>
      <c r="K220" s="35">
        <f t="shared" si="108"/>
        <v>116000</v>
      </c>
      <c r="L220" s="35">
        <f>MONTH(M222)</f>
        <v>1</v>
      </c>
      <c r="M220" s="48" t="str">
        <f>IF(O219&gt;0,"Y","X")</f>
        <v>X</v>
      </c>
      <c r="N220" s="49">
        <f>IF(SUM(B219:K219)=0,0,SUM(B220:K220))</f>
        <v>8827333.333333334</v>
      </c>
      <c r="O220" s="93"/>
      <c r="P220" s="96"/>
      <c r="Q220" s="99"/>
      <c r="R220" s="102"/>
      <c r="S220" s="104">
        <f>SUM(T219:XFD219)</f>
        <v>33</v>
      </c>
      <c r="T220" s="108"/>
      <c r="U220" s="108"/>
      <c r="V220" s="108"/>
      <c r="W220" s="108"/>
      <c r="X220" s="108"/>
      <c r="Y220" s="108"/>
      <c r="Z220" s="108"/>
      <c r="AA220" s="108"/>
      <c r="AB220" s="108"/>
      <c r="AC220" s="108"/>
      <c r="AD220" s="108"/>
      <c r="AE220" s="108"/>
      <c r="AF220" s="108"/>
    </row>
    <row r="221" spans="1:32" ht="17.25" thickTop="1">
      <c r="A221" s="111"/>
      <c r="B221" s="50">
        <v>-100</v>
      </c>
      <c r="C221" s="50">
        <v>-100</v>
      </c>
      <c r="D221" s="50">
        <v>0</v>
      </c>
      <c r="E221" s="50">
        <v>-200</v>
      </c>
      <c r="F221" s="50">
        <v>0</v>
      </c>
      <c r="G221" s="50">
        <v>0</v>
      </c>
      <c r="H221" s="50">
        <v>0</v>
      </c>
      <c r="I221" s="50">
        <v>0</v>
      </c>
      <c r="J221" s="50">
        <v>0</v>
      </c>
      <c r="K221" s="51">
        <v>0</v>
      </c>
      <c r="L221" s="52"/>
      <c r="M221" s="63"/>
      <c r="N221" s="54" t="s">
        <v>39</v>
      </c>
      <c r="O221" s="93"/>
      <c r="P221" s="96"/>
      <c r="Q221" s="99"/>
      <c r="R221" s="102"/>
      <c r="S221" s="105"/>
      <c r="T221" s="108"/>
      <c r="U221" s="108"/>
      <c r="V221" s="108"/>
      <c r="W221" s="108"/>
      <c r="X221" s="108"/>
      <c r="Y221" s="108"/>
      <c r="Z221" s="108"/>
      <c r="AA221" s="108"/>
      <c r="AB221" s="108"/>
      <c r="AC221" s="108"/>
      <c r="AD221" s="108"/>
      <c r="AE221" s="108"/>
      <c r="AF221" s="108"/>
    </row>
    <row r="222" spans="1:32" ht="17.25" thickBot="1">
      <c r="A222" s="112"/>
      <c r="B222" s="55">
        <f t="shared" ref="B222:K222" si="109">+(B219+B221)*B$4</f>
        <v>-1200000</v>
      </c>
      <c r="C222" s="55">
        <f t="shared" si="109"/>
        <v>12415000</v>
      </c>
      <c r="D222" s="55">
        <f t="shared" si="109"/>
        <v>8334000</v>
      </c>
      <c r="E222" s="55">
        <f t="shared" si="109"/>
        <v>1826000</v>
      </c>
      <c r="F222" s="55">
        <f t="shared" si="109"/>
        <v>6400000</v>
      </c>
      <c r="G222" s="55">
        <f t="shared" si="109"/>
        <v>2361666.6666666665</v>
      </c>
      <c r="H222" s="55">
        <f t="shared" si="109"/>
        <v>2250000</v>
      </c>
      <c r="I222" s="55">
        <f t="shared" si="109"/>
        <v>3828000</v>
      </c>
      <c r="J222" s="55">
        <f t="shared" si="109"/>
        <v>2443000</v>
      </c>
      <c r="K222" s="55">
        <f t="shared" si="109"/>
        <v>522000</v>
      </c>
      <c r="L222" s="57"/>
      <c r="M222" s="65">
        <f>A219</f>
        <v>44217</v>
      </c>
      <c r="N222" s="59">
        <f>SUM(B222:K222)</f>
        <v>39179666.666666672</v>
      </c>
      <c r="O222" s="94"/>
      <c r="P222" s="97"/>
      <c r="Q222" s="100"/>
      <c r="R222" s="103"/>
      <c r="S222" s="106"/>
      <c r="T222" s="109"/>
      <c r="U222" s="109"/>
      <c r="V222" s="109"/>
      <c r="W222" s="109"/>
      <c r="X222" s="109"/>
      <c r="Y222" s="109"/>
      <c r="Z222" s="109"/>
      <c r="AA222" s="109"/>
      <c r="AB222" s="109"/>
      <c r="AC222" s="109"/>
      <c r="AD222" s="109"/>
      <c r="AE222" s="109"/>
      <c r="AF222" s="109"/>
    </row>
    <row r="223" spans="1:32">
      <c r="A223" s="110">
        <f>+A219+1</f>
        <v>44218</v>
      </c>
      <c r="B223" s="31">
        <v>24</v>
      </c>
      <c r="C223" s="31">
        <v>229</v>
      </c>
      <c r="D223" s="31">
        <v>501</v>
      </c>
      <c r="E223" s="31">
        <v>132</v>
      </c>
      <c r="F223" s="31">
        <v>242</v>
      </c>
      <c r="G223" s="31">
        <v>598</v>
      </c>
      <c r="H223" s="31">
        <v>82</v>
      </c>
      <c r="I223" s="31">
        <v>328</v>
      </c>
      <c r="J223" s="31">
        <v>359</v>
      </c>
      <c r="K223" s="32">
        <v>43</v>
      </c>
      <c r="L223" s="15"/>
      <c r="M223" s="60"/>
      <c r="N223" s="61" t="s">
        <v>38</v>
      </c>
      <c r="O223" s="92">
        <f>+IFERROR(IF(HLOOKUP(S223,$S$3:$AB$3,1,)=S223,S224,0),0)</f>
        <v>0</v>
      </c>
      <c r="P223" s="95">
        <f>IFERROR(+N224/O223,0)</f>
        <v>0</v>
      </c>
      <c r="Q223" s="98">
        <f>+IFERROR(IF(HLOOKUP(S223,$S$4:$AB$4,1,)=S223,S224,0),0)</f>
        <v>39</v>
      </c>
      <c r="R223" s="101">
        <f>IFERROR(N224/Q223,0)</f>
        <v>241414.52991452991</v>
      </c>
      <c r="S223" s="47" t="s">
        <v>23</v>
      </c>
      <c r="T223" s="107">
        <v>3</v>
      </c>
      <c r="U223" s="107">
        <v>6</v>
      </c>
      <c r="V223" s="107">
        <v>6</v>
      </c>
      <c r="W223" s="107">
        <v>6</v>
      </c>
      <c r="X223" s="107">
        <v>6</v>
      </c>
      <c r="Y223" s="107">
        <v>6</v>
      </c>
      <c r="Z223" s="107">
        <v>6</v>
      </c>
      <c r="AA223" s="107"/>
      <c r="AB223" s="107"/>
      <c r="AC223" s="107">
        <v>0</v>
      </c>
      <c r="AD223" s="107"/>
      <c r="AE223" s="107"/>
      <c r="AF223" s="107"/>
    </row>
    <row r="224" spans="1:32" ht="17.25" thickBot="1">
      <c r="A224" s="111"/>
      <c r="B224" s="35">
        <f t="shared" ref="B224:K224" si="110">+(B223-(B219+B221))*B$4</f>
        <v>3120000</v>
      </c>
      <c r="C224" s="35">
        <f t="shared" si="110"/>
        <v>2470000</v>
      </c>
      <c r="D224" s="35">
        <f t="shared" si="110"/>
        <v>684000</v>
      </c>
      <c r="E224" s="35">
        <f t="shared" si="110"/>
        <v>1078000</v>
      </c>
      <c r="F224" s="35">
        <f t="shared" si="110"/>
        <v>1344000</v>
      </c>
      <c r="G224" s="35">
        <f t="shared" si="110"/>
        <v>229666.66666666666</v>
      </c>
      <c r="H224" s="35">
        <f t="shared" si="110"/>
        <v>210000</v>
      </c>
      <c r="I224" s="35">
        <f t="shared" si="110"/>
        <v>108000</v>
      </c>
      <c r="J224" s="35">
        <f t="shared" si="110"/>
        <v>70000</v>
      </c>
      <c r="K224" s="35">
        <f t="shared" si="110"/>
        <v>101500</v>
      </c>
      <c r="L224" s="35">
        <f>MONTH(M226)</f>
        <v>1</v>
      </c>
      <c r="M224" s="48" t="str">
        <f>IF(O223&gt;0,"Y","X")</f>
        <v>X</v>
      </c>
      <c r="N224" s="62">
        <f>IF(SUM(B223:K223)=0,0,SUM(B224:K224))</f>
        <v>9415166.666666666</v>
      </c>
      <c r="O224" s="93"/>
      <c r="P224" s="96"/>
      <c r="Q224" s="99"/>
      <c r="R224" s="102"/>
      <c r="S224" s="104">
        <f>SUM(T223:XFD223)</f>
        <v>39</v>
      </c>
      <c r="T224" s="108"/>
      <c r="U224" s="108"/>
      <c r="V224" s="108"/>
      <c r="W224" s="108"/>
      <c r="X224" s="108"/>
      <c r="Y224" s="108"/>
      <c r="Z224" s="108"/>
      <c r="AA224" s="108"/>
      <c r="AB224" s="108"/>
      <c r="AC224" s="108"/>
      <c r="AD224" s="108"/>
      <c r="AE224" s="108"/>
      <c r="AF224" s="108"/>
    </row>
    <row r="225" spans="1:32" ht="17.25" thickTop="1">
      <c r="A225" s="111"/>
      <c r="B225" s="50">
        <v>-50</v>
      </c>
      <c r="C225" s="50">
        <f>-49-100</f>
        <v>-149</v>
      </c>
      <c r="D225" s="50">
        <v>0</v>
      </c>
      <c r="E225" s="50">
        <v>0</v>
      </c>
      <c r="F225" s="50">
        <v>0</v>
      </c>
      <c r="G225" s="50">
        <v>-60</v>
      </c>
      <c r="H225" s="50">
        <v>-32</v>
      </c>
      <c r="I225" s="50">
        <v>-32</v>
      </c>
      <c r="J225" s="50">
        <v>-32</v>
      </c>
      <c r="K225" s="51">
        <v>-32</v>
      </c>
      <c r="L225" s="52"/>
      <c r="M225" s="63"/>
      <c r="N225" s="64" t="s">
        <v>39</v>
      </c>
      <c r="O225" s="93"/>
      <c r="P225" s="96"/>
      <c r="Q225" s="99"/>
      <c r="R225" s="102"/>
      <c r="S225" s="105"/>
      <c r="T225" s="108"/>
      <c r="U225" s="108"/>
      <c r="V225" s="108"/>
      <c r="W225" s="108"/>
      <c r="X225" s="108"/>
      <c r="Y225" s="108"/>
      <c r="Z225" s="108"/>
      <c r="AA225" s="108"/>
      <c r="AB225" s="108"/>
      <c r="AC225" s="108"/>
      <c r="AD225" s="108"/>
      <c r="AE225" s="108"/>
      <c r="AF225" s="108"/>
    </row>
    <row r="226" spans="1:32" ht="17.25" thickBot="1">
      <c r="A226" s="112"/>
      <c r="B226" s="55">
        <f t="shared" ref="B226:K226" si="111">+(B223+B225)*B$4</f>
        <v>-2080000</v>
      </c>
      <c r="C226" s="55">
        <f t="shared" si="111"/>
        <v>5200000</v>
      </c>
      <c r="D226" s="55">
        <f t="shared" si="111"/>
        <v>9018000</v>
      </c>
      <c r="E226" s="55">
        <f t="shared" si="111"/>
        <v>2904000</v>
      </c>
      <c r="F226" s="55">
        <f t="shared" si="111"/>
        <v>7744000</v>
      </c>
      <c r="G226" s="55">
        <f t="shared" si="111"/>
        <v>2331333.333333333</v>
      </c>
      <c r="H226" s="55">
        <f t="shared" si="111"/>
        <v>1500000</v>
      </c>
      <c r="I226" s="55">
        <f t="shared" si="111"/>
        <v>3552000</v>
      </c>
      <c r="J226" s="55">
        <f t="shared" si="111"/>
        <v>2289000</v>
      </c>
      <c r="K226" s="55">
        <f t="shared" si="111"/>
        <v>159500</v>
      </c>
      <c r="L226" s="57"/>
      <c r="M226" s="65">
        <f>A223</f>
        <v>44218</v>
      </c>
      <c r="N226" s="66">
        <f>SUM(B226:K226)</f>
        <v>32617833.333333332</v>
      </c>
      <c r="O226" s="94"/>
      <c r="P226" s="97"/>
      <c r="Q226" s="100"/>
      <c r="R226" s="103"/>
      <c r="S226" s="106"/>
      <c r="T226" s="109"/>
      <c r="U226" s="109"/>
      <c r="V226" s="109"/>
      <c r="W226" s="109"/>
      <c r="X226" s="109"/>
      <c r="Y226" s="109"/>
      <c r="Z226" s="109"/>
      <c r="AA226" s="109"/>
      <c r="AB226" s="109"/>
      <c r="AC226" s="109"/>
      <c r="AD226" s="109"/>
      <c r="AE226" s="109"/>
      <c r="AF226" s="109"/>
    </row>
    <row r="227" spans="1:32">
      <c r="A227" s="113">
        <f>+A223+1</f>
        <v>44219</v>
      </c>
      <c r="B227" s="31">
        <v>73</v>
      </c>
      <c r="C227" s="31">
        <v>198</v>
      </c>
      <c r="D227" s="31">
        <v>591</v>
      </c>
      <c r="E227" s="31">
        <v>252</v>
      </c>
      <c r="F227" s="31">
        <v>299</v>
      </c>
      <c r="G227" s="31">
        <v>688</v>
      </c>
      <c r="H227" s="31">
        <v>71</v>
      </c>
      <c r="I227" s="31">
        <v>313</v>
      </c>
      <c r="J227" s="31">
        <v>357</v>
      </c>
      <c r="K227" s="32">
        <v>29</v>
      </c>
      <c r="L227" s="15"/>
      <c r="M227" s="60"/>
      <c r="N227" s="46" t="s">
        <v>38</v>
      </c>
      <c r="O227" s="92">
        <f>+IFERROR(IF(HLOOKUP(S227,$S$3:$AB$3,1,)=S227,S228,0),0)</f>
        <v>72</v>
      </c>
      <c r="P227" s="95">
        <f>IFERROR(+N228/O227,0)</f>
        <v>328180.55555555556</v>
      </c>
      <c r="Q227" s="98">
        <f>+IFERROR(IF(HLOOKUP(S227,$S$4:$AB$4,1,)=S227,S228,0),0)</f>
        <v>0</v>
      </c>
      <c r="R227" s="101">
        <f>IFERROR(N228/Q227,0)</f>
        <v>0</v>
      </c>
      <c r="S227" s="47" t="s">
        <v>17</v>
      </c>
      <c r="T227" s="107">
        <v>3</v>
      </c>
      <c r="U227" s="107">
        <v>9</v>
      </c>
      <c r="V227" s="107">
        <v>9</v>
      </c>
      <c r="W227" s="107">
        <v>9</v>
      </c>
      <c r="X227" s="107">
        <v>9</v>
      </c>
      <c r="Y227" s="107">
        <v>6</v>
      </c>
      <c r="Z227" s="107">
        <v>9</v>
      </c>
      <c r="AA227" s="107">
        <v>6</v>
      </c>
      <c r="AB227" s="107">
        <v>6</v>
      </c>
      <c r="AC227" s="107">
        <v>0</v>
      </c>
      <c r="AD227" s="107">
        <v>6</v>
      </c>
      <c r="AE227" s="107"/>
      <c r="AF227" s="107"/>
    </row>
    <row r="228" spans="1:32" ht="17.25" thickBot="1">
      <c r="A228" s="114"/>
      <c r="B228" s="35">
        <f t="shared" ref="B228:K228" si="112">+(B227-(B223+B225))*B$4</f>
        <v>7920000</v>
      </c>
      <c r="C228" s="35">
        <f t="shared" si="112"/>
        <v>7670000</v>
      </c>
      <c r="D228" s="35">
        <f t="shared" si="112"/>
        <v>1620000</v>
      </c>
      <c r="E228" s="35">
        <f t="shared" si="112"/>
        <v>2640000</v>
      </c>
      <c r="F228" s="35">
        <f t="shared" si="112"/>
        <v>1824000</v>
      </c>
      <c r="G228" s="35">
        <f t="shared" si="112"/>
        <v>650000</v>
      </c>
      <c r="H228" s="35">
        <f t="shared" si="112"/>
        <v>630000</v>
      </c>
      <c r="I228" s="35">
        <f t="shared" si="112"/>
        <v>204000</v>
      </c>
      <c r="J228" s="35">
        <f t="shared" si="112"/>
        <v>210000</v>
      </c>
      <c r="K228" s="35">
        <f t="shared" si="112"/>
        <v>261000</v>
      </c>
      <c r="L228" s="35">
        <f>MONTH(M230)</f>
        <v>1</v>
      </c>
      <c r="M228" s="48" t="str">
        <f>IF(O227&gt;0,"Y","X")</f>
        <v>Y</v>
      </c>
      <c r="N228" s="49">
        <f>IF(SUM(B227:K227)=0,0,SUM(B228:K228))</f>
        <v>23629000</v>
      </c>
      <c r="O228" s="93"/>
      <c r="P228" s="96"/>
      <c r="Q228" s="99"/>
      <c r="R228" s="102"/>
      <c r="S228" s="104">
        <f>SUM(T227:XFD227)</f>
        <v>72</v>
      </c>
      <c r="T228" s="108"/>
      <c r="U228" s="108"/>
      <c r="V228" s="108"/>
      <c r="W228" s="108"/>
      <c r="X228" s="108"/>
      <c r="Y228" s="108"/>
      <c r="Z228" s="108"/>
      <c r="AA228" s="108"/>
      <c r="AB228" s="108"/>
      <c r="AC228" s="108"/>
      <c r="AD228" s="108"/>
      <c r="AE228" s="108"/>
      <c r="AF228" s="108"/>
    </row>
    <row r="229" spans="1:32" ht="17.25" thickTop="1">
      <c r="A229" s="114"/>
      <c r="B229" s="50">
        <v>-100</v>
      </c>
      <c r="C229" s="50">
        <v>-100</v>
      </c>
      <c r="D229" s="50">
        <v>0</v>
      </c>
      <c r="E229" s="50">
        <v>-100</v>
      </c>
      <c r="F229" s="50">
        <v>0</v>
      </c>
      <c r="G229" s="50">
        <v>0</v>
      </c>
      <c r="H229" s="50">
        <v>0</v>
      </c>
      <c r="I229" s="50">
        <v>0</v>
      </c>
      <c r="J229" s="50">
        <v>0</v>
      </c>
      <c r="K229" s="51">
        <v>0</v>
      </c>
      <c r="L229" s="52"/>
      <c r="M229" s="63"/>
      <c r="N229" s="54" t="s">
        <v>39</v>
      </c>
      <c r="O229" s="93"/>
      <c r="P229" s="96"/>
      <c r="Q229" s="99"/>
      <c r="R229" s="102"/>
      <c r="S229" s="105"/>
      <c r="T229" s="108"/>
      <c r="U229" s="108"/>
      <c r="V229" s="108"/>
      <c r="W229" s="108"/>
      <c r="X229" s="108"/>
      <c r="Y229" s="108"/>
      <c r="Z229" s="108"/>
      <c r="AA229" s="108"/>
      <c r="AB229" s="108"/>
      <c r="AC229" s="108"/>
      <c r="AD229" s="108"/>
      <c r="AE229" s="108"/>
      <c r="AF229" s="108"/>
    </row>
    <row r="230" spans="1:32" ht="17.25" thickBot="1">
      <c r="A230" s="115"/>
      <c r="B230" s="55">
        <f t="shared" ref="B230:K230" si="113">+(B227+B229)*B$4</f>
        <v>-2160000</v>
      </c>
      <c r="C230" s="55">
        <f t="shared" si="113"/>
        <v>6370000</v>
      </c>
      <c r="D230" s="55">
        <f t="shared" si="113"/>
        <v>10638000</v>
      </c>
      <c r="E230" s="55">
        <f t="shared" si="113"/>
        <v>3344000</v>
      </c>
      <c r="F230" s="55">
        <f t="shared" si="113"/>
        <v>9568000</v>
      </c>
      <c r="G230" s="55">
        <f t="shared" si="113"/>
        <v>2981333.333333333</v>
      </c>
      <c r="H230" s="55">
        <f t="shared" si="113"/>
        <v>2130000</v>
      </c>
      <c r="I230" s="55">
        <f t="shared" si="113"/>
        <v>3756000</v>
      </c>
      <c r="J230" s="55">
        <f t="shared" si="113"/>
        <v>2499000</v>
      </c>
      <c r="K230" s="55">
        <f t="shared" si="113"/>
        <v>420500</v>
      </c>
      <c r="L230" s="57"/>
      <c r="M230" s="65">
        <f>A227</f>
        <v>44219</v>
      </c>
      <c r="N230" s="59">
        <f>SUM(B230:K230)</f>
        <v>39546833.333333328</v>
      </c>
      <c r="O230" s="94"/>
      <c r="P230" s="97"/>
      <c r="Q230" s="100"/>
      <c r="R230" s="103"/>
      <c r="S230" s="106"/>
      <c r="T230" s="109"/>
      <c r="U230" s="109"/>
      <c r="V230" s="109"/>
      <c r="W230" s="109"/>
      <c r="X230" s="109"/>
      <c r="Y230" s="109"/>
      <c r="Z230" s="109"/>
      <c r="AA230" s="109"/>
      <c r="AB230" s="109"/>
      <c r="AC230" s="109"/>
      <c r="AD230" s="109"/>
      <c r="AE230" s="109"/>
      <c r="AF230" s="109"/>
    </row>
    <row r="231" spans="1:32">
      <c r="A231" s="113">
        <f>+A227+1</f>
        <v>44220</v>
      </c>
      <c r="B231" s="31">
        <v>25</v>
      </c>
      <c r="C231" s="31">
        <v>151</v>
      </c>
      <c r="D231" s="31">
        <v>619</v>
      </c>
      <c r="E231" s="31">
        <v>219</v>
      </c>
      <c r="F231" s="31">
        <v>318</v>
      </c>
      <c r="G231" s="31">
        <v>740</v>
      </c>
      <c r="H231" s="31">
        <v>80</v>
      </c>
      <c r="I231" s="31">
        <v>327</v>
      </c>
      <c r="J231" s="31">
        <v>377</v>
      </c>
      <c r="K231" s="32">
        <v>44</v>
      </c>
      <c r="L231" s="15"/>
      <c r="M231" s="60"/>
      <c r="N231" s="61" t="s">
        <v>38</v>
      </c>
      <c r="O231" s="92">
        <f>+IFERROR(IF(HLOOKUP(S231,$S$3:$AB$3,1,)=S231,S232,0),0)</f>
        <v>33</v>
      </c>
      <c r="P231" s="95">
        <f>IFERROR(+N232/O231,0)</f>
        <v>339752.52525252529</v>
      </c>
      <c r="Q231" s="98">
        <f>+IFERROR(IF(HLOOKUP(S231,$S$4:$AB$4,1,)=S231,S232,0),0)</f>
        <v>0</v>
      </c>
      <c r="R231" s="101">
        <f>IFERROR(N232/Q231,0)</f>
        <v>0</v>
      </c>
      <c r="S231" s="47" t="s">
        <v>19</v>
      </c>
      <c r="T231" s="107">
        <v>3</v>
      </c>
      <c r="U231" s="107">
        <v>6</v>
      </c>
      <c r="V231" s="107">
        <v>6</v>
      </c>
      <c r="W231" s="107">
        <v>6</v>
      </c>
      <c r="X231" s="107">
        <v>6</v>
      </c>
      <c r="Y231" s="107"/>
      <c r="Z231" s="107">
        <v>6</v>
      </c>
      <c r="AA231" s="107"/>
      <c r="AB231" s="107"/>
      <c r="AC231" s="107">
        <v>0</v>
      </c>
      <c r="AD231" s="107"/>
      <c r="AE231" s="107"/>
      <c r="AF231" s="107"/>
    </row>
    <row r="232" spans="1:32" ht="17.25" thickBot="1">
      <c r="A232" s="114"/>
      <c r="B232" s="35">
        <f t="shared" ref="B232:K232" si="114">+(B231-(B227+B229))*B$4</f>
        <v>4160000</v>
      </c>
      <c r="C232" s="35">
        <f t="shared" si="114"/>
        <v>3445000</v>
      </c>
      <c r="D232" s="35">
        <f t="shared" si="114"/>
        <v>504000</v>
      </c>
      <c r="E232" s="35">
        <f t="shared" si="114"/>
        <v>1474000</v>
      </c>
      <c r="F232" s="35">
        <f t="shared" si="114"/>
        <v>608000</v>
      </c>
      <c r="G232" s="35">
        <f t="shared" si="114"/>
        <v>225333.33333333331</v>
      </c>
      <c r="H232" s="35">
        <f t="shared" si="114"/>
        <v>270000</v>
      </c>
      <c r="I232" s="35">
        <f t="shared" si="114"/>
        <v>168000</v>
      </c>
      <c r="J232" s="35">
        <f t="shared" si="114"/>
        <v>140000</v>
      </c>
      <c r="K232" s="35">
        <f t="shared" si="114"/>
        <v>217500</v>
      </c>
      <c r="L232" s="35">
        <f>MONTH(M234)</f>
        <v>1</v>
      </c>
      <c r="M232" s="48" t="str">
        <f>IF(O231&gt;0,"Y","X")</f>
        <v>Y</v>
      </c>
      <c r="N232" s="62">
        <f>IF(SUM(B231:K231)=0,0,SUM(B232:K232))</f>
        <v>11211833.333333334</v>
      </c>
      <c r="O232" s="93"/>
      <c r="P232" s="96"/>
      <c r="Q232" s="99"/>
      <c r="R232" s="102"/>
      <c r="S232" s="104">
        <f>SUM(T231:XFD231)</f>
        <v>33</v>
      </c>
      <c r="T232" s="108"/>
      <c r="U232" s="108"/>
      <c r="V232" s="108"/>
      <c r="W232" s="108"/>
      <c r="X232" s="108"/>
      <c r="Y232" s="108"/>
      <c r="Z232" s="108"/>
      <c r="AA232" s="108"/>
      <c r="AB232" s="108"/>
      <c r="AC232" s="108"/>
      <c r="AD232" s="108"/>
      <c r="AE232" s="108"/>
      <c r="AF232" s="108"/>
    </row>
    <row r="233" spans="1:32" ht="17.25" thickTop="1">
      <c r="A233" s="114"/>
      <c r="B233" s="50">
        <v>0</v>
      </c>
      <c r="C233" s="50">
        <v>0</v>
      </c>
      <c r="D233" s="50">
        <v>0</v>
      </c>
      <c r="E233" s="50">
        <v>-100</v>
      </c>
      <c r="F233" s="50">
        <v>0</v>
      </c>
      <c r="G233" s="50">
        <v>0</v>
      </c>
      <c r="H233" s="50">
        <v>0</v>
      </c>
      <c r="I233" s="50">
        <v>0</v>
      </c>
      <c r="J233" s="50">
        <v>0</v>
      </c>
      <c r="K233" s="51">
        <v>0</v>
      </c>
      <c r="L233" s="52"/>
      <c r="M233" s="63"/>
      <c r="N233" s="64" t="s">
        <v>39</v>
      </c>
      <c r="O233" s="93"/>
      <c r="P233" s="96"/>
      <c r="Q233" s="99"/>
      <c r="R233" s="102"/>
      <c r="S233" s="105"/>
      <c r="T233" s="108"/>
      <c r="U233" s="108"/>
      <c r="V233" s="108"/>
      <c r="W233" s="108"/>
      <c r="X233" s="108"/>
      <c r="Y233" s="108"/>
      <c r="Z233" s="108"/>
      <c r="AA233" s="108"/>
      <c r="AB233" s="108"/>
      <c r="AC233" s="108"/>
      <c r="AD233" s="108"/>
      <c r="AE233" s="108"/>
      <c r="AF233" s="108"/>
    </row>
    <row r="234" spans="1:32" ht="17.25" thickBot="1">
      <c r="A234" s="115"/>
      <c r="B234" s="55">
        <f t="shared" ref="B234:K234" si="115">+(B231+B233)*B$4</f>
        <v>2000000</v>
      </c>
      <c r="C234" s="55">
        <f t="shared" si="115"/>
        <v>9815000</v>
      </c>
      <c r="D234" s="55">
        <f t="shared" si="115"/>
        <v>11142000</v>
      </c>
      <c r="E234" s="55">
        <f t="shared" si="115"/>
        <v>2618000</v>
      </c>
      <c r="F234" s="55">
        <f t="shared" si="115"/>
        <v>10176000</v>
      </c>
      <c r="G234" s="55">
        <f t="shared" si="115"/>
        <v>3206666.6666666665</v>
      </c>
      <c r="H234" s="55">
        <f t="shared" si="115"/>
        <v>2400000</v>
      </c>
      <c r="I234" s="55">
        <f t="shared" si="115"/>
        <v>3924000</v>
      </c>
      <c r="J234" s="55">
        <f t="shared" si="115"/>
        <v>2639000</v>
      </c>
      <c r="K234" s="55">
        <f t="shared" si="115"/>
        <v>638000</v>
      </c>
      <c r="L234" s="57"/>
      <c r="M234" s="65">
        <f>A231</f>
        <v>44220</v>
      </c>
      <c r="N234" s="66">
        <f>SUM(B234:K234)</f>
        <v>48558666.666666664</v>
      </c>
      <c r="O234" s="94"/>
      <c r="P234" s="97"/>
      <c r="Q234" s="100"/>
      <c r="R234" s="103"/>
      <c r="S234" s="106"/>
      <c r="T234" s="109"/>
      <c r="U234" s="109"/>
      <c r="V234" s="109"/>
      <c r="W234" s="109"/>
      <c r="X234" s="109"/>
      <c r="Y234" s="109"/>
      <c r="Z234" s="109"/>
      <c r="AA234" s="109"/>
      <c r="AB234" s="109"/>
      <c r="AC234" s="109"/>
      <c r="AD234" s="109"/>
      <c r="AE234" s="109"/>
      <c r="AF234" s="109"/>
    </row>
    <row r="235" spans="1:32">
      <c r="A235" s="110">
        <f>+A231+1</f>
        <v>44221</v>
      </c>
      <c r="B235" s="31">
        <v>69</v>
      </c>
      <c r="C235" s="31">
        <v>199</v>
      </c>
      <c r="D235" s="31">
        <v>661</v>
      </c>
      <c r="E235" s="31">
        <v>172</v>
      </c>
      <c r="F235" s="31">
        <v>342</v>
      </c>
      <c r="G235" s="31">
        <v>799</v>
      </c>
      <c r="H235" s="31">
        <v>90</v>
      </c>
      <c r="I235" s="31">
        <v>335</v>
      </c>
      <c r="J235" s="31">
        <v>392</v>
      </c>
      <c r="K235" s="32">
        <v>56</v>
      </c>
      <c r="L235" s="15"/>
      <c r="M235" s="45"/>
      <c r="N235" s="46" t="s">
        <v>38</v>
      </c>
      <c r="O235" s="92">
        <f>+IFERROR(IF(HLOOKUP(S235,$S$3:$AB$3,1,)=S235,S236,0),0)</f>
        <v>21</v>
      </c>
      <c r="P235" s="95">
        <f>IFERROR(+N236/O235,0)</f>
        <v>488603.17460317456</v>
      </c>
      <c r="Q235" s="98">
        <f>+IFERROR(IF(HLOOKUP(S235,$S$4:$AB$4,1,)=S235,S236,0),0)</f>
        <v>0</v>
      </c>
      <c r="R235" s="101">
        <f>IFERROR(N236/Q235,0)</f>
        <v>0</v>
      </c>
      <c r="S235" s="47" t="s">
        <v>20</v>
      </c>
      <c r="T235" s="107">
        <v>3</v>
      </c>
      <c r="U235" s="107">
        <v>6</v>
      </c>
      <c r="V235" s="107"/>
      <c r="W235" s="107"/>
      <c r="X235" s="107">
        <v>6</v>
      </c>
      <c r="Y235" s="107"/>
      <c r="Z235" s="107">
        <v>6</v>
      </c>
      <c r="AA235" s="107"/>
      <c r="AB235" s="107"/>
      <c r="AC235" s="107">
        <v>0</v>
      </c>
      <c r="AD235" s="107"/>
      <c r="AE235" s="107"/>
      <c r="AF235" s="107"/>
    </row>
    <row r="236" spans="1:32" ht="17.25" thickBot="1">
      <c r="A236" s="111"/>
      <c r="B236" s="35">
        <f t="shared" ref="B236:K236" si="116">+(B235-(B231+B233))*B$4</f>
        <v>3520000</v>
      </c>
      <c r="C236" s="35">
        <f t="shared" si="116"/>
        <v>3120000</v>
      </c>
      <c r="D236" s="35">
        <f t="shared" si="116"/>
        <v>756000</v>
      </c>
      <c r="E236" s="35">
        <f t="shared" si="116"/>
        <v>1166000</v>
      </c>
      <c r="F236" s="35">
        <f t="shared" si="116"/>
        <v>768000</v>
      </c>
      <c r="G236" s="35">
        <f t="shared" si="116"/>
        <v>255666.66666666666</v>
      </c>
      <c r="H236" s="35">
        <f t="shared" si="116"/>
        <v>300000</v>
      </c>
      <c r="I236" s="35">
        <f t="shared" si="116"/>
        <v>96000</v>
      </c>
      <c r="J236" s="35">
        <f t="shared" si="116"/>
        <v>105000</v>
      </c>
      <c r="K236" s="35">
        <f t="shared" si="116"/>
        <v>174000</v>
      </c>
      <c r="L236" s="35">
        <f>MONTH(M238)</f>
        <v>1</v>
      </c>
      <c r="M236" s="48" t="str">
        <f>IF(O235&gt;0,"Y","X")</f>
        <v>Y</v>
      </c>
      <c r="N236" s="49">
        <f>IF(SUM(B235:K235)=0,0,SUM(B236:K236))</f>
        <v>10260666.666666666</v>
      </c>
      <c r="O236" s="93"/>
      <c r="P236" s="96"/>
      <c r="Q236" s="99"/>
      <c r="R236" s="102"/>
      <c r="S236" s="104">
        <f>SUM(T235:XFD235)</f>
        <v>21</v>
      </c>
      <c r="T236" s="108"/>
      <c r="U236" s="108"/>
      <c r="V236" s="108"/>
      <c r="W236" s="108"/>
      <c r="X236" s="108"/>
      <c r="Y236" s="108"/>
      <c r="Z236" s="108"/>
      <c r="AA236" s="108"/>
      <c r="AB236" s="108"/>
      <c r="AC236" s="108"/>
      <c r="AD236" s="108"/>
      <c r="AE236" s="108"/>
      <c r="AF236" s="108"/>
    </row>
    <row r="237" spans="1:32" ht="17.25" thickTop="1">
      <c r="A237" s="111"/>
      <c r="B237" s="50">
        <f>-74-20</f>
        <v>-94</v>
      </c>
      <c r="C237" s="50">
        <f>-74-20</f>
        <v>-94</v>
      </c>
      <c r="D237" s="50">
        <f>-37-20</f>
        <v>-57</v>
      </c>
      <c r="E237" s="50">
        <v>0</v>
      </c>
      <c r="F237" s="50">
        <v>-20</v>
      </c>
      <c r="G237" s="50">
        <v>0</v>
      </c>
      <c r="H237" s="50">
        <v>0</v>
      </c>
      <c r="I237" s="50">
        <v>0</v>
      </c>
      <c r="J237" s="50">
        <v>0</v>
      </c>
      <c r="K237" s="51">
        <v>0</v>
      </c>
      <c r="L237" s="52"/>
      <c r="M237" s="53"/>
      <c r="N237" s="54" t="s">
        <v>39</v>
      </c>
      <c r="O237" s="93"/>
      <c r="P237" s="96"/>
      <c r="Q237" s="99"/>
      <c r="R237" s="102"/>
      <c r="S237" s="105"/>
      <c r="T237" s="108"/>
      <c r="U237" s="108"/>
      <c r="V237" s="108"/>
      <c r="W237" s="108"/>
      <c r="X237" s="108"/>
      <c r="Y237" s="108"/>
      <c r="Z237" s="108"/>
      <c r="AA237" s="108"/>
      <c r="AB237" s="108"/>
      <c r="AC237" s="108"/>
      <c r="AD237" s="108"/>
      <c r="AE237" s="108"/>
      <c r="AF237" s="108"/>
    </row>
    <row r="238" spans="1:32" ht="17.25" thickBot="1">
      <c r="A238" s="112"/>
      <c r="B238" s="55">
        <f t="shared" ref="B238:K238" si="117">+(B235+B237)*B$4</f>
        <v>-2000000</v>
      </c>
      <c r="C238" s="55">
        <f t="shared" si="117"/>
        <v>6825000</v>
      </c>
      <c r="D238" s="55">
        <f t="shared" si="117"/>
        <v>10872000</v>
      </c>
      <c r="E238" s="55">
        <f t="shared" si="117"/>
        <v>3784000</v>
      </c>
      <c r="F238" s="55">
        <f t="shared" si="117"/>
        <v>10304000</v>
      </c>
      <c r="G238" s="55">
        <f t="shared" si="117"/>
        <v>3462333.333333333</v>
      </c>
      <c r="H238" s="55">
        <f t="shared" si="117"/>
        <v>2700000</v>
      </c>
      <c r="I238" s="55">
        <f t="shared" si="117"/>
        <v>4020000</v>
      </c>
      <c r="J238" s="55">
        <f t="shared" si="117"/>
        <v>2744000</v>
      </c>
      <c r="K238" s="55">
        <f t="shared" si="117"/>
        <v>812000</v>
      </c>
      <c r="L238" s="57"/>
      <c r="M238" s="58">
        <f>A235</f>
        <v>44221</v>
      </c>
      <c r="N238" s="59">
        <f>SUM(B238:K238)</f>
        <v>43523333.333333328</v>
      </c>
      <c r="O238" s="94"/>
      <c r="P238" s="97"/>
      <c r="Q238" s="100"/>
      <c r="R238" s="103"/>
      <c r="S238" s="106"/>
      <c r="T238" s="109"/>
      <c r="U238" s="109"/>
      <c r="V238" s="109"/>
      <c r="W238" s="109"/>
      <c r="X238" s="109"/>
      <c r="Y238" s="109"/>
      <c r="Z238" s="109"/>
      <c r="AA238" s="109"/>
      <c r="AB238" s="109"/>
      <c r="AC238" s="109"/>
      <c r="AD238" s="109"/>
      <c r="AE238" s="109"/>
      <c r="AF238" s="109"/>
    </row>
    <row r="239" spans="1:32">
      <c r="A239" s="110">
        <f>+A235+1</f>
        <v>44222</v>
      </c>
      <c r="B239" s="31">
        <v>12</v>
      </c>
      <c r="C239" s="31">
        <v>145</v>
      </c>
      <c r="D239" s="31">
        <v>623</v>
      </c>
      <c r="E239" s="31">
        <v>221</v>
      </c>
      <c r="F239" s="31">
        <v>335</v>
      </c>
      <c r="G239" s="31">
        <v>847</v>
      </c>
      <c r="H239" s="31">
        <v>101</v>
      </c>
      <c r="I239" s="31">
        <v>344</v>
      </c>
      <c r="J239" s="31">
        <v>401</v>
      </c>
      <c r="K239" s="32">
        <v>59</v>
      </c>
      <c r="L239" s="15"/>
      <c r="M239" s="60"/>
      <c r="N239" s="61" t="s">
        <v>38</v>
      </c>
      <c r="O239" s="92">
        <f>+IFERROR(IF(HLOOKUP(S239,$S$3:$AB$3,1,)=S239,S240,0),0)</f>
        <v>28</v>
      </c>
      <c r="P239" s="95">
        <f>IFERROR(+N240/O239,0)</f>
        <v>291017.85714285716</v>
      </c>
      <c r="Q239" s="98">
        <f>+IFERROR(IF(HLOOKUP(S239,$S$4:$AB$4,1,)=S239,S240,0),0)</f>
        <v>0</v>
      </c>
      <c r="R239" s="101">
        <f>IFERROR(N240/Q239,0)</f>
        <v>0</v>
      </c>
      <c r="S239" s="47" t="s">
        <v>18</v>
      </c>
      <c r="T239" s="107">
        <v>4</v>
      </c>
      <c r="U239" s="107">
        <v>6</v>
      </c>
      <c r="V239" s="107">
        <v>6</v>
      </c>
      <c r="W239" s="107">
        <v>6</v>
      </c>
      <c r="X239" s="107">
        <v>6</v>
      </c>
      <c r="Y239" s="107"/>
      <c r="Z239" s="107"/>
      <c r="AA239" s="107"/>
      <c r="AB239" s="107"/>
      <c r="AC239" s="107">
        <v>0</v>
      </c>
      <c r="AD239" s="107"/>
      <c r="AE239" s="107"/>
      <c r="AF239" s="107"/>
    </row>
    <row r="240" spans="1:32" ht="17.25" thickBot="1">
      <c r="A240" s="111"/>
      <c r="B240" s="35">
        <f t="shared" ref="B240:K240" si="118">+(B239-(B235+B237))*B$4</f>
        <v>2960000</v>
      </c>
      <c r="C240" s="35">
        <f t="shared" si="118"/>
        <v>2600000</v>
      </c>
      <c r="D240" s="35">
        <f t="shared" si="118"/>
        <v>342000</v>
      </c>
      <c r="E240" s="35">
        <f t="shared" si="118"/>
        <v>1078000</v>
      </c>
      <c r="F240" s="35">
        <f t="shared" si="118"/>
        <v>416000</v>
      </c>
      <c r="G240" s="35">
        <f t="shared" si="118"/>
        <v>208000</v>
      </c>
      <c r="H240" s="35">
        <f t="shared" si="118"/>
        <v>330000</v>
      </c>
      <c r="I240" s="35">
        <f t="shared" si="118"/>
        <v>108000</v>
      </c>
      <c r="J240" s="35">
        <f t="shared" si="118"/>
        <v>63000</v>
      </c>
      <c r="K240" s="35">
        <f t="shared" si="118"/>
        <v>43500</v>
      </c>
      <c r="L240" s="35">
        <f>MONTH(M242)</f>
        <v>1</v>
      </c>
      <c r="M240" s="48" t="str">
        <f>IF(O239&gt;0,"Y","X")</f>
        <v>Y</v>
      </c>
      <c r="N240" s="62">
        <f>IF(SUM(B239:K239)=0,0,SUM(B240:K240))</f>
        <v>8148500</v>
      </c>
      <c r="O240" s="93"/>
      <c r="P240" s="96"/>
      <c r="Q240" s="99"/>
      <c r="R240" s="102"/>
      <c r="S240" s="104">
        <f>SUM(T239:XFD239)</f>
        <v>28</v>
      </c>
      <c r="T240" s="108"/>
      <c r="U240" s="108"/>
      <c r="V240" s="108"/>
      <c r="W240" s="108"/>
      <c r="X240" s="108"/>
      <c r="Y240" s="108"/>
      <c r="Z240" s="108"/>
      <c r="AA240" s="108"/>
      <c r="AB240" s="108"/>
      <c r="AC240" s="108"/>
      <c r="AD240" s="108"/>
      <c r="AE240" s="108"/>
      <c r="AF240" s="108"/>
    </row>
    <row r="241" spans="1:32" ht="17.25" thickTop="1">
      <c r="A241" s="111"/>
      <c r="B241" s="50">
        <f>-50+37+21-60</f>
        <v>-52</v>
      </c>
      <c r="C241" s="50">
        <f>-50-50+35-60</f>
        <v>-125</v>
      </c>
      <c r="D241" s="50">
        <f>-200-60</f>
        <v>-260</v>
      </c>
      <c r="E241" s="50">
        <f>-100-100</f>
        <v>-200</v>
      </c>
      <c r="F241" s="50">
        <v>-60</v>
      </c>
      <c r="G241" s="50">
        <v>0</v>
      </c>
      <c r="H241" s="50">
        <v>0</v>
      </c>
      <c r="I241" s="50">
        <v>0</v>
      </c>
      <c r="J241" s="50">
        <v>0</v>
      </c>
      <c r="K241" s="51">
        <v>0</v>
      </c>
      <c r="L241" s="52"/>
      <c r="M241" s="63"/>
      <c r="N241" s="64" t="s">
        <v>39</v>
      </c>
      <c r="O241" s="93"/>
      <c r="P241" s="96"/>
      <c r="Q241" s="99"/>
      <c r="R241" s="102"/>
      <c r="S241" s="105"/>
      <c r="T241" s="108"/>
      <c r="U241" s="108"/>
      <c r="V241" s="108"/>
      <c r="W241" s="108"/>
      <c r="X241" s="108"/>
      <c r="Y241" s="108"/>
      <c r="Z241" s="108"/>
      <c r="AA241" s="108"/>
      <c r="AB241" s="108"/>
      <c r="AC241" s="108"/>
      <c r="AD241" s="108"/>
      <c r="AE241" s="108"/>
      <c r="AF241" s="108"/>
    </row>
    <row r="242" spans="1:32" ht="17.25" thickBot="1">
      <c r="A242" s="112"/>
      <c r="B242" s="55">
        <f t="shared" ref="B242:K242" si="119">+(B239+B241)*B$4</f>
        <v>-3200000</v>
      </c>
      <c r="C242" s="55">
        <f t="shared" si="119"/>
        <v>1300000</v>
      </c>
      <c r="D242" s="55">
        <f t="shared" si="119"/>
        <v>6534000</v>
      </c>
      <c r="E242" s="55">
        <f t="shared" si="119"/>
        <v>462000</v>
      </c>
      <c r="F242" s="55">
        <f t="shared" si="119"/>
        <v>8800000</v>
      </c>
      <c r="G242" s="55">
        <f t="shared" si="119"/>
        <v>3670333.333333333</v>
      </c>
      <c r="H242" s="55">
        <f t="shared" si="119"/>
        <v>3030000</v>
      </c>
      <c r="I242" s="55">
        <f t="shared" si="119"/>
        <v>4128000</v>
      </c>
      <c r="J242" s="55">
        <f t="shared" si="119"/>
        <v>2807000</v>
      </c>
      <c r="K242" s="55">
        <f t="shared" si="119"/>
        <v>855500</v>
      </c>
      <c r="L242" s="57"/>
      <c r="M242" s="65">
        <f>A239</f>
        <v>44222</v>
      </c>
      <c r="N242" s="66">
        <f>SUM(B242:K242)</f>
        <v>28386833.333333332</v>
      </c>
      <c r="O242" s="94"/>
      <c r="P242" s="97"/>
      <c r="Q242" s="100"/>
      <c r="R242" s="103"/>
      <c r="S242" s="106"/>
      <c r="T242" s="109"/>
      <c r="U242" s="109"/>
      <c r="V242" s="109"/>
      <c r="W242" s="109"/>
      <c r="X242" s="109"/>
      <c r="Y242" s="109"/>
      <c r="Z242" s="109"/>
      <c r="AA242" s="109"/>
      <c r="AB242" s="109"/>
      <c r="AC242" s="109"/>
      <c r="AD242" s="109"/>
      <c r="AE242" s="109"/>
      <c r="AF242" s="109"/>
    </row>
    <row r="243" spans="1:32">
      <c r="A243" s="110">
        <f>+A239+1</f>
        <v>44223</v>
      </c>
      <c r="B243" s="31">
        <v>9</v>
      </c>
      <c r="C243" s="31">
        <v>77</v>
      </c>
      <c r="D243" s="31">
        <v>411</v>
      </c>
      <c r="E243" s="31">
        <v>78</v>
      </c>
      <c r="F243" s="31">
        <v>316</v>
      </c>
      <c r="G243" s="31">
        <v>918</v>
      </c>
      <c r="H243" s="31">
        <v>120</v>
      </c>
      <c r="I243" s="31">
        <v>348</v>
      </c>
      <c r="J243" s="31">
        <v>416</v>
      </c>
      <c r="K243" s="32">
        <v>82</v>
      </c>
      <c r="L243" s="15"/>
      <c r="M243" s="60"/>
      <c r="N243" s="46" t="s">
        <v>38</v>
      </c>
      <c r="O243" s="92">
        <f>+IFERROR(IF(HLOOKUP(S243,$S$3:$AB$3,1,)=S243,S244,0),0)</f>
        <v>0</v>
      </c>
      <c r="P243" s="95">
        <f>IFERROR(+N244/O243,0)</f>
        <v>0</v>
      </c>
      <c r="Q243" s="98">
        <f>+IFERROR(IF(HLOOKUP(S243,$S$4:$AB$4,1,)=S243,S244,0),0)</f>
        <v>44</v>
      </c>
      <c r="R243" s="101">
        <f>IFERROR(N244/Q243,0)</f>
        <v>282253.78787878784</v>
      </c>
      <c r="S243" s="47" t="s">
        <v>24</v>
      </c>
      <c r="T243" s="107">
        <v>8</v>
      </c>
      <c r="U243" s="107">
        <v>6</v>
      </c>
      <c r="V243" s="107">
        <v>6</v>
      </c>
      <c r="W243" s="107">
        <v>6</v>
      </c>
      <c r="X243" s="107">
        <v>6</v>
      </c>
      <c r="Y243" s="107"/>
      <c r="Z243" s="107">
        <v>6</v>
      </c>
      <c r="AA243" s="107"/>
      <c r="AB243" s="107">
        <v>6</v>
      </c>
      <c r="AC243" s="107">
        <v>0</v>
      </c>
      <c r="AD243" s="107"/>
      <c r="AE243" s="107"/>
      <c r="AF243" s="107"/>
    </row>
    <row r="244" spans="1:32" ht="17.25" thickBot="1">
      <c r="A244" s="111"/>
      <c r="B244" s="35">
        <f t="shared" ref="B244:K244" si="120">+(B243-(B239+B241))*B$4</f>
        <v>3920000</v>
      </c>
      <c r="C244" s="35">
        <f t="shared" si="120"/>
        <v>3705000</v>
      </c>
      <c r="D244" s="35">
        <f t="shared" si="120"/>
        <v>864000</v>
      </c>
      <c r="E244" s="35">
        <f t="shared" si="120"/>
        <v>1254000</v>
      </c>
      <c r="F244" s="35">
        <f t="shared" si="120"/>
        <v>1312000</v>
      </c>
      <c r="G244" s="35">
        <f t="shared" si="120"/>
        <v>307666.66666666663</v>
      </c>
      <c r="H244" s="35">
        <f t="shared" si="120"/>
        <v>570000</v>
      </c>
      <c r="I244" s="35">
        <f t="shared" si="120"/>
        <v>48000</v>
      </c>
      <c r="J244" s="35">
        <f t="shared" si="120"/>
        <v>105000</v>
      </c>
      <c r="K244" s="35">
        <f t="shared" si="120"/>
        <v>333500</v>
      </c>
      <c r="L244" s="35">
        <f>MONTH(M246)</f>
        <v>1</v>
      </c>
      <c r="M244" s="48" t="str">
        <f>IF(O243&gt;0,"Y","X")</f>
        <v>X</v>
      </c>
      <c r="N244" s="49">
        <f>IF(SUM(B243:K243)=0,0,SUM(B244:K244))</f>
        <v>12419166.666666666</v>
      </c>
      <c r="O244" s="93"/>
      <c r="P244" s="96"/>
      <c r="Q244" s="99"/>
      <c r="R244" s="102"/>
      <c r="S244" s="104">
        <f>SUM(T243:XFD243)</f>
        <v>44</v>
      </c>
      <c r="T244" s="108"/>
      <c r="U244" s="108"/>
      <c r="V244" s="108"/>
      <c r="W244" s="108"/>
      <c r="X244" s="108"/>
      <c r="Y244" s="108"/>
      <c r="Z244" s="108"/>
      <c r="AA244" s="108"/>
      <c r="AB244" s="108"/>
      <c r="AC244" s="108"/>
      <c r="AD244" s="108"/>
      <c r="AE244" s="108"/>
      <c r="AF244" s="108"/>
    </row>
    <row r="245" spans="1:32" ht="17.25" thickTop="1">
      <c r="A245" s="111"/>
      <c r="B245" s="50">
        <v>0</v>
      </c>
      <c r="C245" s="50">
        <v>0</v>
      </c>
      <c r="D245" s="50">
        <v>0</v>
      </c>
      <c r="E245" s="50">
        <v>0</v>
      </c>
      <c r="F245" s="50">
        <v>0</v>
      </c>
      <c r="G245" s="50">
        <v>0</v>
      </c>
      <c r="H245" s="50">
        <v>0</v>
      </c>
      <c r="I245" s="50">
        <v>0</v>
      </c>
      <c r="J245" s="50">
        <v>0</v>
      </c>
      <c r="K245" s="51">
        <v>0</v>
      </c>
      <c r="L245" s="52"/>
      <c r="M245" s="63"/>
      <c r="N245" s="54" t="s">
        <v>39</v>
      </c>
      <c r="O245" s="93"/>
      <c r="P245" s="96"/>
      <c r="Q245" s="99"/>
      <c r="R245" s="102"/>
      <c r="S245" s="105"/>
      <c r="T245" s="108"/>
      <c r="U245" s="108"/>
      <c r="V245" s="108"/>
      <c r="W245" s="108"/>
      <c r="X245" s="108"/>
      <c r="Y245" s="108"/>
      <c r="Z245" s="108"/>
      <c r="AA245" s="108"/>
      <c r="AB245" s="108"/>
      <c r="AC245" s="108"/>
      <c r="AD245" s="108"/>
      <c r="AE245" s="108"/>
      <c r="AF245" s="108"/>
    </row>
    <row r="246" spans="1:32" ht="17.25" thickBot="1">
      <c r="A246" s="112"/>
      <c r="B246" s="55">
        <f t="shared" ref="B246:K246" si="121">+(B243+B245)*B$4</f>
        <v>720000</v>
      </c>
      <c r="C246" s="55">
        <f t="shared" si="121"/>
        <v>5005000</v>
      </c>
      <c r="D246" s="55">
        <f t="shared" si="121"/>
        <v>7398000</v>
      </c>
      <c r="E246" s="55">
        <f t="shared" si="121"/>
        <v>1716000</v>
      </c>
      <c r="F246" s="55">
        <f t="shared" si="121"/>
        <v>10112000</v>
      </c>
      <c r="G246" s="55">
        <f t="shared" si="121"/>
        <v>3977999.9999999995</v>
      </c>
      <c r="H246" s="55">
        <f t="shared" si="121"/>
        <v>3600000</v>
      </c>
      <c r="I246" s="55">
        <f t="shared" si="121"/>
        <v>4176000</v>
      </c>
      <c r="J246" s="55">
        <f t="shared" si="121"/>
        <v>2912000</v>
      </c>
      <c r="K246" s="55">
        <f t="shared" si="121"/>
        <v>1189000</v>
      </c>
      <c r="L246" s="57"/>
      <c r="M246" s="65">
        <f>A243</f>
        <v>44223</v>
      </c>
      <c r="N246" s="59">
        <f>SUM(B246:K246)</f>
        <v>40806000</v>
      </c>
      <c r="O246" s="94"/>
      <c r="P246" s="97"/>
      <c r="Q246" s="100"/>
      <c r="R246" s="103"/>
      <c r="S246" s="106"/>
      <c r="T246" s="109"/>
      <c r="U246" s="109"/>
      <c r="V246" s="109"/>
      <c r="W246" s="109"/>
      <c r="X246" s="109"/>
      <c r="Y246" s="109"/>
      <c r="Z246" s="109"/>
      <c r="AA246" s="109"/>
      <c r="AB246" s="109"/>
      <c r="AC246" s="109"/>
      <c r="AD246" s="109"/>
      <c r="AE246" s="109"/>
      <c r="AF246" s="109"/>
    </row>
    <row r="247" spans="1:32">
      <c r="A247" s="110">
        <f>+A243+1</f>
        <v>44224</v>
      </c>
      <c r="B247" s="31">
        <v>9</v>
      </c>
      <c r="C247" s="31">
        <v>77</v>
      </c>
      <c r="D247" s="31">
        <v>411</v>
      </c>
      <c r="E247" s="31">
        <v>78</v>
      </c>
      <c r="F247" s="31">
        <v>316</v>
      </c>
      <c r="G247" s="31">
        <v>918</v>
      </c>
      <c r="H247" s="31">
        <v>120</v>
      </c>
      <c r="I247" s="31">
        <v>348</v>
      </c>
      <c r="J247" s="31">
        <v>416</v>
      </c>
      <c r="K247" s="32">
        <v>82</v>
      </c>
      <c r="L247" s="15"/>
      <c r="M247" s="60"/>
      <c r="N247" s="61" t="s">
        <v>38</v>
      </c>
      <c r="O247" s="92">
        <f>+IFERROR(IF(HLOOKUP(S247,$S$3:$AB$3,1,)=S247,S248,0),0)</f>
        <v>0</v>
      </c>
      <c r="P247" s="95">
        <f>IFERROR(+N248/O247,0)</f>
        <v>0</v>
      </c>
      <c r="Q247" s="98">
        <f>+IFERROR(IF(HLOOKUP(S247,$S$4:$AB$4,1,)=S247,S248,0),0)</f>
        <v>0</v>
      </c>
      <c r="R247" s="101">
        <f>IFERROR(N248/Q247,0)</f>
        <v>0</v>
      </c>
      <c r="S247" s="47" t="s">
        <v>23</v>
      </c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>
        <v>0</v>
      </c>
      <c r="AD247" s="107"/>
      <c r="AE247" s="107"/>
      <c r="AF247" s="107"/>
    </row>
    <row r="248" spans="1:32" ht="17.25" thickBot="1">
      <c r="A248" s="111"/>
      <c r="B248" s="35">
        <f t="shared" ref="B248:K248" si="122">+(B247-(B243+B245))*B$4</f>
        <v>0</v>
      </c>
      <c r="C248" s="35">
        <f t="shared" si="122"/>
        <v>0</v>
      </c>
      <c r="D248" s="35">
        <f t="shared" si="122"/>
        <v>0</v>
      </c>
      <c r="E248" s="35">
        <f t="shared" si="122"/>
        <v>0</v>
      </c>
      <c r="F248" s="35">
        <f t="shared" si="122"/>
        <v>0</v>
      </c>
      <c r="G248" s="35">
        <f t="shared" si="122"/>
        <v>0</v>
      </c>
      <c r="H248" s="35">
        <f t="shared" si="122"/>
        <v>0</v>
      </c>
      <c r="I248" s="35">
        <f t="shared" si="122"/>
        <v>0</v>
      </c>
      <c r="J248" s="35">
        <f t="shared" si="122"/>
        <v>0</v>
      </c>
      <c r="K248" s="35">
        <f t="shared" si="122"/>
        <v>0</v>
      </c>
      <c r="L248" s="35">
        <f>MONTH(M250)</f>
        <v>1</v>
      </c>
      <c r="M248" s="48" t="str">
        <f>IF(O247&gt;0,"Y","X")</f>
        <v>X</v>
      </c>
      <c r="N248" s="62">
        <f>IF(SUM(B247:K247)=0,0,SUM(B248:K248))</f>
        <v>0</v>
      </c>
      <c r="O248" s="93"/>
      <c r="P248" s="96"/>
      <c r="Q248" s="99"/>
      <c r="R248" s="102"/>
      <c r="S248" s="104">
        <f>SUM(T247:XFD247)</f>
        <v>0</v>
      </c>
      <c r="T248" s="108"/>
      <c r="U248" s="108"/>
      <c r="V248" s="108"/>
      <c r="W248" s="108"/>
      <c r="X248" s="108"/>
      <c r="Y248" s="108"/>
      <c r="Z248" s="108"/>
      <c r="AA248" s="108"/>
      <c r="AB248" s="108"/>
      <c r="AC248" s="108"/>
      <c r="AD248" s="108"/>
      <c r="AE248" s="108"/>
      <c r="AF248" s="108"/>
    </row>
    <row r="249" spans="1:32" ht="17.25" thickTop="1">
      <c r="A249" s="111"/>
      <c r="B249" s="50">
        <v>0</v>
      </c>
      <c r="C249" s="50">
        <v>0</v>
      </c>
      <c r="D249" s="50">
        <f>361-33</f>
        <v>328</v>
      </c>
      <c r="E249" s="50">
        <v>0</v>
      </c>
      <c r="F249" s="50">
        <v>0</v>
      </c>
      <c r="G249" s="50">
        <f>-3*361</f>
        <v>-1083</v>
      </c>
      <c r="H249" s="50">
        <v>0</v>
      </c>
      <c r="I249" s="50">
        <v>0</v>
      </c>
      <c r="J249" s="50">
        <v>0</v>
      </c>
      <c r="K249" s="51">
        <v>0</v>
      </c>
      <c r="L249" s="52"/>
      <c r="M249" s="63"/>
      <c r="N249" s="64" t="s">
        <v>39</v>
      </c>
      <c r="O249" s="93"/>
      <c r="P249" s="96"/>
      <c r="Q249" s="99"/>
      <c r="R249" s="102"/>
      <c r="S249" s="105"/>
      <c r="T249" s="108"/>
      <c r="U249" s="108"/>
      <c r="V249" s="108"/>
      <c r="W249" s="108"/>
      <c r="X249" s="108"/>
      <c r="Y249" s="108"/>
      <c r="Z249" s="108"/>
      <c r="AA249" s="108"/>
      <c r="AB249" s="108"/>
      <c r="AC249" s="108"/>
      <c r="AD249" s="108"/>
      <c r="AE249" s="108"/>
      <c r="AF249" s="108"/>
    </row>
    <row r="250" spans="1:32" ht="17.25" thickBot="1">
      <c r="A250" s="112"/>
      <c r="B250" s="55">
        <f>+(B247+B249)*B$4</f>
        <v>720000</v>
      </c>
      <c r="C250" s="55">
        <f t="shared" ref="C250:K250" si="123">+(C247+C249)*C$4</f>
        <v>5005000</v>
      </c>
      <c r="D250" s="55">
        <f t="shared" si="123"/>
        <v>13302000</v>
      </c>
      <c r="E250" s="55">
        <f t="shared" si="123"/>
        <v>1716000</v>
      </c>
      <c r="F250" s="55">
        <f t="shared" si="123"/>
        <v>10112000</v>
      </c>
      <c r="G250" s="55">
        <f t="shared" si="123"/>
        <v>-715000</v>
      </c>
      <c r="H250" s="55">
        <f t="shared" si="123"/>
        <v>3600000</v>
      </c>
      <c r="I250" s="55">
        <f t="shared" si="123"/>
        <v>4176000</v>
      </c>
      <c r="J250" s="55">
        <f t="shared" si="123"/>
        <v>2912000</v>
      </c>
      <c r="K250" s="55">
        <f t="shared" si="123"/>
        <v>1189000</v>
      </c>
      <c r="L250" s="57"/>
      <c r="M250" s="65">
        <f>A247</f>
        <v>44224</v>
      </c>
      <c r="N250" s="66">
        <f>SUM(B250:K250)</f>
        <v>42017000</v>
      </c>
      <c r="O250" s="94"/>
      <c r="P250" s="97"/>
      <c r="Q250" s="100"/>
      <c r="R250" s="103"/>
      <c r="S250" s="106"/>
      <c r="T250" s="109"/>
      <c r="U250" s="109"/>
      <c r="V250" s="109"/>
      <c r="W250" s="109"/>
      <c r="X250" s="109"/>
      <c r="Y250" s="109"/>
      <c r="Z250" s="109"/>
      <c r="AA250" s="109"/>
      <c r="AB250" s="109"/>
      <c r="AC250" s="109"/>
      <c r="AD250" s="109"/>
      <c r="AE250" s="109"/>
      <c r="AF250" s="109"/>
    </row>
    <row r="251" spans="1:32">
      <c r="A251" s="110">
        <f>+A247+1</f>
        <v>44225</v>
      </c>
      <c r="B251" s="31">
        <f>-2-12-4+88</f>
        <v>70</v>
      </c>
      <c r="C251" s="31">
        <f>-6-4-1+164</f>
        <v>153</v>
      </c>
      <c r="D251" s="31">
        <f>-5-8-1+803</f>
        <v>789</v>
      </c>
      <c r="E251" s="31">
        <f>-1-6-3+153</f>
        <v>143</v>
      </c>
      <c r="F251" s="31">
        <f>364-4-6-3</f>
        <v>351</v>
      </c>
      <c r="G251" s="31">
        <f>-5-7-2+29</f>
        <v>15</v>
      </c>
      <c r="H251" s="31">
        <f>-3-3+137</f>
        <v>131</v>
      </c>
      <c r="I251" s="31">
        <v>362</v>
      </c>
      <c r="J251" s="31">
        <f>-4-1+435</f>
        <v>430</v>
      </c>
      <c r="K251" s="32">
        <f>-1-1+101</f>
        <v>99</v>
      </c>
      <c r="L251" s="15"/>
      <c r="M251" s="60"/>
      <c r="N251" s="46" t="s">
        <v>38</v>
      </c>
      <c r="O251" s="92">
        <f>+IFERROR(IF(HLOOKUP(S251,$S$3:$AB$3,1,)=S251,S252,0),0)</f>
        <v>45</v>
      </c>
      <c r="P251" s="95">
        <f>IFERROR(+N252/O251,0)</f>
        <v>330944.44444444444</v>
      </c>
      <c r="Q251" s="98">
        <f>+IFERROR(IF(HLOOKUP(S251,$S$4:$AB$4,1,)=S251,S252,0),0)</f>
        <v>0</v>
      </c>
      <c r="R251" s="101">
        <f>IFERROR(N252/Q251,0)</f>
        <v>0</v>
      </c>
      <c r="S251" s="47" t="s">
        <v>17</v>
      </c>
      <c r="T251" s="107">
        <v>6</v>
      </c>
      <c r="U251" s="107">
        <v>6</v>
      </c>
      <c r="V251" s="107">
        <v>6</v>
      </c>
      <c r="W251" s="107">
        <v>6</v>
      </c>
      <c r="X251" s="107">
        <v>6</v>
      </c>
      <c r="Y251" s="107">
        <v>3</v>
      </c>
      <c r="Z251" s="107"/>
      <c r="AA251" s="107">
        <v>6</v>
      </c>
      <c r="AB251" s="107">
        <v>6</v>
      </c>
      <c r="AC251" s="107">
        <v>0</v>
      </c>
      <c r="AD251" s="107"/>
      <c r="AE251" s="107"/>
      <c r="AF251" s="107"/>
    </row>
    <row r="252" spans="1:32" ht="17.25" thickBot="1">
      <c r="A252" s="111"/>
      <c r="B252" s="35">
        <f t="shared" ref="B252:K252" si="124">+(B251-(B247+B249))*B$4</f>
        <v>4880000</v>
      </c>
      <c r="C252" s="35">
        <f t="shared" si="124"/>
        <v>4940000</v>
      </c>
      <c r="D252" s="35">
        <f t="shared" si="124"/>
        <v>900000</v>
      </c>
      <c r="E252" s="35">
        <f t="shared" si="124"/>
        <v>1430000</v>
      </c>
      <c r="F252" s="35">
        <f t="shared" si="124"/>
        <v>1120000</v>
      </c>
      <c r="G252" s="35">
        <f t="shared" si="124"/>
        <v>780000</v>
      </c>
      <c r="H252" s="35">
        <f t="shared" si="124"/>
        <v>330000</v>
      </c>
      <c r="I252" s="35">
        <f t="shared" si="124"/>
        <v>168000</v>
      </c>
      <c r="J252" s="35">
        <f t="shared" si="124"/>
        <v>98000</v>
      </c>
      <c r="K252" s="35">
        <f t="shared" si="124"/>
        <v>246500</v>
      </c>
      <c r="L252" s="35">
        <f>MONTH(M254)</f>
        <v>1</v>
      </c>
      <c r="M252" s="48" t="str">
        <f>IF(O251&gt;0,"Y","X")</f>
        <v>Y</v>
      </c>
      <c r="N252" s="49">
        <f>IF(SUM(B251:K251)=0,0,SUM(B252:K252))</f>
        <v>14892500</v>
      </c>
      <c r="O252" s="93"/>
      <c r="P252" s="96"/>
      <c r="Q252" s="99"/>
      <c r="R252" s="102"/>
      <c r="S252" s="104">
        <f>SUM(T251:XFD251)</f>
        <v>45</v>
      </c>
      <c r="T252" s="108"/>
      <c r="U252" s="108"/>
      <c r="V252" s="108"/>
      <c r="W252" s="108"/>
      <c r="X252" s="108"/>
      <c r="Y252" s="108"/>
      <c r="Z252" s="108"/>
      <c r="AA252" s="108"/>
      <c r="AB252" s="108"/>
      <c r="AC252" s="108"/>
      <c r="AD252" s="108"/>
      <c r="AE252" s="108"/>
      <c r="AF252" s="108"/>
    </row>
    <row r="253" spans="1:32" ht="17.25" thickTop="1">
      <c r="A253" s="111"/>
      <c r="B253" s="50">
        <v>0</v>
      </c>
      <c r="C253" s="50">
        <v>0</v>
      </c>
      <c r="D253" s="50">
        <v>0</v>
      </c>
      <c r="E253" s="50">
        <v>0</v>
      </c>
      <c r="F253" s="50">
        <v>0</v>
      </c>
      <c r="G253" s="50">
        <v>0</v>
      </c>
      <c r="H253" s="50">
        <v>0</v>
      </c>
      <c r="I253" s="50">
        <v>0</v>
      </c>
      <c r="J253" s="50">
        <v>0</v>
      </c>
      <c r="K253" s="51">
        <v>0</v>
      </c>
      <c r="L253" s="52"/>
      <c r="M253" s="63"/>
      <c r="N253" s="54" t="s">
        <v>39</v>
      </c>
      <c r="O253" s="93"/>
      <c r="P253" s="96"/>
      <c r="Q253" s="99"/>
      <c r="R253" s="102"/>
      <c r="S253" s="105"/>
      <c r="T253" s="108"/>
      <c r="U253" s="108"/>
      <c r="V253" s="108"/>
      <c r="W253" s="108"/>
      <c r="X253" s="108"/>
      <c r="Y253" s="108"/>
      <c r="Z253" s="108"/>
      <c r="AA253" s="108"/>
      <c r="AB253" s="108"/>
      <c r="AC253" s="108"/>
      <c r="AD253" s="108"/>
      <c r="AE253" s="108"/>
      <c r="AF253" s="108"/>
    </row>
    <row r="254" spans="1:32" ht="17.25" thickBot="1">
      <c r="A254" s="112"/>
      <c r="B254" s="55">
        <f t="shared" ref="B254:K254" si="125">+(B251+B253)*B$4</f>
        <v>5600000</v>
      </c>
      <c r="C254" s="55">
        <f t="shared" si="125"/>
        <v>9945000</v>
      </c>
      <c r="D254" s="55">
        <f t="shared" si="125"/>
        <v>14202000</v>
      </c>
      <c r="E254" s="55">
        <f t="shared" si="125"/>
        <v>3146000</v>
      </c>
      <c r="F254" s="55">
        <f t="shared" si="125"/>
        <v>11232000</v>
      </c>
      <c r="G254" s="55">
        <f t="shared" si="125"/>
        <v>64999.999999999993</v>
      </c>
      <c r="H254" s="55">
        <f t="shared" si="125"/>
        <v>3930000</v>
      </c>
      <c r="I254" s="55">
        <f t="shared" si="125"/>
        <v>4344000</v>
      </c>
      <c r="J254" s="55">
        <f t="shared" si="125"/>
        <v>3010000</v>
      </c>
      <c r="K254" s="55">
        <f t="shared" si="125"/>
        <v>1435500</v>
      </c>
      <c r="L254" s="57"/>
      <c r="M254" s="65">
        <f>A251</f>
        <v>44225</v>
      </c>
      <c r="N254" s="59">
        <f>SUM(B254:K254)</f>
        <v>56909500</v>
      </c>
      <c r="O254" s="94"/>
      <c r="P254" s="97"/>
      <c r="Q254" s="100"/>
      <c r="R254" s="103"/>
      <c r="S254" s="106"/>
      <c r="T254" s="109"/>
      <c r="U254" s="109"/>
      <c r="V254" s="109"/>
      <c r="W254" s="109"/>
      <c r="X254" s="109"/>
      <c r="Y254" s="109"/>
      <c r="Z254" s="109"/>
      <c r="AA254" s="109"/>
      <c r="AB254" s="109"/>
      <c r="AC254" s="109"/>
      <c r="AD254" s="109"/>
      <c r="AE254" s="109"/>
      <c r="AF254" s="109"/>
    </row>
    <row r="255" spans="1:32">
      <c r="A255" s="113">
        <f>+A251+1</f>
        <v>44226</v>
      </c>
      <c r="B255" s="31">
        <v>179</v>
      </c>
      <c r="C255" s="31">
        <v>247</v>
      </c>
      <c r="D255" s="31">
        <v>871</v>
      </c>
      <c r="E255" s="31">
        <v>245</v>
      </c>
      <c r="F255" s="31">
        <v>417</v>
      </c>
      <c r="G255" s="31">
        <v>119</v>
      </c>
      <c r="H255" s="31">
        <v>155</v>
      </c>
      <c r="I255" s="31">
        <v>382</v>
      </c>
      <c r="J255" s="31">
        <v>454</v>
      </c>
      <c r="K255" s="32">
        <v>119</v>
      </c>
      <c r="L255" s="15"/>
      <c r="M255" s="60"/>
      <c r="N255" s="61" t="s">
        <v>38</v>
      </c>
      <c r="O255" s="92">
        <f>+IFERROR(IF(HLOOKUP(S255,$S$3:$AB$3,1,)=S255,S256,0),0)</f>
        <v>70</v>
      </c>
      <c r="P255" s="95">
        <f>IFERROR(+N256/O255,0)</f>
        <v>321866.66666666669</v>
      </c>
      <c r="Q255" s="98">
        <f>+IFERROR(IF(HLOOKUP(S255,$S$4:$AB$4,1,)=S255,S256,0),0)</f>
        <v>0</v>
      </c>
      <c r="R255" s="101">
        <f>IFERROR(N256/Q255,0)</f>
        <v>0</v>
      </c>
      <c r="S255" s="47" t="s">
        <v>19</v>
      </c>
      <c r="T255" s="107">
        <v>3</v>
      </c>
      <c r="U255" s="107">
        <v>9</v>
      </c>
      <c r="V255" s="107">
        <v>9</v>
      </c>
      <c r="W255" s="107">
        <v>9</v>
      </c>
      <c r="X255" s="107">
        <v>9</v>
      </c>
      <c r="Y255" s="107">
        <v>6</v>
      </c>
      <c r="Z255" s="107">
        <v>6</v>
      </c>
      <c r="AA255" s="107">
        <v>6</v>
      </c>
      <c r="AB255" s="107">
        <v>9</v>
      </c>
      <c r="AC255" s="107">
        <v>4</v>
      </c>
      <c r="AD255" s="107"/>
      <c r="AE255" s="107"/>
      <c r="AF255" s="107"/>
    </row>
    <row r="256" spans="1:32" ht="17.25" thickBot="1">
      <c r="A256" s="114"/>
      <c r="B256" s="35">
        <f t="shared" ref="B256:K256" si="126">+(B255-(B251+B253))*B$4</f>
        <v>8720000</v>
      </c>
      <c r="C256" s="35">
        <f t="shared" si="126"/>
        <v>6110000</v>
      </c>
      <c r="D256" s="35">
        <f t="shared" si="126"/>
        <v>1476000</v>
      </c>
      <c r="E256" s="35">
        <f t="shared" si="126"/>
        <v>2244000</v>
      </c>
      <c r="F256" s="35">
        <f t="shared" si="126"/>
        <v>2112000</v>
      </c>
      <c r="G256" s="35">
        <f t="shared" si="126"/>
        <v>450666.66666666663</v>
      </c>
      <c r="H256" s="35">
        <f t="shared" si="126"/>
        <v>720000</v>
      </c>
      <c r="I256" s="35">
        <f t="shared" si="126"/>
        <v>240000</v>
      </c>
      <c r="J256" s="35">
        <f t="shared" si="126"/>
        <v>168000</v>
      </c>
      <c r="K256" s="35">
        <f t="shared" si="126"/>
        <v>290000</v>
      </c>
      <c r="L256" s="35">
        <f>MONTH(M258)</f>
        <v>1</v>
      </c>
      <c r="M256" s="48" t="str">
        <f>IF(O255&gt;0,"Y","X")</f>
        <v>Y</v>
      </c>
      <c r="N256" s="62">
        <f>IF(SUM(B255:K255)=0,0,SUM(B256:K256))</f>
        <v>22530666.666666668</v>
      </c>
      <c r="O256" s="93"/>
      <c r="P256" s="96"/>
      <c r="Q256" s="99"/>
      <c r="R256" s="102"/>
      <c r="S256" s="104">
        <f>SUM(T255:XFD255)</f>
        <v>70</v>
      </c>
      <c r="T256" s="108"/>
      <c r="U256" s="108"/>
      <c r="V256" s="108"/>
      <c r="W256" s="108"/>
      <c r="X256" s="108"/>
      <c r="Y256" s="108"/>
      <c r="Z256" s="108"/>
      <c r="AA256" s="108"/>
      <c r="AB256" s="108"/>
      <c r="AC256" s="108"/>
      <c r="AD256" s="108"/>
      <c r="AE256" s="108"/>
      <c r="AF256" s="108"/>
    </row>
    <row r="257" spans="1:32" ht="17.25" thickTop="1">
      <c r="A257" s="114"/>
      <c r="B257" s="50">
        <f>-100-10-60+30+30+20-50-20-24-8+8+5+1</f>
        <v>-178</v>
      </c>
      <c r="C257" s="50">
        <f>-21-7-7-7-14-14-100-10-60+30+30+20-50-20+9-24+10-8</f>
        <v>-243</v>
      </c>
      <c r="D257" s="50">
        <f>-70-5-60-200-20-12-4-70</f>
        <v>-441</v>
      </c>
      <c r="E257" s="50">
        <f>-100-52</f>
        <v>-152</v>
      </c>
      <c r="F257" s="50">
        <f>-60-20</f>
        <v>-80</v>
      </c>
      <c r="G257" s="50">
        <v>0</v>
      </c>
      <c r="H257" s="50">
        <v>0</v>
      </c>
      <c r="I257" s="50">
        <v>0</v>
      </c>
      <c r="J257" s="50">
        <v>0</v>
      </c>
      <c r="K257" s="51">
        <v>0</v>
      </c>
      <c r="L257" s="52"/>
      <c r="M257" s="63"/>
      <c r="N257" s="64" t="s">
        <v>39</v>
      </c>
      <c r="O257" s="93"/>
      <c r="P257" s="96"/>
      <c r="Q257" s="99"/>
      <c r="R257" s="102"/>
      <c r="S257" s="105"/>
      <c r="T257" s="108"/>
      <c r="U257" s="108"/>
      <c r="V257" s="108"/>
      <c r="W257" s="108"/>
      <c r="X257" s="108"/>
      <c r="Y257" s="108"/>
      <c r="Z257" s="108"/>
      <c r="AA257" s="108"/>
      <c r="AB257" s="108"/>
      <c r="AC257" s="108"/>
      <c r="AD257" s="108"/>
      <c r="AE257" s="108"/>
      <c r="AF257" s="108"/>
    </row>
    <row r="258" spans="1:32" ht="17.25" thickBot="1">
      <c r="A258" s="115"/>
      <c r="B258" s="55">
        <f t="shared" ref="B258:K258" si="127">+(B255+B257)*B$4</f>
        <v>80000</v>
      </c>
      <c r="C258" s="55">
        <f t="shared" si="127"/>
        <v>260000</v>
      </c>
      <c r="D258" s="55">
        <f t="shared" si="127"/>
        <v>7740000</v>
      </c>
      <c r="E258" s="55">
        <f t="shared" si="127"/>
        <v>2046000</v>
      </c>
      <c r="F258" s="55">
        <f t="shared" si="127"/>
        <v>10784000</v>
      </c>
      <c r="G258" s="55">
        <f t="shared" si="127"/>
        <v>515666.66666666663</v>
      </c>
      <c r="H258" s="55">
        <f t="shared" si="127"/>
        <v>4650000</v>
      </c>
      <c r="I258" s="55">
        <f t="shared" si="127"/>
        <v>4584000</v>
      </c>
      <c r="J258" s="55">
        <f t="shared" si="127"/>
        <v>3178000</v>
      </c>
      <c r="K258" s="55">
        <f t="shared" si="127"/>
        <v>1725500</v>
      </c>
      <c r="L258" s="57"/>
      <c r="M258" s="65">
        <f>A255</f>
        <v>44226</v>
      </c>
      <c r="N258" s="66">
        <f>SUM(B258:K258)</f>
        <v>35563166.666666672</v>
      </c>
      <c r="O258" s="94"/>
      <c r="P258" s="97"/>
      <c r="Q258" s="100"/>
      <c r="R258" s="103"/>
      <c r="S258" s="106"/>
      <c r="T258" s="109"/>
      <c r="U258" s="109"/>
      <c r="V258" s="109"/>
      <c r="W258" s="109"/>
      <c r="X258" s="109"/>
      <c r="Y258" s="109"/>
      <c r="Z258" s="109"/>
      <c r="AA258" s="109"/>
      <c r="AB258" s="109"/>
      <c r="AC258" s="109"/>
      <c r="AD258" s="109"/>
      <c r="AE258" s="109"/>
      <c r="AF258" s="109"/>
    </row>
    <row r="259" spans="1:32">
      <c r="A259" s="113">
        <f>+A255+1</f>
        <v>44227</v>
      </c>
      <c r="B259" s="31">
        <v>79</v>
      </c>
      <c r="C259" s="31">
        <v>109</v>
      </c>
      <c r="D259" s="31">
        <v>522</v>
      </c>
      <c r="E259" s="31">
        <v>163</v>
      </c>
      <c r="F259" s="31">
        <v>381</v>
      </c>
      <c r="G259" s="31">
        <v>203</v>
      </c>
      <c r="H259" s="31">
        <v>173</v>
      </c>
      <c r="I259" s="31">
        <v>406</v>
      </c>
      <c r="J259" s="31">
        <v>472</v>
      </c>
      <c r="K259" s="32">
        <v>129</v>
      </c>
      <c r="L259" s="15"/>
      <c r="M259" s="60"/>
      <c r="N259" s="46" t="s">
        <v>38</v>
      </c>
      <c r="O259" s="92">
        <f>+IFERROR(IF(HLOOKUP(S259,$S$3:$AB$3,1,)=S259,S260,0),0)</f>
        <v>57</v>
      </c>
      <c r="P259" s="95">
        <f>IFERROR(+N260/O259,0)</f>
        <v>335649.12280701753</v>
      </c>
      <c r="Q259" s="98">
        <f>+IFERROR(IF(HLOOKUP(S259,$S$4:$AB$4,1,)=S259,S260,0),0)</f>
        <v>0</v>
      </c>
      <c r="R259" s="101">
        <f>IFERROR(N260/Q259,0)</f>
        <v>0</v>
      </c>
      <c r="S259" s="47" t="s">
        <v>20</v>
      </c>
      <c r="T259" s="107">
        <v>3</v>
      </c>
      <c r="U259" s="107">
        <v>6</v>
      </c>
      <c r="V259" s="107">
        <v>6</v>
      </c>
      <c r="W259" s="107">
        <v>6</v>
      </c>
      <c r="X259" s="107">
        <v>6</v>
      </c>
      <c r="Y259" s="107">
        <v>6</v>
      </c>
      <c r="Z259" s="107">
        <v>6</v>
      </c>
      <c r="AA259" s="107">
        <v>6</v>
      </c>
      <c r="AB259" s="107">
        <v>6</v>
      </c>
      <c r="AC259" s="107">
        <v>6</v>
      </c>
      <c r="AD259" s="107"/>
      <c r="AE259" s="107"/>
      <c r="AF259" s="107"/>
    </row>
    <row r="260" spans="1:32" ht="17.25" thickBot="1">
      <c r="A260" s="114"/>
      <c r="B260" s="35">
        <f t="shared" ref="B260:K260" si="128">+(B259-(B255+B257))*B$4</f>
        <v>6240000</v>
      </c>
      <c r="C260" s="35">
        <f t="shared" si="128"/>
        <v>6825000</v>
      </c>
      <c r="D260" s="35">
        <f t="shared" si="128"/>
        <v>1656000</v>
      </c>
      <c r="E260" s="35">
        <f t="shared" si="128"/>
        <v>1540000</v>
      </c>
      <c r="F260" s="35">
        <f t="shared" si="128"/>
        <v>1408000</v>
      </c>
      <c r="G260" s="35">
        <f t="shared" si="128"/>
        <v>364000</v>
      </c>
      <c r="H260" s="35">
        <f t="shared" si="128"/>
        <v>540000</v>
      </c>
      <c r="I260" s="35">
        <f t="shared" si="128"/>
        <v>288000</v>
      </c>
      <c r="J260" s="35">
        <f t="shared" si="128"/>
        <v>126000</v>
      </c>
      <c r="K260" s="35">
        <f t="shared" si="128"/>
        <v>145000</v>
      </c>
      <c r="L260" s="35">
        <f>MONTH(M262)</f>
        <v>1</v>
      </c>
      <c r="M260" s="48" t="str">
        <f>IF(O259&gt;0,"Y","X")</f>
        <v>Y</v>
      </c>
      <c r="N260" s="49">
        <f>IF(SUM(B259:K259)=0,0,SUM(B260:K260))</f>
        <v>19132000</v>
      </c>
      <c r="O260" s="93"/>
      <c r="P260" s="96"/>
      <c r="Q260" s="99"/>
      <c r="R260" s="102"/>
      <c r="S260" s="104">
        <f>SUM(T259:XFD259)</f>
        <v>57</v>
      </c>
      <c r="T260" s="108"/>
      <c r="U260" s="108"/>
      <c r="V260" s="108"/>
      <c r="W260" s="108"/>
      <c r="X260" s="108"/>
      <c r="Y260" s="108"/>
      <c r="Z260" s="108"/>
      <c r="AA260" s="108"/>
      <c r="AB260" s="108"/>
      <c r="AC260" s="108"/>
      <c r="AD260" s="108"/>
      <c r="AE260" s="108"/>
      <c r="AF260" s="108"/>
    </row>
    <row r="261" spans="1:32" ht="17.25" thickTop="1">
      <c r="A261" s="114"/>
      <c r="B261" s="50">
        <v>-50</v>
      </c>
      <c r="C261" s="50">
        <v>-50</v>
      </c>
      <c r="D261" s="50">
        <v>0</v>
      </c>
      <c r="E261" s="50">
        <v>-100</v>
      </c>
      <c r="F261" s="50">
        <v>0</v>
      </c>
      <c r="G261" s="50">
        <v>0</v>
      </c>
      <c r="H261" s="50">
        <v>0</v>
      </c>
      <c r="I261" s="50">
        <v>0</v>
      </c>
      <c r="J261" s="50">
        <v>0</v>
      </c>
      <c r="K261" s="51">
        <v>0</v>
      </c>
      <c r="L261" s="52"/>
      <c r="M261" s="63"/>
      <c r="N261" s="54" t="s">
        <v>39</v>
      </c>
      <c r="O261" s="93"/>
      <c r="P261" s="96"/>
      <c r="Q261" s="99"/>
      <c r="R261" s="102"/>
      <c r="S261" s="105"/>
      <c r="T261" s="108"/>
      <c r="U261" s="108"/>
      <c r="V261" s="108"/>
      <c r="W261" s="108"/>
      <c r="X261" s="108"/>
      <c r="Y261" s="108"/>
      <c r="Z261" s="108"/>
      <c r="AA261" s="108"/>
      <c r="AB261" s="108"/>
      <c r="AC261" s="108"/>
      <c r="AD261" s="108"/>
      <c r="AE261" s="108"/>
      <c r="AF261" s="108"/>
    </row>
    <row r="262" spans="1:32" ht="17.25" thickBot="1">
      <c r="A262" s="115"/>
      <c r="B262" s="55">
        <f t="shared" ref="B262:K262" si="129">+(B259+B261)*B$4</f>
        <v>2320000</v>
      </c>
      <c r="C262" s="55">
        <f t="shared" si="129"/>
        <v>3835000</v>
      </c>
      <c r="D262" s="55">
        <f t="shared" si="129"/>
        <v>9396000</v>
      </c>
      <c r="E262" s="55">
        <f t="shared" si="129"/>
        <v>1386000</v>
      </c>
      <c r="F262" s="55">
        <f t="shared" si="129"/>
        <v>12192000</v>
      </c>
      <c r="G262" s="55">
        <f t="shared" si="129"/>
        <v>879666.66666666663</v>
      </c>
      <c r="H262" s="55">
        <f t="shared" si="129"/>
        <v>5190000</v>
      </c>
      <c r="I262" s="55">
        <f t="shared" si="129"/>
        <v>4872000</v>
      </c>
      <c r="J262" s="55">
        <f t="shared" si="129"/>
        <v>3304000</v>
      </c>
      <c r="K262" s="55">
        <f t="shared" si="129"/>
        <v>1870500</v>
      </c>
      <c r="L262" s="57"/>
      <c r="M262" s="65">
        <f>A259</f>
        <v>44227</v>
      </c>
      <c r="N262" s="59">
        <f>SUM(B262:K262)</f>
        <v>45245166.666666672</v>
      </c>
      <c r="O262" s="94"/>
      <c r="P262" s="97"/>
      <c r="Q262" s="100"/>
      <c r="R262" s="103"/>
      <c r="S262" s="106"/>
      <c r="T262" s="109"/>
      <c r="U262" s="109"/>
      <c r="V262" s="109"/>
      <c r="W262" s="109"/>
      <c r="X262" s="109"/>
      <c r="Y262" s="109"/>
      <c r="Z262" s="109"/>
      <c r="AA262" s="109"/>
      <c r="AB262" s="109"/>
      <c r="AC262" s="109"/>
      <c r="AD262" s="109"/>
      <c r="AE262" s="109"/>
      <c r="AF262" s="109"/>
    </row>
    <row r="263" spans="1:32">
      <c r="A263" s="110">
        <f>+A259+1</f>
        <v>44228</v>
      </c>
      <c r="B263" s="31">
        <v>69</v>
      </c>
      <c r="C263" s="31">
        <v>95</v>
      </c>
      <c r="D263" s="31">
        <v>558</v>
      </c>
      <c r="E263" s="31">
        <v>115</v>
      </c>
      <c r="F263" s="31">
        <v>400</v>
      </c>
      <c r="G263" s="31">
        <v>246</v>
      </c>
      <c r="H263" s="31">
        <v>186</v>
      </c>
      <c r="I263" s="31">
        <v>418</v>
      </c>
      <c r="J263" s="31">
        <v>487</v>
      </c>
      <c r="K263" s="32">
        <v>133</v>
      </c>
      <c r="L263" s="15"/>
      <c r="M263" s="45"/>
      <c r="N263" s="61" t="s">
        <v>38</v>
      </c>
      <c r="O263" s="92">
        <f>+IFERROR(IF(HLOOKUP(S263,$S$3:$AB$3,1,)=S263,S264,0),0)</f>
        <v>21</v>
      </c>
      <c r="P263" s="95">
        <f>IFERROR(+N264/O263,0)</f>
        <v>420158.73015873012</v>
      </c>
      <c r="Q263" s="98">
        <f>+IFERROR(IF(HLOOKUP(S263,$S$4:$AB$4,1,)=S263,S264,0),0)</f>
        <v>0</v>
      </c>
      <c r="R263" s="101">
        <f>IFERROR(N264/Q263,0)</f>
        <v>0</v>
      </c>
      <c r="S263" s="47" t="s">
        <v>18</v>
      </c>
      <c r="T263" s="107">
        <v>9</v>
      </c>
      <c r="U263" s="107">
        <v>6</v>
      </c>
      <c r="V263" s="107">
        <v>6</v>
      </c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</row>
    <row r="264" spans="1:32" ht="17.25" thickBot="1">
      <c r="A264" s="111"/>
      <c r="B264" s="35">
        <f t="shared" ref="B264:K264" si="130">+(B263-(B259+B261))*B$4</f>
        <v>3200000</v>
      </c>
      <c r="C264" s="35">
        <f t="shared" si="130"/>
        <v>2340000</v>
      </c>
      <c r="D264" s="35">
        <f t="shared" si="130"/>
        <v>648000</v>
      </c>
      <c r="E264" s="35">
        <f t="shared" si="130"/>
        <v>1144000</v>
      </c>
      <c r="F264" s="35">
        <f t="shared" si="130"/>
        <v>608000</v>
      </c>
      <c r="G264" s="35">
        <f t="shared" si="130"/>
        <v>186333.33333333331</v>
      </c>
      <c r="H264" s="35">
        <f t="shared" si="130"/>
        <v>390000</v>
      </c>
      <c r="I264" s="35">
        <f t="shared" si="130"/>
        <v>144000</v>
      </c>
      <c r="J264" s="35">
        <f t="shared" si="130"/>
        <v>105000</v>
      </c>
      <c r="K264" s="35">
        <f t="shared" si="130"/>
        <v>58000</v>
      </c>
      <c r="L264" s="35">
        <f>MONTH(M266)</f>
        <v>2</v>
      </c>
      <c r="M264" s="48" t="str">
        <f>IF(O263&gt;0,"Y","X")</f>
        <v>Y</v>
      </c>
      <c r="N264" s="62">
        <f>IF(SUM(B263:K263)=0,0,SUM(B264:K264))</f>
        <v>8823333.3333333321</v>
      </c>
      <c r="O264" s="93"/>
      <c r="P264" s="96"/>
      <c r="Q264" s="99"/>
      <c r="R264" s="102"/>
      <c r="S264" s="104">
        <f>SUM(T263:XFD263)</f>
        <v>21</v>
      </c>
      <c r="T264" s="108"/>
      <c r="U264" s="108"/>
      <c r="V264" s="108"/>
      <c r="W264" s="108"/>
      <c r="X264" s="108"/>
      <c r="Y264" s="108"/>
      <c r="Z264" s="108"/>
      <c r="AA264" s="108"/>
      <c r="AB264" s="108"/>
      <c r="AC264" s="108"/>
      <c r="AD264" s="108"/>
      <c r="AE264" s="108"/>
      <c r="AF264" s="108"/>
    </row>
    <row r="265" spans="1:32" ht="17.25" thickTop="1">
      <c r="A265" s="111"/>
      <c r="B265" s="50">
        <v>0</v>
      </c>
      <c r="C265" s="50">
        <v>0</v>
      </c>
      <c r="D265" s="50">
        <v>0</v>
      </c>
      <c r="E265" s="50"/>
      <c r="F265" s="50">
        <v>0</v>
      </c>
      <c r="G265" s="50">
        <v>0</v>
      </c>
      <c r="H265" s="50">
        <v>0</v>
      </c>
      <c r="I265" s="50">
        <v>0</v>
      </c>
      <c r="J265" s="50">
        <v>0</v>
      </c>
      <c r="K265" s="51">
        <v>0</v>
      </c>
      <c r="L265" s="52"/>
      <c r="M265" s="53"/>
      <c r="N265" s="64" t="s">
        <v>39</v>
      </c>
      <c r="O265" s="93"/>
      <c r="P265" s="96"/>
      <c r="Q265" s="99"/>
      <c r="R265" s="102"/>
      <c r="S265" s="105"/>
      <c r="T265" s="108"/>
      <c r="U265" s="108"/>
      <c r="V265" s="108"/>
      <c r="W265" s="108"/>
      <c r="X265" s="108"/>
      <c r="Y265" s="108"/>
      <c r="Z265" s="108"/>
      <c r="AA265" s="108"/>
      <c r="AB265" s="108"/>
      <c r="AC265" s="108"/>
      <c r="AD265" s="108"/>
      <c r="AE265" s="108"/>
      <c r="AF265" s="108"/>
    </row>
    <row r="266" spans="1:32" ht="17.25" thickBot="1">
      <c r="A266" s="112"/>
      <c r="B266" s="55">
        <f t="shared" ref="B266:K266" si="131">+(B263+B265)*B$4</f>
        <v>5520000</v>
      </c>
      <c r="C266" s="55">
        <f t="shared" si="131"/>
        <v>6175000</v>
      </c>
      <c r="D266" s="55">
        <f t="shared" si="131"/>
        <v>10044000</v>
      </c>
      <c r="E266" s="55">
        <f t="shared" si="131"/>
        <v>2530000</v>
      </c>
      <c r="F266" s="55">
        <f t="shared" si="131"/>
        <v>12800000</v>
      </c>
      <c r="G266" s="55">
        <f t="shared" si="131"/>
        <v>1066000</v>
      </c>
      <c r="H266" s="55">
        <f t="shared" si="131"/>
        <v>5580000</v>
      </c>
      <c r="I266" s="55">
        <f t="shared" si="131"/>
        <v>5016000</v>
      </c>
      <c r="J266" s="55">
        <f t="shared" si="131"/>
        <v>3409000</v>
      </c>
      <c r="K266" s="55">
        <f t="shared" si="131"/>
        <v>1928500</v>
      </c>
      <c r="L266" s="57"/>
      <c r="M266" s="58">
        <f>A263</f>
        <v>44228</v>
      </c>
      <c r="N266" s="66">
        <f>SUM(B266:K266)</f>
        <v>54068500</v>
      </c>
      <c r="O266" s="94"/>
      <c r="P266" s="97"/>
      <c r="Q266" s="100"/>
      <c r="R266" s="103"/>
      <c r="S266" s="106"/>
      <c r="T266" s="109"/>
      <c r="U266" s="109"/>
      <c r="V266" s="109"/>
      <c r="W266" s="109"/>
      <c r="X266" s="109"/>
      <c r="Y266" s="109"/>
      <c r="Z266" s="109"/>
      <c r="AA266" s="109"/>
      <c r="AB266" s="109"/>
      <c r="AC266" s="109"/>
      <c r="AD266" s="109"/>
      <c r="AE266" s="109"/>
      <c r="AF266" s="109"/>
    </row>
    <row r="267" spans="1:32">
      <c r="A267" s="110">
        <f>+A263+1</f>
        <v>44229</v>
      </c>
      <c r="B267" s="31">
        <v>135</v>
      </c>
      <c r="C267" s="31">
        <v>139</v>
      </c>
      <c r="D267" s="31">
        <v>606</v>
      </c>
      <c r="E267" s="31">
        <v>171</v>
      </c>
      <c r="F267" s="31">
        <v>452</v>
      </c>
      <c r="G267" s="31">
        <v>341</v>
      </c>
      <c r="H267" s="31">
        <v>196</v>
      </c>
      <c r="I267" s="31">
        <v>429</v>
      </c>
      <c r="J267" s="31">
        <v>496</v>
      </c>
      <c r="K267" s="32">
        <v>152</v>
      </c>
      <c r="L267" s="15"/>
      <c r="M267" s="60"/>
      <c r="N267" s="46" t="s">
        <v>38</v>
      </c>
      <c r="O267" s="92">
        <f>+IFERROR(IF(HLOOKUP(S267,$S$3:$AB$3,1,)=S267,S268,0),0)</f>
        <v>0</v>
      </c>
      <c r="P267" s="95">
        <f>IFERROR(+N268/O267,0)</f>
        <v>0</v>
      </c>
      <c r="Q267" s="98">
        <f>+IFERROR(IF(HLOOKUP(S267,$S$4:$AB$4,1,)=S267,S268,0),0)</f>
        <v>54</v>
      </c>
      <c r="R267" s="101">
        <f>IFERROR(N268/Q267,0)</f>
        <v>242262.34567901233</v>
      </c>
      <c r="S267" s="47" t="s">
        <v>24</v>
      </c>
      <c r="T267" s="107">
        <f>3+5</f>
        <v>8</v>
      </c>
      <c r="U267" s="107">
        <v>6</v>
      </c>
      <c r="V267" s="107">
        <v>6</v>
      </c>
      <c r="W267" s="107">
        <f>1+6</f>
        <v>7</v>
      </c>
      <c r="X267" s="107">
        <f>1+6</f>
        <v>7</v>
      </c>
      <c r="Y267" s="107"/>
      <c r="Z267" s="107">
        <f>1+6</f>
        <v>7</v>
      </c>
      <c r="AA267" s="107"/>
      <c r="AB267" s="107">
        <f>1+6</f>
        <v>7</v>
      </c>
      <c r="AC267" s="107">
        <v>6</v>
      </c>
      <c r="AD267" s="107"/>
      <c r="AE267" s="107"/>
      <c r="AF267" s="107"/>
    </row>
    <row r="268" spans="1:32" ht="17.25" thickBot="1">
      <c r="A268" s="111"/>
      <c r="B268" s="35">
        <f t="shared" ref="B268:K268" si="132">+(B267-(B263+B265))*B$4</f>
        <v>5280000</v>
      </c>
      <c r="C268" s="35">
        <f t="shared" si="132"/>
        <v>2860000</v>
      </c>
      <c r="D268" s="35">
        <f t="shared" si="132"/>
        <v>864000</v>
      </c>
      <c r="E268" s="35">
        <f t="shared" si="132"/>
        <v>1232000</v>
      </c>
      <c r="F268" s="35">
        <f t="shared" si="132"/>
        <v>1664000</v>
      </c>
      <c r="G268" s="35">
        <f t="shared" si="132"/>
        <v>411666.66666666663</v>
      </c>
      <c r="H268" s="35">
        <f t="shared" si="132"/>
        <v>300000</v>
      </c>
      <c r="I268" s="35">
        <f t="shared" si="132"/>
        <v>132000</v>
      </c>
      <c r="J268" s="35">
        <f t="shared" si="132"/>
        <v>63000</v>
      </c>
      <c r="K268" s="35">
        <f t="shared" si="132"/>
        <v>275500</v>
      </c>
      <c r="L268" s="35">
        <f>MONTH(M270)</f>
        <v>2</v>
      </c>
      <c r="M268" s="48" t="str">
        <f>IF(O267&gt;0,"Y","X")</f>
        <v>X</v>
      </c>
      <c r="N268" s="49">
        <f>IF(SUM(B267:K267)=0,0,SUM(B268:K268))</f>
        <v>13082166.666666666</v>
      </c>
      <c r="O268" s="93"/>
      <c r="P268" s="96"/>
      <c r="Q268" s="99"/>
      <c r="R268" s="102"/>
      <c r="S268" s="104">
        <f>SUM(T267:XFD267)</f>
        <v>54</v>
      </c>
      <c r="T268" s="108"/>
      <c r="U268" s="108"/>
      <c r="V268" s="108"/>
      <c r="W268" s="108"/>
      <c r="X268" s="108"/>
      <c r="Y268" s="108"/>
      <c r="Z268" s="108"/>
      <c r="AA268" s="108"/>
      <c r="AB268" s="108"/>
      <c r="AC268" s="108"/>
      <c r="AD268" s="108"/>
      <c r="AE268" s="108"/>
      <c r="AF268" s="108"/>
    </row>
    <row r="269" spans="1:32" ht="17.25" thickTop="1">
      <c r="A269" s="111"/>
      <c r="B269" s="50">
        <v>0</v>
      </c>
      <c r="C269" s="50">
        <v>0</v>
      </c>
      <c r="D269" s="50">
        <v>0</v>
      </c>
      <c r="E269" s="50">
        <v>0</v>
      </c>
      <c r="F269" s="50">
        <v>0</v>
      </c>
      <c r="G269" s="50">
        <v>0</v>
      </c>
      <c r="H269" s="50">
        <v>0</v>
      </c>
      <c r="I269" s="50">
        <v>0</v>
      </c>
      <c r="J269" s="50">
        <v>0</v>
      </c>
      <c r="K269" s="51">
        <v>0</v>
      </c>
      <c r="L269" s="52"/>
      <c r="M269" s="63"/>
      <c r="N269" s="54" t="s">
        <v>39</v>
      </c>
      <c r="O269" s="93"/>
      <c r="P269" s="96"/>
      <c r="Q269" s="99"/>
      <c r="R269" s="102"/>
      <c r="S269" s="105"/>
      <c r="T269" s="108"/>
      <c r="U269" s="108"/>
      <c r="V269" s="108"/>
      <c r="W269" s="108"/>
      <c r="X269" s="108"/>
      <c r="Y269" s="108"/>
      <c r="Z269" s="108"/>
      <c r="AA269" s="108"/>
      <c r="AB269" s="108"/>
      <c r="AC269" s="108"/>
      <c r="AD269" s="108"/>
      <c r="AE269" s="108"/>
      <c r="AF269" s="108"/>
    </row>
    <row r="270" spans="1:32" ht="17.25" thickBot="1">
      <c r="A270" s="112"/>
      <c r="B270" s="55">
        <f t="shared" ref="B270:K270" si="133">+(B267+B269)*B$4</f>
        <v>10800000</v>
      </c>
      <c r="C270" s="55">
        <f t="shared" si="133"/>
        <v>9035000</v>
      </c>
      <c r="D270" s="55">
        <f t="shared" si="133"/>
        <v>10908000</v>
      </c>
      <c r="E270" s="55">
        <f t="shared" si="133"/>
        <v>3762000</v>
      </c>
      <c r="F270" s="55">
        <f t="shared" si="133"/>
        <v>14464000</v>
      </c>
      <c r="G270" s="55">
        <f t="shared" si="133"/>
        <v>1477666.6666666665</v>
      </c>
      <c r="H270" s="55">
        <f t="shared" si="133"/>
        <v>5880000</v>
      </c>
      <c r="I270" s="55">
        <f t="shared" si="133"/>
        <v>5148000</v>
      </c>
      <c r="J270" s="55">
        <f t="shared" si="133"/>
        <v>3472000</v>
      </c>
      <c r="K270" s="55">
        <f t="shared" si="133"/>
        <v>2204000</v>
      </c>
      <c r="L270" s="57"/>
      <c r="M270" s="65">
        <f>A267</f>
        <v>44229</v>
      </c>
      <c r="N270" s="59">
        <f>SUM(B270:K270)</f>
        <v>67150666.666666657</v>
      </c>
      <c r="O270" s="94"/>
      <c r="P270" s="97"/>
      <c r="Q270" s="100"/>
      <c r="R270" s="103"/>
      <c r="S270" s="106"/>
      <c r="T270" s="109"/>
      <c r="U270" s="109"/>
      <c r="V270" s="109"/>
      <c r="W270" s="109"/>
      <c r="X270" s="109"/>
      <c r="Y270" s="109"/>
      <c r="Z270" s="109"/>
      <c r="AA270" s="109"/>
      <c r="AB270" s="109"/>
      <c r="AC270" s="109"/>
      <c r="AD270" s="109"/>
      <c r="AE270" s="109"/>
      <c r="AF270" s="109"/>
    </row>
    <row r="271" spans="1:32">
      <c r="A271" s="110">
        <f>+A267+1</f>
        <v>44230</v>
      </c>
      <c r="B271" s="31">
        <v>135</v>
      </c>
      <c r="C271" s="31">
        <v>139</v>
      </c>
      <c r="D271" s="31">
        <v>606</v>
      </c>
      <c r="E271" s="31">
        <v>171</v>
      </c>
      <c r="F271" s="31">
        <v>452</v>
      </c>
      <c r="G271" s="31">
        <v>341</v>
      </c>
      <c r="H271" s="31">
        <v>196</v>
      </c>
      <c r="I271" s="31">
        <v>429</v>
      </c>
      <c r="J271" s="31">
        <v>496</v>
      </c>
      <c r="K271" s="32">
        <v>152</v>
      </c>
      <c r="L271" s="15"/>
      <c r="M271" s="60"/>
      <c r="N271" s="61" t="s">
        <v>38</v>
      </c>
      <c r="O271" s="92">
        <f>+IFERROR(IF(HLOOKUP(S271,$S$3:$AB$3,1,)=S271,S272,0),0)</f>
        <v>0</v>
      </c>
      <c r="P271" s="95">
        <f>IFERROR(+N272/O271,0)</f>
        <v>0</v>
      </c>
      <c r="Q271" s="98">
        <f>+IFERROR(IF(HLOOKUP(S271,$S$4:$AB$4,1,)=S271,S272,0),0)</f>
        <v>0</v>
      </c>
      <c r="R271" s="101">
        <f>IFERROR(N272/Q271,0)</f>
        <v>0</v>
      </c>
      <c r="S271" s="47" t="s">
        <v>23</v>
      </c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</row>
    <row r="272" spans="1:32" ht="17.25" thickBot="1">
      <c r="A272" s="111"/>
      <c r="B272" s="35">
        <f t="shared" ref="B272:K272" si="134">+(B271-(B267+B269))*B$4</f>
        <v>0</v>
      </c>
      <c r="C272" s="35">
        <f t="shared" si="134"/>
        <v>0</v>
      </c>
      <c r="D272" s="35">
        <f t="shared" si="134"/>
        <v>0</v>
      </c>
      <c r="E272" s="35">
        <f t="shared" si="134"/>
        <v>0</v>
      </c>
      <c r="F272" s="35">
        <f t="shared" si="134"/>
        <v>0</v>
      </c>
      <c r="G272" s="35">
        <f t="shared" si="134"/>
        <v>0</v>
      </c>
      <c r="H272" s="35">
        <f t="shared" si="134"/>
        <v>0</v>
      </c>
      <c r="I272" s="35">
        <f t="shared" si="134"/>
        <v>0</v>
      </c>
      <c r="J272" s="35">
        <f t="shared" si="134"/>
        <v>0</v>
      </c>
      <c r="K272" s="35">
        <f t="shared" si="134"/>
        <v>0</v>
      </c>
      <c r="L272" s="35">
        <f>MONTH(M274)</f>
        <v>2</v>
      </c>
      <c r="M272" s="48" t="str">
        <f>IF(O271&gt;0,"Y","X")</f>
        <v>X</v>
      </c>
      <c r="N272" s="62">
        <f>IF(SUM(B271:K271)=0,0,SUM(B272:K272))</f>
        <v>0</v>
      </c>
      <c r="O272" s="93"/>
      <c r="P272" s="96"/>
      <c r="Q272" s="99"/>
      <c r="R272" s="102"/>
      <c r="S272" s="104">
        <f>SUM(T271:XFD271)</f>
        <v>0</v>
      </c>
      <c r="T272" s="108"/>
      <c r="U272" s="108"/>
      <c r="V272" s="108"/>
      <c r="W272" s="108"/>
      <c r="X272" s="108"/>
      <c r="Y272" s="108"/>
      <c r="Z272" s="108"/>
      <c r="AA272" s="108"/>
      <c r="AB272" s="108"/>
      <c r="AC272" s="108"/>
      <c r="AD272" s="108"/>
      <c r="AE272" s="108"/>
      <c r="AF272" s="108"/>
    </row>
    <row r="273" spans="1:32" ht="17.25" thickTop="1">
      <c r="A273" s="111"/>
      <c r="B273" s="50"/>
      <c r="C273" s="50"/>
      <c r="D273" s="50"/>
      <c r="E273" s="50"/>
      <c r="F273" s="50"/>
      <c r="G273" s="50">
        <v>0</v>
      </c>
      <c r="H273" s="50">
        <v>0</v>
      </c>
      <c r="I273" s="50">
        <v>0</v>
      </c>
      <c r="J273" s="50">
        <v>0</v>
      </c>
      <c r="K273" s="51">
        <v>0</v>
      </c>
      <c r="L273" s="52"/>
      <c r="M273" s="63"/>
      <c r="N273" s="64" t="s">
        <v>39</v>
      </c>
      <c r="O273" s="93"/>
      <c r="P273" s="96"/>
      <c r="Q273" s="99"/>
      <c r="R273" s="102"/>
      <c r="S273" s="105"/>
      <c r="T273" s="108"/>
      <c r="U273" s="108"/>
      <c r="V273" s="108"/>
      <c r="W273" s="108"/>
      <c r="X273" s="108"/>
      <c r="Y273" s="108"/>
      <c r="Z273" s="108"/>
      <c r="AA273" s="108"/>
      <c r="AB273" s="108"/>
      <c r="AC273" s="108"/>
      <c r="AD273" s="108"/>
      <c r="AE273" s="108"/>
      <c r="AF273" s="108"/>
    </row>
    <row r="274" spans="1:32" ht="17.25" thickBot="1">
      <c r="A274" s="112"/>
      <c r="B274" s="55">
        <f t="shared" ref="B274:K274" si="135">+(B271+B273)*B$4</f>
        <v>10800000</v>
      </c>
      <c r="C274" s="55">
        <f t="shared" si="135"/>
        <v>9035000</v>
      </c>
      <c r="D274" s="55">
        <f t="shared" si="135"/>
        <v>10908000</v>
      </c>
      <c r="E274" s="55">
        <f t="shared" si="135"/>
        <v>3762000</v>
      </c>
      <c r="F274" s="55">
        <f t="shared" si="135"/>
        <v>14464000</v>
      </c>
      <c r="G274" s="55">
        <f t="shared" si="135"/>
        <v>1477666.6666666665</v>
      </c>
      <c r="H274" s="55">
        <f t="shared" si="135"/>
        <v>5880000</v>
      </c>
      <c r="I274" s="55">
        <f t="shared" si="135"/>
        <v>5148000</v>
      </c>
      <c r="J274" s="55">
        <f t="shared" si="135"/>
        <v>3472000</v>
      </c>
      <c r="K274" s="55">
        <f t="shared" si="135"/>
        <v>2204000</v>
      </c>
      <c r="L274" s="57"/>
      <c r="M274" s="65">
        <f>A271</f>
        <v>44230</v>
      </c>
      <c r="N274" s="66">
        <f>SUM(B274:K274)</f>
        <v>67150666.666666657</v>
      </c>
      <c r="O274" s="94"/>
      <c r="P274" s="97"/>
      <c r="Q274" s="100"/>
      <c r="R274" s="103"/>
      <c r="S274" s="106"/>
      <c r="T274" s="109"/>
      <c r="U274" s="109"/>
      <c r="V274" s="109"/>
      <c r="W274" s="109"/>
      <c r="X274" s="109"/>
      <c r="Y274" s="109"/>
      <c r="Z274" s="109"/>
      <c r="AA274" s="109"/>
      <c r="AB274" s="109"/>
      <c r="AC274" s="109"/>
      <c r="AD274" s="109"/>
      <c r="AE274" s="109"/>
      <c r="AF274" s="109"/>
    </row>
    <row r="275" spans="1:32">
      <c r="A275" s="110">
        <f>+A271+1</f>
        <v>44231</v>
      </c>
      <c r="B275" s="31">
        <v>202</v>
      </c>
      <c r="C275" s="31">
        <v>190</v>
      </c>
      <c r="D275" s="31">
        <v>644</v>
      </c>
      <c r="E275" s="31">
        <v>245</v>
      </c>
      <c r="F275" s="31">
        <v>491</v>
      </c>
      <c r="G275" s="31">
        <v>406</v>
      </c>
      <c r="H275" s="31">
        <v>208</v>
      </c>
      <c r="I275" s="31">
        <v>449</v>
      </c>
      <c r="J275" s="31">
        <v>507</v>
      </c>
      <c r="K275" s="32">
        <v>163</v>
      </c>
      <c r="L275" s="15"/>
      <c r="M275" s="60"/>
      <c r="N275" s="46" t="s">
        <v>38</v>
      </c>
      <c r="O275" s="92">
        <f>+IFERROR(IF(HLOOKUP(S275,$S$3:$AB$3,1,)=S275,S276,0),0)</f>
        <v>43</v>
      </c>
      <c r="P275" s="95">
        <f>IFERROR(+N276/O275,0)</f>
        <v>310538.75968992244</v>
      </c>
      <c r="Q275" s="98">
        <f>+IFERROR(IF(HLOOKUP(S275,$S$4:$AB$4,1,)=S275,S276,0),0)</f>
        <v>0</v>
      </c>
      <c r="R275" s="101">
        <f>IFERROR(N276/Q275,0)</f>
        <v>0</v>
      </c>
      <c r="S275" s="47" t="s">
        <v>17</v>
      </c>
      <c r="T275" s="107">
        <f>1+3</f>
        <v>4</v>
      </c>
      <c r="U275" s="107">
        <f>1+6</f>
        <v>7</v>
      </c>
      <c r="V275" s="107">
        <f>1+6</f>
        <v>7</v>
      </c>
      <c r="W275" s="107">
        <v>6</v>
      </c>
      <c r="X275" s="107">
        <f>1+6</f>
        <v>7</v>
      </c>
      <c r="Y275" s="107"/>
      <c r="Z275" s="107"/>
      <c r="AA275" s="107"/>
      <c r="AB275" s="107">
        <v>6</v>
      </c>
      <c r="AC275" s="107">
        <v>6</v>
      </c>
      <c r="AD275" s="107"/>
      <c r="AE275" s="107"/>
      <c r="AF275" s="107"/>
    </row>
    <row r="276" spans="1:32" ht="17.25" thickBot="1">
      <c r="A276" s="111"/>
      <c r="B276" s="35">
        <f t="shared" ref="B276:K276" si="136">+(B275-(B271+B273))*B$4</f>
        <v>5360000</v>
      </c>
      <c r="C276" s="35">
        <f t="shared" si="136"/>
        <v>3315000</v>
      </c>
      <c r="D276" s="35">
        <f t="shared" si="136"/>
        <v>684000</v>
      </c>
      <c r="E276" s="35">
        <f t="shared" si="136"/>
        <v>1628000</v>
      </c>
      <c r="F276" s="35">
        <f t="shared" si="136"/>
        <v>1248000</v>
      </c>
      <c r="G276" s="35">
        <f t="shared" si="136"/>
        <v>281666.66666666663</v>
      </c>
      <c r="H276" s="35">
        <f t="shared" si="136"/>
        <v>360000</v>
      </c>
      <c r="I276" s="35">
        <f t="shared" si="136"/>
        <v>240000</v>
      </c>
      <c r="J276" s="35">
        <f t="shared" si="136"/>
        <v>77000</v>
      </c>
      <c r="K276" s="35">
        <f t="shared" si="136"/>
        <v>159500</v>
      </c>
      <c r="L276" s="35">
        <f>MONTH(M278)</f>
        <v>2</v>
      </c>
      <c r="M276" s="48" t="str">
        <f>IF(O275&gt;0,"Y","X")</f>
        <v>Y</v>
      </c>
      <c r="N276" s="49">
        <f>IF(SUM(B275:K275)=0,0,SUM(B276:K276))</f>
        <v>13353166.666666666</v>
      </c>
      <c r="O276" s="93"/>
      <c r="P276" s="96"/>
      <c r="Q276" s="99"/>
      <c r="R276" s="102"/>
      <c r="S276" s="104">
        <f>SUM(T275:XFD275)</f>
        <v>43</v>
      </c>
      <c r="T276" s="108"/>
      <c r="U276" s="108"/>
      <c r="V276" s="108"/>
      <c r="W276" s="108"/>
      <c r="X276" s="108"/>
      <c r="Y276" s="108"/>
      <c r="Z276" s="108"/>
      <c r="AA276" s="108"/>
      <c r="AB276" s="108"/>
      <c r="AC276" s="108"/>
      <c r="AD276" s="108"/>
      <c r="AE276" s="108"/>
      <c r="AF276" s="108"/>
    </row>
    <row r="277" spans="1:32" ht="17.25" thickTop="1">
      <c r="A277" s="111"/>
      <c r="B277" s="50">
        <v>-5</v>
      </c>
      <c r="C277" s="50">
        <v>-5</v>
      </c>
      <c r="D277" s="50">
        <v>0</v>
      </c>
      <c r="E277" s="50">
        <v>0</v>
      </c>
      <c r="F277" s="50"/>
      <c r="G277" s="50">
        <v>-2</v>
      </c>
      <c r="H277" s="50">
        <v>0</v>
      </c>
      <c r="I277" s="50">
        <v>0</v>
      </c>
      <c r="J277" s="50">
        <v>0</v>
      </c>
      <c r="K277" s="51">
        <v>0</v>
      </c>
      <c r="L277" s="52"/>
      <c r="M277" s="63"/>
      <c r="N277" s="54" t="s">
        <v>39</v>
      </c>
      <c r="O277" s="93"/>
      <c r="P277" s="96"/>
      <c r="Q277" s="99"/>
      <c r="R277" s="102"/>
      <c r="S277" s="105"/>
      <c r="T277" s="108"/>
      <c r="U277" s="108"/>
      <c r="V277" s="108"/>
      <c r="W277" s="108"/>
      <c r="X277" s="108"/>
      <c r="Y277" s="108"/>
      <c r="Z277" s="108"/>
      <c r="AA277" s="108"/>
      <c r="AB277" s="108"/>
      <c r="AC277" s="108"/>
      <c r="AD277" s="108"/>
      <c r="AE277" s="108"/>
      <c r="AF277" s="108"/>
    </row>
    <row r="278" spans="1:32" ht="17.25" thickBot="1">
      <c r="A278" s="112"/>
      <c r="B278" s="55">
        <f t="shared" ref="B278:K278" si="137">+(B275+B277)*B$4</f>
        <v>15760000</v>
      </c>
      <c r="C278" s="55">
        <f t="shared" si="137"/>
        <v>12025000</v>
      </c>
      <c r="D278" s="55">
        <f t="shared" si="137"/>
        <v>11592000</v>
      </c>
      <c r="E278" s="55">
        <f t="shared" si="137"/>
        <v>5390000</v>
      </c>
      <c r="F278" s="55">
        <f t="shared" si="137"/>
        <v>15712000</v>
      </c>
      <c r="G278" s="55">
        <f t="shared" si="137"/>
        <v>1750666.6666666665</v>
      </c>
      <c r="H278" s="55">
        <f t="shared" si="137"/>
        <v>6240000</v>
      </c>
      <c r="I278" s="55">
        <f t="shared" si="137"/>
        <v>5388000</v>
      </c>
      <c r="J278" s="55">
        <f t="shared" si="137"/>
        <v>3549000</v>
      </c>
      <c r="K278" s="55">
        <f t="shared" si="137"/>
        <v>2363500</v>
      </c>
      <c r="L278" s="57"/>
      <c r="M278" s="65">
        <f>A275</f>
        <v>44231</v>
      </c>
      <c r="N278" s="59">
        <f>SUM(B278:K278)</f>
        <v>79770166.666666657</v>
      </c>
      <c r="O278" s="94"/>
      <c r="P278" s="97"/>
      <c r="Q278" s="100"/>
      <c r="R278" s="103"/>
      <c r="S278" s="106"/>
      <c r="T278" s="109"/>
      <c r="U278" s="109"/>
      <c r="V278" s="109"/>
      <c r="W278" s="109"/>
      <c r="X278" s="109"/>
      <c r="Y278" s="109"/>
      <c r="Z278" s="109"/>
      <c r="AA278" s="109"/>
      <c r="AB278" s="109"/>
      <c r="AC278" s="109"/>
      <c r="AD278" s="109"/>
      <c r="AE278" s="109"/>
      <c r="AF278" s="109"/>
    </row>
    <row r="279" spans="1:32">
      <c r="A279" s="110">
        <f>+A275+1</f>
        <v>44232</v>
      </c>
      <c r="B279" s="31">
        <v>253</v>
      </c>
      <c r="C279" s="31">
        <v>238</v>
      </c>
      <c r="D279" s="31">
        <v>688</v>
      </c>
      <c r="E279" s="31">
        <v>328</v>
      </c>
      <c r="F279" s="31">
        <v>537</v>
      </c>
      <c r="G279" s="31">
        <v>477</v>
      </c>
      <c r="H279" s="31">
        <v>216</v>
      </c>
      <c r="I279" s="31">
        <v>467</v>
      </c>
      <c r="J279" s="31">
        <v>519</v>
      </c>
      <c r="K279" s="32">
        <v>178</v>
      </c>
      <c r="L279" s="15"/>
      <c r="M279" s="60"/>
      <c r="N279" s="61" t="s">
        <v>38</v>
      </c>
      <c r="O279" s="92">
        <f>+IFERROR(IF(HLOOKUP(S279,$S$3:$AB$3,1,)=S279,S280,0),0)</f>
        <v>46</v>
      </c>
      <c r="P279" s="95">
        <f>IFERROR(+N280/O279,0)</f>
        <v>284539.8550724638</v>
      </c>
      <c r="Q279" s="98">
        <f>+IFERROR(IF(HLOOKUP(S279,$S$4:$AB$4,1,)=S279,S280,0),0)</f>
        <v>0</v>
      </c>
      <c r="R279" s="101">
        <f>IFERROR(N280/Q279,0)</f>
        <v>0</v>
      </c>
      <c r="S279" s="47" t="s">
        <v>19</v>
      </c>
      <c r="T279" s="107">
        <v>3</v>
      </c>
      <c r="U279" s="107">
        <v>6</v>
      </c>
      <c r="V279" s="107">
        <v>6</v>
      </c>
      <c r="W279" s="107">
        <v>6</v>
      </c>
      <c r="X279" s="107">
        <v>6</v>
      </c>
      <c r="Y279" s="107"/>
      <c r="Z279" s="107">
        <v>6</v>
      </c>
      <c r="AA279" s="107">
        <v>1</v>
      </c>
      <c r="AB279" s="107">
        <v>6</v>
      </c>
      <c r="AC279" s="107">
        <v>6</v>
      </c>
      <c r="AD279" s="107"/>
      <c r="AE279" s="107"/>
      <c r="AF279" s="107"/>
    </row>
    <row r="280" spans="1:32" ht="17.25" thickBot="1">
      <c r="A280" s="111"/>
      <c r="B280" s="35">
        <f t="shared" ref="B280:K280" si="138">+(B279-(B275+B277))*B$4</f>
        <v>4480000</v>
      </c>
      <c r="C280" s="35">
        <f t="shared" si="138"/>
        <v>3445000</v>
      </c>
      <c r="D280" s="35">
        <f t="shared" si="138"/>
        <v>792000</v>
      </c>
      <c r="E280" s="35">
        <f t="shared" si="138"/>
        <v>1826000</v>
      </c>
      <c r="F280" s="35">
        <f t="shared" si="138"/>
        <v>1472000</v>
      </c>
      <c r="G280" s="35">
        <f t="shared" si="138"/>
        <v>316333.33333333331</v>
      </c>
      <c r="H280" s="35">
        <f t="shared" si="138"/>
        <v>240000</v>
      </c>
      <c r="I280" s="35">
        <f t="shared" si="138"/>
        <v>216000</v>
      </c>
      <c r="J280" s="35">
        <f t="shared" si="138"/>
        <v>84000</v>
      </c>
      <c r="K280" s="35">
        <f t="shared" si="138"/>
        <v>217500</v>
      </c>
      <c r="L280" s="35">
        <f>MONTH(M282)</f>
        <v>2</v>
      </c>
      <c r="M280" s="48" t="str">
        <f>IF(O279&gt;0,"Y","X")</f>
        <v>Y</v>
      </c>
      <c r="N280" s="62">
        <f>IF(SUM(B279:K279)=0,0,SUM(B280:K280))</f>
        <v>13088833.333333334</v>
      </c>
      <c r="O280" s="93"/>
      <c r="P280" s="96"/>
      <c r="Q280" s="99"/>
      <c r="R280" s="102"/>
      <c r="S280" s="104">
        <f>SUM(T279:XFD279)</f>
        <v>46</v>
      </c>
      <c r="T280" s="108"/>
      <c r="U280" s="108"/>
      <c r="V280" s="108"/>
      <c r="W280" s="108"/>
      <c r="X280" s="108"/>
      <c r="Y280" s="108"/>
      <c r="Z280" s="108"/>
      <c r="AA280" s="108"/>
      <c r="AB280" s="108"/>
      <c r="AC280" s="108"/>
      <c r="AD280" s="108"/>
      <c r="AE280" s="108"/>
      <c r="AF280" s="108"/>
    </row>
    <row r="281" spans="1:32" ht="17.25" thickTop="1">
      <c r="A281" s="111"/>
      <c r="B281" s="50">
        <v>0</v>
      </c>
      <c r="C281" s="50">
        <v>0</v>
      </c>
      <c r="D281" s="50">
        <v>0</v>
      </c>
      <c r="E281" s="50">
        <v>0</v>
      </c>
      <c r="F281" s="50">
        <v>0</v>
      </c>
      <c r="G281" s="50">
        <v>0</v>
      </c>
      <c r="H281" s="50">
        <v>0</v>
      </c>
      <c r="I281" s="50">
        <v>0</v>
      </c>
      <c r="J281" s="50">
        <v>0</v>
      </c>
      <c r="K281" s="51">
        <v>0</v>
      </c>
      <c r="L281" s="52"/>
      <c r="M281" s="63"/>
      <c r="N281" s="64" t="s">
        <v>39</v>
      </c>
      <c r="O281" s="93"/>
      <c r="P281" s="96"/>
      <c r="Q281" s="99"/>
      <c r="R281" s="102"/>
      <c r="S281" s="105"/>
      <c r="T281" s="108"/>
      <c r="U281" s="108"/>
      <c r="V281" s="108"/>
      <c r="W281" s="108"/>
      <c r="X281" s="108"/>
      <c r="Y281" s="108"/>
      <c r="Z281" s="108"/>
      <c r="AA281" s="108"/>
      <c r="AB281" s="108"/>
      <c r="AC281" s="108"/>
      <c r="AD281" s="108"/>
      <c r="AE281" s="108"/>
      <c r="AF281" s="108"/>
    </row>
    <row r="282" spans="1:32" ht="17.25" thickBot="1">
      <c r="A282" s="112"/>
      <c r="B282" s="55">
        <f t="shared" ref="B282:K282" si="139">+(B279+B281)*B$4</f>
        <v>20240000</v>
      </c>
      <c r="C282" s="55">
        <f t="shared" si="139"/>
        <v>15470000</v>
      </c>
      <c r="D282" s="55">
        <f t="shared" si="139"/>
        <v>12384000</v>
      </c>
      <c r="E282" s="55">
        <f t="shared" si="139"/>
        <v>7216000</v>
      </c>
      <c r="F282" s="55">
        <f t="shared" si="139"/>
        <v>17184000</v>
      </c>
      <c r="G282" s="55">
        <f t="shared" si="139"/>
        <v>2066999.9999999998</v>
      </c>
      <c r="H282" s="55">
        <f t="shared" si="139"/>
        <v>6480000</v>
      </c>
      <c r="I282" s="55">
        <f t="shared" si="139"/>
        <v>5604000</v>
      </c>
      <c r="J282" s="55">
        <f t="shared" si="139"/>
        <v>3633000</v>
      </c>
      <c r="K282" s="55">
        <f t="shared" si="139"/>
        <v>2581000</v>
      </c>
      <c r="L282" s="57"/>
      <c r="M282" s="65">
        <f>A279</f>
        <v>44232</v>
      </c>
      <c r="N282" s="66">
        <f>SUM(B282:K282)</f>
        <v>92859000</v>
      </c>
      <c r="O282" s="94"/>
      <c r="P282" s="97"/>
      <c r="Q282" s="100"/>
      <c r="R282" s="103"/>
      <c r="S282" s="106"/>
      <c r="T282" s="109"/>
      <c r="U282" s="109"/>
      <c r="V282" s="109"/>
      <c r="W282" s="109"/>
      <c r="X282" s="109"/>
      <c r="Y282" s="109"/>
      <c r="Z282" s="109"/>
      <c r="AA282" s="109"/>
      <c r="AB282" s="109"/>
      <c r="AC282" s="109"/>
      <c r="AD282" s="109"/>
      <c r="AE282" s="109"/>
      <c r="AF282" s="109"/>
    </row>
    <row r="283" spans="1:32">
      <c r="A283" s="113">
        <f>+A279+1</f>
        <v>44233</v>
      </c>
      <c r="B283" s="31">
        <v>366</v>
      </c>
      <c r="C283" s="31">
        <v>326</v>
      </c>
      <c r="D283" s="31">
        <v>750</v>
      </c>
      <c r="E283" s="31">
        <v>432</v>
      </c>
      <c r="F283" s="31">
        <v>591</v>
      </c>
      <c r="G283" s="31">
        <v>557</v>
      </c>
      <c r="H283" s="31">
        <v>233</v>
      </c>
      <c r="I283" s="31">
        <v>488</v>
      </c>
      <c r="J283" s="31">
        <v>538</v>
      </c>
      <c r="K283" s="32">
        <v>193</v>
      </c>
      <c r="L283" s="15"/>
      <c r="M283" s="60"/>
      <c r="N283" s="46" t="s">
        <v>38</v>
      </c>
      <c r="O283" s="92">
        <f>+IFERROR(IF(HLOOKUP(S283,$S$3:$AB$3,1,)=S283,S284,0),0)</f>
        <v>59</v>
      </c>
      <c r="P283" s="95">
        <f>IFERROR(+N284/O283,0)</f>
        <v>361884.1807909605</v>
      </c>
      <c r="Q283" s="98">
        <f>+IFERROR(IF(HLOOKUP(S283,$S$4:$AB$4,1,)=S283,S284,0),0)</f>
        <v>0</v>
      </c>
      <c r="R283" s="101">
        <f>IFERROR(N284/Q283,0)</f>
        <v>0</v>
      </c>
      <c r="S283" s="47" t="s">
        <v>20</v>
      </c>
      <c r="T283" s="107">
        <v>7</v>
      </c>
      <c r="U283" s="107">
        <v>9</v>
      </c>
      <c r="V283" s="107">
        <v>9</v>
      </c>
      <c r="W283" s="107">
        <v>9</v>
      </c>
      <c r="X283" s="107">
        <v>9</v>
      </c>
      <c r="Y283" s="107">
        <f>1+6</f>
        <v>7</v>
      </c>
      <c r="Z283" s="107"/>
      <c r="AA283" s="107"/>
      <c r="AB283" s="107">
        <v>9</v>
      </c>
      <c r="AC283" s="107"/>
      <c r="AD283" s="107"/>
      <c r="AE283" s="107"/>
      <c r="AF283" s="107"/>
    </row>
    <row r="284" spans="1:32" ht="17.25" thickBot="1">
      <c r="A284" s="114"/>
      <c r="B284" s="35">
        <f t="shared" ref="B284:K284" si="140">+(B283-(B279+B281))*B$4</f>
        <v>9040000</v>
      </c>
      <c r="C284" s="35">
        <f t="shared" si="140"/>
        <v>5720000</v>
      </c>
      <c r="D284" s="35">
        <f t="shared" si="140"/>
        <v>1116000</v>
      </c>
      <c r="E284" s="35">
        <f t="shared" si="140"/>
        <v>2288000</v>
      </c>
      <c r="F284" s="35">
        <f t="shared" si="140"/>
        <v>1728000</v>
      </c>
      <c r="G284" s="35">
        <f t="shared" si="140"/>
        <v>346666.66666666663</v>
      </c>
      <c r="H284" s="35">
        <f t="shared" si="140"/>
        <v>510000</v>
      </c>
      <c r="I284" s="35">
        <f t="shared" si="140"/>
        <v>252000</v>
      </c>
      <c r="J284" s="35">
        <f t="shared" si="140"/>
        <v>133000</v>
      </c>
      <c r="K284" s="35">
        <f t="shared" si="140"/>
        <v>217500</v>
      </c>
      <c r="L284" s="35">
        <f>MONTH(M286)</f>
        <v>2</v>
      </c>
      <c r="M284" s="48" t="str">
        <f>IF(O283&gt;0,"Y","X")</f>
        <v>Y</v>
      </c>
      <c r="N284" s="49">
        <f>IF(SUM(B283:K283)=0,0,SUM(B284:K284))</f>
        <v>21351166.666666668</v>
      </c>
      <c r="O284" s="93"/>
      <c r="P284" s="96"/>
      <c r="Q284" s="99"/>
      <c r="R284" s="102"/>
      <c r="S284" s="104">
        <f>SUM(T283:XFD283)</f>
        <v>59</v>
      </c>
      <c r="T284" s="108"/>
      <c r="U284" s="108"/>
      <c r="V284" s="108"/>
      <c r="W284" s="108"/>
      <c r="X284" s="108"/>
      <c r="Y284" s="108"/>
      <c r="Z284" s="108"/>
      <c r="AA284" s="108"/>
      <c r="AB284" s="108"/>
      <c r="AC284" s="108"/>
      <c r="AD284" s="108"/>
      <c r="AE284" s="108"/>
      <c r="AF284" s="108"/>
    </row>
    <row r="285" spans="1:32" ht="17.25" thickTop="1">
      <c r="A285" s="114"/>
      <c r="B285" s="50">
        <f>-10-6*10-100-120-18-100</f>
        <v>-408</v>
      </c>
      <c r="C285" s="50">
        <f>-10-6-100-120-18-100</f>
        <v>-354</v>
      </c>
      <c r="D285" s="50">
        <f>-200-40-120-9</f>
        <v>-369</v>
      </c>
      <c r="E285" s="50">
        <f>-200</f>
        <v>-200</v>
      </c>
      <c r="F285" s="50">
        <f>-100-40-120</f>
        <v>-260</v>
      </c>
      <c r="G285" s="50">
        <v>0</v>
      </c>
      <c r="H285" s="50">
        <v>0</v>
      </c>
      <c r="I285" s="50">
        <v>0</v>
      </c>
      <c r="J285" s="50">
        <v>0</v>
      </c>
      <c r="K285" s="51">
        <v>0</v>
      </c>
      <c r="L285" s="52"/>
      <c r="M285" s="63"/>
      <c r="N285" s="54" t="s">
        <v>39</v>
      </c>
      <c r="O285" s="93"/>
      <c r="P285" s="96"/>
      <c r="Q285" s="99"/>
      <c r="R285" s="102"/>
      <c r="S285" s="105"/>
      <c r="T285" s="108"/>
      <c r="U285" s="108"/>
      <c r="V285" s="108"/>
      <c r="W285" s="108"/>
      <c r="X285" s="108"/>
      <c r="Y285" s="108"/>
      <c r="Z285" s="108"/>
      <c r="AA285" s="108"/>
      <c r="AB285" s="108"/>
      <c r="AC285" s="108"/>
      <c r="AD285" s="108"/>
      <c r="AE285" s="108"/>
      <c r="AF285" s="108"/>
    </row>
    <row r="286" spans="1:32" ht="17.25" thickBot="1">
      <c r="A286" s="115"/>
      <c r="B286" s="55">
        <f t="shared" ref="B286:K286" si="141">+(B283+B285)*B$4</f>
        <v>-3360000</v>
      </c>
      <c r="C286" s="55">
        <f t="shared" si="141"/>
        <v>-1820000</v>
      </c>
      <c r="D286" s="55">
        <f t="shared" si="141"/>
        <v>6858000</v>
      </c>
      <c r="E286" s="55">
        <f t="shared" si="141"/>
        <v>5104000</v>
      </c>
      <c r="F286" s="55">
        <f t="shared" si="141"/>
        <v>10592000</v>
      </c>
      <c r="G286" s="55">
        <f t="shared" si="141"/>
        <v>2413666.6666666665</v>
      </c>
      <c r="H286" s="55">
        <f t="shared" si="141"/>
        <v>6990000</v>
      </c>
      <c r="I286" s="55">
        <f t="shared" si="141"/>
        <v>5856000</v>
      </c>
      <c r="J286" s="55">
        <f t="shared" si="141"/>
        <v>3766000</v>
      </c>
      <c r="K286" s="55">
        <f t="shared" si="141"/>
        <v>2798500</v>
      </c>
      <c r="L286" s="57"/>
      <c r="M286" s="65">
        <f>A283</f>
        <v>44233</v>
      </c>
      <c r="N286" s="59">
        <f>SUM(B286:K286)</f>
        <v>39198166.666666672</v>
      </c>
      <c r="O286" s="94"/>
      <c r="P286" s="97"/>
      <c r="Q286" s="100"/>
      <c r="R286" s="103"/>
      <c r="S286" s="106"/>
      <c r="T286" s="109"/>
      <c r="U286" s="109"/>
      <c r="V286" s="109"/>
      <c r="W286" s="109"/>
      <c r="X286" s="109"/>
      <c r="Y286" s="109"/>
      <c r="Z286" s="109"/>
      <c r="AA286" s="109"/>
      <c r="AB286" s="109"/>
      <c r="AC286" s="109"/>
      <c r="AD286" s="109"/>
      <c r="AE286" s="109"/>
      <c r="AF286" s="109"/>
    </row>
    <row r="287" spans="1:32">
      <c r="A287" s="113">
        <f>+A283+1</f>
        <v>44234</v>
      </c>
      <c r="B287" s="31">
        <v>44</v>
      </c>
      <c r="C287" s="31">
        <v>75</v>
      </c>
      <c r="D287" s="31">
        <v>456</v>
      </c>
      <c r="E287" s="31">
        <v>348</v>
      </c>
      <c r="F287" s="31">
        <v>388</v>
      </c>
      <c r="G287" s="31">
        <v>640</v>
      </c>
      <c r="H287" s="31">
        <v>255</v>
      </c>
      <c r="I287" s="31">
        <v>564</v>
      </c>
      <c r="J287" s="31">
        <v>560</v>
      </c>
      <c r="K287" s="32">
        <v>205</v>
      </c>
      <c r="L287" s="15"/>
      <c r="M287" s="60"/>
      <c r="N287" s="61" t="s">
        <v>38</v>
      </c>
      <c r="O287" s="92">
        <f>+IFERROR(IF(HLOOKUP(S287,$S$3:$AB$3,1,)=S287,S288,0),0)</f>
        <v>55</v>
      </c>
      <c r="P287" s="95">
        <f>IFERROR(+N288/O287,0)</f>
        <v>392012.12121212122</v>
      </c>
      <c r="Q287" s="98">
        <f>+IFERROR(IF(HLOOKUP(S287,$S$4:$AB$4,1,)=S287,S288,0),0)</f>
        <v>0</v>
      </c>
      <c r="R287" s="101">
        <f>IFERROR(N288/Q287,0)</f>
        <v>0</v>
      </c>
      <c r="S287" s="47" t="s">
        <v>18</v>
      </c>
      <c r="T287" s="107">
        <f>3+5+1</f>
        <v>9</v>
      </c>
      <c r="U287" s="107">
        <v>6</v>
      </c>
      <c r="V287" s="107">
        <v>6</v>
      </c>
      <c r="W287" s="107"/>
      <c r="X287" s="107">
        <v>6</v>
      </c>
      <c r="Y287" s="107"/>
      <c r="Z287" s="107">
        <v>9</v>
      </c>
      <c r="AA287" s="107"/>
      <c r="AB287" s="107">
        <v>6</v>
      </c>
      <c r="AC287" s="107">
        <f>4+6+3</f>
        <v>13</v>
      </c>
      <c r="AD287" s="107"/>
      <c r="AE287" s="107"/>
      <c r="AF287" s="107"/>
    </row>
    <row r="288" spans="1:32" ht="17.25" thickBot="1">
      <c r="A288" s="114"/>
      <c r="B288" s="35">
        <f t="shared" ref="B288:K288" si="142">+(B287-(B283+B285))*B$4</f>
        <v>6880000</v>
      </c>
      <c r="C288" s="35">
        <f t="shared" si="142"/>
        <v>6695000</v>
      </c>
      <c r="D288" s="35">
        <f t="shared" si="142"/>
        <v>1350000</v>
      </c>
      <c r="E288" s="35">
        <f t="shared" si="142"/>
        <v>2552000</v>
      </c>
      <c r="F288" s="35">
        <f t="shared" si="142"/>
        <v>1824000</v>
      </c>
      <c r="G288" s="35">
        <f t="shared" si="142"/>
        <v>359666.66666666663</v>
      </c>
      <c r="H288" s="35">
        <f t="shared" si="142"/>
        <v>660000</v>
      </c>
      <c r="I288" s="35">
        <f t="shared" si="142"/>
        <v>912000</v>
      </c>
      <c r="J288" s="35">
        <f t="shared" si="142"/>
        <v>154000</v>
      </c>
      <c r="K288" s="35">
        <f t="shared" si="142"/>
        <v>174000</v>
      </c>
      <c r="L288" s="35">
        <f>MONTH(M290)</f>
        <v>2</v>
      </c>
      <c r="M288" s="48" t="str">
        <f>IF(O287&gt;0,"Y","X")</f>
        <v>Y</v>
      </c>
      <c r="N288" s="62">
        <f>IF(SUM(B287:K287)=0,0,SUM(B288:K288))</f>
        <v>21560666.666666668</v>
      </c>
      <c r="O288" s="93"/>
      <c r="P288" s="96"/>
      <c r="Q288" s="99"/>
      <c r="R288" s="102"/>
      <c r="S288" s="104">
        <f>SUM(T287:XFD287)</f>
        <v>55</v>
      </c>
      <c r="T288" s="108"/>
      <c r="U288" s="108"/>
      <c r="V288" s="108"/>
      <c r="W288" s="108"/>
      <c r="X288" s="108"/>
      <c r="Y288" s="108"/>
      <c r="Z288" s="108"/>
      <c r="AA288" s="108"/>
      <c r="AB288" s="108"/>
      <c r="AC288" s="108"/>
      <c r="AD288" s="108"/>
      <c r="AE288" s="108"/>
      <c r="AF288" s="108"/>
    </row>
    <row r="289" spans="1:32" ht="17.25" thickTop="1">
      <c r="A289" s="114"/>
      <c r="B289" s="50">
        <v>0</v>
      </c>
      <c r="C289" s="50">
        <v>0</v>
      </c>
      <c r="D289" s="50">
        <v>0</v>
      </c>
      <c r="E289" s="50">
        <v>0</v>
      </c>
      <c r="F289" s="50">
        <v>100</v>
      </c>
      <c r="G289" s="50">
        <v>0</v>
      </c>
      <c r="H289" s="50">
        <v>0</v>
      </c>
      <c r="I289" s="50">
        <v>0</v>
      </c>
      <c r="J289" s="50">
        <v>0</v>
      </c>
      <c r="K289" s="51">
        <v>0</v>
      </c>
      <c r="L289" s="52"/>
      <c r="M289" s="63"/>
      <c r="N289" s="64" t="s">
        <v>39</v>
      </c>
      <c r="O289" s="93"/>
      <c r="P289" s="96"/>
      <c r="Q289" s="99"/>
      <c r="R289" s="102"/>
      <c r="S289" s="105"/>
      <c r="T289" s="108"/>
      <c r="U289" s="108"/>
      <c r="V289" s="108"/>
      <c r="W289" s="108"/>
      <c r="X289" s="108"/>
      <c r="Y289" s="108"/>
      <c r="Z289" s="108"/>
      <c r="AA289" s="108"/>
      <c r="AB289" s="108"/>
      <c r="AC289" s="108"/>
      <c r="AD289" s="108"/>
      <c r="AE289" s="108"/>
      <c r="AF289" s="108"/>
    </row>
    <row r="290" spans="1:32" ht="17.25" thickBot="1">
      <c r="A290" s="115"/>
      <c r="B290" s="55">
        <f t="shared" ref="B290:K290" si="143">+(B287+B289)*B$4</f>
        <v>3520000</v>
      </c>
      <c r="C290" s="55">
        <f t="shared" si="143"/>
        <v>4875000</v>
      </c>
      <c r="D290" s="55">
        <f t="shared" si="143"/>
        <v>8208000</v>
      </c>
      <c r="E290" s="55">
        <f t="shared" si="143"/>
        <v>7656000</v>
      </c>
      <c r="F290" s="55">
        <f t="shared" si="143"/>
        <v>15616000</v>
      </c>
      <c r="G290" s="55">
        <f t="shared" si="143"/>
        <v>2773333.333333333</v>
      </c>
      <c r="H290" s="55">
        <f t="shared" si="143"/>
        <v>7650000</v>
      </c>
      <c r="I290" s="55">
        <f t="shared" si="143"/>
        <v>6768000</v>
      </c>
      <c r="J290" s="55">
        <f t="shared" si="143"/>
        <v>3920000</v>
      </c>
      <c r="K290" s="55">
        <f t="shared" si="143"/>
        <v>2972500</v>
      </c>
      <c r="L290" s="57"/>
      <c r="M290" s="65">
        <f>A287</f>
        <v>44234</v>
      </c>
      <c r="N290" s="66">
        <f>SUM(B290:K290)</f>
        <v>63958833.333333336</v>
      </c>
      <c r="O290" s="94"/>
      <c r="P290" s="97"/>
      <c r="Q290" s="100"/>
      <c r="R290" s="103"/>
      <c r="S290" s="106"/>
      <c r="T290" s="109"/>
      <c r="U290" s="109"/>
      <c r="V290" s="109"/>
      <c r="W290" s="109"/>
      <c r="X290" s="109"/>
      <c r="Y290" s="109"/>
      <c r="Z290" s="109"/>
      <c r="AA290" s="109"/>
      <c r="AB290" s="109"/>
      <c r="AC290" s="109"/>
      <c r="AD290" s="109"/>
      <c r="AE290" s="109"/>
      <c r="AF290" s="109"/>
    </row>
    <row r="291" spans="1:32">
      <c r="A291" s="110">
        <f>+A287+1</f>
        <v>44235</v>
      </c>
      <c r="B291" s="31">
        <v>53</v>
      </c>
      <c r="C291" s="31">
        <v>84</v>
      </c>
      <c r="D291" s="31">
        <v>462</v>
      </c>
      <c r="E291" s="31">
        <v>357</v>
      </c>
      <c r="F291" s="31">
        <v>495</v>
      </c>
      <c r="G291" s="31">
        <v>667</v>
      </c>
      <c r="H291" s="31">
        <v>258</v>
      </c>
      <c r="I291" s="31">
        <v>505</v>
      </c>
      <c r="J291" s="31">
        <v>567</v>
      </c>
      <c r="K291" s="32">
        <v>209</v>
      </c>
      <c r="L291" s="15"/>
      <c r="M291" s="45"/>
      <c r="N291" s="46" t="s">
        <v>38</v>
      </c>
      <c r="O291" s="92">
        <f>+IFERROR(IF(HLOOKUP(S291,$S$3:$AB$3,1,)=S291,S292,0),0)</f>
        <v>0</v>
      </c>
      <c r="P291" s="95">
        <f>IFERROR(+N292/O291,0)</f>
        <v>0</v>
      </c>
      <c r="Q291" s="98">
        <f>+IFERROR(IF(HLOOKUP(S291,$S$4:$AB$4,1,)=S291,S292,0),0)</f>
        <v>7</v>
      </c>
      <c r="R291" s="101">
        <f>IFERROR(N292/Q291,0)</f>
        <v>205857.14285714287</v>
      </c>
      <c r="S291" s="47" t="s">
        <v>24</v>
      </c>
      <c r="T291" s="107">
        <v>7</v>
      </c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</row>
    <row r="292" spans="1:32" ht="17.25" thickBot="1">
      <c r="A292" s="111"/>
      <c r="B292" s="35">
        <f t="shared" ref="B292:K292" si="144">+(B291-(B287+B289))*B$4</f>
        <v>720000</v>
      </c>
      <c r="C292" s="35">
        <f t="shared" si="144"/>
        <v>585000</v>
      </c>
      <c r="D292" s="35">
        <f t="shared" si="144"/>
        <v>108000</v>
      </c>
      <c r="E292" s="35">
        <f t="shared" si="144"/>
        <v>198000</v>
      </c>
      <c r="F292" s="35">
        <f t="shared" si="144"/>
        <v>224000</v>
      </c>
      <c r="G292" s="35">
        <f t="shared" si="144"/>
        <v>116999.99999999999</v>
      </c>
      <c r="H292" s="35">
        <f t="shared" si="144"/>
        <v>90000</v>
      </c>
      <c r="I292" s="35">
        <f t="shared" si="144"/>
        <v>-708000</v>
      </c>
      <c r="J292" s="35">
        <f t="shared" si="144"/>
        <v>49000</v>
      </c>
      <c r="K292" s="35">
        <f t="shared" si="144"/>
        <v>58000</v>
      </c>
      <c r="L292" s="35">
        <f>MONTH(M294)</f>
        <v>2</v>
      </c>
      <c r="M292" s="48" t="str">
        <f>IF(O291&gt;0,"Y","X")</f>
        <v>X</v>
      </c>
      <c r="N292" s="49">
        <f>IF(SUM(B291:K291)=0,0,SUM(B292:K292))</f>
        <v>1441000</v>
      </c>
      <c r="O292" s="93"/>
      <c r="P292" s="96"/>
      <c r="Q292" s="99"/>
      <c r="R292" s="102"/>
      <c r="S292" s="104">
        <f>SUM(T291:XFD291)</f>
        <v>7</v>
      </c>
      <c r="T292" s="108"/>
      <c r="U292" s="108"/>
      <c r="V292" s="108"/>
      <c r="W292" s="108"/>
      <c r="X292" s="108"/>
      <c r="Y292" s="108"/>
      <c r="Z292" s="108"/>
      <c r="AA292" s="108"/>
      <c r="AB292" s="108"/>
      <c r="AC292" s="108"/>
      <c r="AD292" s="108"/>
      <c r="AE292" s="108"/>
      <c r="AF292" s="108"/>
    </row>
    <row r="293" spans="1:32" ht="17.25" thickTop="1">
      <c r="A293" s="111"/>
      <c r="B293" s="50">
        <v>0</v>
      </c>
      <c r="C293" s="50">
        <v>0</v>
      </c>
      <c r="D293" s="50">
        <v>0</v>
      </c>
      <c r="E293" s="50">
        <v>0</v>
      </c>
      <c r="F293" s="50">
        <v>0</v>
      </c>
      <c r="G293" s="50">
        <v>0</v>
      </c>
      <c r="H293" s="50">
        <v>0</v>
      </c>
      <c r="I293" s="50">
        <v>0</v>
      </c>
      <c r="J293" s="50">
        <v>0</v>
      </c>
      <c r="K293" s="51">
        <v>0</v>
      </c>
      <c r="L293" s="52"/>
      <c r="M293" s="53"/>
      <c r="N293" s="54" t="s">
        <v>39</v>
      </c>
      <c r="O293" s="93"/>
      <c r="P293" s="96"/>
      <c r="Q293" s="99"/>
      <c r="R293" s="102"/>
      <c r="S293" s="105"/>
      <c r="T293" s="108"/>
      <c r="U293" s="108"/>
      <c r="V293" s="108"/>
      <c r="W293" s="108"/>
      <c r="X293" s="108"/>
      <c r="Y293" s="108"/>
      <c r="Z293" s="108"/>
      <c r="AA293" s="108"/>
      <c r="AB293" s="108"/>
      <c r="AC293" s="108"/>
      <c r="AD293" s="108"/>
      <c r="AE293" s="108"/>
      <c r="AF293" s="108"/>
    </row>
    <row r="294" spans="1:32" ht="17.25" thickBot="1">
      <c r="A294" s="112"/>
      <c r="B294" s="55">
        <f t="shared" ref="B294:K294" si="145">+(B291+B293)*B$4</f>
        <v>4240000</v>
      </c>
      <c r="C294" s="55">
        <f t="shared" si="145"/>
        <v>5460000</v>
      </c>
      <c r="D294" s="55">
        <f t="shared" si="145"/>
        <v>8316000</v>
      </c>
      <c r="E294" s="55">
        <f t="shared" si="145"/>
        <v>7854000</v>
      </c>
      <c r="F294" s="55">
        <f t="shared" si="145"/>
        <v>15840000</v>
      </c>
      <c r="G294" s="55">
        <f t="shared" si="145"/>
        <v>2890333.333333333</v>
      </c>
      <c r="H294" s="55">
        <f t="shared" si="145"/>
        <v>7740000</v>
      </c>
      <c r="I294" s="55">
        <f t="shared" si="145"/>
        <v>6060000</v>
      </c>
      <c r="J294" s="55">
        <f t="shared" si="145"/>
        <v>3969000</v>
      </c>
      <c r="K294" s="55">
        <f t="shared" si="145"/>
        <v>3030500</v>
      </c>
      <c r="L294" s="57"/>
      <c r="M294" s="58">
        <f>A291</f>
        <v>44235</v>
      </c>
      <c r="N294" s="59">
        <f>SUM(B294:K294)</f>
        <v>65399833.333333336</v>
      </c>
      <c r="O294" s="94"/>
      <c r="P294" s="97"/>
      <c r="Q294" s="100"/>
      <c r="R294" s="103"/>
      <c r="S294" s="106"/>
      <c r="T294" s="109"/>
      <c r="U294" s="109"/>
      <c r="V294" s="109"/>
      <c r="W294" s="109"/>
      <c r="X294" s="109"/>
      <c r="Y294" s="109"/>
      <c r="Z294" s="109"/>
      <c r="AA294" s="109"/>
      <c r="AB294" s="109"/>
      <c r="AC294" s="109"/>
      <c r="AD294" s="109"/>
      <c r="AE294" s="109"/>
      <c r="AF294" s="109"/>
    </row>
    <row r="295" spans="1:32">
      <c r="A295" s="110">
        <f>+A291+1</f>
        <v>44236</v>
      </c>
      <c r="B295" s="31">
        <v>60</v>
      </c>
      <c r="C295" s="31">
        <v>100</v>
      </c>
      <c r="D295" s="31">
        <v>467</v>
      </c>
      <c r="E295" s="31">
        <v>369</v>
      </c>
      <c r="F295" s="31">
        <v>504</v>
      </c>
      <c r="G295" s="31">
        <v>682</v>
      </c>
      <c r="H295" s="31">
        <v>263</v>
      </c>
      <c r="I295" s="31">
        <v>511</v>
      </c>
      <c r="J295" s="31">
        <v>572</v>
      </c>
      <c r="K295" s="32">
        <v>212</v>
      </c>
      <c r="L295" s="15"/>
      <c r="M295" s="60"/>
      <c r="N295" s="61" t="s">
        <v>38</v>
      </c>
      <c r="O295" s="92">
        <f>+IFERROR(IF(HLOOKUP(S295,$S$3:$AB$3,1,)=S295,S296,0),0)</f>
        <v>0</v>
      </c>
      <c r="P295" s="95">
        <f>IFERROR(+N296/O295,0)</f>
        <v>0</v>
      </c>
      <c r="Q295" s="98">
        <f>+IFERROR(IF(HLOOKUP(S295,$S$4:$AB$4,1,)=S295,S296,0),0)</f>
        <v>9</v>
      </c>
      <c r="R295" s="101">
        <f>IFERROR(N296/Q295,0)</f>
        <v>289722.22222222225</v>
      </c>
      <c r="S295" s="47" t="s">
        <v>23</v>
      </c>
      <c r="T295" s="107">
        <v>9</v>
      </c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</row>
    <row r="296" spans="1:32" ht="17.25" thickBot="1">
      <c r="A296" s="111"/>
      <c r="B296" s="35">
        <f t="shared" ref="B296:K296" si="146">+(B295-(B291+B293))*B$4</f>
        <v>560000</v>
      </c>
      <c r="C296" s="35">
        <f t="shared" si="146"/>
        <v>1040000</v>
      </c>
      <c r="D296" s="35">
        <f t="shared" si="146"/>
        <v>90000</v>
      </c>
      <c r="E296" s="35">
        <f t="shared" si="146"/>
        <v>264000</v>
      </c>
      <c r="F296" s="35">
        <f t="shared" si="146"/>
        <v>288000</v>
      </c>
      <c r="G296" s="35">
        <f t="shared" si="146"/>
        <v>64999.999999999993</v>
      </c>
      <c r="H296" s="35">
        <f t="shared" si="146"/>
        <v>150000</v>
      </c>
      <c r="I296" s="35">
        <f t="shared" si="146"/>
        <v>72000</v>
      </c>
      <c r="J296" s="35">
        <f t="shared" si="146"/>
        <v>35000</v>
      </c>
      <c r="K296" s="35">
        <f t="shared" si="146"/>
        <v>43500</v>
      </c>
      <c r="L296" s="35">
        <f>MONTH(M298)</f>
        <v>2</v>
      </c>
      <c r="M296" s="48" t="str">
        <f>IF(O295&gt;0,"Y","X")</f>
        <v>X</v>
      </c>
      <c r="N296" s="62">
        <f>IF(SUM(B295:K295)=0,0,SUM(B296:K296))</f>
        <v>2607500</v>
      </c>
      <c r="O296" s="93"/>
      <c r="P296" s="96"/>
      <c r="Q296" s="99"/>
      <c r="R296" s="102"/>
      <c r="S296" s="104">
        <f>SUM(T295:XFD295)</f>
        <v>9</v>
      </c>
      <c r="T296" s="108"/>
      <c r="U296" s="108"/>
      <c r="V296" s="108"/>
      <c r="W296" s="108"/>
      <c r="X296" s="108"/>
      <c r="Y296" s="108"/>
      <c r="Z296" s="108"/>
      <c r="AA296" s="108"/>
      <c r="AB296" s="108"/>
      <c r="AC296" s="108"/>
      <c r="AD296" s="108"/>
      <c r="AE296" s="108"/>
      <c r="AF296" s="108"/>
    </row>
    <row r="297" spans="1:32" ht="17.25" thickTop="1">
      <c r="A297" s="111"/>
      <c r="B297" s="50">
        <v>0</v>
      </c>
      <c r="C297" s="50">
        <v>0</v>
      </c>
      <c r="D297" s="50">
        <v>0</v>
      </c>
      <c r="E297" s="50">
        <v>0</v>
      </c>
      <c r="F297" s="50">
        <v>0</v>
      </c>
      <c r="G297" s="50">
        <v>0</v>
      </c>
      <c r="H297" s="50">
        <v>0</v>
      </c>
      <c r="I297" s="50">
        <v>0</v>
      </c>
      <c r="J297" s="50">
        <v>0</v>
      </c>
      <c r="K297" s="51">
        <v>0</v>
      </c>
      <c r="L297" s="52"/>
      <c r="M297" s="63"/>
      <c r="N297" s="64" t="s">
        <v>39</v>
      </c>
      <c r="O297" s="93"/>
      <c r="P297" s="96"/>
      <c r="Q297" s="99"/>
      <c r="R297" s="102"/>
      <c r="S297" s="105"/>
      <c r="T297" s="108"/>
      <c r="U297" s="108"/>
      <c r="V297" s="108"/>
      <c r="W297" s="108"/>
      <c r="X297" s="108"/>
      <c r="Y297" s="108"/>
      <c r="Z297" s="108"/>
      <c r="AA297" s="108"/>
      <c r="AB297" s="108"/>
      <c r="AC297" s="108"/>
      <c r="AD297" s="108"/>
      <c r="AE297" s="108"/>
      <c r="AF297" s="108"/>
    </row>
    <row r="298" spans="1:32" ht="17.25" thickBot="1">
      <c r="A298" s="112"/>
      <c r="B298" s="55">
        <f t="shared" ref="B298:K298" si="147">+(B295+B297)*B$4</f>
        <v>4800000</v>
      </c>
      <c r="C298" s="55">
        <f t="shared" si="147"/>
        <v>6500000</v>
      </c>
      <c r="D298" s="55">
        <f t="shared" si="147"/>
        <v>8406000</v>
      </c>
      <c r="E298" s="55">
        <f t="shared" si="147"/>
        <v>8118000</v>
      </c>
      <c r="F298" s="55">
        <f t="shared" si="147"/>
        <v>16128000</v>
      </c>
      <c r="G298" s="55">
        <f t="shared" si="147"/>
        <v>2955333.333333333</v>
      </c>
      <c r="H298" s="55">
        <f t="shared" si="147"/>
        <v>7890000</v>
      </c>
      <c r="I298" s="55">
        <f t="shared" si="147"/>
        <v>6132000</v>
      </c>
      <c r="J298" s="55">
        <f t="shared" si="147"/>
        <v>4004000</v>
      </c>
      <c r="K298" s="55">
        <f t="shared" si="147"/>
        <v>3074000</v>
      </c>
      <c r="L298" s="57"/>
      <c r="M298" s="65">
        <f>A295</f>
        <v>44236</v>
      </c>
      <c r="N298" s="66">
        <f>SUM(B298:K298)</f>
        <v>68007333.333333343</v>
      </c>
      <c r="O298" s="94"/>
      <c r="P298" s="97"/>
      <c r="Q298" s="100"/>
      <c r="R298" s="103"/>
      <c r="S298" s="106"/>
      <c r="T298" s="109"/>
      <c r="U298" s="109"/>
      <c r="V298" s="109"/>
      <c r="W298" s="109"/>
      <c r="X298" s="109"/>
      <c r="Y298" s="109"/>
      <c r="Z298" s="109"/>
      <c r="AA298" s="109"/>
      <c r="AB298" s="109"/>
      <c r="AC298" s="109"/>
      <c r="AD298" s="109"/>
      <c r="AE298" s="109"/>
      <c r="AF298" s="109"/>
    </row>
    <row r="299" spans="1:32">
      <c r="A299" s="110">
        <f>+A295+1</f>
        <v>44237</v>
      </c>
      <c r="B299" s="31">
        <v>64</v>
      </c>
      <c r="C299" s="31">
        <v>106</v>
      </c>
      <c r="D299" s="31">
        <v>469</v>
      </c>
      <c r="E299" s="31">
        <v>375</v>
      </c>
      <c r="F299" s="31">
        <v>505</v>
      </c>
      <c r="G299" s="31">
        <v>688</v>
      </c>
      <c r="H299" s="31">
        <v>263</v>
      </c>
      <c r="I299" s="31">
        <v>513</v>
      </c>
      <c r="J299" s="31">
        <v>574</v>
      </c>
      <c r="K299" s="32">
        <v>212</v>
      </c>
      <c r="L299" s="15"/>
      <c r="M299" s="60"/>
      <c r="N299" s="46" t="s">
        <v>38</v>
      </c>
      <c r="O299" s="92">
        <f>+IFERROR(IF(HLOOKUP(S299,$S$3:$AB$3,1,)=S299,S300,0),0)</f>
        <v>3</v>
      </c>
      <c r="P299" s="95">
        <f>IFERROR(+N300/O299,0)</f>
        <v>324666.66666666669</v>
      </c>
      <c r="Q299" s="98">
        <f>+IFERROR(IF(HLOOKUP(S299,$S$4:$AB$4,1,)=S299,S300,0),0)</f>
        <v>0</v>
      </c>
      <c r="R299" s="101">
        <f>IFERROR(N300/Q299,0)</f>
        <v>0</v>
      </c>
      <c r="S299" s="47" t="s">
        <v>17</v>
      </c>
      <c r="T299" s="107">
        <v>3</v>
      </c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</row>
    <row r="300" spans="1:32" ht="17.25" thickBot="1">
      <c r="A300" s="111"/>
      <c r="B300" s="35">
        <f t="shared" ref="B300:K300" si="148">+(B299-(B295+B297))*B$4</f>
        <v>320000</v>
      </c>
      <c r="C300" s="35">
        <f t="shared" si="148"/>
        <v>390000</v>
      </c>
      <c r="D300" s="35">
        <f t="shared" si="148"/>
        <v>36000</v>
      </c>
      <c r="E300" s="35">
        <f t="shared" si="148"/>
        <v>132000</v>
      </c>
      <c r="F300" s="35">
        <f t="shared" si="148"/>
        <v>32000</v>
      </c>
      <c r="G300" s="35">
        <f t="shared" si="148"/>
        <v>26000</v>
      </c>
      <c r="H300" s="35">
        <f t="shared" si="148"/>
        <v>0</v>
      </c>
      <c r="I300" s="35">
        <f t="shared" si="148"/>
        <v>24000</v>
      </c>
      <c r="J300" s="35">
        <f t="shared" si="148"/>
        <v>14000</v>
      </c>
      <c r="K300" s="35">
        <f t="shared" si="148"/>
        <v>0</v>
      </c>
      <c r="L300" s="35">
        <f>MONTH(M302)</f>
        <v>2</v>
      </c>
      <c r="M300" s="48" t="str">
        <f>IF(O299&gt;0,"Y","X")</f>
        <v>Y</v>
      </c>
      <c r="N300" s="49">
        <f>IF(SUM(B299:K299)=0,0,SUM(B300:K300))</f>
        <v>974000</v>
      </c>
      <c r="O300" s="93"/>
      <c r="P300" s="96"/>
      <c r="Q300" s="99"/>
      <c r="R300" s="102"/>
      <c r="S300" s="104">
        <f>SUM(T299:XFD299)</f>
        <v>3</v>
      </c>
      <c r="T300" s="108"/>
      <c r="U300" s="108"/>
      <c r="V300" s="108"/>
      <c r="W300" s="108"/>
      <c r="X300" s="108"/>
      <c r="Y300" s="108"/>
      <c r="Z300" s="108"/>
      <c r="AA300" s="108"/>
      <c r="AB300" s="108"/>
      <c r="AC300" s="108"/>
      <c r="AD300" s="108"/>
      <c r="AE300" s="108"/>
      <c r="AF300" s="108"/>
    </row>
    <row r="301" spans="1:32" ht="17.25" thickTop="1">
      <c r="A301" s="111"/>
      <c r="B301" s="50">
        <v>-100</v>
      </c>
      <c r="C301" s="50">
        <v>-100</v>
      </c>
      <c r="D301" s="50">
        <v>-200</v>
      </c>
      <c r="E301" s="50">
        <v>-100</v>
      </c>
      <c r="F301" s="50">
        <v>0</v>
      </c>
      <c r="G301" s="50">
        <v>0</v>
      </c>
      <c r="H301" s="50">
        <v>-220</v>
      </c>
      <c r="I301" s="50">
        <v>-220</v>
      </c>
      <c r="J301" s="50">
        <v>-220</v>
      </c>
      <c r="K301" s="51">
        <v>-220</v>
      </c>
      <c r="L301" s="52"/>
      <c r="M301" s="63"/>
      <c r="N301" s="54" t="s">
        <v>39</v>
      </c>
      <c r="O301" s="93"/>
      <c r="P301" s="96"/>
      <c r="Q301" s="99"/>
      <c r="R301" s="102"/>
      <c r="S301" s="105"/>
      <c r="T301" s="108"/>
      <c r="U301" s="108"/>
      <c r="V301" s="108"/>
      <c r="W301" s="108"/>
      <c r="X301" s="108"/>
      <c r="Y301" s="108"/>
      <c r="Z301" s="108"/>
      <c r="AA301" s="108"/>
      <c r="AB301" s="108"/>
      <c r="AC301" s="108"/>
      <c r="AD301" s="108"/>
      <c r="AE301" s="108"/>
      <c r="AF301" s="108"/>
    </row>
    <row r="302" spans="1:32" ht="17.25" thickBot="1">
      <c r="A302" s="112"/>
      <c r="B302" s="55">
        <f t="shared" ref="B302:K302" si="149">+(B299+B301)*B$4</f>
        <v>-2880000</v>
      </c>
      <c r="C302" s="55">
        <f t="shared" si="149"/>
        <v>390000</v>
      </c>
      <c r="D302" s="55">
        <f t="shared" si="149"/>
        <v>4842000</v>
      </c>
      <c r="E302" s="55">
        <f t="shared" si="149"/>
        <v>6050000</v>
      </c>
      <c r="F302" s="55">
        <f t="shared" si="149"/>
        <v>16160000</v>
      </c>
      <c r="G302" s="55">
        <f t="shared" si="149"/>
        <v>2981333.333333333</v>
      </c>
      <c r="H302" s="55">
        <f t="shared" si="149"/>
        <v>1290000</v>
      </c>
      <c r="I302" s="55">
        <f t="shared" si="149"/>
        <v>3516000</v>
      </c>
      <c r="J302" s="55">
        <f t="shared" si="149"/>
        <v>2478000</v>
      </c>
      <c r="K302" s="55">
        <f t="shared" si="149"/>
        <v>-116000</v>
      </c>
      <c r="L302" s="57"/>
      <c r="M302" s="65">
        <f>A299</f>
        <v>44237</v>
      </c>
      <c r="N302" s="59">
        <f>SUM(B302:K302)</f>
        <v>34711333.333333328</v>
      </c>
      <c r="O302" s="94"/>
      <c r="P302" s="97"/>
      <c r="Q302" s="100"/>
      <c r="R302" s="103"/>
      <c r="S302" s="106"/>
      <c r="T302" s="109"/>
      <c r="U302" s="109"/>
      <c r="V302" s="109"/>
      <c r="W302" s="109"/>
      <c r="X302" s="109"/>
      <c r="Y302" s="109"/>
      <c r="Z302" s="109"/>
      <c r="AA302" s="109"/>
      <c r="AB302" s="109"/>
      <c r="AC302" s="109"/>
      <c r="AD302" s="109"/>
      <c r="AE302" s="109"/>
      <c r="AF302" s="109"/>
    </row>
    <row r="303" spans="1:32">
      <c r="A303" s="110">
        <f>+A299+1</f>
        <v>44238</v>
      </c>
      <c r="B303" s="31">
        <v>42</v>
      </c>
      <c r="C303" s="31">
        <v>102</v>
      </c>
      <c r="D303" s="31">
        <v>321</v>
      </c>
      <c r="E303" s="31">
        <v>367</v>
      </c>
      <c r="F303" s="31">
        <v>552</v>
      </c>
      <c r="G303" s="31">
        <v>781</v>
      </c>
      <c r="H303" s="31">
        <v>57</v>
      </c>
      <c r="I303" s="31">
        <v>312</v>
      </c>
      <c r="J303" s="31">
        <v>368</v>
      </c>
      <c r="K303" s="32">
        <v>11</v>
      </c>
      <c r="L303" s="15"/>
      <c r="M303" s="60"/>
      <c r="N303" s="61" t="s">
        <v>38</v>
      </c>
      <c r="O303" s="92">
        <f>+IFERROR(IF(HLOOKUP(S303,$S$3:$AB$3,1,)=S303,S304,0),0)</f>
        <v>52</v>
      </c>
      <c r="P303" s="95">
        <f>IFERROR(+N304/O303,0)</f>
        <v>353240.38461538462</v>
      </c>
      <c r="Q303" s="98">
        <f>+IFERROR(IF(HLOOKUP(S303,$S$4:$AB$4,1,)=S303,S304,0),0)</f>
        <v>0</v>
      </c>
      <c r="R303" s="101">
        <f>IFERROR(N304/Q303,0)</f>
        <v>0</v>
      </c>
      <c r="S303" s="47" t="s">
        <v>19</v>
      </c>
      <c r="T303" s="107">
        <v>4</v>
      </c>
      <c r="U303" s="107">
        <v>6</v>
      </c>
      <c r="V303" s="107">
        <v>6</v>
      </c>
      <c r="W303" s="107">
        <v>6</v>
      </c>
      <c r="X303" s="107">
        <v>6</v>
      </c>
      <c r="Y303" s="107"/>
      <c r="Z303" s="107">
        <v>6</v>
      </c>
      <c r="AA303" s="107">
        <v>6</v>
      </c>
      <c r="AB303" s="107">
        <v>6</v>
      </c>
      <c r="AC303" s="107">
        <v>6</v>
      </c>
      <c r="AD303" s="107"/>
      <c r="AE303" s="107"/>
      <c r="AF303" s="107"/>
    </row>
    <row r="304" spans="1:32" ht="17.25" thickBot="1">
      <c r="A304" s="111"/>
      <c r="B304" s="35">
        <f t="shared" ref="B304:K304" si="150">+(B303-(B299+B301))*B$4</f>
        <v>6240000</v>
      </c>
      <c r="C304" s="35">
        <f t="shared" si="150"/>
        <v>6240000</v>
      </c>
      <c r="D304" s="35">
        <f t="shared" si="150"/>
        <v>936000</v>
      </c>
      <c r="E304" s="35">
        <f t="shared" si="150"/>
        <v>2024000</v>
      </c>
      <c r="F304" s="35">
        <f t="shared" si="150"/>
        <v>1504000</v>
      </c>
      <c r="G304" s="35">
        <f t="shared" si="150"/>
        <v>403000</v>
      </c>
      <c r="H304" s="35">
        <f t="shared" si="150"/>
        <v>420000</v>
      </c>
      <c r="I304" s="35">
        <f t="shared" si="150"/>
        <v>228000</v>
      </c>
      <c r="J304" s="35">
        <f t="shared" si="150"/>
        <v>98000</v>
      </c>
      <c r="K304" s="35">
        <f t="shared" si="150"/>
        <v>275500</v>
      </c>
      <c r="L304" s="35">
        <f>MONTH(M306)</f>
        <v>2</v>
      </c>
      <c r="M304" s="48" t="str">
        <f>IF(O303&gt;0,"Y","X")</f>
        <v>Y</v>
      </c>
      <c r="N304" s="62">
        <f>IF(SUM(B303:K303)=0,0,SUM(B304:K304))</f>
        <v>18368500</v>
      </c>
      <c r="O304" s="93"/>
      <c r="P304" s="96"/>
      <c r="Q304" s="99"/>
      <c r="R304" s="102"/>
      <c r="S304" s="104">
        <f>SUM(T303:XFD303)</f>
        <v>52</v>
      </c>
      <c r="T304" s="108"/>
      <c r="U304" s="108"/>
      <c r="V304" s="108"/>
      <c r="W304" s="108"/>
      <c r="X304" s="108"/>
      <c r="Y304" s="108"/>
      <c r="Z304" s="108"/>
      <c r="AA304" s="108"/>
      <c r="AB304" s="108"/>
      <c r="AC304" s="108"/>
      <c r="AD304" s="108"/>
      <c r="AE304" s="108"/>
      <c r="AF304" s="108"/>
    </row>
    <row r="305" spans="1:32" ht="17.25" thickTop="1">
      <c r="A305" s="111"/>
      <c r="B305" s="50">
        <f>49-90-10-50-20-10</f>
        <v>-131</v>
      </c>
      <c r="C305" s="50">
        <f>100-90-10-50-20</f>
        <v>-70</v>
      </c>
      <c r="D305" s="50">
        <v>-40</v>
      </c>
      <c r="E305" s="50">
        <v>0</v>
      </c>
      <c r="F305" s="50">
        <v>-40</v>
      </c>
      <c r="G305" s="50">
        <v>0</v>
      </c>
      <c r="H305" s="50">
        <v>0</v>
      </c>
      <c r="I305" s="50">
        <v>0</v>
      </c>
      <c r="J305" s="50">
        <v>0</v>
      </c>
      <c r="K305" s="51">
        <v>0</v>
      </c>
      <c r="L305" s="52"/>
      <c r="M305" s="63"/>
      <c r="N305" s="64" t="s">
        <v>39</v>
      </c>
      <c r="O305" s="93"/>
      <c r="P305" s="96"/>
      <c r="Q305" s="99"/>
      <c r="R305" s="102"/>
      <c r="S305" s="105"/>
      <c r="T305" s="108"/>
      <c r="U305" s="108"/>
      <c r="V305" s="108"/>
      <c r="W305" s="108"/>
      <c r="X305" s="108"/>
      <c r="Y305" s="108"/>
      <c r="Z305" s="108"/>
      <c r="AA305" s="108"/>
      <c r="AB305" s="108"/>
      <c r="AC305" s="108"/>
      <c r="AD305" s="108"/>
      <c r="AE305" s="108"/>
      <c r="AF305" s="108"/>
    </row>
    <row r="306" spans="1:32" ht="17.25" thickBot="1">
      <c r="A306" s="112"/>
      <c r="B306" s="55">
        <f t="shared" ref="B306:K306" si="151">+(B303+B305)*B$4</f>
        <v>-7120000</v>
      </c>
      <c r="C306" s="55">
        <f t="shared" si="151"/>
        <v>2080000</v>
      </c>
      <c r="D306" s="55">
        <f t="shared" si="151"/>
        <v>5058000</v>
      </c>
      <c r="E306" s="55">
        <f t="shared" si="151"/>
        <v>8074000</v>
      </c>
      <c r="F306" s="55">
        <f t="shared" si="151"/>
        <v>16384000</v>
      </c>
      <c r="G306" s="55">
        <f t="shared" si="151"/>
        <v>3384333.333333333</v>
      </c>
      <c r="H306" s="55">
        <f t="shared" si="151"/>
        <v>1710000</v>
      </c>
      <c r="I306" s="55">
        <f t="shared" si="151"/>
        <v>3744000</v>
      </c>
      <c r="J306" s="55">
        <f t="shared" si="151"/>
        <v>2576000</v>
      </c>
      <c r="K306" s="55">
        <f t="shared" si="151"/>
        <v>159500</v>
      </c>
      <c r="L306" s="57"/>
      <c r="M306" s="65">
        <f>A303</f>
        <v>44238</v>
      </c>
      <c r="N306" s="66">
        <f>SUM(B306:K306)</f>
        <v>36049833.333333328</v>
      </c>
      <c r="O306" s="94"/>
      <c r="P306" s="97"/>
      <c r="Q306" s="100"/>
      <c r="R306" s="103"/>
      <c r="S306" s="106"/>
      <c r="T306" s="109"/>
      <c r="U306" s="109"/>
      <c r="V306" s="109"/>
      <c r="W306" s="109"/>
      <c r="X306" s="109"/>
      <c r="Y306" s="109"/>
      <c r="Z306" s="109"/>
      <c r="AA306" s="109"/>
      <c r="AB306" s="109"/>
      <c r="AC306" s="109"/>
      <c r="AD306" s="109"/>
      <c r="AE306" s="109"/>
      <c r="AF306" s="109"/>
    </row>
    <row r="307" spans="1:32">
      <c r="A307" s="110">
        <f>+A303+1</f>
        <v>44239</v>
      </c>
      <c r="B307" s="31">
        <v>8</v>
      </c>
      <c r="C307" s="31">
        <v>131</v>
      </c>
      <c r="D307" s="31">
        <v>361</v>
      </c>
      <c r="E307" s="31">
        <v>478</v>
      </c>
      <c r="F307" s="31">
        <v>556</v>
      </c>
      <c r="G307" s="31">
        <v>880</v>
      </c>
      <c r="H307" s="31">
        <v>74</v>
      </c>
      <c r="I307" s="31">
        <v>327</v>
      </c>
      <c r="J307" s="31">
        <v>383</v>
      </c>
      <c r="K307" s="32">
        <v>33</v>
      </c>
      <c r="L307" s="15"/>
      <c r="M307" s="60"/>
      <c r="N307" s="46" t="s">
        <v>38</v>
      </c>
      <c r="O307" s="92">
        <f>+IFERROR(IF(HLOOKUP(S307,$S$3:$AB$3,1,)=S307,S308,0),0)</f>
        <v>60</v>
      </c>
      <c r="P307" s="95">
        <f>IFERROR(+N308/O307,0)</f>
        <v>350466.66666666669</v>
      </c>
      <c r="Q307" s="98">
        <f>+IFERROR(IF(HLOOKUP(S307,$S$4:$AB$4,1,)=S307,S308,0),0)</f>
        <v>0</v>
      </c>
      <c r="R307" s="101">
        <f>IFERROR(N308/Q307,0)</f>
        <v>0</v>
      </c>
      <c r="S307" s="47" t="s">
        <v>20</v>
      </c>
      <c r="T307" s="107">
        <v>3</v>
      </c>
      <c r="U307" s="107">
        <v>6</v>
      </c>
      <c r="V307" s="107">
        <v>6</v>
      </c>
      <c r="W307" s="107">
        <v>6</v>
      </c>
      <c r="X307" s="107">
        <v>9</v>
      </c>
      <c r="Y307" s="107">
        <v>6</v>
      </c>
      <c r="Z307" s="107">
        <v>6</v>
      </c>
      <c r="AA307" s="107">
        <v>6</v>
      </c>
      <c r="AB307" s="107">
        <v>6</v>
      </c>
      <c r="AC307" s="107">
        <v>6</v>
      </c>
      <c r="AD307" s="107"/>
      <c r="AE307" s="107"/>
      <c r="AF307" s="107"/>
    </row>
    <row r="308" spans="1:32" ht="17.25" thickBot="1">
      <c r="A308" s="111"/>
      <c r="B308" s="35">
        <f t="shared" ref="B308:K308" si="152">+(B307-(B303+B305))*B$4</f>
        <v>7760000</v>
      </c>
      <c r="C308" s="35">
        <f t="shared" si="152"/>
        <v>6435000</v>
      </c>
      <c r="D308" s="35">
        <f t="shared" si="152"/>
        <v>1440000</v>
      </c>
      <c r="E308" s="35">
        <f t="shared" si="152"/>
        <v>2442000</v>
      </c>
      <c r="F308" s="35">
        <f t="shared" si="152"/>
        <v>1408000</v>
      </c>
      <c r="G308" s="35">
        <f t="shared" si="152"/>
        <v>428999.99999999994</v>
      </c>
      <c r="H308" s="35">
        <f t="shared" si="152"/>
        <v>510000</v>
      </c>
      <c r="I308" s="35">
        <f t="shared" si="152"/>
        <v>180000</v>
      </c>
      <c r="J308" s="35">
        <f t="shared" si="152"/>
        <v>105000</v>
      </c>
      <c r="K308" s="35">
        <f t="shared" si="152"/>
        <v>319000</v>
      </c>
      <c r="L308" s="35">
        <f>MONTH(M310)</f>
        <v>2</v>
      </c>
      <c r="M308" s="48" t="str">
        <f>IF(O307&gt;0,"Y","X")</f>
        <v>Y</v>
      </c>
      <c r="N308" s="49">
        <f>IF(SUM(B307:K307)=0,0,SUM(B308:K308))</f>
        <v>21028000</v>
      </c>
      <c r="O308" s="93"/>
      <c r="P308" s="96"/>
      <c r="Q308" s="99"/>
      <c r="R308" s="102"/>
      <c r="S308" s="104">
        <f>SUM(T307:XFD307)</f>
        <v>60</v>
      </c>
      <c r="T308" s="108"/>
      <c r="U308" s="108"/>
      <c r="V308" s="108"/>
      <c r="W308" s="108"/>
      <c r="X308" s="108"/>
      <c r="Y308" s="108"/>
      <c r="Z308" s="108"/>
      <c r="AA308" s="108"/>
      <c r="AB308" s="108"/>
      <c r="AC308" s="108"/>
      <c r="AD308" s="108"/>
      <c r="AE308" s="108"/>
      <c r="AF308" s="108"/>
    </row>
    <row r="309" spans="1:32" ht="17.25" thickTop="1">
      <c r="A309" s="111"/>
      <c r="B309" s="50">
        <f>-30-21-1</f>
        <v>-52</v>
      </c>
      <c r="C309" s="50">
        <f>-30-7-4-14-77</f>
        <v>-132</v>
      </c>
      <c r="D309" s="50">
        <v>-77</v>
      </c>
      <c r="E309" s="50">
        <v>0</v>
      </c>
      <c r="F309" s="50">
        <v>0</v>
      </c>
      <c r="G309" s="50">
        <v>0</v>
      </c>
      <c r="H309" s="50">
        <v>0</v>
      </c>
      <c r="I309" s="50">
        <v>0</v>
      </c>
      <c r="J309" s="50">
        <v>0</v>
      </c>
      <c r="K309" s="51">
        <v>0</v>
      </c>
      <c r="L309" s="52"/>
      <c r="M309" s="63"/>
      <c r="N309" s="54" t="s">
        <v>39</v>
      </c>
      <c r="O309" s="93"/>
      <c r="P309" s="96"/>
      <c r="Q309" s="99"/>
      <c r="R309" s="102"/>
      <c r="S309" s="105"/>
      <c r="T309" s="108"/>
      <c r="U309" s="108"/>
      <c r="V309" s="108"/>
      <c r="W309" s="108"/>
      <c r="X309" s="108"/>
      <c r="Y309" s="108"/>
      <c r="Z309" s="108"/>
      <c r="AA309" s="108"/>
      <c r="AB309" s="108"/>
      <c r="AC309" s="108"/>
      <c r="AD309" s="108"/>
      <c r="AE309" s="108"/>
      <c r="AF309" s="108"/>
    </row>
    <row r="310" spans="1:32" ht="17.25" thickBot="1">
      <c r="A310" s="112"/>
      <c r="B310" s="55">
        <f t="shared" ref="B310:K310" si="153">+(B307+B309)*B$4</f>
        <v>-3520000</v>
      </c>
      <c r="C310" s="55">
        <f t="shared" si="153"/>
        <v>-65000</v>
      </c>
      <c r="D310" s="55">
        <f t="shared" si="153"/>
        <v>5112000</v>
      </c>
      <c r="E310" s="55">
        <f t="shared" si="153"/>
        <v>10516000</v>
      </c>
      <c r="F310" s="55">
        <f t="shared" si="153"/>
        <v>17792000</v>
      </c>
      <c r="G310" s="55">
        <f t="shared" si="153"/>
        <v>3813333.333333333</v>
      </c>
      <c r="H310" s="55">
        <f t="shared" si="153"/>
        <v>2220000</v>
      </c>
      <c r="I310" s="55">
        <f t="shared" si="153"/>
        <v>3924000</v>
      </c>
      <c r="J310" s="55">
        <f t="shared" si="153"/>
        <v>2681000</v>
      </c>
      <c r="K310" s="55">
        <f t="shared" si="153"/>
        <v>478500</v>
      </c>
      <c r="L310" s="57"/>
      <c r="M310" s="65">
        <f>A307</f>
        <v>44239</v>
      </c>
      <c r="N310" s="59">
        <f>SUM(B310:K310)</f>
        <v>42951833.333333336</v>
      </c>
      <c r="O310" s="94"/>
      <c r="P310" s="97"/>
      <c r="Q310" s="100"/>
      <c r="R310" s="103"/>
      <c r="S310" s="106"/>
      <c r="T310" s="109"/>
      <c r="U310" s="109"/>
      <c r="V310" s="109"/>
      <c r="W310" s="109"/>
      <c r="X310" s="109"/>
      <c r="Y310" s="109"/>
      <c r="Z310" s="109"/>
      <c r="AA310" s="109"/>
      <c r="AB310" s="109"/>
      <c r="AC310" s="109"/>
      <c r="AD310" s="109"/>
      <c r="AE310" s="109"/>
      <c r="AF310" s="109"/>
    </row>
    <row r="311" spans="1:32">
      <c r="A311" s="113">
        <f>+A307+1</f>
        <v>44240</v>
      </c>
      <c r="B311" s="31">
        <v>53</v>
      </c>
      <c r="C311" s="31">
        <v>109</v>
      </c>
      <c r="D311" s="31">
        <v>351</v>
      </c>
      <c r="E311" s="31">
        <v>580</v>
      </c>
      <c r="F311" s="31">
        <v>606</v>
      </c>
      <c r="G311" s="31">
        <v>983</v>
      </c>
      <c r="H311" s="31">
        <v>108</v>
      </c>
      <c r="I311" s="31">
        <v>359</v>
      </c>
      <c r="J311" s="31">
        <v>412</v>
      </c>
      <c r="K311" s="32">
        <v>50</v>
      </c>
      <c r="L311" s="15"/>
      <c r="M311" s="60"/>
      <c r="N311" s="61" t="s">
        <v>38</v>
      </c>
      <c r="O311" s="92">
        <f>+IFERROR(IF(HLOOKUP(S311,$S$3:$AB$3,1,)=S311,S312,0),0)</f>
        <v>65</v>
      </c>
      <c r="P311" s="95">
        <f>IFERROR(+N312/O311,0)</f>
        <v>342458.97435897432</v>
      </c>
      <c r="Q311" s="98">
        <f>+IFERROR(IF(HLOOKUP(S311,$S$4:$AB$4,1,)=S311,S312,0),0)</f>
        <v>0</v>
      </c>
      <c r="R311" s="101">
        <f>IFERROR(N312/Q311,0)</f>
        <v>0</v>
      </c>
      <c r="S311" s="47" t="s">
        <v>18</v>
      </c>
      <c r="T311" s="107">
        <v>8</v>
      </c>
      <c r="U311" s="107">
        <v>9</v>
      </c>
      <c r="V311" s="107">
        <v>9</v>
      </c>
      <c r="W311" s="107">
        <v>6</v>
      </c>
      <c r="X311" s="107">
        <v>6</v>
      </c>
      <c r="Y311" s="107"/>
      <c r="Z311" s="107">
        <v>6</v>
      </c>
      <c r="AA311" s="107">
        <v>6</v>
      </c>
      <c r="AB311" s="107">
        <v>9</v>
      </c>
      <c r="AC311" s="107">
        <v>6</v>
      </c>
      <c r="AD311" s="107"/>
      <c r="AE311" s="107"/>
      <c r="AF311" s="107"/>
    </row>
    <row r="312" spans="1:32" ht="17.25" thickBot="1">
      <c r="A312" s="114"/>
      <c r="B312" s="35">
        <f t="shared" ref="B312:K312" si="154">+(B311-(B307+B309))*B$4</f>
        <v>7760000</v>
      </c>
      <c r="C312" s="35">
        <f t="shared" si="154"/>
        <v>7150000</v>
      </c>
      <c r="D312" s="35">
        <f t="shared" si="154"/>
        <v>1206000</v>
      </c>
      <c r="E312" s="35">
        <f t="shared" si="154"/>
        <v>2244000</v>
      </c>
      <c r="F312" s="35">
        <f t="shared" si="154"/>
        <v>1600000</v>
      </c>
      <c r="G312" s="35">
        <f t="shared" si="154"/>
        <v>446333.33333333331</v>
      </c>
      <c r="H312" s="35">
        <f t="shared" si="154"/>
        <v>1020000</v>
      </c>
      <c r="I312" s="35">
        <f t="shared" si="154"/>
        <v>384000</v>
      </c>
      <c r="J312" s="35">
        <f t="shared" si="154"/>
        <v>203000</v>
      </c>
      <c r="K312" s="35">
        <f t="shared" si="154"/>
        <v>246500</v>
      </c>
      <c r="L312" s="35">
        <f>MONTH(M314)</f>
        <v>2</v>
      </c>
      <c r="M312" s="48" t="str">
        <f>IF(O311&gt;0,"Y","X")</f>
        <v>Y</v>
      </c>
      <c r="N312" s="62">
        <f>IF(SUM(B311:K311)=0,0,SUM(B312:K312))</f>
        <v>22259833.333333332</v>
      </c>
      <c r="O312" s="93"/>
      <c r="P312" s="96"/>
      <c r="Q312" s="99"/>
      <c r="R312" s="102"/>
      <c r="S312" s="104">
        <f>SUM(T311:XFD311)</f>
        <v>65</v>
      </c>
      <c r="T312" s="108"/>
      <c r="U312" s="108"/>
      <c r="V312" s="108"/>
      <c r="W312" s="108"/>
      <c r="X312" s="108"/>
      <c r="Y312" s="108"/>
      <c r="Z312" s="108"/>
      <c r="AA312" s="108"/>
      <c r="AB312" s="108"/>
      <c r="AC312" s="108"/>
      <c r="AD312" s="108"/>
      <c r="AE312" s="108"/>
      <c r="AF312" s="108"/>
    </row>
    <row r="313" spans="1:32" ht="17.25" thickTop="1">
      <c r="A313" s="114"/>
      <c r="B313" s="50">
        <v>0</v>
      </c>
      <c r="C313" s="50">
        <v>0</v>
      </c>
      <c r="D313" s="50">
        <f>-200+300</f>
        <v>100</v>
      </c>
      <c r="E313" s="50">
        <v>0</v>
      </c>
      <c r="F313" s="50">
        <v>0</v>
      </c>
      <c r="G313" s="50">
        <v>-900</v>
      </c>
      <c r="H313" s="50">
        <v>0</v>
      </c>
      <c r="I313" s="50">
        <v>0</v>
      </c>
      <c r="J313" s="50">
        <v>0</v>
      </c>
      <c r="K313" s="51">
        <v>0</v>
      </c>
      <c r="L313" s="52"/>
      <c r="M313" s="63"/>
      <c r="N313" s="64" t="s">
        <v>39</v>
      </c>
      <c r="O313" s="93"/>
      <c r="P313" s="96"/>
      <c r="Q313" s="99"/>
      <c r="R313" s="102"/>
      <c r="S313" s="105"/>
      <c r="T313" s="108"/>
      <c r="U313" s="108"/>
      <c r="V313" s="108"/>
      <c r="W313" s="108"/>
      <c r="X313" s="108"/>
      <c r="Y313" s="108"/>
      <c r="Z313" s="108"/>
      <c r="AA313" s="108"/>
      <c r="AB313" s="108"/>
      <c r="AC313" s="108"/>
      <c r="AD313" s="108"/>
      <c r="AE313" s="108"/>
      <c r="AF313" s="108"/>
    </row>
    <row r="314" spans="1:32" ht="17.25" thickBot="1">
      <c r="A314" s="115"/>
      <c r="B314" s="55">
        <f t="shared" ref="B314:K314" si="155">+(B311+B313)*B$4</f>
        <v>4240000</v>
      </c>
      <c r="C314" s="55">
        <f t="shared" si="155"/>
        <v>7085000</v>
      </c>
      <c r="D314" s="55">
        <f t="shared" si="155"/>
        <v>8118000</v>
      </c>
      <c r="E314" s="55">
        <f t="shared" si="155"/>
        <v>12760000</v>
      </c>
      <c r="F314" s="55">
        <f t="shared" si="155"/>
        <v>19392000</v>
      </c>
      <c r="G314" s="55">
        <f t="shared" si="155"/>
        <v>359666.66666666663</v>
      </c>
      <c r="H314" s="55">
        <f t="shared" si="155"/>
        <v>3240000</v>
      </c>
      <c r="I314" s="55">
        <f t="shared" si="155"/>
        <v>4308000</v>
      </c>
      <c r="J314" s="55">
        <f t="shared" si="155"/>
        <v>2884000</v>
      </c>
      <c r="K314" s="55">
        <f t="shared" si="155"/>
        <v>725000</v>
      </c>
      <c r="L314" s="57"/>
      <c r="M314" s="65">
        <f>A311</f>
        <v>44240</v>
      </c>
      <c r="N314" s="66">
        <f>SUM(B314:K314)</f>
        <v>63111666.666666664</v>
      </c>
      <c r="O314" s="94"/>
      <c r="P314" s="97"/>
      <c r="Q314" s="100"/>
      <c r="R314" s="103"/>
      <c r="S314" s="106"/>
      <c r="T314" s="109"/>
      <c r="U314" s="109"/>
      <c r="V314" s="109"/>
      <c r="W314" s="109"/>
      <c r="X314" s="109"/>
      <c r="Y314" s="109"/>
      <c r="Z314" s="109"/>
      <c r="AA314" s="109"/>
      <c r="AB314" s="109"/>
      <c r="AC314" s="109"/>
      <c r="AD314" s="109"/>
      <c r="AE314" s="109"/>
      <c r="AF314" s="109"/>
    </row>
    <row r="315" spans="1:32">
      <c r="A315" s="113">
        <f>+A311+1</f>
        <v>44241</v>
      </c>
      <c r="B315" s="31">
        <v>89</v>
      </c>
      <c r="C315" s="31">
        <v>142</v>
      </c>
      <c r="D315" s="31">
        <v>475</v>
      </c>
      <c r="E315" s="31">
        <v>631</v>
      </c>
      <c r="F315" s="31">
        <v>629</v>
      </c>
      <c r="G315" s="31">
        <v>139</v>
      </c>
      <c r="H315" s="31">
        <v>117</v>
      </c>
      <c r="I315" s="31">
        <v>370</v>
      </c>
      <c r="J315" s="31">
        <v>423</v>
      </c>
      <c r="K315" s="32">
        <v>67</v>
      </c>
      <c r="L315" s="15"/>
      <c r="M315" s="60"/>
      <c r="N315" s="46" t="s">
        <v>38</v>
      </c>
      <c r="O315" s="92">
        <f>+IFERROR(IF(HLOOKUP(S315,$S$3:$AB$3,1,)=S315,S316,0),0)</f>
        <v>0</v>
      </c>
      <c r="P315" s="95">
        <f>IFERROR(+N316/O315,0)</f>
        <v>0</v>
      </c>
      <c r="Q315" s="98">
        <f>+IFERROR(IF(HLOOKUP(S315,$S$4:$AB$4,1,)=S315,S316,0),0)</f>
        <v>30</v>
      </c>
      <c r="R315" s="101">
        <f>IFERROR(N316/Q315,0)</f>
        <v>276105.55555555556</v>
      </c>
      <c r="S315" s="47" t="s">
        <v>24</v>
      </c>
      <c r="T315" s="107">
        <v>3</v>
      </c>
      <c r="U315" s="107">
        <v>6</v>
      </c>
      <c r="V315" s="107">
        <v>6</v>
      </c>
      <c r="W315" s="107">
        <v>9</v>
      </c>
      <c r="X315" s="107">
        <v>6</v>
      </c>
      <c r="Y315" s="107"/>
      <c r="Z315" s="107"/>
      <c r="AA315" s="107"/>
      <c r="AB315" s="107"/>
      <c r="AC315" s="107"/>
      <c r="AD315" s="107"/>
      <c r="AE315" s="107"/>
      <c r="AF315" s="107"/>
    </row>
    <row r="316" spans="1:32" ht="17.25" thickBot="1">
      <c r="A316" s="114"/>
      <c r="B316" s="35">
        <f t="shared" ref="B316:K316" si="156">+(B315-(B311+B313))*B$4</f>
        <v>2880000</v>
      </c>
      <c r="C316" s="35">
        <f t="shared" si="156"/>
        <v>2145000</v>
      </c>
      <c r="D316" s="35">
        <f t="shared" si="156"/>
        <v>432000</v>
      </c>
      <c r="E316" s="35">
        <f t="shared" si="156"/>
        <v>1122000</v>
      </c>
      <c r="F316" s="35">
        <f t="shared" si="156"/>
        <v>736000</v>
      </c>
      <c r="G316" s="35">
        <f t="shared" si="156"/>
        <v>242666.66666666666</v>
      </c>
      <c r="H316" s="35">
        <f t="shared" si="156"/>
        <v>270000</v>
      </c>
      <c r="I316" s="35">
        <f t="shared" si="156"/>
        <v>132000</v>
      </c>
      <c r="J316" s="35">
        <f t="shared" si="156"/>
        <v>77000</v>
      </c>
      <c r="K316" s="35">
        <f t="shared" si="156"/>
        <v>246500</v>
      </c>
      <c r="L316" s="35">
        <f>MONTH(M318)</f>
        <v>2</v>
      </c>
      <c r="M316" s="48" t="str">
        <f>IF(O315&gt;0,"Y","X")</f>
        <v>X</v>
      </c>
      <c r="N316" s="49">
        <f>IF(SUM(B315:K315)=0,0,SUM(B316:K316))</f>
        <v>8283166.666666667</v>
      </c>
      <c r="O316" s="93"/>
      <c r="P316" s="96"/>
      <c r="Q316" s="99"/>
      <c r="R316" s="102"/>
      <c r="S316" s="104">
        <f>SUM(T315:XFD315)</f>
        <v>30</v>
      </c>
      <c r="T316" s="108"/>
      <c r="U316" s="108"/>
      <c r="V316" s="108"/>
      <c r="W316" s="108"/>
      <c r="X316" s="108"/>
      <c r="Y316" s="108"/>
      <c r="Z316" s="108"/>
      <c r="AA316" s="108"/>
      <c r="AB316" s="108"/>
      <c r="AC316" s="108"/>
      <c r="AD316" s="108"/>
      <c r="AE316" s="108"/>
      <c r="AF316" s="108"/>
    </row>
    <row r="317" spans="1:32" ht="17.25" thickTop="1">
      <c r="A317" s="114"/>
      <c r="B317" s="50">
        <v>0</v>
      </c>
      <c r="C317" s="50">
        <v>0</v>
      </c>
      <c r="D317" s="50">
        <v>0</v>
      </c>
      <c r="E317" s="50">
        <v>-200</v>
      </c>
      <c r="F317" s="50">
        <v>0</v>
      </c>
      <c r="G317" s="50">
        <v>0</v>
      </c>
      <c r="H317" s="50">
        <v>0</v>
      </c>
      <c r="I317" s="50">
        <v>0</v>
      </c>
      <c r="J317" s="50">
        <v>0</v>
      </c>
      <c r="K317" s="51">
        <v>0</v>
      </c>
      <c r="L317" s="52"/>
      <c r="M317" s="63"/>
      <c r="N317" s="54" t="s">
        <v>39</v>
      </c>
      <c r="O317" s="93"/>
      <c r="P317" s="96"/>
      <c r="Q317" s="99"/>
      <c r="R317" s="102"/>
      <c r="S317" s="105"/>
      <c r="T317" s="108"/>
      <c r="U317" s="108"/>
      <c r="V317" s="108"/>
      <c r="W317" s="108"/>
      <c r="X317" s="108"/>
      <c r="Y317" s="108"/>
      <c r="Z317" s="108"/>
      <c r="AA317" s="108"/>
      <c r="AB317" s="108"/>
      <c r="AC317" s="108"/>
      <c r="AD317" s="108"/>
      <c r="AE317" s="108"/>
      <c r="AF317" s="108"/>
    </row>
    <row r="318" spans="1:32" ht="17.25" thickBot="1">
      <c r="A318" s="115"/>
      <c r="B318" s="55">
        <f t="shared" ref="B318:K318" si="157">+(B315+B317)*B$4</f>
        <v>7120000</v>
      </c>
      <c r="C318" s="55">
        <f t="shared" si="157"/>
        <v>9230000</v>
      </c>
      <c r="D318" s="55">
        <f t="shared" si="157"/>
        <v>8550000</v>
      </c>
      <c r="E318" s="55">
        <f t="shared" si="157"/>
        <v>9482000</v>
      </c>
      <c r="F318" s="55">
        <f t="shared" si="157"/>
        <v>20128000</v>
      </c>
      <c r="G318" s="55">
        <f t="shared" si="157"/>
        <v>602333.33333333326</v>
      </c>
      <c r="H318" s="55">
        <f t="shared" si="157"/>
        <v>3510000</v>
      </c>
      <c r="I318" s="55">
        <f t="shared" si="157"/>
        <v>4440000</v>
      </c>
      <c r="J318" s="55">
        <f t="shared" si="157"/>
        <v>2961000</v>
      </c>
      <c r="K318" s="55">
        <f t="shared" si="157"/>
        <v>971500</v>
      </c>
      <c r="L318" s="57"/>
      <c r="M318" s="65">
        <f>A315</f>
        <v>44241</v>
      </c>
      <c r="N318" s="59">
        <f>SUM(B318:K318)</f>
        <v>66994833.333333336</v>
      </c>
      <c r="O318" s="94"/>
      <c r="P318" s="97"/>
      <c r="Q318" s="100"/>
      <c r="R318" s="103"/>
      <c r="S318" s="106"/>
      <c r="T318" s="109"/>
      <c r="U318" s="109"/>
      <c r="V318" s="109"/>
      <c r="W318" s="109"/>
      <c r="X318" s="109"/>
      <c r="Y318" s="109"/>
      <c r="Z318" s="109"/>
      <c r="AA318" s="109"/>
      <c r="AB318" s="109"/>
      <c r="AC318" s="109"/>
      <c r="AD318" s="109"/>
      <c r="AE318" s="109"/>
      <c r="AF318" s="109"/>
    </row>
    <row r="319" spans="1:32">
      <c r="A319" s="110">
        <f>+A315+1</f>
        <v>44242</v>
      </c>
      <c r="B319" s="31"/>
      <c r="C319" s="31"/>
      <c r="D319" s="31"/>
      <c r="E319" s="31"/>
      <c r="F319" s="31"/>
      <c r="G319" s="31"/>
      <c r="H319" s="31"/>
      <c r="I319" s="31"/>
      <c r="J319" s="31"/>
      <c r="K319" s="32"/>
      <c r="L319" s="15"/>
      <c r="M319" s="45"/>
      <c r="N319" s="61" t="s">
        <v>38</v>
      </c>
      <c r="O319" s="92">
        <f>+IFERROR(IF(HLOOKUP(S319,$S$3:$AB$3,1,)=S319,S320,0),0)</f>
        <v>0</v>
      </c>
      <c r="P319" s="95">
        <f>IFERROR(+N320/O319,0)</f>
        <v>0</v>
      </c>
      <c r="Q319" s="98">
        <f>+IFERROR(IF(HLOOKUP(S319,$S$4:$AB$4,1,)=S319,S320,0),0)</f>
        <v>0</v>
      </c>
      <c r="R319" s="101">
        <f>IFERROR(N320/Q319,0)</f>
        <v>0</v>
      </c>
      <c r="S319" s="47" t="s">
        <v>23</v>
      </c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</row>
    <row r="320" spans="1:32" ht="17.25" thickBot="1">
      <c r="A320" s="111"/>
      <c r="B320" s="35">
        <f t="shared" ref="B320:K320" si="158">+(B319-(B315+B317))*B$4</f>
        <v>-7120000</v>
      </c>
      <c r="C320" s="35">
        <f t="shared" si="158"/>
        <v>-9230000</v>
      </c>
      <c r="D320" s="35">
        <f t="shared" si="158"/>
        <v>-8550000</v>
      </c>
      <c r="E320" s="35">
        <f t="shared" si="158"/>
        <v>-9482000</v>
      </c>
      <c r="F320" s="35">
        <f t="shared" si="158"/>
        <v>-20128000</v>
      </c>
      <c r="G320" s="35">
        <f t="shared" si="158"/>
        <v>-602333.33333333326</v>
      </c>
      <c r="H320" s="35">
        <f t="shared" si="158"/>
        <v>-3510000</v>
      </c>
      <c r="I320" s="35">
        <f t="shared" si="158"/>
        <v>-4440000</v>
      </c>
      <c r="J320" s="35">
        <f t="shared" si="158"/>
        <v>-2961000</v>
      </c>
      <c r="K320" s="35">
        <f t="shared" si="158"/>
        <v>-971500</v>
      </c>
      <c r="L320" s="35">
        <f>MONTH(M322)</f>
        <v>2</v>
      </c>
      <c r="M320" s="48" t="str">
        <f>IF(O319&gt;0,"Y","X")</f>
        <v>X</v>
      </c>
      <c r="N320" s="62">
        <f>IF(SUM(B319:K319)=0,0,SUM(B320:K320))</f>
        <v>0</v>
      </c>
      <c r="O320" s="93"/>
      <c r="P320" s="96"/>
      <c r="Q320" s="99"/>
      <c r="R320" s="102"/>
      <c r="S320" s="104">
        <f>SUM(T319:XFD319)</f>
        <v>0</v>
      </c>
      <c r="T320" s="108"/>
      <c r="U320" s="108"/>
      <c r="V320" s="108"/>
      <c r="W320" s="108"/>
      <c r="X320" s="108"/>
      <c r="Y320" s="108"/>
      <c r="Z320" s="108"/>
      <c r="AA320" s="108"/>
      <c r="AB320" s="108"/>
      <c r="AC320" s="108"/>
      <c r="AD320" s="108"/>
      <c r="AE320" s="108"/>
      <c r="AF320" s="108"/>
    </row>
    <row r="321" spans="1:32" ht="17.25" thickTop="1">
      <c r="A321" s="111"/>
      <c r="B321" s="50">
        <v>0</v>
      </c>
      <c r="C321" s="50">
        <v>0</v>
      </c>
      <c r="D321" s="50">
        <v>0</v>
      </c>
      <c r="E321" s="50">
        <v>0</v>
      </c>
      <c r="F321" s="50">
        <v>0</v>
      </c>
      <c r="G321" s="50">
        <v>0</v>
      </c>
      <c r="H321" s="50">
        <v>0</v>
      </c>
      <c r="I321" s="50">
        <v>0</v>
      </c>
      <c r="J321" s="50">
        <v>0</v>
      </c>
      <c r="K321" s="51">
        <v>0</v>
      </c>
      <c r="L321" s="52"/>
      <c r="M321" s="53"/>
      <c r="N321" s="64" t="s">
        <v>39</v>
      </c>
      <c r="O321" s="93"/>
      <c r="P321" s="96"/>
      <c r="Q321" s="99"/>
      <c r="R321" s="102"/>
      <c r="S321" s="105"/>
      <c r="T321" s="108"/>
      <c r="U321" s="108"/>
      <c r="V321" s="108"/>
      <c r="W321" s="108"/>
      <c r="X321" s="108"/>
      <c r="Y321" s="108"/>
      <c r="Z321" s="108"/>
      <c r="AA321" s="108"/>
      <c r="AB321" s="108"/>
      <c r="AC321" s="108"/>
      <c r="AD321" s="108"/>
      <c r="AE321" s="108"/>
      <c r="AF321" s="108"/>
    </row>
    <row r="322" spans="1:32" ht="17.25" thickBot="1">
      <c r="A322" s="112"/>
      <c r="B322" s="55">
        <f t="shared" ref="B322:K322" si="159">+(B319+B321)*B$4</f>
        <v>0</v>
      </c>
      <c r="C322" s="55">
        <f t="shared" si="159"/>
        <v>0</v>
      </c>
      <c r="D322" s="55">
        <f t="shared" si="159"/>
        <v>0</v>
      </c>
      <c r="E322" s="55">
        <f t="shared" si="159"/>
        <v>0</v>
      </c>
      <c r="F322" s="55">
        <f t="shared" si="159"/>
        <v>0</v>
      </c>
      <c r="G322" s="55">
        <f t="shared" si="159"/>
        <v>0</v>
      </c>
      <c r="H322" s="55">
        <f t="shared" si="159"/>
        <v>0</v>
      </c>
      <c r="I322" s="55">
        <f t="shared" si="159"/>
        <v>0</v>
      </c>
      <c r="J322" s="55">
        <f t="shared" si="159"/>
        <v>0</v>
      </c>
      <c r="K322" s="55">
        <f t="shared" si="159"/>
        <v>0</v>
      </c>
      <c r="L322" s="57"/>
      <c r="M322" s="58">
        <f>A319</f>
        <v>44242</v>
      </c>
      <c r="N322" s="66">
        <f>SUM(B322:K322)</f>
        <v>0</v>
      </c>
      <c r="O322" s="94"/>
      <c r="P322" s="97"/>
      <c r="Q322" s="100"/>
      <c r="R322" s="103"/>
      <c r="S322" s="106"/>
      <c r="T322" s="109"/>
      <c r="U322" s="109"/>
      <c r="V322" s="109"/>
      <c r="W322" s="109"/>
      <c r="X322" s="109"/>
      <c r="Y322" s="109"/>
      <c r="Z322" s="109"/>
      <c r="AA322" s="109"/>
      <c r="AB322" s="109"/>
      <c r="AC322" s="109"/>
      <c r="AD322" s="109"/>
      <c r="AE322" s="109"/>
      <c r="AF322" s="109"/>
    </row>
    <row r="323" spans="1:32">
      <c r="A323" s="110">
        <f>+A319+1</f>
        <v>44243</v>
      </c>
      <c r="B323" s="31"/>
      <c r="C323" s="31"/>
      <c r="D323" s="31"/>
      <c r="E323" s="31"/>
      <c r="F323" s="31"/>
      <c r="G323" s="31"/>
      <c r="H323" s="31"/>
      <c r="I323" s="31"/>
      <c r="J323" s="31"/>
      <c r="K323" s="32"/>
      <c r="L323" s="15"/>
      <c r="M323" s="60"/>
      <c r="N323" s="46" t="s">
        <v>38</v>
      </c>
      <c r="O323" s="92">
        <f>+IFERROR(IF(HLOOKUP(S323,$S$3:$AB$3,1,)=S323,S324,0),0)</f>
        <v>0</v>
      </c>
      <c r="P323" s="95">
        <f>IFERROR(+N324/O323,0)</f>
        <v>0</v>
      </c>
      <c r="Q323" s="98">
        <f>+IFERROR(IF(HLOOKUP(S323,$S$4:$AB$4,1,)=S323,S324,0),0)</f>
        <v>0</v>
      </c>
      <c r="R323" s="101">
        <f>IFERROR(N324/Q323,0)</f>
        <v>0</v>
      </c>
      <c r="S323" s="47" t="s">
        <v>17</v>
      </c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</row>
    <row r="324" spans="1:32" ht="17.25" thickBot="1">
      <c r="A324" s="111"/>
      <c r="B324" s="35">
        <f t="shared" ref="B324:K324" si="160">+(B323-(B319+B321))*B$4</f>
        <v>0</v>
      </c>
      <c r="C324" s="35">
        <f t="shared" si="160"/>
        <v>0</v>
      </c>
      <c r="D324" s="35">
        <f t="shared" si="160"/>
        <v>0</v>
      </c>
      <c r="E324" s="35">
        <f t="shared" si="160"/>
        <v>0</v>
      </c>
      <c r="F324" s="35">
        <f t="shared" si="160"/>
        <v>0</v>
      </c>
      <c r="G324" s="35">
        <f t="shared" si="160"/>
        <v>0</v>
      </c>
      <c r="H324" s="35">
        <f t="shared" si="160"/>
        <v>0</v>
      </c>
      <c r="I324" s="35">
        <f t="shared" si="160"/>
        <v>0</v>
      </c>
      <c r="J324" s="35">
        <f t="shared" si="160"/>
        <v>0</v>
      </c>
      <c r="K324" s="35">
        <f t="shared" si="160"/>
        <v>0</v>
      </c>
      <c r="L324" s="35">
        <f>MONTH(M326)</f>
        <v>2</v>
      </c>
      <c r="M324" s="48" t="str">
        <f>IF(O323&gt;0,"Y","X")</f>
        <v>X</v>
      </c>
      <c r="N324" s="49">
        <f>IF(SUM(B323:K323)=0,0,SUM(B324:K324))</f>
        <v>0</v>
      </c>
      <c r="O324" s="93"/>
      <c r="P324" s="96"/>
      <c r="Q324" s="99"/>
      <c r="R324" s="102"/>
      <c r="S324" s="104">
        <f>SUM(T323:XFD323)</f>
        <v>0</v>
      </c>
      <c r="T324" s="108"/>
      <c r="U324" s="108"/>
      <c r="V324" s="108"/>
      <c r="W324" s="108"/>
      <c r="X324" s="108"/>
      <c r="Y324" s="108"/>
      <c r="Z324" s="108"/>
      <c r="AA324" s="108"/>
      <c r="AB324" s="108"/>
      <c r="AC324" s="108"/>
      <c r="AD324" s="108"/>
      <c r="AE324" s="108"/>
      <c r="AF324" s="108"/>
    </row>
    <row r="325" spans="1:32" ht="17.25" thickTop="1">
      <c r="A325" s="111"/>
      <c r="B325" s="50">
        <v>0</v>
      </c>
      <c r="C325" s="50">
        <v>0</v>
      </c>
      <c r="D325" s="50">
        <v>0</v>
      </c>
      <c r="E325" s="50">
        <v>0</v>
      </c>
      <c r="F325" s="50">
        <v>0</v>
      </c>
      <c r="G325" s="50">
        <v>0</v>
      </c>
      <c r="H325" s="50">
        <v>0</v>
      </c>
      <c r="I325" s="50">
        <v>0</v>
      </c>
      <c r="J325" s="50">
        <v>0</v>
      </c>
      <c r="K325" s="51">
        <v>0</v>
      </c>
      <c r="L325" s="52"/>
      <c r="M325" s="63"/>
      <c r="N325" s="54" t="s">
        <v>39</v>
      </c>
      <c r="O325" s="93"/>
      <c r="P325" s="96"/>
      <c r="Q325" s="99"/>
      <c r="R325" s="102"/>
      <c r="S325" s="105"/>
      <c r="T325" s="108"/>
      <c r="U325" s="108"/>
      <c r="V325" s="108"/>
      <c r="W325" s="108"/>
      <c r="X325" s="108"/>
      <c r="Y325" s="108"/>
      <c r="Z325" s="108"/>
      <c r="AA325" s="108"/>
      <c r="AB325" s="108"/>
      <c r="AC325" s="108"/>
      <c r="AD325" s="108"/>
      <c r="AE325" s="108"/>
      <c r="AF325" s="108"/>
    </row>
    <row r="326" spans="1:32" ht="17.25" thickBot="1">
      <c r="A326" s="112"/>
      <c r="B326" s="55">
        <f t="shared" ref="B326:K326" si="161">+(B323+B325)*B$4</f>
        <v>0</v>
      </c>
      <c r="C326" s="55">
        <f t="shared" si="161"/>
        <v>0</v>
      </c>
      <c r="D326" s="55">
        <f t="shared" si="161"/>
        <v>0</v>
      </c>
      <c r="E326" s="55">
        <f t="shared" si="161"/>
        <v>0</v>
      </c>
      <c r="F326" s="55">
        <f t="shared" si="161"/>
        <v>0</v>
      </c>
      <c r="G326" s="55">
        <f t="shared" si="161"/>
        <v>0</v>
      </c>
      <c r="H326" s="55">
        <f t="shared" si="161"/>
        <v>0</v>
      </c>
      <c r="I326" s="55">
        <f t="shared" si="161"/>
        <v>0</v>
      </c>
      <c r="J326" s="55">
        <f t="shared" si="161"/>
        <v>0</v>
      </c>
      <c r="K326" s="55">
        <f t="shared" si="161"/>
        <v>0</v>
      </c>
      <c r="L326" s="57"/>
      <c r="M326" s="65">
        <f>A323</f>
        <v>44243</v>
      </c>
      <c r="N326" s="59">
        <f>SUM(B326:K326)</f>
        <v>0</v>
      </c>
      <c r="O326" s="94"/>
      <c r="P326" s="97"/>
      <c r="Q326" s="100"/>
      <c r="R326" s="103"/>
      <c r="S326" s="106"/>
      <c r="T326" s="109"/>
      <c r="U326" s="109"/>
      <c r="V326" s="109"/>
      <c r="W326" s="109"/>
      <c r="X326" s="109"/>
      <c r="Y326" s="109"/>
      <c r="Z326" s="109"/>
      <c r="AA326" s="109"/>
      <c r="AB326" s="109"/>
      <c r="AC326" s="109"/>
      <c r="AD326" s="109"/>
      <c r="AE326" s="109"/>
      <c r="AF326" s="109"/>
    </row>
    <row r="327" spans="1:32">
      <c r="A327" s="110">
        <f>+A323+1</f>
        <v>44244</v>
      </c>
      <c r="B327" s="31"/>
      <c r="C327" s="31"/>
      <c r="D327" s="31"/>
      <c r="E327" s="31"/>
      <c r="F327" s="31"/>
      <c r="G327" s="31"/>
      <c r="H327" s="31"/>
      <c r="I327" s="31"/>
      <c r="J327" s="31"/>
      <c r="K327" s="32"/>
      <c r="L327" s="15"/>
      <c r="M327" s="60"/>
      <c r="N327" s="61" t="s">
        <v>38</v>
      </c>
      <c r="O327" s="92">
        <f>+IFERROR(IF(HLOOKUP(S327,$S$3:$AB$3,1,)=S327,S328,0),0)</f>
        <v>0</v>
      </c>
      <c r="P327" s="95">
        <f>IFERROR(+N328/O327,0)</f>
        <v>0</v>
      </c>
      <c r="Q327" s="98">
        <f>+IFERROR(IF(HLOOKUP(S327,$S$4:$AB$4,1,)=S327,S328,0),0)</f>
        <v>0</v>
      </c>
      <c r="R327" s="101">
        <f>IFERROR(N328/Q327,0)</f>
        <v>0</v>
      </c>
      <c r="S327" s="47" t="s">
        <v>19</v>
      </c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</row>
    <row r="328" spans="1:32" ht="17.25" thickBot="1">
      <c r="A328" s="111"/>
      <c r="B328" s="35">
        <f t="shared" ref="B328:K328" si="162">+(B327-(B323+B325))*B$4</f>
        <v>0</v>
      </c>
      <c r="C328" s="35">
        <f t="shared" si="162"/>
        <v>0</v>
      </c>
      <c r="D328" s="35">
        <f t="shared" si="162"/>
        <v>0</v>
      </c>
      <c r="E328" s="35">
        <f t="shared" si="162"/>
        <v>0</v>
      </c>
      <c r="F328" s="35">
        <f t="shared" si="162"/>
        <v>0</v>
      </c>
      <c r="G328" s="35">
        <f t="shared" si="162"/>
        <v>0</v>
      </c>
      <c r="H328" s="35">
        <f t="shared" si="162"/>
        <v>0</v>
      </c>
      <c r="I328" s="35">
        <f t="shared" si="162"/>
        <v>0</v>
      </c>
      <c r="J328" s="35">
        <f t="shared" si="162"/>
        <v>0</v>
      </c>
      <c r="K328" s="35">
        <f t="shared" si="162"/>
        <v>0</v>
      </c>
      <c r="L328" s="35">
        <f>MONTH(M330)</f>
        <v>2</v>
      </c>
      <c r="M328" s="48" t="str">
        <f>IF(O327&gt;0,"Y","X")</f>
        <v>X</v>
      </c>
      <c r="N328" s="62">
        <f>IF(SUM(B327:K327)=0,0,SUM(B328:K328))</f>
        <v>0</v>
      </c>
      <c r="O328" s="93"/>
      <c r="P328" s="96"/>
      <c r="Q328" s="99"/>
      <c r="R328" s="102"/>
      <c r="S328" s="104">
        <f>SUM(T327:XFD327)</f>
        <v>0</v>
      </c>
      <c r="T328" s="108"/>
      <c r="U328" s="108"/>
      <c r="V328" s="108"/>
      <c r="W328" s="108"/>
      <c r="X328" s="108"/>
      <c r="Y328" s="108"/>
      <c r="Z328" s="108"/>
      <c r="AA328" s="108"/>
      <c r="AB328" s="108"/>
      <c r="AC328" s="108"/>
      <c r="AD328" s="108"/>
      <c r="AE328" s="108"/>
      <c r="AF328" s="108"/>
    </row>
    <row r="329" spans="1:32" ht="17.25" thickTop="1">
      <c r="A329" s="111"/>
      <c r="B329" s="50">
        <v>0</v>
      </c>
      <c r="C329" s="50">
        <v>0</v>
      </c>
      <c r="D329" s="50">
        <v>0</v>
      </c>
      <c r="E329" s="50">
        <v>0</v>
      </c>
      <c r="F329" s="50">
        <v>0</v>
      </c>
      <c r="G329" s="50">
        <v>0</v>
      </c>
      <c r="H329" s="50">
        <v>0</v>
      </c>
      <c r="I329" s="50">
        <v>0</v>
      </c>
      <c r="J329" s="50">
        <v>0</v>
      </c>
      <c r="K329" s="51">
        <v>0</v>
      </c>
      <c r="L329" s="52"/>
      <c r="M329" s="63"/>
      <c r="N329" s="64" t="s">
        <v>39</v>
      </c>
      <c r="O329" s="93"/>
      <c r="P329" s="96"/>
      <c r="Q329" s="99"/>
      <c r="R329" s="102"/>
      <c r="S329" s="105"/>
      <c r="T329" s="108"/>
      <c r="U329" s="108"/>
      <c r="V329" s="108"/>
      <c r="W329" s="108"/>
      <c r="X329" s="108"/>
      <c r="Y329" s="108"/>
      <c r="Z329" s="108"/>
      <c r="AA329" s="108"/>
      <c r="AB329" s="108"/>
      <c r="AC329" s="108"/>
      <c r="AD329" s="108"/>
      <c r="AE329" s="108"/>
      <c r="AF329" s="108"/>
    </row>
    <row r="330" spans="1:32" ht="17.25" thickBot="1">
      <c r="A330" s="112"/>
      <c r="B330" s="55">
        <f t="shared" ref="B330:K330" si="163">+(B327+B329)*B$4</f>
        <v>0</v>
      </c>
      <c r="C330" s="55">
        <f t="shared" si="163"/>
        <v>0</v>
      </c>
      <c r="D330" s="55">
        <f t="shared" si="163"/>
        <v>0</v>
      </c>
      <c r="E330" s="55">
        <f t="shared" si="163"/>
        <v>0</v>
      </c>
      <c r="F330" s="55">
        <f t="shared" si="163"/>
        <v>0</v>
      </c>
      <c r="G330" s="55">
        <f t="shared" si="163"/>
        <v>0</v>
      </c>
      <c r="H330" s="55">
        <f t="shared" si="163"/>
        <v>0</v>
      </c>
      <c r="I330" s="55">
        <f t="shared" si="163"/>
        <v>0</v>
      </c>
      <c r="J330" s="55">
        <f t="shared" si="163"/>
        <v>0</v>
      </c>
      <c r="K330" s="55">
        <f t="shared" si="163"/>
        <v>0</v>
      </c>
      <c r="L330" s="57"/>
      <c r="M330" s="65">
        <f>A327</f>
        <v>44244</v>
      </c>
      <c r="N330" s="66">
        <f>SUM(B330:K330)</f>
        <v>0</v>
      </c>
      <c r="O330" s="94"/>
      <c r="P330" s="97"/>
      <c r="Q330" s="100"/>
      <c r="R330" s="103"/>
      <c r="S330" s="106"/>
      <c r="T330" s="109"/>
      <c r="U330" s="109"/>
      <c r="V330" s="109"/>
      <c r="W330" s="109"/>
      <c r="X330" s="109"/>
      <c r="Y330" s="109"/>
      <c r="Z330" s="109"/>
      <c r="AA330" s="109"/>
      <c r="AB330" s="109"/>
      <c r="AC330" s="109"/>
      <c r="AD330" s="109"/>
      <c r="AE330" s="109"/>
      <c r="AF330" s="109"/>
    </row>
    <row r="331" spans="1:32">
      <c r="A331" s="110">
        <f>+A327+1</f>
        <v>44245</v>
      </c>
      <c r="B331" s="31"/>
      <c r="C331" s="31"/>
      <c r="D331" s="31"/>
      <c r="E331" s="31"/>
      <c r="F331" s="31"/>
      <c r="G331" s="31"/>
      <c r="H331" s="31"/>
      <c r="I331" s="31"/>
      <c r="J331" s="31"/>
      <c r="K331" s="32"/>
      <c r="L331" s="15"/>
      <c r="M331" s="60"/>
      <c r="N331" s="46" t="s">
        <v>38</v>
      </c>
      <c r="O331" s="92">
        <f>+IFERROR(IF(HLOOKUP(S331,$S$3:$AB$3,1,)=S331,S332,0),0)</f>
        <v>0</v>
      </c>
      <c r="P331" s="95">
        <f>IFERROR(+N332/O331,0)</f>
        <v>0</v>
      </c>
      <c r="Q331" s="98">
        <f>+IFERROR(IF(HLOOKUP(S331,$S$4:$AB$4,1,)=S331,S332,0),0)</f>
        <v>0</v>
      </c>
      <c r="R331" s="101">
        <f>IFERROR(N332/Q331,0)</f>
        <v>0</v>
      </c>
      <c r="S331" s="47" t="s">
        <v>20</v>
      </c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</row>
    <row r="332" spans="1:32" ht="17.25" thickBot="1">
      <c r="A332" s="111"/>
      <c r="B332" s="35">
        <f t="shared" ref="B332:K332" si="164">+(B331-(B327+B329))*B$4</f>
        <v>0</v>
      </c>
      <c r="C332" s="35">
        <f t="shared" si="164"/>
        <v>0</v>
      </c>
      <c r="D332" s="35">
        <f t="shared" si="164"/>
        <v>0</v>
      </c>
      <c r="E332" s="35">
        <f t="shared" si="164"/>
        <v>0</v>
      </c>
      <c r="F332" s="35">
        <f t="shared" si="164"/>
        <v>0</v>
      </c>
      <c r="G332" s="35">
        <f t="shared" si="164"/>
        <v>0</v>
      </c>
      <c r="H332" s="35">
        <f t="shared" si="164"/>
        <v>0</v>
      </c>
      <c r="I332" s="35">
        <f t="shared" si="164"/>
        <v>0</v>
      </c>
      <c r="J332" s="35">
        <f t="shared" si="164"/>
        <v>0</v>
      </c>
      <c r="K332" s="35">
        <f t="shared" si="164"/>
        <v>0</v>
      </c>
      <c r="L332" s="35">
        <f>MONTH(M334)</f>
        <v>2</v>
      </c>
      <c r="M332" s="48" t="str">
        <f>IF(O331&gt;0,"Y","X")</f>
        <v>X</v>
      </c>
      <c r="N332" s="49">
        <f>IF(SUM(B331:K331)=0,0,SUM(B332:K332))</f>
        <v>0</v>
      </c>
      <c r="O332" s="93"/>
      <c r="P332" s="96"/>
      <c r="Q332" s="99"/>
      <c r="R332" s="102"/>
      <c r="S332" s="104">
        <f>SUM(T331:XFD331)</f>
        <v>0</v>
      </c>
      <c r="T332" s="108"/>
      <c r="U332" s="108"/>
      <c r="V332" s="108"/>
      <c r="W332" s="108"/>
      <c r="X332" s="108"/>
      <c r="Y332" s="108"/>
      <c r="Z332" s="108"/>
      <c r="AA332" s="108"/>
      <c r="AB332" s="108"/>
      <c r="AC332" s="108"/>
      <c r="AD332" s="108"/>
      <c r="AE332" s="108"/>
      <c r="AF332" s="108"/>
    </row>
    <row r="333" spans="1:32" ht="17.25" thickTop="1">
      <c r="A333" s="111"/>
      <c r="B333" s="50">
        <v>0</v>
      </c>
      <c r="C333" s="50">
        <v>0</v>
      </c>
      <c r="D333" s="50">
        <v>0</v>
      </c>
      <c r="E333" s="50">
        <v>0</v>
      </c>
      <c r="F333" s="50">
        <v>0</v>
      </c>
      <c r="G333" s="50">
        <v>0</v>
      </c>
      <c r="H333" s="50">
        <v>0</v>
      </c>
      <c r="I333" s="50">
        <v>0</v>
      </c>
      <c r="J333" s="50">
        <v>0</v>
      </c>
      <c r="K333" s="51">
        <v>0</v>
      </c>
      <c r="L333" s="52"/>
      <c r="M333" s="63"/>
      <c r="N333" s="54" t="s">
        <v>39</v>
      </c>
      <c r="O333" s="93"/>
      <c r="P333" s="96"/>
      <c r="Q333" s="99"/>
      <c r="R333" s="102"/>
      <c r="S333" s="105"/>
      <c r="T333" s="108"/>
      <c r="U333" s="108"/>
      <c r="V333" s="108"/>
      <c r="W333" s="108"/>
      <c r="X333" s="108"/>
      <c r="Y333" s="108"/>
      <c r="Z333" s="108"/>
      <c r="AA333" s="108"/>
      <c r="AB333" s="108"/>
      <c r="AC333" s="108"/>
      <c r="AD333" s="108"/>
      <c r="AE333" s="108"/>
      <c r="AF333" s="108"/>
    </row>
    <row r="334" spans="1:32" ht="17.25" thickBot="1">
      <c r="A334" s="112"/>
      <c r="B334" s="55">
        <f t="shared" ref="B334:K334" si="165">+(B331+B333)*B$4</f>
        <v>0</v>
      </c>
      <c r="C334" s="55">
        <f t="shared" si="165"/>
        <v>0</v>
      </c>
      <c r="D334" s="55">
        <f t="shared" si="165"/>
        <v>0</v>
      </c>
      <c r="E334" s="55">
        <f t="shared" si="165"/>
        <v>0</v>
      </c>
      <c r="F334" s="55">
        <f t="shared" si="165"/>
        <v>0</v>
      </c>
      <c r="G334" s="55">
        <f t="shared" si="165"/>
        <v>0</v>
      </c>
      <c r="H334" s="55">
        <f t="shared" si="165"/>
        <v>0</v>
      </c>
      <c r="I334" s="55">
        <f t="shared" si="165"/>
        <v>0</v>
      </c>
      <c r="J334" s="55">
        <f t="shared" si="165"/>
        <v>0</v>
      </c>
      <c r="K334" s="55">
        <f t="shared" si="165"/>
        <v>0</v>
      </c>
      <c r="L334" s="57"/>
      <c r="M334" s="65">
        <f>A331</f>
        <v>44245</v>
      </c>
      <c r="N334" s="59">
        <f>SUM(B334:K334)</f>
        <v>0</v>
      </c>
      <c r="O334" s="94"/>
      <c r="P334" s="97"/>
      <c r="Q334" s="100"/>
      <c r="R334" s="103"/>
      <c r="S334" s="106"/>
      <c r="T334" s="109"/>
      <c r="U334" s="109"/>
      <c r="V334" s="109"/>
      <c r="W334" s="109"/>
      <c r="X334" s="109"/>
      <c r="Y334" s="109"/>
      <c r="Z334" s="109"/>
      <c r="AA334" s="109"/>
      <c r="AB334" s="109"/>
      <c r="AC334" s="109"/>
      <c r="AD334" s="109"/>
      <c r="AE334" s="109"/>
      <c r="AF334" s="109"/>
    </row>
    <row r="335" spans="1:32">
      <c r="A335" s="110">
        <f>+A331+1</f>
        <v>44246</v>
      </c>
      <c r="B335" s="31"/>
      <c r="C335" s="31"/>
      <c r="D335" s="31"/>
      <c r="E335" s="31"/>
      <c r="F335" s="31"/>
      <c r="G335" s="31"/>
      <c r="H335" s="31"/>
      <c r="I335" s="31"/>
      <c r="J335" s="31"/>
      <c r="K335" s="32"/>
      <c r="L335" s="15"/>
      <c r="M335" s="60"/>
      <c r="N335" s="61" t="s">
        <v>38</v>
      </c>
      <c r="O335" s="92">
        <f>+IFERROR(IF(HLOOKUP(S335,$S$3:$AB$3,1,)=S335,S336,0),0)</f>
        <v>0</v>
      </c>
      <c r="P335" s="95">
        <f>IFERROR(+N336/O335,0)</f>
        <v>0</v>
      </c>
      <c r="Q335" s="98">
        <f>+IFERROR(IF(HLOOKUP(S335,$S$4:$AB$4,1,)=S335,S336,0),0)</f>
        <v>0</v>
      </c>
      <c r="R335" s="101">
        <f>IFERROR(N336/Q335,0)</f>
        <v>0</v>
      </c>
      <c r="S335" s="47" t="s">
        <v>18</v>
      </c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</row>
    <row r="336" spans="1:32" ht="17.25" thickBot="1">
      <c r="A336" s="111"/>
      <c r="B336" s="35">
        <f t="shared" ref="B336:K336" si="166">+(B335-(B331+B333))*B$4</f>
        <v>0</v>
      </c>
      <c r="C336" s="35">
        <f t="shared" si="166"/>
        <v>0</v>
      </c>
      <c r="D336" s="35">
        <f t="shared" si="166"/>
        <v>0</v>
      </c>
      <c r="E336" s="35">
        <f t="shared" si="166"/>
        <v>0</v>
      </c>
      <c r="F336" s="35">
        <f t="shared" si="166"/>
        <v>0</v>
      </c>
      <c r="G336" s="35">
        <f t="shared" si="166"/>
        <v>0</v>
      </c>
      <c r="H336" s="35">
        <f t="shared" si="166"/>
        <v>0</v>
      </c>
      <c r="I336" s="35">
        <f t="shared" si="166"/>
        <v>0</v>
      </c>
      <c r="J336" s="35">
        <f t="shared" si="166"/>
        <v>0</v>
      </c>
      <c r="K336" s="35">
        <f t="shared" si="166"/>
        <v>0</v>
      </c>
      <c r="L336" s="35">
        <f>MONTH(M338)</f>
        <v>2</v>
      </c>
      <c r="M336" s="48" t="str">
        <f>IF(O335&gt;0,"Y","X")</f>
        <v>X</v>
      </c>
      <c r="N336" s="62">
        <f>IF(SUM(B335:K335)=0,0,SUM(B336:K336))</f>
        <v>0</v>
      </c>
      <c r="O336" s="93"/>
      <c r="P336" s="96"/>
      <c r="Q336" s="99"/>
      <c r="R336" s="102"/>
      <c r="S336" s="104">
        <f>SUM(T335:XFD335)</f>
        <v>0</v>
      </c>
      <c r="T336" s="108"/>
      <c r="U336" s="108"/>
      <c r="V336" s="108"/>
      <c r="W336" s="108"/>
      <c r="X336" s="108"/>
      <c r="Y336" s="108"/>
      <c r="Z336" s="108"/>
      <c r="AA336" s="108"/>
      <c r="AB336" s="108"/>
      <c r="AC336" s="108"/>
      <c r="AD336" s="108"/>
      <c r="AE336" s="108"/>
      <c r="AF336" s="108"/>
    </row>
    <row r="337" spans="1:32" ht="17.25" thickTop="1">
      <c r="A337" s="111"/>
      <c r="B337" s="50">
        <v>0</v>
      </c>
      <c r="C337" s="50">
        <v>0</v>
      </c>
      <c r="D337" s="50">
        <v>0</v>
      </c>
      <c r="E337" s="50">
        <v>0</v>
      </c>
      <c r="F337" s="50">
        <v>0</v>
      </c>
      <c r="G337" s="50">
        <v>0</v>
      </c>
      <c r="H337" s="50">
        <v>0</v>
      </c>
      <c r="I337" s="50">
        <v>0</v>
      </c>
      <c r="J337" s="50">
        <v>0</v>
      </c>
      <c r="K337" s="51">
        <v>0</v>
      </c>
      <c r="L337" s="52"/>
      <c r="M337" s="63"/>
      <c r="N337" s="64" t="s">
        <v>39</v>
      </c>
      <c r="O337" s="93"/>
      <c r="P337" s="96"/>
      <c r="Q337" s="99"/>
      <c r="R337" s="102"/>
      <c r="S337" s="105"/>
      <c r="T337" s="108"/>
      <c r="U337" s="108"/>
      <c r="V337" s="108"/>
      <c r="W337" s="108"/>
      <c r="X337" s="108"/>
      <c r="Y337" s="108"/>
      <c r="Z337" s="108"/>
      <c r="AA337" s="108"/>
      <c r="AB337" s="108"/>
      <c r="AC337" s="108"/>
      <c r="AD337" s="108"/>
      <c r="AE337" s="108"/>
      <c r="AF337" s="108"/>
    </row>
    <row r="338" spans="1:32" ht="17.25" thickBot="1">
      <c r="A338" s="112"/>
      <c r="B338" s="55">
        <f t="shared" ref="B338:K338" si="167">+(B335+B337)*B$4</f>
        <v>0</v>
      </c>
      <c r="C338" s="55">
        <f t="shared" si="167"/>
        <v>0</v>
      </c>
      <c r="D338" s="55">
        <f t="shared" si="167"/>
        <v>0</v>
      </c>
      <c r="E338" s="55">
        <f t="shared" si="167"/>
        <v>0</v>
      </c>
      <c r="F338" s="55">
        <f t="shared" si="167"/>
        <v>0</v>
      </c>
      <c r="G338" s="55">
        <f t="shared" si="167"/>
        <v>0</v>
      </c>
      <c r="H338" s="55">
        <f t="shared" si="167"/>
        <v>0</v>
      </c>
      <c r="I338" s="55">
        <f t="shared" si="167"/>
        <v>0</v>
      </c>
      <c r="J338" s="55">
        <f t="shared" si="167"/>
        <v>0</v>
      </c>
      <c r="K338" s="55">
        <f t="shared" si="167"/>
        <v>0</v>
      </c>
      <c r="L338" s="57"/>
      <c r="M338" s="65">
        <f>A335</f>
        <v>44246</v>
      </c>
      <c r="N338" s="66">
        <f>SUM(B338:K338)</f>
        <v>0</v>
      </c>
      <c r="O338" s="94"/>
      <c r="P338" s="97"/>
      <c r="Q338" s="100"/>
      <c r="R338" s="103"/>
      <c r="S338" s="106"/>
      <c r="T338" s="109"/>
      <c r="U338" s="109"/>
      <c r="V338" s="109"/>
      <c r="W338" s="109"/>
      <c r="X338" s="109"/>
      <c r="Y338" s="109"/>
      <c r="Z338" s="109"/>
      <c r="AA338" s="109"/>
      <c r="AB338" s="109"/>
      <c r="AC338" s="109"/>
      <c r="AD338" s="109"/>
      <c r="AE338" s="109"/>
      <c r="AF338" s="109"/>
    </row>
    <row r="339" spans="1:32">
      <c r="A339" s="113">
        <f>+A335+1</f>
        <v>44247</v>
      </c>
      <c r="B339" s="31"/>
      <c r="C339" s="31"/>
      <c r="D339" s="31"/>
      <c r="E339" s="31"/>
      <c r="F339" s="31"/>
      <c r="G339" s="31"/>
      <c r="H339" s="31"/>
      <c r="I339" s="31"/>
      <c r="J339" s="31"/>
      <c r="K339" s="32"/>
      <c r="L339" s="15"/>
      <c r="M339" s="60"/>
      <c r="N339" s="46" t="s">
        <v>38</v>
      </c>
      <c r="O339" s="92">
        <f>+IFERROR(IF(HLOOKUP(S339,$S$3:$AB$3,1,)=S339,S340,0),0)</f>
        <v>0</v>
      </c>
      <c r="P339" s="95">
        <f>IFERROR(+N340/O339,0)</f>
        <v>0</v>
      </c>
      <c r="Q339" s="98">
        <f>+IFERROR(IF(HLOOKUP(S339,$S$4:$AB$4,1,)=S339,S340,0),0)</f>
        <v>0</v>
      </c>
      <c r="R339" s="101">
        <f>IFERROR(N340/Q339,0)</f>
        <v>0</v>
      </c>
      <c r="S339" s="47" t="s">
        <v>24</v>
      </c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</row>
    <row r="340" spans="1:32" ht="17.25" thickBot="1">
      <c r="A340" s="114"/>
      <c r="B340" s="35">
        <f t="shared" ref="B340:K340" si="168">+(B339-(B335+B337))*B$4</f>
        <v>0</v>
      </c>
      <c r="C340" s="35">
        <f t="shared" si="168"/>
        <v>0</v>
      </c>
      <c r="D340" s="35">
        <f t="shared" si="168"/>
        <v>0</v>
      </c>
      <c r="E340" s="35">
        <f t="shared" si="168"/>
        <v>0</v>
      </c>
      <c r="F340" s="35">
        <f t="shared" si="168"/>
        <v>0</v>
      </c>
      <c r="G340" s="35">
        <f t="shared" si="168"/>
        <v>0</v>
      </c>
      <c r="H340" s="35">
        <f t="shared" si="168"/>
        <v>0</v>
      </c>
      <c r="I340" s="35">
        <f t="shared" si="168"/>
        <v>0</v>
      </c>
      <c r="J340" s="35">
        <f t="shared" si="168"/>
        <v>0</v>
      </c>
      <c r="K340" s="35">
        <f t="shared" si="168"/>
        <v>0</v>
      </c>
      <c r="L340" s="35">
        <f>MONTH(M342)</f>
        <v>2</v>
      </c>
      <c r="M340" s="48" t="str">
        <f>IF(O339&gt;0,"Y","X")</f>
        <v>X</v>
      </c>
      <c r="N340" s="49">
        <f>IF(SUM(B339:K339)=0,0,SUM(B340:K340))</f>
        <v>0</v>
      </c>
      <c r="O340" s="93"/>
      <c r="P340" s="96"/>
      <c r="Q340" s="99"/>
      <c r="R340" s="102"/>
      <c r="S340" s="104">
        <f>SUM(T339:XFD339)</f>
        <v>0</v>
      </c>
      <c r="T340" s="108"/>
      <c r="U340" s="108"/>
      <c r="V340" s="108"/>
      <c r="W340" s="108"/>
      <c r="X340" s="108"/>
      <c r="Y340" s="108"/>
      <c r="Z340" s="108"/>
      <c r="AA340" s="108"/>
      <c r="AB340" s="108"/>
      <c r="AC340" s="108"/>
      <c r="AD340" s="108"/>
      <c r="AE340" s="108"/>
      <c r="AF340" s="108"/>
    </row>
    <row r="341" spans="1:32" ht="17.25" thickTop="1">
      <c r="A341" s="114"/>
      <c r="B341" s="50">
        <v>0</v>
      </c>
      <c r="C341" s="50">
        <v>0</v>
      </c>
      <c r="D341" s="50">
        <v>0</v>
      </c>
      <c r="E341" s="50">
        <v>0</v>
      </c>
      <c r="F341" s="50">
        <v>0</v>
      </c>
      <c r="G341" s="50">
        <v>0</v>
      </c>
      <c r="H341" s="50">
        <v>0</v>
      </c>
      <c r="I341" s="50">
        <v>0</v>
      </c>
      <c r="J341" s="50">
        <v>0</v>
      </c>
      <c r="K341" s="51">
        <v>0</v>
      </c>
      <c r="L341" s="52"/>
      <c r="M341" s="63"/>
      <c r="N341" s="54" t="s">
        <v>39</v>
      </c>
      <c r="O341" s="93"/>
      <c r="P341" s="96"/>
      <c r="Q341" s="99"/>
      <c r="R341" s="102"/>
      <c r="S341" s="105"/>
      <c r="T341" s="108"/>
      <c r="U341" s="108"/>
      <c r="V341" s="108"/>
      <c r="W341" s="108"/>
      <c r="X341" s="108"/>
      <c r="Y341" s="108"/>
      <c r="Z341" s="108"/>
      <c r="AA341" s="108"/>
      <c r="AB341" s="108"/>
      <c r="AC341" s="108"/>
      <c r="AD341" s="108"/>
      <c r="AE341" s="108"/>
      <c r="AF341" s="108"/>
    </row>
    <row r="342" spans="1:32" ht="17.25" thickBot="1">
      <c r="A342" s="115"/>
      <c r="B342" s="55">
        <f t="shared" ref="B342:K342" si="169">+(B339+B341)*B$4</f>
        <v>0</v>
      </c>
      <c r="C342" s="55">
        <f t="shared" si="169"/>
        <v>0</v>
      </c>
      <c r="D342" s="55">
        <f t="shared" si="169"/>
        <v>0</v>
      </c>
      <c r="E342" s="55">
        <f t="shared" si="169"/>
        <v>0</v>
      </c>
      <c r="F342" s="55">
        <f t="shared" si="169"/>
        <v>0</v>
      </c>
      <c r="G342" s="55">
        <f t="shared" si="169"/>
        <v>0</v>
      </c>
      <c r="H342" s="55">
        <f t="shared" si="169"/>
        <v>0</v>
      </c>
      <c r="I342" s="55">
        <f t="shared" si="169"/>
        <v>0</v>
      </c>
      <c r="J342" s="55">
        <f t="shared" si="169"/>
        <v>0</v>
      </c>
      <c r="K342" s="55">
        <f t="shared" si="169"/>
        <v>0</v>
      </c>
      <c r="L342" s="57"/>
      <c r="M342" s="65">
        <f>A339</f>
        <v>44247</v>
      </c>
      <c r="N342" s="59">
        <f>SUM(B342:K342)</f>
        <v>0</v>
      </c>
      <c r="O342" s="94"/>
      <c r="P342" s="97"/>
      <c r="Q342" s="100"/>
      <c r="R342" s="103"/>
      <c r="S342" s="106"/>
      <c r="T342" s="109"/>
      <c r="U342" s="109"/>
      <c r="V342" s="109"/>
      <c r="W342" s="109"/>
      <c r="X342" s="109"/>
      <c r="Y342" s="109"/>
      <c r="Z342" s="109"/>
      <c r="AA342" s="109"/>
      <c r="AB342" s="109"/>
      <c r="AC342" s="109"/>
      <c r="AD342" s="109"/>
      <c r="AE342" s="109"/>
      <c r="AF342" s="109"/>
    </row>
    <row r="343" spans="1:32">
      <c r="A343" s="113">
        <f>+A339+1</f>
        <v>44248</v>
      </c>
      <c r="B343" s="31"/>
      <c r="C343" s="31"/>
      <c r="D343" s="31"/>
      <c r="E343" s="31"/>
      <c r="F343" s="31"/>
      <c r="G343" s="31"/>
      <c r="H343" s="31"/>
      <c r="I343" s="31"/>
      <c r="J343" s="31"/>
      <c r="K343" s="32"/>
      <c r="L343" s="15"/>
      <c r="M343" s="60"/>
      <c r="N343" s="61" t="s">
        <v>38</v>
      </c>
      <c r="O343" s="92">
        <f>+IFERROR(IF(HLOOKUP(S343,$S$3:$AB$3,1,)=S343,S344,0),0)</f>
        <v>0</v>
      </c>
      <c r="P343" s="95">
        <f>IFERROR(+N344/O343,0)</f>
        <v>0</v>
      </c>
      <c r="Q343" s="98">
        <f>+IFERROR(IF(HLOOKUP(S343,$S$4:$AB$4,1,)=S343,S344,0),0)</f>
        <v>0</v>
      </c>
      <c r="R343" s="101">
        <f>IFERROR(N344/Q343,0)</f>
        <v>0</v>
      </c>
      <c r="S343" s="47" t="s">
        <v>23</v>
      </c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</row>
    <row r="344" spans="1:32" ht="17.25" thickBot="1">
      <c r="A344" s="114"/>
      <c r="B344" s="35">
        <f t="shared" ref="B344:K344" si="170">+(B343-(B339+B341))*B$4</f>
        <v>0</v>
      </c>
      <c r="C344" s="35">
        <f t="shared" si="170"/>
        <v>0</v>
      </c>
      <c r="D344" s="35">
        <f t="shared" si="170"/>
        <v>0</v>
      </c>
      <c r="E344" s="35">
        <f t="shared" si="170"/>
        <v>0</v>
      </c>
      <c r="F344" s="35">
        <f t="shared" si="170"/>
        <v>0</v>
      </c>
      <c r="G344" s="35">
        <f t="shared" si="170"/>
        <v>0</v>
      </c>
      <c r="H344" s="35">
        <f t="shared" si="170"/>
        <v>0</v>
      </c>
      <c r="I344" s="35">
        <f t="shared" si="170"/>
        <v>0</v>
      </c>
      <c r="J344" s="35">
        <f t="shared" si="170"/>
        <v>0</v>
      </c>
      <c r="K344" s="35">
        <f t="shared" si="170"/>
        <v>0</v>
      </c>
      <c r="L344" s="35">
        <f>MONTH(M346)</f>
        <v>2</v>
      </c>
      <c r="M344" s="48" t="str">
        <f>IF(O343&gt;0,"Y","X")</f>
        <v>X</v>
      </c>
      <c r="N344" s="62">
        <f>IF(SUM(B343:K343)=0,0,SUM(B344:K344))</f>
        <v>0</v>
      </c>
      <c r="O344" s="93"/>
      <c r="P344" s="96"/>
      <c r="Q344" s="99"/>
      <c r="R344" s="102"/>
      <c r="S344" s="104">
        <f>SUM(T343:XFD343)</f>
        <v>0</v>
      </c>
      <c r="T344" s="108"/>
      <c r="U344" s="108"/>
      <c r="V344" s="108"/>
      <c r="W344" s="108"/>
      <c r="X344" s="108"/>
      <c r="Y344" s="108"/>
      <c r="Z344" s="108"/>
      <c r="AA344" s="108"/>
      <c r="AB344" s="108"/>
      <c r="AC344" s="108"/>
      <c r="AD344" s="108"/>
      <c r="AE344" s="108"/>
      <c r="AF344" s="108"/>
    </row>
    <row r="345" spans="1:32" ht="17.25" thickTop="1">
      <c r="A345" s="114"/>
      <c r="B345" s="50">
        <v>0</v>
      </c>
      <c r="C345" s="50">
        <v>0</v>
      </c>
      <c r="D345" s="50">
        <v>0</v>
      </c>
      <c r="E345" s="50">
        <v>0</v>
      </c>
      <c r="F345" s="50">
        <v>0</v>
      </c>
      <c r="G345" s="50">
        <v>0</v>
      </c>
      <c r="H345" s="50">
        <v>0</v>
      </c>
      <c r="I345" s="50">
        <v>0</v>
      </c>
      <c r="J345" s="50">
        <v>0</v>
      </c>
      <c r="K345" s="51">
        <v>0</v>
      </c>
      <c r="L345" s="52"/>
      <c r="M345" s="63"/>
      <c r="N345" s="64" t="s">
        <v>39</v>
      </c>
      <c r="O345" s="93"/>
      <c r="P345" s="96"/>
      <c r="Q345" s="99"/>
      <c r="R345" s="102"/>
      <c r="S345" s="105"/>
      <c r="T345" s="108"/>
      <c r="U345" s="108"/>
      <c r="V345" s="108"/>
      <c r="W345" s="108"/>
      <c r="X345" s="108"/>
      <c r="Y345" s="108"/>
      <c r="Z345" s="108"/>
      <c r="AA345" s="108"/>
      <c r="AB345" s="108"/>
      <c r="AC345" s="108"/>
      <c r="AD345" s="108"/>
      <c r="AE345" s="108"/>
      <c r="AF345" s="108"/>
    </row>
    <row r="346" spans="1:32" ht="17.25" thickBot="1">
      <c r="A346" s="115"/>
      <c r="B346" s="55">
        <f t="shared" ref="B346:K346" si="171">+(B343+B345)*B$4</f>
        <v>0</v>
      </c>
      <c r="C346" s="55">
        <f t="shared" si="171"/>
        <v>0</v>
      </c>
      <c r="D346" s="55">
        <f t="shared" si="171"/>
        <v>0</v>
      </c>
      <c r="E346" s="55">
        <f t="shared" si="171"/>
        <v>0</v>
      </c>
      <c r="F346" s="55">
        <f t="shared" si="171"/>
        <v>0</v>
      </c>
      <c r="G346" s="55">
        <f t="shared" si="171"/>
        <v>0</v>
      </c>
      <c r="H346" s="55">
        <f t="shared" si="171"/>
        <v>0</v>
      </c>
      <c r="I346" s="55">
        <f t="shared" si="171"/>
        <v>0</v>
      </c>
      <c r="J346" s="55">
        <f t="shared" si="171"/>
        <v>0</v>
      </c>
      <c r="K346" s="55">
        <f t="shared" si="171"/>
        <v>0</v>
      </c>
      <c r="L346" s="57"/>
      <c r="M346" s="65">
        <f>A343</f>
        <v>44248</v>
      </c>
      <c r="N346" s="66">
        <f>SUM(B346:K346)</f>
        <v>0</v>
      </c>
      <c r="O346" s="94"/>
      <c r="P346" s="97"/>
      <c r="Q346" s="100"/>
      <c r="R346" s="103"/>
      <c r="S346" s="106"/>
      <c r="T346" s="109"/>
      <c r="U346" s="109"/>
      <c r="V346" s="109"/>
      <c r="W346" s="109"/>
      <c r="X346" s="109"/>
      <c r="Y346" s="109"/>
      <c r="Z346" s="109"/>
      <c r="AA346" s="109"/>
      <c r="AB346" s="109"/>
      <c r="AC346" s="109"/>
      <c r="AD346" s="109"/>
      <c r="AE346" s="109"/>
      <c r="AF346" s="109"/>
    </row>
    <row r="347" spans="1:32">
      <c r="A347" s="110">
        <f>+A343+1</f>
        <v>44249</v>
      </c>
      <c r="B347" s="31"/>
      <c r="C347" s="31"/>
      <c r="D347" s="31"/>
      <c r="E347" s="31"/>
      <c r="F347" s="31"/>
      <c r="G347" s="31"/>
      <c r="H347" s="31"/>
      <c r="I347" s="31"/>
      <c r="J347" s="31"/>
      <c r="K347" s="32"/>
      <c r="L347" s="15"/>
      <c r="M347" s="45"/>
      <c r="N347" s="46" t="s">
        <v>38</v>
      </c>
      <c r="O347" s="92">
        <f>+IFERROR(IF(HLOOKUP(S347,$S$3:$AB$3,1,)=S347,S348,0),0)</f>
        <v>0</v>
      </c>
      <c r="P347" s="95">
        <f>IFERROR(+N348/O347,0)</f>
        <v>0</v>
      </c>
      <c r="Q347" s="98">
        <f>+IFERROR(IF(HLOOKUP(S347,$S$4:$AB$4,1,)=S347,S348,0),0)</f>
        <v>0</v>
      </c>
      <c r="R347" s="101">
        <f>IFERROR(N348/Q347,0)</f>
        <v>0</v>
      </c>
      <c r="S347" s="47" t="s">
        <v>17</v>
      </c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</row>
    <row r="348" spans="1:32" ht="17.25" thickBot="1">
      <c r="A348" s="111"/>
      <c r="B348" s="35">
        <f t="shared" ref="B348:K348" si="172">+(B347-(B343+B345))*B$4</f>
        <v>0</v>
      </c>
      <c r="C348" s="35">
        <f t="shared" si="172"/>
        <v>0</v>
      </c>
      <c r="D348" s="35">
        <f t="shared" si="172"/>
        <v>0</v>
      </c>
      <c r="E348" s="35">
        <f t="shared" si="172"/>
        <v>0</v>
      </c>
      <c r="F348" s="35">
        <f t="shared" si="172"/>
        <v>0</v>
      </c>
      <c r="G348" s="35">
        <f t="shared" si="172"/>
        <v>0</v>
      </c>
      <c r="H348" s="35">
        <f t="shared" si="172"/>
        <v>0</v>
      </c>
      <c r="I348" s="35">
        <f t="shared" si="172"/>
        <v>0</v>
      </c>
      <c r="J348" s="35">
        <f t="shared" si="172"/>
        <v>0</v>
      </c>
      <c r="K348" s="35">
        <f t="shared" si="172"/>
        <v>0</v>
      </c>
      <c r="L348" s="35">
        <f>MONTH(M350)</f>
        <v>2</v>
      </c>
      <c r="M348" s="48" t="str">
        <f>IF(O347&gt;0,"Y","X")</f>
        <v>X</v>
      </c>
      <c r="N348" s="49">
        <f>IF(SUM(B347:K347)=0,0,SUM(B348:K348))</f>
        <v>0</v>
      </c>
      <c r="O348" s="93"/>
      <c r="P348" s="96"/>
      <c r="Q348" s="99"/>
      <c r="R348" s="102"/>
      <c r="S348" s="104">
        <f>SUM(T347:XFD347)</f>
        <v>0</v>
      </c>
      <c r="T348" s="108"/>
      <c r="U348" s="108"/>
      <c r="V348" s="108"/>
      <c r="W348" s="108"/>
      <c r="X348" s="108"/>
      <c r="Y348" s="108"/>
      <c r="Z348" s="108"/>
      <c r="AA348" s="108"/>
      <c r="AB348" s="108"/>
      <c r="AC348" s="108"/>
      <c r="AD348" s="108"/>
      <c r="AE348" s="108"/>
      <c r="AF348" s="108"/>
    </row>
    <row r="349" spans="1:32" ht="17.25" thickTop="1">
      <c r="A349" s="111"/>
      <c r="B349" s="50">
        <v>0</v>
      </c>
      <c r="C349" s="50">
        <v>0</v>
      </c>
      <c r="D349" s="50">
        <v>0</v>
      </c>
      <c r="E349" s="50">
        <v>0</v>
      </c>
      <c r="F349" s="50">
        <v>0</v>
      </c>
      <c r="G349" s="50">
        <v>0</v>
      </c>
      <c r="H349" s="50">
        <v>0</v>
      </c>
      <c r="I349" s="50">
        <v>0</v>
      </c>
      <c r="J349" s="50">
        <v>0</v>
      </c>
      <c r="K349" s="51">
        <v>0</v>
      </c>
      <c r="L349" s="52"/>
      <c r="M349" s="53"/>
      <c r="N349" s="54" t="s">
        <v>39</v>
      </c>
      <c r="O349" s="93"/>
      <c r="P349" s="96"/>
      <c r="Q349" s="99"/>
      <c r="R349" s="102"/>
      <c r="S349" s="105"/>
      <c r="T349" s="108"/>
      <c r="U349" s="108"/>
      <c r="V349" s="108"/>
      <c r="W349" s="108"/>
      <c r="X349" s="108"/>
      <c r="Y349" s="108"/>
      <c r="Z349" s="108"/>
      <c r="AA349" s="108"/>
      <c r="AB349" s="108"/>
      <c r="AC349" s="108"/>
      <c r="AD349" s="108"/>
      <c r="AE349" s="108"/>
      <c r="AF349" s="108"/>
    </row>
    <row r="350" spans="1:32" ht="17.25" thickBot="1">
      <c r="A350" s="112"/>
      <c r="B350" s="55">
        <f t="shared" ref="B350:K350" si="173">+(B347+B349)*B$4</f>
        <v>0</v>
      </c>
      <c r="C350" s="55">
        <f t="shared" si="173"/>
        <v>0</v>
      </c>
      <c r="D350" s="55">
        <f t="shared" si="173"/>
        <v>0</v>
      </c>
      <c r="E350" s="55">
        <f t="shared" si="173"/>
        <v>0</v>
      </c>
      <c r="F350" s="55">
        <f t="shared" si="173"/>
        <v>0</v>
      </c>
      <c r="G350" s="55">
        <f t="shared" si="173"/>
        <v>0</v>
      </c>
      <c r="H350" s="55">
        <f t="shared" si="173"/>
        <v>0</v>
      </c>
      <c r="I350" s="55">
        <f t="shared" si="173"/>
        <v>0</v>
      </c>
      <c r="J350" s="55">
        <f t="shared" si="173"/>
        <v>0</v>
      </c>
      <c r="K350" s="55">
        <f t="shared" si="173"/>
        <v>0</v>
      </c>
      <c r="L350" s="57"/>
      <c r="M350" s="58">
        <f>A347</f>
        <v>44249</v>
      </c>
      <c r="N350" s="59">
        <f>SUM(B350:K350)</f>
        <v>0</v>
      </c>
      <c r="O350" s="94"/>
      <c r="P350" s="97"/>
      <c r="Q350" s="100"/>
      <c r="R350" s="103"/>
      <c r="S350" s="106"/>
      <c r="T350" s="109"/>
      <c r="U350" s="109"/>
      <c r="V350" s="109"/>
      <c r="W350" s="109"/>
      <c r="X350" s="109"/>
      <c r="Y350" s="109"/>
      <c r="Z350" s="109"/>
      <c r="AA350" s="109"/>
      <c r="AB350" s="109"/>
      <c r="AC350" s="109"/>
      <c r="AD350" s="109"/>
      <c r="AE350" s="109"/>
      <c r="AF350" s="109"/>
    </row>
    <row r="351" spans="1:32">
      <c r="A351" s="110">
        <f>+A347+1</f>
        <v>44250</v>
      </c>
      <c r="B351" s="31"/>
      <c r="C351" s="31"/>
      <c r="D351" s="31"/>
      <c r="E351" s="31"/>
      <c r="F351" s="31"/>
      <c r="G351" s="31"/>
      <c r="H351" s="31"/>
      <c r="I351" s="31"/>
      <c r="J351" s="31"/>
      <c r="K351" s="32"/>
      <c r="L351" s="15"/>
      <c r="M351" s="60"/>
      <c r="N351" s="61" t="s">
        <v>38</v>
      </c>
      <c r="O351" s="92">
        <f>+IFERROR(IF(HLOOKUP(S351,$S$3:$AB$3,1,)=S351,S352,0),0)</f>
        <v>0</v>
      </c>
      <c r="P351" s="95">
        <f>IFERROR(+N352/O351,0)</f>
        <v>0</v>
      </c>
      <c r="Q351" s="98">
        <f>+IFERROR(IF(HLOOKUP(S351,$S$4:$AB$4,1,)=S351,S352,0),0)</f>
        <v>0</v>
      </c>
      <c r="R351" s="101">
        <f>IFERROR(N352/Q351,0)</f>
        <v>0</v>
      </c>
      <c r="S351" s="47" t="s">
        <v>19</v>
      </c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</row>
    <row r="352" spans="1:32" ht="17.25" thickBot="1">
      <c r="A352" s="111"/>
      <c r="B352" s="35">
        <f t="shared" ref="B352:K352" si="174">+(B351-(B347+B349))*B$4</f>
        <v>0</v>
      </c>
      <c r="C352" s="35">
        <f t="shared" si="174"/>
        <v>0</v>
      </c>
      <c r="D352" s="35">
        <f t="shared" si="174"/>
        <v>0</v>
      </c>
      <c r="E352" s="35">
        <f t="shared" si="174"/>
        <v>0</v>
      </c>
      <c r="F352" s="35">
        <f t="shared" si="174"/>
        <v>0</v>
      </c>
      <c r="G352" s="35">
        <f t="shared" si="174"/>
        <v>0</v>
      </c>
      <c r="H352" s="35">
        <f t="shared" si="174"/>
        <v>0</v>
      </c>
      <c r="I352" s="35">
        <f t="shared" si="174"/>
        <v>0</v>
      </c>
      <c r="J352" s="35">
        <f t="shared" si="174"/>
        <v>0</v>
      </c>
      <c r="K352" s="35">
        <f t="shared" si="174"/>
        <v>0</v>
      </c>
      <c r="L352" s="35">
        <f>MONTH(M354)</f>
        <v>2</v>
      </c>
      <c r="M352" s="48" t="str">
        <f>IF(O351&gt;0,"Y","X")</f>
        <v>X</v>
      </c>
      <c r="N352" s="62">
        <f>IF(SUM(B351:K351)=0,0,SUM(B352:K352))</f>
        <v>0</v>
      </c>
      <c r="O352" s="93"/>
      <c r="P352" s="96"/>
      <c r="Q352" s="99"/>
      <c r="R352" s="102"/>
      <c r="S352" s="104">
        <f>SUM(T351:XFD351)</f>
        <v>0</v>
      </c>
      <c r="T352" s="108"/>
      <c r="U352" s="108"/>
      <c r="V352" s="108"/>
      <c r="W352" s="108"/>
      <c r="X352" s="108"/>
      <c r="Y352" s="108"/>
      <c r="Z352" s="108"/>
      <c r="AA352" s="108"/>
      <c r="AB352" s="108"/>
      <c r="AC352" s="108"/>
      <c r="AD352" s="108"/>
      <c r="AE352" s="108"/>
      <c r="AF352" s="108"/>
    </row>
    <row r="353" spans="1:32" ht="17.25" thickTop="1">
      <c r="A353" s="111"/>
      <c r="B353" s="50">
        <v>0</v>
      </c>
      <c r="C353" s="50">
        <v>0</v>
      </c>
      <c r="D353" s="50">
        <v>0</v>
      </c>
      <c r="E353" s="50">
        <v>0</v>
      </c>
      <c r="F353" s="50">
        <v>0</v>
      </c>
      <c r="G353" s="50">
        <v>0</v>
      </c>
      <c r="H353" s="50">
        <v>0</v>
      </c>
      <c r="I353" s="50">
        <v>0</v>
      </c>
      <c r="J353" s="50">
        <v>0</v>
      </c>
      <c r="K353" s="51">
        <v>0</v>
      </c>
      <c r="L353" s="52"/>
      <c r="M353" s="63"/>
      <c r="N353" s="64" t="s">
        <v>39</v>
      </c>
      <c r="O353" s="93"/>
      <c r="P353" s="96"/>
      <c r="Q353" s="99"/>
      <c r="R353" s="102"/>
      <c r="S353" s="105"/>
      <c r="T353" s="108"/>
      <c r="U353" s="108"/>
      <c r="V353" s="108"/>
      <c r="W353" s="108"/>
      <c r="X353" s="108"/>
      <c r="Y353" s="108"/>
      <c r="Z353" s="108"/>
      <c r="AA353" s="108"/>
      <c r="AB353" s="108"/>
      <c r="AC353" s="108"/>
      <c r="AD353" s="108"/>
      <c r="AE353" s="108"/>
      <c r="AF353" s="108"/>
    </row>
    <row r="354" spans="1:32" ht="17.25" thickBot="1">
      <c r="A354" s="112"/>
      <c r="B354" s="55">
        <f t="shared" ref="B354:K354" si="175">+(B351+B353)*B$4</f>
        <v>0</v>
      </c>
      <c r="C354" s="55">
        <f t="shared" si="175"/>
        <v>0</v>
      </c>
      <c r="D354" s="55">
        <f t="shared" si="175"/>
        <v>0</v>
      </c>
      <c r="E354" s="55">
        <f t="shared" si="175"/>
        <v>0</v>
      </c>
      <c r="F354" s="55">
        <f t="shared" si="175"/>
        <v>0</v>
      </c>
      <c r="G354" s="55">
        <f t="shared" si="175"/>
        <v>0</v>
      </c>
      <c r="H354" s="55">
        <f t="shared" si="175"/>
        <v>0</v>
      </c>
      <c r="I354" s="55">
        <f t="shared" si="175"/>
        <v>0</v>
      </c>
      <c r="J354" s="55">
        <f t="shared" si="175"/>
        <v>0</v>
      </c>
      <c r="K354" s="55">
        <f t="shared" si="175"/>
        <v>0</v>
      </c>
      <c r="L354" s="57"/>
      <c r="M354" s="65">
        <f>A351</f>
        <v>44250</v>
      </c>
      <c r="N354" s="66">
        <f>SUM(B354:K354)</f>
        <v>0</v>
      </c>
      <c r="O354" s="94"/>
      <c r="P354" s="97"/>
      <c r="Q354" s="100"/>
      <c r="R354" s="103"/>
      <c r="S354" s="106"/>
      <c r="T354" s="109"/>
      <c r="U354" s="109"/>
      <c r="V354" s="109"/>
      <c r="W354" s="109"/>
      <c r="X354" s="109"/>
      <c r="Y354" s="109"/>
      <c r="Z354" s="109"/>
      <c r="AA354" s="109"/>
      <c r="AB354" s="109"/>
      <c r="AC354" s="109"/>
      <c r="AD354" s="109"/>
      <c r="AE354" s="109"/>
      <c r="AF354" s="109"/>
    </row>
    <row r="355" spans="1:32">
      <c r="A355" s="110">
        <f>+A351+1</f>
        <v>44251</v>
      </c>
      <c r="B355" s="31"/>
      <c r="C355" s="31"/>
      <c r="D355" s="31"/>
      <c r="E355" s="31"/>
      <c r="F355" s="31"/>
      <c r="G355" s="31"/>
      <c r="H355" s="31"/>
      <c r="I355" s="31"/>
      <c r="J355" s="31"/>
      <c r="K355" s="32"/>
      <c r="L355" s="15"/>
      <c r="M355" s="60"/>
      <c r="N355" s="46" t="s">
        <v>38</v>
      </c>
      <c r="O355" s="92">
        <f>+IFERROR(IF(HLOOKUP(S355,$S$3:$AB$3,1,)=S355,S356,0),0)</f>
        <v>0</v>
      </c>
      <c r="P355" s="95">
        <f>IFERROR(+N356/O355,0)</f>
        <v>0</v>
      </c>
      <c r="Q355" s="98">
        <f>+IFERROR(IF(HLOOKUP(S355,$S$4:$AB$4,1,)=S355,S356,0),0)</f>
        <v>0</v>
      </c>
      <c r="R355" s="101">
        <f>IFERROR(N356/Q355,0)</f>
        <v>0</v>
      </c>
      <c r="S355" s="47" t="s">
        <v>20</v>
      </c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</row>
    <row r="356" spans="1:32" ht="17.25" thickBot="1">
      <c r="A356" s="111"/>
      <c r="B356" s="35">
        <f t="shared" ref="B356:K356" si="176">+(B355-(B351+B353))*B$4</f>
        <v>0</v>
      </c>
      <c r="C356" s="35">
        <f t="shared" si="176"/>
        <v>0</v>
      </c>
      <c r="D356" s="35">
        <f t="shared" si="176"/>
        <v>0</v>
      </c>
      <c r="E356" s="35">
        <f t="shared" si="176"/>
        <v>0</v>
      </c>
      <c r="F356" s="35">
        <f t="shared" si="176"/>
        <v>0</v>
      </c>
      <c r="G356" s="35">
        <f t="shared" si="176"/>
        <v>0</v>
      </c>
      <c r="H356" s="35">
        <f t="shared" si="176"/>
        <v>0</v>
      </c>
      <c r="I356" s="35">
        <f t="shared" si="176"/>
        <v>0</v>
      </c>
      <c r="J356" s="35">
        <f t="shared" si="176"/>
        <v>0</v>
      </c>
      <c r="K356" s="35">
        <f t="shared" si="176"/>
        <v>0</v>
      </c>
      <c r="L356" s="35">
        <f>MONTH(M358)</f>
        <v>2</v>
      </c>
      <c r="M356" s="48" t="str">
        <f>IF(O355&gt;0,"Y","X")</f>
        <v>X</v>
      </c>
      <c r="N356" s="49">
        <f>IF(SUM(B355:K355)=0,0,SUM(B356:K356))</f>
        <v>0</v>
      </c>
      <c r="O356" s="93"/>
      <c r="P356" s="96"/>
      <c r="Q356" s="99"/>
      <c r="R356" s="102"/>
      <c r="S356" s="104">
        <f>SUM(T355:XFD355)</f>
        <v>0</v>
      </c>
      <c r="T356" s="108"/>
      <c r="U356" s="108"/>
      <c r="V356" s="108"/>
      <c r="W356" s="108"/>
      <c r="X356" s="108"/>
      <c r="Y356" s="108"/>
      <c r="Z356" s="108"/>
      <c r="AA356" s="108"/>
      <c r="AB356" s="108"/>
      <c r="AC356" s="108"/>
      <c r="AD356" s="108"/>
      <c r="AE356" s="108"/>
      <c r="AF356" s="108"/>
    </row>
    <row r="357" spans="1:32" ht="17.25" thickTop="1">
      <c r="A357" s="111"/>
      <c r="B357" s="50">
        <v>0</v>
      </c>
      <c r="C357" s="50">
        <v>0</v>
      </c>
      <c r="D357" s="50">
        <v>0</v>
      </c>
      <c r="E357" s="50">
        <v>0</v>
      </c>
      <c r="F357" s="50">
        <v>0</v>
      </c>
      <c r="G357" s="50">
        <v>0</v>
      </c>
      <c r="H357" s="50">
        <v>0</v>
      </c>
      <c r="I357" s="50">
        <v>0</v>
      </c>
      <c r="J357" s="50">
        <v>0</v>
      </c>
      <c r="K357" s="51">
        <v>0</v>
      </c>
      <c r="L357" s="52"/>
      <c r="M357" s="63"/>
      <c r="N357" s="54" t="s">
        <v>39</v>
      </c>
      <c r="O357" s="93"/>
      <c r="P357" s="96"/>
      <c r="Q357" s="99"/>
      <c r="R357" s="102"/>
      <c r="S357" s="105"/>
      <c r="T357" s="108"/>
      <c r="U357" s="108"/>
      <c r="V357" s="108"/>
      <c r="W357" s="108"/>
      <c r="X357" s="108"/>
      <c r="Y357" s="108"/>
      <c r="Z357" s="108"/>
      <c r="AA357" s="108"/>
      <c r="AB357" s="108"/>
      <c r="AC357" s="108"/>
      <c r="AD357" s="108"/>
      <c r="AE357" s="108"/>
      <c r="AF357" s="108"/>
    </row>
    <row r="358" spans="1:32" ht="17.25" thickBot="1">
      <c r="A358" s="112"/>
      <c r="B358" s="55">
        <f t="shared" ref="B358:K358" si="177">+(B355+B357)*B$4</f>
        <v>0</v>
      </c>
      <c r="C358" s="55">
        <f t="shared" si="177"/>
        <v>0</v>
      </c>
      <c r="D358" s="55">
        <f t="shared" si="177"/>
        <v>0</v>
      </c>
      <c r="E358" s="55">
        <f t="shared" si="177"/>
        <v>0</v>
      </c>
      <c r="F358" s="55">
        <f t="shared" si="177"/>
        <v>0</v>
      </c>
      <c r="G358" s="55">
        <f t="shared" si="177"/>
        <v>0</v>
      </c>
      <c r="H358" s="55">
        <f t="shared" si="177"/>
        <v>0</v>
      </c>
      <c r="I358" s="55">
        <f t="shared" si="177"/>
        <v>0</v>
      </c>
      <c r="J358" s="55">
        <f t="shared" si="177"/>
        <v>0</v>
      </c>
      <c r="K358" s="55">
        <f t="shared" si="177"/>
        <v>0</v>
      </c>
      <c r="L358" s="57"/>
      <c r="M358" s="65">
        <f>A355</f>
        <v>44251</v>
      </c>
      <c r="N358" s="59">
        <f>SUM(B358:K358)</f>
        <v>0</v>
      </c>
      <c r="O358" s="94"/>
      <c r="P358" s="97"/>
      <c r="Q358" s="100"/>
      <c r="R358" s="103"/>
      <c r="S358" s="106"/>
      <c r="T358" s="109"/>
      <c r="U358" s="109"/>
      <c r="V358" s="109"/>
      <c r="W358" s="109"/>
      <c r="X358" s="109"/>
      <c r="Y358" s="109"/>
      <c r="Z358" s="109"/>
      <c r="AA358" s="109"/>
      <c r="AB358" s="109"/>
      <c r="AC358" s="109"/>
      <c r="AD358" s="109"/>
      <c r="AE358" s="109"/>
      <c r="AF358" s="109"/>
    </row>
    <row r="359" spans="1:32">
      <c r="A359" s="110">
        <f>+A355+1</f>
        <v>44252</v>
      </c>
      <c r="B359" s="31"/>
      <c r="C359" s="31"/>
      <c r="D359" s="31"/>
      <c r="E359" s="31"/>
      <c r="F359" s="31"/>
      <c r="G359" s="31"/>
      <c r="H359" s="31"/>
      <c r="I359" s="31"/>
      <c r="J359" s="31"/>
      <c r="K359" s="32"/>
      <c r="L359" s="15"/>
      <c r="M359" s="60"/>
      <c r="N359" s="61" t="s">
        <v>38</v>
      </c>
      <c r="O359" s="92">
        <f>+IFERROR(IF(HLOOKUP(S359,$S$3:$AB$3,1,)=S359,S360,0),0)</f>
        <v>0</v>
      </c>
      <c r="P359" s="95">
        <f>IFERROR(+N360/O359,0)</f>
        <v>0</v>
      </c>
      <c r="Q359" s="98">
        <f>+IFERROR(IF(HLOOKUP(S359,$S$4:$AB$4,1,)=S359,S360,0),0)</f>
        <v>0</v>
      </c>
      <c r="R359" s="101">
        <f>IFERROR(N360/Q359,0)</f>
        <v>0</v>
      </c>
      <c r="S359" s="47" t="s">
        <v>18</v>
      </c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</row>
    <row r="360" spans="1:32" ht="17.25" thickBot="1">
      <c r="A360" s="111"/>
      <c r="B360" s="35">
        <f t="shared" ref="B360:K360" si="178">+(B359-(B355+B357))*B$4</f>
        <v>0</v>
      </c>
      <c r="C360" s="35">
        <f t="shared" si="178"/>
        <v>0</v>
      </c>
      <c r="D360" s="35">
        <f t="shared" si="178"/>
        <v>0</v>
      </c>
      <c r="E360" s="35">
        <f t="shared" si="178"/>
        <v>0</v>
      </c>
      <c r="F360" s="35">
        <f t="shared" si="178"/>
        <v>0</v>
      </c>
      <c r="G360" s="35">
        <f t="shared" si="178"/>
        <v>0</v>
      </c>
      <c r="H360" s="35">
        <f t="shared" si="178"/>
        <v>0</v>
      </c>
      <c r="I360" s="35">
        <f t="shared" si="178"/>
        <v>0</v>
      </c>
      <c r="J360" s="35">
        <f t="shared" si="178"/>
        <v>0</v>
      </c>
      <c r="K360" s="35">
        <f t="shared" si="178"/>
        <v>0</v>
      </c>
      <c r="L360" s="35">
        <f>MONTH(M362)</f>
        <v>2</v>
      </c>
      <c r="M360" s="48" t="str">
        <f>IF(O359&gt;0,"Y","X")</f>
        <v>X</v>
      </c>
      <c r="N360" s="62">
        <f>IF(SUM(B359:K359)=0,0,SUM(B360:K360))</f>
        <v>0</v>
      </c>
      <c r="O360" s="93"/>
      <c r="P360" s="96"/>
      <c r="Q360" s="99"/>
      <c r="R360" s="102"/>
      <c r="S360" s="104">
        <f>SUM(T359:XFD359)</f>
        <v>0</v>
      </c>
      <c r="T360" s="108"/>
      <c r="U360" s="108"/>
      <c r="V360" s="108"/>
      <c r="W360" s="108"/>
      <c r="X360" s="108"/>
      <c r="Y360" s="108"/>
      <c r="Z360" s="108"/>
      <c r="AA360" s="108"/>
      <c r="AB360" s="108"/>
      <c r="AC360" s="108"/>
      <c r="AD360" s="108"/>
      <c r="AE360" s="108"/>
      <c r="AF360" s="108"/>
    </row>
    <row r="361" spans="1:32" ht="17.25" thickTop="1">
      <c r="A361" s="111"/>
      <c r="B361" s="50">
        <v>0</v>
      </c>
      <c r="C361" s="50">
        <v>0</v>
      </c>
      <c r="D361" s="50">
        <v>0</v>
      </c>
      <c r="E361" s="50">
        <v>0</v>
      </c>
      <c r="F361" s="50">
        <v>0</v>
      </c>
      <c r="G361" s="50">
        <v>0</v>
      </c>
      <c r="H361" s="50">
        <v>0</v>
      </c>
      <c r="I361" s="50">
        <v>0</v>
      </c>
      <c r="J361" s="50">
        <v>0</v>
      </c>
      <c r="K361" s="51">
        <v>0</v>
      </c>
      <c r="L361" s="52"/>
      <c r="M361" s="63"/>
      <c r="N361" s="64" t="s">
        <v>39</v>
      </c>
      <c r="O361" s="93"/>
      <c r="P361" s="96"/>
      <c r="Q361" s="99"/>
      <c r="R361" s="102"/>
      <c r="S361" s="105"/>
      <c r="T361" s="108"/>
      <c r="U361" s="108"/>
      <c r="V361" s="108"/>
      <c r="W361" s="108"/>
      <c r="X361" s="108"/>
      <c r="Y361" s="108"/>
      <c r="Z361" s="108"/>
      <c r="AA361" s="108"/>
      <c r="AB361" s="108"/>
      <c r="AC361" s="108"/>
      <c r="AD361" s="108"/>
      <c r="AE361" s="108"/>
      <c r="AF361" s="108"/>
    </row>
    <row r="362" spans="1:32" ht="17.25" thickBot="1">
      <c r="A362" s="112"/>
      <c r="B362" s="55">
        <f t="shared" ref="B362:K362" si="179">+(B359+B361)*B$4</f>
        <v>0</v>
      </c>
      <c r="C362" s="55">
        <f t="shared" si="179"/>
        <v>0</v>
      </c>
      <c r="D362" s="55">
        <f t="shared" si="179"/>
        <v>0</v>
      </c>
      <c r="E362" s="55">
        <f t="shared" si="179"/>
        <v>0</v>
      </c>
      <c r="F362" s="55">
        <f t="shared" si="179"/>
        <v>0</v>
      </c>
      <c r="G362" s="55">
        <f t="shared" si="179"/>
        <v>0</v>
      </c>
      <c r="H362" s="55">
        <f t="shared" si="179"/>
        <v>0</v>
      </c>
      <c r="I362" s="55">
        <f t="shared" si="179"/>
        <v>0</v>
      </c>
      <c r="J362" s="55">
        <f t="shared" si="179"/>
        <v>0</v>
      </c>
      <c r="K362" s="55">
        <f t="shared" si="179"/>
        <v>0</v>
      </c>
      <c r="L362" s="57"/>
      <c r="M362" s="65">
        <f>A359</f>
        <v>44252</v>
      </c>
      <c r="N362" s="66">
        <f>SUM(B362:K362)</f>
        <v>0</v>
      </c>
      <c r="O362" s="94"/>
      <c r="P362" s="97"/>
      <c r="Q362" s="100"/>
      <c r="R362" s="103"/>
      <c r="S362" s="106"/>
      <c r="T362" s="109"/>
      <c r="U362" s="109"/>
      <c r="V362" s="109"/>
      <c r="W362" s="109"/>
      <c r="X362" s="109"/>
      <c r="Y362" s="109"/>
      <c r="Z362" s="109"/>
      <c r="AA362" s="109"/>
      <c r="AB362" s="109"/>
      <c r="AC362" s="109"/>
      <c r="AD362" s="109"/>
      <c r="AE362" s="109"/>
      <c r="AF362" s="109"/>
    </row>
    <row r="363" spans="1:32">
      <c r="A363" s="110">
        <f>+A359+1</f>
        <v>44253</v>
      </c>
      <c r="B363" s="31"/>
      <c r="C363" s="31"/>
      <c r="D363" s="31"/>
      <c r="E363" s="31"/>
      <c r="F363" s="31"/>
      <c r="G363" s="31"/>
      <c r="H363" s="31"/>
      <c r="I363" s="31"/>
      <c r="J363" s="31"/>
      <c r="K363" s="32"/>
      <c r="L363" s="15"/>
      <c r="M363" s="60"/>
      <c r="N363" s="46" t="s">
        <v>38</v>
      </c>
      <c r="O363" s="92">
        <f>+IFERROR(IF(HLOOKUP(S363,$S$3:$AB$3,1,)=S363,S364,0),0)</f>
        <v>0</v>
      </c>
      <c r="P363" s="95">
        <f>IFERROR(+N364/O363,0)</f>
        <v>0</v>
      </c>
      <c r="Q363" s="98">
        <f>+IFERROR(IF(HLOOKUP(S363,$S$4:$AB$4,1,)=S363,S364,0),0)</f>
        <v>0</v>
      </c>
      <c r="R363" s="101">
        <f>IFERROR(N364/Q363,0)</f>
        <v>0</v>
      </c>
      <c r="S363" s="47" t="s">
        <v>24</v>
      </c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</row>
    <row r="364" spans="1:32" ht="17.25" thickBot="1">
      <c r="A364" s="111"/>
      <c r="B364" s="35">
        <f t="shared" ref="B364:K364" si="180">+(B363-(B359+B361))*B$4</f>
        <v>0</v>
      </c>
      <c r="C364" s="35">
        <f t="shared" si="180"/>
        <v>0</v>
      </c>
      <c r="D364" s="35">
        <f t="shared" si="180"/>
        <v>0</v>
      </c>
      <c r="E364" s="35">
        <f t="shared" si="180"/>
        <v>0</v>
      </c>
      <c r="F364" s="35">
        <f t="shared" si="180"/>
        <v>0</v>
      </c>
      <c r="G364" s="35">
        <f t="shared" si="180"/>
        <v>0</v>
      </c>
      <c r="H364" s="35">
        <f t="shared" si="180"/>
        <v>0</v>
      </c>
      <c r="I364" s="35">
        <f t="shared" si="180"/>
        <v>0</v>
      </c>
      <c r="J364" s="35">
        <f t="shared" si="180"/>
        <v>0</v>
      </c>
      <c r="K364" s="35">
        <f t="shared" si="180"/>
        <v>0</v>
      </c>
      <c r="L364" s="35">
        <f>MONTH(M366)</f>
        <v>2</v>
      </c>
      <c r="M364" s="48" t="str">
        <f>IF(O363&gt;0,"Y","X")</f>
        <v>X</v>
      </c>
      <c r="N364" s="49">
        <f>IF(SUM(B363:K363)=0,0,SUM(B364:K364))</f>
        <v>0</v>
      </c>
      <c r="O364" s="93"/>
      <c r="P364" s="96"/>
      <c r="Q364" s="99"/>
      <c r="R364" s="102"/>
      <c r="S364" s="104">
        <f>SUM(T363:XFD363)</f>
        <v>0</v>
      </c>
      <c r="T364" s="108"/>
      <c r="U364" s="108"/>
      <c r="V364" s="108"/>
      <c r="W364" s="108"/>
      <c r="X364" s="108"/>
      <c r="Y364" s="108"/>
      <c r="Z364" s="108"/>
      <c r="AA364" s="108"/>
      <c r="AB364" s="108"/>
      <c r="AC364" s="108"/>
      <c r="AD364" s="108"/>
      <c r="AE364" s="108"/>
      <c r="AF364" s="108"/>
    </row>
    <row r="365" spans="1:32" ht="17.25" thickTop="1">
      <c r="A365" s="111"/>
      <c r="B365" s="50">
        <v>0</v>
      </c>
      <c r="C365" s="50">
        <v>0</v>
      </c>
      <c r="D365" s="50">
        <v>0</v>
      </c>
      <c r="E365" s="50">
        <v>0</v>
      </c>
      <c r="F365" s="50">
        <v>0</v>
      </c>
      <c r="G365" s="50">
        <v>0</v>
      </c>
      <c r="H365" s="50">
        <v>0</v>
      </c>
      <c r="I365" s="50">
        <v>0</v>
      </c>
      <c r="J365" s="50">
        <v>0</v>
      </c>
      <c r="K365" s="51">
        <v>0</v>
      </c>
      <c r="L365" s="52"/>
      <c r="M365" s="63"/>
      <c r="N365" s="54" t="s">
        <v>39</v>
      </c>
      <c r="O365" s="93"/>
      <c r="P365" s="96"/>
      <c r="Q365" s="99"/>
      <c r="R365" s="102"/>
      <c r="S365" s="105"/>
      <c r="T365" s="108"/>
      <c r="U365" s="108"/>
      <c r="V365" s="108"/>
      <c r="W365" s="108"/>
      <c r="X365" s="108"/>
      <c r="Y365" s="108"/>
      <c r="Z365" s="108"/>
      <c r="AA365" s="108"/>
      <c r="AB365" s="108"/>
      <c r="AC365" s="108"/>
      <c r="AD365" s="108"/>
      <c r="AE365" s="108"/>
      <c r="AF365" s="108"/>
    </row>
    <row r="366" spans="1:32" ht="17.25" thickBot="1">
      <c r="A366" s="112"/>
      <c r="B366" s="55">
        <f t="shared" ref="B366:K366" si="181">+(B363+B365)*B$4</f>
        <v>0</v>
      </c>
      <c r="C366" s="55">
        <f t="shared" si="181"/>
        <v>0</v>
      </c>
      <c r="D366" s="55">
        <f t="shared" si="181"/>
        <v>0</v>
      </c>
      <c r="E366" s="55">
        <f t="shared" si="181"/>
        <v>0</v>
      </c>
      <c r="F366" s="55">
        <f t="shared" si="181"/>
        <v>0</v>
      </c>
      <c r="G366" s="55">
        <f t="shared" si="181"/>
        <v>0</v>
      </c>
      <c r="H366" s="55">
        <f t="shared" si="181"/>
        <v>0</v>
      </c>
      <c r="I366" s="55">
        <f t="shared" si="181"/>
        <v>0</v>
      </c>
      <c r="J366" s="55">
        <f t="shared" si="181"/>
        <v>0</v>
      </c>
      <c r="K366" s="55">
        <f t="shared" si="181"/>
        <v>0</v>
      </c>
      <c r="L366" s="57"/>
      <c r="M366" s="65">
        <f>A363</f>
        <v>44253</v>
      </c>
      <c r="N366" s="59">
        <f>SUM(B366:K366)</f>
        <v>0</v>
      </c>
      <c r="O366" s="94"/>
      <c r="P366" s="97"/>
      <c r="Q366" s="100"/>
      <c r="R366" s="103"/>
      <c r="S366" s="106"/>
      <c r="T366" s="109"/>
      <c r="U366" s="109"/>
      <c r="V366" s="109"/>
      <c r="W366" s="109"/>
      <c r="X366" s="109"/>
      <c r="Y366" s="109"/>
      <c r="Z366" s="109"/>
      <c r="AA366" s="109"/>
      <c r="AB366" s="109"/>
      <c r="AC366" s="109"/>
      <c r="AD366" s="109"/>
      <c r="AE366" s="109"/>
      <c r="AF366" s="109"/>
    </row>
    <row r="367" spans="1:32">
      <c r="A367" s="113">
        <f>+A363+1</f>
        <v>44254</v>
      </c>
      <c r="B367" s="31"/>
      <c r="C367" s="31"/>
      <c r="D367" s="31"/>
      <c r="E367" s="31"/>
      <c r="F367" s="31"/>
      <c r="G367" s="31"/>
      <c r="H367" s="31"/>
      <c r="I367" s="31"/>
      <c r="J367" s="31"/>
      <c r="K367" s="32"/>
      <c r="L367" s="15"/>
      <c r="M367" s="60"/>
      <c r="N367" s="61" t="s">
        <v>38</v>
      </c>
      <c r="O367" s="92">
        <f>+IFERROR(IF(HLOOKUP(S367,$S$3:$AB$3,1,)=S367,S368,0),0)</f>
        <v>0</v>
      </c>
      <c r="P367" s="95">
        <f>IFERROR(+N368/O367,0)</f>
        <v>0</v>
      </c>
      <c r="Q367" s="98">
        <f>+IFERROR(IF(HLOOKUP(S367,$S$4:$AB$4,1,)=S367,S368,0),0)</f>
        <v>0</v>
      </c>
      <c r="R367" s="101">
        <f>IFERROR(N368/Q367,0)</f>
        <v>0</v>
      </c>
      <c r="S367" s="47" t="s">
        <v>23</v>
      </c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</row>
    <row r="368" spans="1:32" ht="17.25" thickBot="1">
      <c r="A368" s="114"/>
      <c r="B368" s="35">
        <f t="shared" ref="B368:K368" si="182">+(B367-(B363+B365))*B$4</f>
        <v>0</v>
      </c>
      <c r="C368" s="35">
        <f t="shared" si="182"/>
        <v>0</v>
      </c>
      <c r="D368" s="35">
        <f t="shared" si="182"/>
        <v>0</v>
      </c>
      <c r="E368" s="35">
        <f t="shared" si="182"/>
        <v>0</v>
      </c>
      <c r="F368" s="35">
        <f t="shared" si="182"/>
        <v>0</v>
      </c>
      <c r="G368" s="35">
        <f t="shared" si="182"/>
        <v>0</v>
      </c>
      <c r="H368" s="35">
        <f t="shared" si="182"/>
        <v>0</v>
      </c>
      <c r="I368" s="35">
        <f t="shared" si="182"/>
        <v>0</v>
      </c>
      <c r="J368" s="35">
        <f t="shared" si="182"/>
        <v>0</v>
      </c>
      <c r="K368" s="35">
        <f t="shared" si="182"/>
        <v>0</v>
      </c>
      <c r="L368" s="35">
        <f>MONTH(M370)</f>
        <v>2</v>
      </c>
      <c r="M368" s="48" t="str">
        <f>IF(O367&gt;0,"Y","X")</f>
        <v>X</v>
      </c>
      <c r="N368" s="62">
        <f>IF(SUM(B367:K367)=0,0,SUM(B368:K368))</f>
        <v>0</v>
      </c>
      <c r="O368" s="93"/>
      <c r="P368" s="96"/>
      <c r="Q368" s="99"/>
      <c r="R368" s="102"/>
      <c r="S368" s="104">
        <f>SUM(T367:XFD367)</f>
        <v>0</v>
      </c>
      <c r="T368" s="108"/>
      <c r="U368" s="108"/>
      <c r="V368" s="108"/>
      <c r="W368" s="108"/>
      <c r="X368" s="108"/>
      <c r="Y368" s="108"/>
      <c r="Z368" s="108"/>
      <c r="AA368" s="108"/>
      <c r="AB368" s="108"/>
      <c r="AC368" s="108"/>
      <c r="AD368" s="108"/>
      <c r="AE368" s="108"/>
      <c r="AF368" s="108"/>
    </row>
    <row r="369" spans="1:32" ht="17.25" thickTop="1">
      <c r="A369" s="114"/>
      <c r="B369" s="50">
        <v>0</v>
      </c>
      <c r="C369" s="50">
        <v>0</v>
      </c>
      <c r="D369" s="50">
        <v>0</v>
      </c>
      <c r="E369" s="50">
        <v>0</v>
      </c>
      <c r="F369" s="50">
        <v>0</v>
      </c>
      <c r="G369" s="50">
        <v>0</v>
      </c>
      <c r="H369" s="50">
        <v>0</v>
      </c>
      <c r="I369" s="50">
        <v>0</v>
      </c>
      <c r="J369" s="50">
        <v>0</v>
      </c>
      <c r="K369" s="51">
        <v>0</v>
      </c>
      <c r="L369" s="52"/>
      <c r="M369" s="63"/>
      <c r="N369" s="64" t="s">
        <v>39</v>
      </c>
      <c r="O369" s="93"/>
      <c r="P369" s="96"/>
      <c r="Q369" s="99"/>
      <c r="R369" s="102"/>
      <c r="S369" s="105"/>
      <c r="T369" s="108"/>
      <c r="U369" s="108"/>
      <c r="V369" s="108"/>
      <c r="W369" s="108"/>
      <c r="X369" s="108"/>
      <c r="Y369" s="108"/>
      <c r="Z369" s="108"/>
      <c r="AA369" s="108"/>
      <c r="AB369" s="108"/>
      <c r="AC369" s="108"/>
      <c r="AD369" s="108"/>
      <c r="AE369" s="108"/>
      <c r="AF369" s="108"/>
    </row>
    <row r="370" spans="1:32" ht="17.25" thickBot="1">
      <c r="A370" s="115"/>
      <c r="B370" s="55">
        <f t="shared" ref="B370:K370" si="183">+(B367+B369)*B$4</f>
        <v>0</v>
      </c>
      <c r="C370" s="55">
        <f t="shared" si="183"/>
        <v>0</v>
      </c>
      <c r="D370" s="55">
        <f t="shared" si="183"/>
        <v>0</v>
      </c>
      <c r="E370" s="55">
        <f t="shared" si="183"/>
        <v>0</v>
      </c>
      <c r="F370" s="55">
        <f t="shared" si="183"/>
        <v>0</v>
      </c>
      <c r="G370" s="55">
        <f t="shared" si="183"/>
        <v>0</v>
      </c>
      <c r="H370" s="55">
        <f t="shared" si="183"/>
        <v>0</v>
      </c>
      <c r="I370" s="55">
        <f t="shared" si="183"/>
        <v>0</v>
      </c>
      <c r="J370" s="55">
        <f t="shared" si="183"/>
        <v>0</v>
      </c>
      <c r="K370" s="55">
        <f t="shared" si="183"/>
        <v>0</v>
      </c>
      <c r="L370" s="57"/>
      <c r="M370" s="65">
        <f>A367</f>
        <v>44254</v>
      </c>
      <c r="N370" s="66">
        <f>SUM(B370:K370)</f>
        <v>0</v>
      </c>
      <c r="O370" s="94"/>
      <c r="P370" s="97"/>
      <c r="Q370" s="100"/>
      <c r="R370" s="103"/>
      <c r="S370" s="106"/>
      <c r="T370" s="109"/>
      <c r="U370" s="109"/>
      <c r="V370" s="109"/>
      <c r="W370" s="109"/>
      <c r="X370" s="109"/>
      <c r="Y370" s="109"/>
      <c r="Z370" s="109"/>
      <c r="AA370" s="109"/>
      <c r="AB370" s="109"/>
      <c r="AC370" s="109"/>
      <c r="AD370" s="109"/>
      <c r="AE370" s="109"/>
      <c r="AF370" s="109"/>
    </row>
    <row r="371" spans="1:32">
      <c r="A371" s="113">
        <f>+A367+1</f>
        <v>44255</v>
      </c>
      <c r="B371" s="31"/>
      <c r="C371" s="31"/>
      <c r="D371" s="31"/>
      <c r="E371" s="31"/>
      <c r="F371" s="31"/>
      <c r="G371" s="31"/>
      <c r="H371" s="31"/>
      <c r="I371" s="31"/>
      <c r="J371" s="31"/>
      <c r="K371" s="32"/>
      <c r="L371" s="15"/>
      <c r="M371" s="60"/>
      <c r="N371" s="46" t="s">
        <v>38</v>
      </c>
      <c r="O371" s="92">
        <f>+IFERROR(IF(HLOOKUP(S371,$S$3:$AB$3,1,)=S371,S372,0),0)</f>
        <v>0</v>
      </c>
      <c r="P371" s="95">
        <f>IFERROR(+N372/O371,0)</f>
        <v>0</v>
      </c>
      <c r="Q371" s="98">
        <f>+IFERROR(IF(HLOOKUP(S371,$S$4:$AB$4,1,)=S371,S372,0),0)</f>
        <v>0</v>
      </c>
      <c r="R371" s="101">
        <f>IFERROR(N372/Q371,0)</f>
        <v>0</v>
      </c>
      <c r="S371" s="47" t="s">
        <v>17</v>
      </c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</row>
    <row r="372" spans="1:32" ht="17.25" thickBot="1">
      <c r="A372" s="114"/>
      <c r="B372" s="35">
        <f t="shared" ref="B372:K372" si="184">+(B371-(B367+B369))*B$4</f>
        <v>0</v>
      </c>
      <c r="C372" s="35">
        <f t="shared" si="184"/>
        <v>0</v>
      </c>
      <c r="D372" s="35">
        <f t="shared" si="184"/>
        <v>0</v>
      </c>
      <c r="E372" s="35">
        <f t="shared" si="184"/>
        <v>0</v>
      </c>
      <c r="F372" s="35">
        <f t="shared" si="184"/>
        <v>0</v>
      </c>
      <c r="G372" s="35">
        <f t="shared" si="184"/>
        <v>0</v>
      </c>
      <c r="H372" s="35">
        <f t="shared" si="184"/>
        <v>0</v>
      </c>
      <c r="I372" s="35">
        <f t="shared" si="184"/>
        <v>0</v>
      </c>
      <c r="J372" s="35">
        <f t="shared" si="184"/>
        <v>0</v>
      </c>
      <c r="K372" s="35">
        <f t="shared" si="184"/>
        <v>0</v>
      </c>
      <c r="L372" s="35">
        <f>MONTH(M374)</f>
        <v>2</v>
      </c>
      <c r="M372" s="48" t="str">
        <f>IF(O371&gt;0,"Y","X")</f>
        <v>X</v>
      </c>
      <c r="N372" s="49">
        <f>IF(SUM(B371:K371)=0,0,SUM(B372:K372))</f>
        <v>0</v>
      </c>
      <c r="O372" s="93"/>
      <c r="P372" s="96"/>
      <c r="Q372" s="99"/>
      <c r="R372" s="102"/>
      <c r="S372" s="104">
        <f>SUM(T371:XFD371)</f>
        <v>0</v>
      </c>
      <c r="T372" s="108"/>
      <c r="U372" s="108"/>
      <c r="V372" s="108"/>
      <c r="W372" s="108"/>
      <c r="X372" s="108"/>
      <c r="Y372" s="108"/>
      <c r="Z372" s="108"/>
      <c r="AA372" s="108"/>
      <c r="AB372" s="108"/>
      <c r="AC372" s="108"/>
      <c r="AD372" s="108"/>
      <c r="AE372" s="108"/>
      <c r="AF372" s="108"/>
    </row>
    <row r="373" spans="1:32" ht="17.25" thickTop="1">
      <c r="A373" s="114"/>
      <c r="B373" s="50">
        <v>0</v>
      </c>
      <c r="C373" s="50">
        <v>0</v>
      </c>
      <c r="D373" s="50">
        <v>0</v>
      </c>
      <c r="E373" s="50">
        <v>0</v>
      </c>
      <c r="F373" s="50">
        <v>0</v>
      </c>
      <c r="G373" s="50">
        <v>0</v>
      </c>
      <c r="H373" s="50">
        <v>0</v>
      </c>
      <c r="I373" s="50">
        <v>0</v>
      </c>
      <c r="J373" s="50">
        <v>0</v>
      </c>
      <c r="K373" s="51">
        <v>0</v>
      </c>
      <c r="L373" s="52"/>
      <c r="M373" s="63"/>
      <c r="N373" s="54" t="s">
        <v>39</v>
      </c>
      <c r="O373" s="93"/>
      <c r="P373" s="96"/>
      <c r="Q373" s="99"/>
      <c r="R373" s="102"/>
      <c r="S373" s="105"/>
      <c r="T373" s="108"/>
      <c r="U373" s="108"/>
      <c r="V373" s="108"/>
      <c r="W373" s="108"/>
      <c r="X373" s="108"/>
      <c r="Y373" s="108"/>
      <c r="Z373" s="108"/>
      <c r="AA373" s="108"/>
      <c r="AB373" s="108"/>
      <c r="AC373" s="108"/>
      <c r="AD373" s="108"/>
      <c r="AE373" s="108"/>
      <c r="AF373" s="108"/>
    </row>
    <row r="374" spans="1:32" ht="17.25" thickBot="1">
      <c r="A374" s="115"/>
      <c r="B374" s="55">
        <f t="shared" ref="B374:K374" si="185">+(B371+B373)*B$4</f>
        <v>0</v>
      </c>
      <c r="C374" s="55">
        <f t="shared" si="185"/>
        <v>0</v>
      </c>
      <c r="D374" s="55">
        <f t="shared" si="185"/>
        <v>0</v>
      </c>
      <c r="E374" s="55">
        <f t="shared" si="185"/>
        <v>0</v>
      </c>
      <c r="F374" s="55">
        <f t="shared" si="185"/>
        <v>0</v>
      </c>
      <c r="G374" s="55">
        <f t="shared" si="185"/>
        <v>0</v>
      </c>
      <c r="H374" s="55">
        <f t="shared" si="185"/>
        <v>0</v>
      </c>
      <c r="I374" s="55">
        <f t="shared" si="185"/>
        <v>0</v>
      </c>
      <c r="J374" s="55">
        <f t="shared" si="185"/>
        <v>0</v>
      </c>
      <c r="K374" s="55">
        <f t="shared" si="185"/>
        <v>0</v>
      </c>
      <c r="L374" s="57"/>
      <c r="M374" s="65">
        <f>A371</f>
        <v>44255</v>
      </c>
      <c r="N374" s="59">
        <f>SUM(B374:K374)</f>
        <v>0</v>
      </c>
      <c r="O374" s="94"/>
      <c r="P374" s="97"/>
      <c r="Q374" s="100"/>
      <c r="R374" s="103"/>
      <c r="S374" s="106"/>
      <c r="T374" s="109"/>
      <c r="U374" s="109"/>
      <c r="V374" s="109"/>
      <c r="W374" s="109"/>
      <c r="X374" s="109"/>
      <c r="Y374" s="109"/>
      <c r="Z374" s="109"/>
      <c r="AA374" s="109"/>
      <c r="AB374" s="109"/>
      <c r="AC374" s="109"/>
      <c r="AD374" s="109"/>
      <c r="AE374" s="109"/>
      <c r="AF374" s="109"/>
    </row>
    <row r="375" spans="1:32">
      <c r="A375" s="110">
        <f>+A371+1</f>
        <v>44256</v>
      </c>
      <c r="B375" s="31"/>
      <c r="C375" s="31"/>
      <c r="D375" s="31"/>
      <c r="E375" s="31"/>
      <c r="F375" s="31"/>
      <c r="G375" s="31"/>
      <c r="H375" s="31"/>
      <c r="I375" s="31"/>
      <c r="J375" s="31"/>
      <c r="K375" s="32"/>
      <c r="L375" s="15"/>
      <c r="M375" s="45"/>
      <c r="N375" s="61" t="s">
        <v>38</v>
      </c>
      <c r="O375" s="92">
        <f>+IFERROR(IF(HLOOKUP(S375,$S$3:$AB$3,1,)=S375,S376,0),0)</f>
        <v>0</v>
      </c>
      <c r="P375" s="95">
        <f>IFERROR(+N376/O375,0)</f>
        <v>0</v>
      </c>
      <c r="Q375" s="98">
        <f>+IFERROR(IF(HLOOKUP(S375,$S$4:$AB$4,1,)=S375,S376,0),0)</f>
        <v>0</v>
      </c>
      <c r="R375" s="101">
        <f>IFERROR(N376/Q375,0)</f>
        <v>0</v>
      </c>
      <c r="S375" s="47" t="s">
        <v>19</v>
      </c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</row>
    <row r="376" spans="1:32" ht="17.25" thickBot="1">
      <c r="A376" s="111"/>
      <c r="B376" s="35">
        <f t="shared" ref="B376:K376" si="186">+(B375-(B371+B373))*B$4</f>
        <v>0</v>
      </c>
      <c r="C376" s="35">
        <f t="shared" si="186"/>
        <v>0</v>
      </c>
      <c r="D376" s="35">
        <f t="shared" si="186"/>
        <v>0</v>
      </c>
      <c r="E376" s="35">
        <f t="shared" si="186"/>
        <v>0</v>
      </c>
      <c r="F376" s="35">
        <f t="shared" si="186"/>
        <v>0</v>
      </c>
      <c r="G376" s="35">
        <f t="shared" si="186"/>
        <v>0</v>
      </c>
      <c r="H376" s="35">
        <f t="shared" si="186"/>
        <v>0</v>
      </c>
      <c r="I376" s="35">
        <f t="shared" si="186"/>
        <v>0</v>
      </c>
      <c r="J376" s="35">
        <f t="shared" si="186"/>
        <v>0</v>
      </c>
      <c r="K376" s="35">
        <f t="shared" si="186"/>
        <v>0</v>
      </c>
      <c r="L376" s="35">
        <f>MONTH(M378)</f>
        <v>3</v>
      </c>
      <c r="M376" s="48" t="str">
        <f>IF(O375&gt;0,"Y","X")</f>
        <v>X</v>
      </c>
      <c r="N376" s="62">
        <f>IF(SUM(B375:K375)=0,0,SUM(B376:K376))</f>
        <v>0</v>
      </c>
      <c r="O376" s="93"/>
      <c r="P376" s="96"/>
      <c r="Q376" s="99"/>
      <c r="R376" s="102"/>
      <c r="S376" s="104">
        <f>SUM(T375:XFD375)</f>
        <v>0</v>
      </c>
      <c r="T376" s="108"/>
      <c r="U376" s="108"/>
      <c r="V376" s="108"/>
      <c r="W376" s="108"/>
      <c r="X376" s="108"/>
      <c r="Y376" s="108"/>
      <c r="Z376" s="108"/>
      <c r="AA376" s="108"/>
      <c r="AB376" s="108"/>
      <c r="AC376" s="108"/>
      <c r="AD376" s="108"/>
      <c r="AE376" s="108"/>
      <c r="AF376" s="108"/>
    </row>
    <row r="377" spans="1:32" ht="17.25" thickTop="1">
      <c r="A377" s="111"/>
      <c r="B377" s="50">
        <v>0</v>
      </c>
      <c r="C377" s="50">
        <v>0</v>
      </c>
      <c r="D377" s="50">
        <v>0</v>
      </c>
      <c r="E377" s="50">
        <v>0</v>
      </c>
      <c r="F377" s="50">
        <v>0</v>
      </c>
      <c r="G377" s="50">
        <v>0</v>
      </c>
      <c r="H377" s="50">
        <v>0</v>
      </c>
      <c r="I377" s="50">
        <v>0</v>
      </c>
      <c r="J377" s="50">
        <v>0</v>
      </c>
      <c r="K377" s="51">
        <v>0</v>
      </c>
      <c r="L377" s="52"/>
      <c r="M377" s="53"/>
      <c r="N377" s="64" t="s">
        <v>39</v>
      </c>
      <c r="O377" s="93"/>
      <c r="P377" s="96"/>
      <c r="Q377" s="99"/>
      <c r="R377" s="102"/>
      <c r="S377" s="105"/>
      <c r="T377" s="108"/>
      <c r="U377" s="108"/>
      <c r="V377" s="108"/>
      <c r="W377" s="108"/>
      <c r="X377" s="108"/>
      <c r="Y377" s="108"/>
      <c r="Z377" s="108"/>
      <c r="AA377" s="108"/>
      <c r="AB377" s="108"/>
      <c r="AC377" s="108"/>
      <c r="AD377" s="108"/>
      <c r="AE377" s="108"/>
      <c r="AF377" s="108"/>
    </row>
    <row r="378" spans="1:32" ht="17.25" thickBot="1">
      <c r="A378" s="112"/>
      <c r="B378" s="55">
        <f t="shared" ref="B378:K378" si="187">+(B375+B377)*B$4</f>
        <v>0</v>
      </c>
      <c r="C378" s="55">
        <f t="shared" si="187"/>
        <v>0</v>
      </c>
      <c r="D378" s="55">
        <f t="shared" si="187"/>
        <v>0</v>
      </c>
      <c r="E378" s="55">
        <f t="shared" si="187"/>
        <v>0</v>
      </c>
      <c r="F378" s="55">
        <f t="shared" si="187"/>
        <v>0</v>
      </c>
      <c r="G378" s="55">
        <f t="shared" si="187"/>
        <v>0</v>
      </c>
      <c r="H378" s="55">
        <f t="shared" si="187"/>
        <v>0</v>
      </c>
      <c r="I378" s="55">
        <f t="shared" si="187"/>
        <v>0</v>
      </c>
      <c r="J378" s="55">
        <f t="shared" si="187"/>
        <v>0</v>
      </c>
      <c r="K378" s="55">
        <f t="shared" si="187"/>
        <v>0</v>
      </c>
      <c r="L378" s="57"/>
      <c r="M378" s="58">
        <f>A375</f>
        <v>44256</v>
      </c>
      <c r="N378" s="66">
        <f>SUM(B378:K378)</f>
        <v>0</v>
      </c>
      <c r="O378" s="94"/>
      <c r="P378" s="97"/>
      <c r="Q378" s="100"/>
      <c r="R378" s="103"/>
      <c r="S378" s="106"/>
      <c r="T378" s="109"/>
      <c r="U378" s="109"/>
      <c r="V378" s="109"/>
      <c r="W378" s="109"/>
      <c r="X378" s="109"/>
      <c r="Y378" s="109"/>
      <c r="Z378" s="109"/>
      <c r="AA378" s="109"/>
      <c r="AB378" s="109"/>
      <c r="AC378" s="109"/>
      <c r="AD378" s="109"/>
      <c r="AE378" s="109"/>
      <c r="AF378" s="109"/>
    </row>
    <row r="379" spans="1:32">
      <c r="A379" s="110">
        <f>+A375+1</f>
        <v>44257</v>
      </c>
      <c r="B379" s="31"/>
      <c r="C379" s="31"/>
      <c r="D379" s="31"/>
      <c r="E379" s="31"/>
      <c r="F379" s="31"/>
      <c r="G379" s="31"/>
      <c r="H379" s="31"/>
      <c r="I379" s="31"/>
      <c r="J379" s="31"/>
      <c r="K379" s="32"/>
      <c r="L379" s="15"/>
      <c r="M379" s="60"/>
      <c r="N379" s="46" t="s">
        <v>38</v>
      </c>
      <c r="O379" s="92">
        <f>+IFERROR(IF(HLOOKUP(S379,$S$3:$AB$3,1,)=S379,S380,0),0)</f>
        <v>0</v>
      </c>
      <c r="P379" s="95">
        <f>IFERROR(+N380/O379,0)</f>
        <v>0</v>
      </c>
      <c r="Q379" s="98">
        <f>+IFERROR(IF(HLOOKUP(S379,$S$4:$AB$4,1,)=S379,S380,0),0)</f>
        <v>0</v>
      </c>
      <c r="R379" s="101">
        <f>IFERROR(N380/Q379,0)</f>
        <v>0</v>
      </c>
      <c r="S379" s="47" t="s">
        <v>20</v>
      </c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</row>
    <row r="380" spans="1:32" ht="17.25" thickBot="1">
      <c r="A380" s="111"/>
      <c r="B380" s="35">
        <f t="shared" ref="B380:K380" si="188">+(B379-(B375+B377))*B$4</f>
        <v>0</v>
      </c>
      <c r="C380" s="35">
        <f t="shared" si="188"/>
        <v>0</v>
      </c>
      <c r="D380" s="35">
        <f t="shared" si="188"/>
        <v>0</v>
      </c>
      <c r="E380" s="35">
        <f t="shared" si="188"/>
        <v>0</v>
      </c>
      <c r="F380" s="35">
        <f t="shared" si="188"/>
        <v>0</v>
      </c>
      <c r="G380" s="35">
        <f t="shared" si="188"/>
        <v>0</v>
      </c>
      <c r="H380" s="35">
        <f t="shared" si="188"/>
        <v>0</v>
      </c>
      <c r="I380" s="35">
        <f t="shared" si="188"/>
        <v>0</v>
      </c>
      <c r="J380" s="35">
        <f t="shared" si="188"/>
        <v>0</v>
      </c>
      <c r="K380" s="35">
        <f t="shared" si="188"/>
        <v>0</v>
      </c>
      <c r="L380" s="35">
        <f>MONTH(M382)</f>
        <v>3</v>
      </c>
      <c r="M380" s="48" t="str">
        <f>IF(O379&gt;0,"Y","X")</f>
        <v>X</v>
      </c>
      <c r="N380" s="49">
        <f>IF(SUM(B379:K379)=0,0,SUM(B380:K380))</f>
        <v>0</v>
      </c>
      <c r="O380" s="93"/>
      <c r="P380" s="96"/>
      <c r="Q380" s="99"/>
      <c r="R380" s="102"/>
      <c r="S380" s="104">
        <f>SUM(T379:XFD379)</f>
        <v>0</v>
      </c>
      <c r="T380" s="108"/>
      <c r="U380" s="108"/>
      <c r="V380" s="108"/>
      <c r="W380" s="108"/>
      <c r="X380" s="108"/>
      <c r="Y380" s="108"/>
      <c r="Z380" s="108"/>
      <c r="AA380" s="108"/>
      <c r="AB380" s="108"/>
      <c r="AC380" s="108"/>
      <c r="AD380" s="108"/>
      <c r="AE380" s="108"/>
      <c r="AF380" s="108"/>
    </row>
    <row r="381" spans="1:32" ht="17.25" thickTop="1">
      <c r="A381" s="111"/>
      <c r="B381" s="50">
        <v>0</v>
      </c>
      <c r="C381" s="50">
        <v>0</v>
      </c>
      <c r="D381" s="50">
        <v>0</v>
      </c>
      <c r="E381" s="50">
        <v>0</v>
      </c>
      <c r="F381" s="50">
        <v>0</v>
      </c>
      <c r="G381" s="50">
        <v>0</v>
      </c>
      <c r="H381" s="50">
        <v>0</v>
      </c>
      <c r="I381" s="50">
        <v>0</v>
      </c>
      <c r="J381" s="50">
        <v>0</v>
      </c>
      <c r="K381" s="51">
        <v>0</v>
      </c>
      <c r="L381" s="52"/>
      <c r="M381" s="63"/>
      <c r="N381" s="54" t="s">
        <v>39</v>
      </c>
      <c r="O381" s="93"/>
      <c r="P381" s="96"/>
      <c r="Q381" s="99"/>
      <c r="R381" s="102"/>
      <c r="S381" s="105"/>
      <c r="T381" s="108"/>
      <c r="U381" s="108"/>
      <c r="V381" s="108"/>
      <c r="W381" s="108"/>
      <c r="X381" s="108"/>
      <c r="Y381" s="108"/>
      <c r="Z381" s="108"/>
      <c r="AA381" s="108"/>
      <c r="AB381" s="108"/>
      <c r="AC381" s="108"/>
      <c r="AD381" s="108"/>
      <c r="AE381" s="108"/>
      <c r="AF381" s="108"/>
    </row>
    <row r="382" spans="1:32" ht="17.25" thickBot="1">
      <c r="A382" s="112"/>
      <c r="B382" s="55">
        <f t="shared" ref="B382:K382" si="189">+(B379+B381)*B$4</f>
        <v>0</v>
      </c>
      <c r="C382" s="55">
        <f t="shared" si="189"/>
        <v>0</v>
      </c>
      <c r="D382" s="55">
        <f t="shared" si="189"/>
        <v>0</v>
      </c>
      <c r="E382" s="55">
        <f t="shared" si="189"/>
        <v>0</v>
      </c>
      <c r="F382" s="55">
        <f t="shared" si="189"/>
        <v>0</v>
      </c>
      <c r="G382" s="55">
        <f t="shared" si="189"/>
        <v>0</v>
      </c>
      <c r="H382" s="55">
        <f t="shared" si="189"/>
        <v>0</v>
      </c>
      <c r="I382" s="55">
        <f t="shared" si="189"/>
        <v>0</v>
      </c>
      <c r="J382" s="55">
        <f t="shared" si="189"/>
        <v>0</v>
      </c>
      <c r="K382" s="55">
        <f t="shared" si="189"/>
        <v>0</v>
      </c>
      <c r="L382" s="57"/>
      <c r="M382" s="65">
        <f>A379</f>
        <v>44257</v>
      </c>
      <c r="N382" s="59">
        <f>SUM(B382:K382)</f>
        <v>0</v>
      </c>
      <c r="O382" s="94"/>
      <c r="P382" s="97"/>
      <c r="Q382" s="100"/>
      <c r="R382" s="103"/>
      <c r="S382" s="106"/>
      <c r="T382" s="109"/>
      <c r="U382" s="109"/>
      <c r="V382" s="109"/>
      <c r="W382" s="109"/>
      <c r="X382" s="109"/>
      <c r="Y382" s="109"/>
      <c r="Z382" s="109"/>
      <c r="AA382" s="109"/>
      <c r="AB382" s="109"/>
      <c r="AC382" s="109"/>
      <c r="AD382" s="109"/>
      <c r="AE382" s="109"/>
      <c r="AF382" s="109"/>
    </row>
    <row r="383" spans="1:32">
      <c r="A383" s="110">
        <f>+A379+1</f>
        <v>44258</v>
      </c>
      <c r="B383" s="31"/>
      <c r="C383" s="31"/>
      <c r="D383" s="31"/>
      <c r="E383" s="31"/>
      <c r="F383" s="31"/>
      <c r="G383" s="31"/>
      <c r="H383" s="31"/>
      <c r="I383" s="31"/>
      <c r="J383" s="31"/>
      <c r="K383" s="32"/>
      <c r="L383" s="15"/>
      <c r="M383" s="60"/>
      <c r="N383" s="61" t="s">
        <v>38</v>
      </c>
      <c r="O383" s="92">
        <f>+IFERROR(IF(HLOOKUP(S383,$S$3:$AB$3,1,)=S383,S384,0),0)</f>
        <v>0</v>
      </c>
      <c r="P383" s="95">
        <f>IFERROR(+N384/O383,0)</f>
        <v>0</v>
      </c>
      <c r="Q383" s="98">
        <f>+IFERROR(IF(HLOOKUP(S383,$S$4:$AB$4,1,)=S383,S384,0),0)</f>
        <v>0</v>
      </c>
      <c r="R383" s="101">
        <f>IFERROR(N384/Q383,0)</f>
        <v>0</v>
      </c>
      <c r="S383" s="47" t="s">
        <v>18</v>
      </c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</row>
    <row r="384" spans="1:32" ht="17.25" thickBot="1">
      <c r="A384" s="111"/>
      <c r="B384" s="35">
        <f t="shared" ref="B384:K384" si="190">+(B383-(B379+B381))*B$4</f>
        <v>0</v>
      </c>
      <c r="C384" s="35">
        <f t="shared" si="190"/>
        <v>0</v>
      </c>
      <c r="D384" s="35">
        <f t="shared" si="190"/>
        <v>0</v>
      </c>
      <c r="E384" s="35">
        <f t="shared" si="190"/>
        <v>0</v>
      </c>
      <c r="F384" s="35">
        <f t="shared" si="190"/>
        <v>0</v>
      </c>
      <c r="G384" s="35">
        <f t="shared" si="190"/>
        <v>0</v>
      </c>
      <c r="H384" s="35">
        <f t="shared" si="190"/>
        <v>0</v>
      </c>
      <c r="I384" s="35">
        <f t="shared" si="190"/>
        <v>0</v>
      </c>
      <c r="J384" s="35">
        <f t="shared" si="190"/>
        <v>0</v>
      </c>
      <c r="K384" s="35">
        <f t="shared" si="190"/>
        <v>0</v>
      </c>
      <c r="L384" s="35">
        <f>MONTH(M386)</f>
        <v>3</v>
      </c>
      <c r="M384" s="48" t="str">
        <f>IF(O383&gt;0,"Y","X")</f>
        <v>X</v>
      </c>
      <c r="N384" s="62">
        <f>IF(SUM(B383:K383)=0,0,SUM(B384:K384))</f>
        <v>0</v>
      </c>
      <c r="O384" s="93"/>
      <c r="P384" s="96"/>
      <c r="Q384" s="99"/>
      <c r="R384" s="102"/>
      <c r="S384" s="104">
        <f>SUM(T383:XFD383)</f>
        <v>0</v>
      </c>
      <c r="T384" s="108"/>
      <c r="U384" s="108"/>
      <c r="V384" s="108"/>
      <c r="W384" s="108"/>
      <c r="X384" s="108"/>
      <c r="Y384" s="108"/>
      <c r="Z384" s="108"/>
      <c r="AA384" s="108"/>
      <c r="AB384" s="108"/>
      <c r="AC384" s="108"/>
      <c r="AD384" s="108"/>
      <c r="AE384" s="108"/>
      <c r="AF384" s="108"/>
    </row>
    <row r="385" spans="1:32" ht="17.25" thickTop="1">
      <c r="A385" s="111"/>
      <c r="B385" s="50">
        <v>0</v>
      </c>
      <c r="C385" s="50">
        <v>0</v>
      </c>
      <c r="D385" s="50">
        <v>0</v>
      </c>
      <c r="E385" s="50">
        <v>0</v>
      </c>
      <c r="F385" s="50">
        <v>0</v>
      </c>
      <c r="G385" s="50">
        <v>0</v>
      </c>
      <c r="H385" s="50">
        <v>0</v>
      </c>
      <c r="I385" s="50">
        <v>0</v>
      </c>
      <c r="J385" s="50">
        <v>0</v>
      </c>
      <c r="K385" s="51">
        <v>0</v>
      </c>
      <c r="L385" s="52"/>
      <c r="M385" s="63"/>
      <c r="N385" s="64" t="s">
        <v>39</v>
      </c>
      <c r="O385" s="93"/>
      <c r="P385" s="96"/>
      <c r="Q385" s="99"/>
      <c r="R385" s="102"/>
      <c r="S385" s="105"/>
      <c r="T385" s="108"/>
      <c r="U385" s="108"/>
      <c r="V385" s="108"/>
      <c r="W385" s="108"/>
      <c r="X385" s="108"/>
      <c r="Y385" s="108"/>
      <c r="Z385" s="108"/>
      <c r="AA385" s="108"/>
      <c r="AB385" s="108"/>
      <c r="AC385" s="108"/>
      <c r="AD385" s="108"/>
      <c r="AE385" s="108"/>
      <c r="AF385" s="108"/>
    </row>
    <row r="386" spans="1:32" ht="17.25" thickBot="1">
      <c r="A386" s="112"/>
      <c r="B386" s="55">
        <f t="shared" ref="B386:K386" si="191">+(B383+B385)*B$4</f>
        <v>0</v>
      </c>
      <c r="C386" s="55">
        <f t="shared" si="191"/>
        <v>0</v>
      </c>
      <c r="D386" s="55">
        <f t="shared" si="191"/>
        <v>0</v>
      </c>
      <c r="E386" s="55">
        <f t="shared" si="191"/>
        <v>0</v>
      </c>
      <c r="F386" s="55">
        <f t="shared" si="191"/>
        <v>0</v>
      </c>
      <c r="G386" s="55">
        <f t="shared" si="191"/>
        <v>0</v>
      </c>
      <c r="H386" s="55">
        <f t="shared" si="191"/>
        <v>0</v>
      </c>
      <c r="I386" s="55">
        <f t="shared" si="191"/>
        <v>0</v>
      </c>
      <c r="J386" s="55">
        <f t="shared" si="191"/>
        <v>0</v>
      </c>
      <c r="K386" s="55">
        <f t="shared" si="191"/>
        <v>0</v>
      </c>
      <c r="L386" s="57"/>
      <c r="M386" s="65">
        <f>A383</f>
        <v>44258</v>
      </c>
      <c r="N386" s="66">
        <f>SUM(B386:K386)</f>
        <v>0</v>
      </c>
      <c r="O386" s="94"/>
      <c r="P386" s="97"/>
      <c r="Q386" s="100"/>
      <c r="R386" s="103"/>
      <c r="S386" s="106"/>
      <c r="T386" s="109"/>
      <c r="U386" s="109"/>
      <c r="V386" s="109"/>
      <c r="W386" s="109"/>
      <c r="X386" s="109"/>
      <c r="Y386" s="109"/>
      <c r="Z386" s="109"/>
      <c r="AA386" s="109"/>
      <c r="AB386" s="109"/>
      <c r="AC386" s="109"/>
      <c r="AD386" s="109"/>
      <c r="AE386" s="109"/>
      <c r="AF386" s="109"/>
    </row>
    <row r="387" spans="1:32">
      <c r="A387" s="110">
        <f>+A383+1</f>
        <v>44259</v>
      </c>
      <c r="B387" s="31"/>
      <c r="C387" s="31"/>
      <c r="D387" s="31"/>
      <c r="E387" s="31"/>
      <c r="F387" s="31"/>
      <c r="G387" s="31"/>
      <c r="H387" s="31"/>
      <c r="I387" s="31"/>
      <c r="J387" s="31"/>
      <c r="K387" s="32"/>
      <c r="L387" s="15"/>
      <c r="M387" s="60"/>
      <c r="N387" s="46" t="s">
        <v>38</v>
      </c>
      <c r="O387" s="92">
        <f>+IFERROR(IF(HLOOKUP(S387,$S$3:$AB$3,1,)=S387,S388,0),0)</f>
        <v>0</v>
      </c>
      <c r="P387" s="95">
        <f>IFERROR(+N388/O387,0)</f>
        <v>0</v>
      </c>
      <c r="Q387" s="98">
        <f>+IFERROR(IF(HLOOKUP(S387,$S$4:$AB$4,1,)=S387,S388,0),0)</f>
        <v>0</v>
      </c>
      <c r="R387" s="101">
        <f>IFERROR(N388/Q387,0)</f>
        <v>0</v>
      </c>
      <c r="S387" s="47" t="s">
        <v>24</v>
      </c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</row>
    <row r="388" spans="1:32" ht="17.25" thickBot="1">
      <c r="A388" s="111"/>
      <c r="B388" s="35">
        <f t="shared" ref="B388:K388" si="192">+(B387-(B383+B385))*B$4</f>
        <v>0</v>
      </c>
      <c r="C388" s="35">
        <f t="shared" si="192"/>
        <v>0</v>
      </c>
      <c r="D388" s="35">
        <f t="shared" si="192"/>
        <v>0</v>
      </c>
      <c r="E388" s="35">
        <f t="shared" si="192"/>
        <v>0</v>
      </c>
      <c r="F388" s="35">
        <f t="shared" si="192"/>
        <v>0</v>
      </c>
      <c r="G388" s="35">
        <f t="shared" si="192"/>
        <v>0</v>
      </c>
      <c r="H388" s="35">
        <f t="shared" si="192"/>
        <v>0</v>
      </c>
      <c r="I388" s="35">
        <f t="shared" si="192"/>
        <v>0</v>
      </c>
      <c r="J388" s="35">
        <f t="shared" si="192"/>
        <v>0</v>
      </c>
      <c r="K388" s="35">
        <f t="shared" si="192"/>
        <v>0</v>
      </c>
      <c r="L388" s="35">
        <f>MONTH(M390)</f>
        <v>3</v>
      </c>
      <c r="M388" s="48" t="str">
        <f>IF(O387&gt;0,"Y","X")</f>
        <v>X</v>
      </c>
      <c r="N388" s="49">
        <f>IF(SUM(B387:K387)=0,0,SUM(B388:K388))</f>
        <v>0</v>
      </c>
      <c r="O388" s="93"/>
      <c r="P388" s="96"/>
      <c r="Q388" s="99"/>
      <c r="R388" s="102"/>
      <c r="S388" s="104">
        <f>SUM(T387:XFD387)</f>
        <v>0</v>
      </c>
      <c r="T388" s="108"/>
      <c r="U388" s="108"/>
      <c r="V388" s="108"/>
      <c r="W388" s="108"/>
      <c r="X388" s="108"/>
      <c r="Y388" s="108"/>
      <c r="Z388" s="108"/>
      <c r="AA388" s="108"/>
      <c r="AB388" s="108"/>
      <c r="AC388" s="108"/>
      <c r="AD388" s="108"/>
      <c r="AE388" s="108"/>
      <c r="AF388" s="108"/>
    </row>
    <row r="389" spans="1:32" ht="17.25" thickTop="1">
      <c r="A389" s="111"/>
      <c r="B389" s="50">
        <v>0</v>
      </c>
      <c r="C389" s="50">
        <v>0</v>
      </c>
      <c r="D389" s="50">
        <v>0</v>
      </c>
      <c r="E389" s="50">
        <v>0</v>
      </c>
      <c r="F389" s="50">
        <v>0</v>
      </c>
      <c r="G389" s="50">
        <v>0</v>
      </c>
      <c r="H389" s="50">
        <v>0</v>
      </c>
      <c r="I389" s="50">
        <v>0</v>
      </c>
      <c r="J389" s="50">
        <v>0</v>
      </c>
      <c r="K389" s="51">
        <v>0</v>
      </c>
      <c r="L389" s="52"/>
      <c r="M389" s="63"/>
      <c r="N389" s="54" t="s">
        <v>39</v>
      </c>
      <c r="O389" s="93"/>
      <c r="P389" s="96"/>
      <c r="Q389" s="99"/>
      <c r="R389" s="102"/>
      <c r="S389" s="105"/>
      <c r="T389" s="108"/>
      <c r="U389" s="108"/>
      <c r="V389" s="108"/>
      <c r="W389" s="108"/>
      <c r="X389" s="108"/>
      <c r="Y389" s="108"/>
      <c r="Z389" s="108"/>
      <c r="AA389" s="108"/>
      <c r="AB389" s="108"/>
      <c r="AC389" s="108"/>
      <c r="AD389" s="108"/>
      <c r="AE389" s="108"/>
      <c r="AF389" s="108"/>
    </row>
    <row r="390" spans="1:32" ht="17.25" thickBot="1">
      <c r="A390" s="112"/>
      <c r="B390" s="55">
        <f t="shared" ref="B390:K390" si="193">+(B387+B389)*B$4</f>
        <v>0</v>
      </c>
      <c r="C390" s="55">
        <f t="shared" si="193"/>
        <v>0</v>
      </c>
      <c r="D390" s="55">
        <f t="shared" si="193"/>
        <v>0</v>
      </c>
      <c r="E390" s="55">
        <f t="shared" si="193"/>
        <v>0</v>
      </c>
      <c r="F390" s="55">
        <f t="shared" si="193"/>
        <v>0</v>
      </c>
      <c r="G390" s="55">
        <f t="shared" si="193"/>
        <v>0</v>
      </c>
      <c r="H390" s="55">
        <f t="shared" si="193"/>
        <v>0</v>
      </c>
      <c r="I390" s="55">
        <f t="shared" si="193"/>
        <v>0</v>
      </c>
      <c r="J390" s="55">
        <f t="shared" si="193"/>
        <v>0</v>
      </c>
      <c r="K390" s="55">
        <f t="shared" si="193"/>
        <v>0</v>
      </c>
      <c r="L390" s="57"/>
      <c r="M390" s="65">
        <f>A387</f>
        <v>44259</v>
      </c>
      <c r="N390" s="59">
        <f>SUM(B390:K390)</f>
        <v>0</v>
      </c>
      <c r="O390" s="94"/>
      <c r="P390" s="97"/>
      <c r="Q390" s="100"/>
      <c r="R390" s="103"/>
      <c r="S390" s="106"/>
      <c r="T390" s="109"/>
      <c r="U390" s="109"/>
      <c r="V390" s="109"/>
      <c r="W390" s="109"/>
      <c r="X390" s="109"/>
      <c r="Y390" s="109"/>
      <c r="Z390" s="109"/>
      <c r="AA390" s="109"/>
      <c r="AB390" s="109"/>
      <c r="AC390" s="109"/>
      <c r="AD390" s="109"/>
      <c r="AE390" s="109"/>
      <c r="AF390" s="109"/>
    </row>
    <row r="391" spans="1:32">
      <c r="A391" s="110">
        <f>+A387+1</f>
        <v>44260</v>
      </c>
      <c r="B391" s="31"/>
      <c r="C391" s="31"/>
      <c r="D391" s="31"/>
      <c r="E391" s="31"/>
      <c r="F391" s="31"/>
      <c r="G391" s="31"/>
      <c r="H391" s="31"/>
      <c r="I391" s="31"/>
      <c r="J391" s="31"/>
      <c r="K391" s="32"/>
      <c r="L391" s="15"/>
      <c r="M391" s="60"/>
      <c r="N391" s="61" t="s">
        <v>38</v>
      </c>
      <c r="O391" s="92">
        <f>+IFERROR(IF(HLOOKUP(S391,$S$3:$AB$3,1,)=S391,S392,0),0)</f>
        <v>0</v>
      </c>
      <c r="P391" s="95">
        <f>IFERROR(+N392/O391,0)</f>
        <v>0</v>
      </c>
      <c r="Q391" s="98">
        <f>+IFERROR(IF(HLOOKUP(S391,$S$4:$AB$4,1,)=S391,S392,0),0)</f>
        <v>0</v>
      </c>
      <c r="R391" s="101">
        <f>IFERROR(N392/Q391,0)</f>
        <v>0</v>
      </c>
      <c r="S391" s="47" t="s">
        <v>23</v>
      </c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</row>
    <row r="392" spans="1:32" ht="17.25" thickBot="1">
      <c r="A392" s="111"/>
      <c r="B392" s="35">
        <f t="shared" ref="B392:K392" si="194">+(B391-(B387+B389))*B$4</f>
        <v>0</v>
      </c>
      <c r="C392" s="35">
        <f t="shared" si="194"/>
        <v>0</v>
      </c>
      <c r="D392" s="35">
        <f t="shared" si="194"/>
        <v>0</v>
      </c>
      <c r="E392" s="35">
        <f t="shared" si="194"/>
        <v>0</v>
      </c>
      <c r="F392" s="35">
        <f t="shared" si="194"/>
        <v>0</v>
      </c>
      <c r="G392" s="35">
        <f t="shared" si="194"/>
        <v>0</v>
      </c>
      <c r="H392" s="35">
        <f t="shared" si="194"/>
        <v>0</v>
      </c>
      <c r="I392" s="35">
        <f t="shared" si="194"/>
        <v>0</v>
      </c>
      <c r="J392" s="35">
        <f t="shared" si="194"/>
        <v>0</v>
      </c>
      <c r="K392" s="35">
        <f t="shared" si="194"/>
        <v>0</v>
      </c>
      <c r="L392" s="35">
        <f>MONTH(M394)</f>
        <v>3</v>
      </c>
      <c r="M392" s="48" t="str">
        <f>IF(O391&gt;0,"Y","X")</f>
        <v>X</v>
      </c>
      <c r="N392" s="62">
        <f>IF(SUM(B391:K391)=0,0,SUM(B392:K392))</f>
        <v>0</v>
      </c>
      <c r="O392" s="93"/>
      <c r="P392" s="96"/>
      <c r="Q392" s="99"/>
      <c r="R392" s="102"/>
      <c r="S392" s="104">
        <f>SUM(T391:XFD391)</f>
        <v>0</v>
      </c>
      <c r="T392" s="108"/>
      <c r="U392" s="108"/>
      <c r="V392" s="108"/>
      <c r="W392" s="108"/>
      <c r="X392" s="108"/>
      <c r="Y392" s="108"/>
      <c r="Z392" s="108"/>
      <c r="AA392" s="108"/>
      <c r="AB392" s="108"/>
      <c r="AC392" s="108"/>
      <c r="AD392" s="108"/>
      <c r="AE392" s="108"/>
      <c r="AF392" s="108"/>
    </row>
    <row r="393" spans="1:32" ht="17.25" thickTop="1">
      <c r="A393" s="111"/>
      <c r="B393" s="50">
        <v>0</v>
      </c>
      <c r="C393" s="50">
        <v>0</v>
      </c>
      <c r="D393" s="50">
        <v>0</v>
      </c>
      <c r="E393" s="50">
        <v>0</v>
      </c>
      <c r="F393" s="50">
        <v>0</v>
      </c>
      <c r="G393" s="50">
        <v>0</v>
      </c>
      <c r="H393" s="50">
        <v>0</v>
      </c>
      <c r="I393" s="50">
        <v>0</v>
      </c>
      <c r="J393" s="50">
        <v>0</v>
      </c>
      <c r="K393" s="51">
        <v>0</v>
      </c>
      <c r="L393" s="52"/>
      <c r="M393" s="63"/>
      <c r="N393" s="64" t="s">
        <v>39</v>
      </c>
      <c r="O393" s="93"/>
      <c r="P393" s="96"/>
      <c r="Q393" s="99"/>
      <c r="R393" s="102"/>
      <c r="S393" s="105"/>
      <c r="T393" s="108"/>
      <c r="U393" s="108"/>
      <c r="V393" s="108"/>
      <c r="W393" s="108"/>
      <c r="X393" s="108"/>
      <c r="Y393" s="108"/>
      <c r="Z393" s="108"/>
      <c r="AA393" s="108"/>
      <c r="AB393" s="108"/>
      <c r="AC393" s="108"/>
      <c r="AD393" s="108"/>
      <c r="AE393" s="108"/>
      <c r="AF393" s="108"/>
    </row>
    <row r="394" spans="1:32" ht="17.25" thickBot="1">
      <c r="A394" s="112"/>
      <c r="B394" s="55">
        <f t="shared" ref="B394:K394" si="195">+(B391+B393)*B$4</f>
        <v>0</v>
      </c>
      <c r="C394" s="55">
        <f t="shared" si="195"/>
        <v>0</v>
      </c>
      <c r="D394" s="55">
        <f t="shared" si="195"/>
        <v>0</v>
      </c>
      <c r="E394" s="55">
        <f t="shared" si="195"/>
        <v>0</v>
      </c>
      <c r="F394" s="55">
        <f t="shared" si="195"/>
        <v>0</v>
      </c>
      <c r="G394" s="55">
        <f t="shared" si="195"/>
        <v>0</v>
      </c>
      <c r="H394" s="55">
        <f t="shared" si="195"/>
        <v>0</v>
      </c>
      <c r="I394" s="55">
        <f t="shared" si="195"/>
        <v>0</v>
      </c>
      <c r="J394" s="55">
        <f t="shared" si="195"/>
        <v>0</v>
      </c>
      <c r="K394" s="55">
        <f t="shared" si="195"/>
        <v>0</v>
      </c>
      <c r="L394" s="57"/>
      <c r="M394" s="65">
        <f>A391</f>
        <v>44260</v>
      </c>
      <c r="N394" s="66">
        <f>SUM(B394:K394)</f>
        <v>0</v>
      </c>
      <c r="O394" s="94"/>
      <c r="P394" s="97"/>
      <c r="Q394" s="100"/>
      <c r="R394" s="103"/>
      <c r="S394" s="106"/>
      <c r="T394" s="109"/>
      <c r="U394" s="109"/>
      <c r="V394" s="109"/>
      <c r="W394" s="109"/>
      <c r="X394" s="109"/>
      <c r="Y394" s="109"/>
      <c r="Z394" s="109"/>
      <c r="AA394" s="109"/>
      <c r="AB394" s="109"/>
      <c r="AC394" s="109"/>
      <c r="AD394" s="109"/>
      <c r="AE394" s="109"/>
      <c r="AF394" s="109"/>
    </row>
    <row r="395" spans="1:32">
      <c r="A395" s="113">
        <f>+A391+1</f>
        <v>44261</v>
      </c>
      <c r="B395" s="31"/>
      <c r="C395" s="31"/>
      <c r="D395" s="31"/>
      <c r="E395" s="31"/>
      <c r="F395" s="31"/>
      <c r="G395" s="31"/>
      <c r="H395" s="31"/>
      <c r="I395" s="31"/>
      <c r="J395" s="31"/>
      <c r="K395" s="32"/>
      <c r="L395" s="15"/>
      <c r="M395" s="60"/>
      <c r="N395" s="46" t="s">
        <v>38</v>
      </c>
      <c r="O395" s="92">
        <f>+IFERROR(IF(HLOOKUP(S395,$S$3:$AB$3,1,)=S395,S396,0),0)</f>
        <v>0</v>
      </c>
      <c r="P395" s="95">
        <f>IFERROR(+N396/O395,0)</f>
        <v>0</v>
      </c>
      <c r="Q395" s="98">
        <f>+IFERROR(IF(HLOOKUP(S395,$S$4:$AB$4,1,)=S395,S396,0),0)</f>
        <v>0</v>
      </c>
      <c r="R395" s="101">
        <f>IFERROR(N396/Q395,0)</f>
        <v>0</v>
      </c>
      <c r="S395" s="47" t="s">
        <v>17</v>
      </c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</row>
    <row r="396" spans="1:32" ht="17.25" thickBot="1">
      <c r="A396" s="114"/>
      <c r="B396" s="35">
        <f t="shared" ref="B396:K396" si="196">+(B395-(B391+B393))*B$4</f>
        <v>0</v>
      </c>
      <c r="C396" s="35">
        <f t="shared" si="196"/>
        <v>0</v>
      </c>
      <c r="D396" s="35">
        <f t="shared" si="196"/>
        <v>0</v>
      </c>
      <c r="E396" s="35">
        <f t="shared" si="196"/>
        <v>0</v>
      </c>
      <c r="F396" s="35">
        <f t="shared" si="196"/>
        <v>0</v>
      </c>
      <c r="G396" s="35">
        <f t="shared" si="196"/>
        <v>0</v>
      </c>
      <c r="H396" s="35">
        <f t="shared" si="196"/>
        <v>0</v>
      </c>
      <c r="I396" s="35">
        <f t="shared" si="196"/>
        <v>0</v>
      </c>
      <c r="J396" s="35">
        <f t="shared" si="196"/>
        <v>0</v>
      </c>
      <c r="K396" s="35">
        <f t="shared" si="196"/>
        <v>0</v>
      </c>
      <c r="L396" s="35">
        <f>MONTH(M398)</f>
        <v>3</v>
      </c>
      <c r="M396" s="48" t="str">
        <f>IF(O395&gt;0,"Y","X")</f>
        <v>X</v>
      </c>
      <c r="N396" s="49">
        <f>IF(SUM(B395:K395)=0,0,SUM(B396:K396))</f>
        <v>0</v>
      </c>
      <c r="O396" s="93"/>
      <c r="P396" s="96"/>
      <c r="Q396" s="99"/>
      <c r="R396" s="102"/>
      <c r="S396" s="104">
        <f>SUM(T395:XFD395)</f>
        <v>0</v>
      </c>
      <c r="T396" s="108"/>
      <c r="U396" s="108"/>
      <c r="V396" s="108"/>
      <c r="W396" s="108"/>
      <c r="X396" s="108"/>
      <c r="Y396" s="108"/>
      <c r="Z396" s="108"/>
      <c r="AA396" s="108"/>
      <c r="AB396" s="108"/>
      <c r="AC396" s="108"/>
      <c r="AD396" s="108"/>
      <c r="AE396" s="108"/>
      <c r="AF396" s="108"/>
    </row>
    <row r="397" spans="1:32" ht="17.25" thickTop="1">
      <c r="A397" s="114"/>
      <c r="B397" s="50">
        <v>0</v>
      </c>
      <c r="C397" s="50">
        <v>0</v>
      </c>
      <c r="D397" s="50">
        <v>0</v>
      </c>
      <c r="E397" s="50">
        <v>0</v>
      </c>
      <c r="F397" s="50">
        <v>0</v>
      </c>
      <c r="G397" s="50">
        <v>0</v>
      </c>
      <c r="H397" s="50">
        <v>0</v>
      </c>
      <c r="I397" s="50">
        <v>0</v>
      </c>
      <c r="J397" s="50">
        <v>0</v>
      </c>
      <c r="K397" s="51">
        <v>0</v>
      </c>
      <c r="L397" s="52"/>
      <c r="M397" s="63"/>
      <c r="N397" s="54" t="s">
        <v>39</v>
      </c>
      <c r="O397" s="93"/>
      <c r="P397" s="96"/>
      <c r="Q397" s="99"/>
      <c r="R397" s="102"/>
      <c r="S397" s="105"/>
      <c r="T397" s="108"/>
      <c r="U397" s="108"/>
      <c r="V397" s="108"/>
      <c r="W397" s="108"/>
      <c r="X397" s="108"/>
      <c r="Y397" s="108"/>
      <c r="Z397" s="108"/>
      <c r="AA397" s="108"/>
      <c r="AB397" s="108"/>
      <c r="AC397" s="108"/>
      <c r="AD397" s="108"/>
      <c r="AE397" s="108"/>
      <c r="AF397" s="108"/>
    </row>
    <row r="398" spans="1:32" ht="17.25" thickBot="1">
      <c r="A398" s="115"/>
      <c r="B398" s="55">
        <f t="shared" ref="B398:K398" si="197">+(B395+B397)*B$4</f>
        <v>0</v>
      </c>
      <c r="C398" s="55">
        <f t="shared" si="197"/>
        <v>0</v>
      </c>
      <c r="D398" s="55">
        <f t="shared" si="197"/>
        <v>0</v>
      </c>
      <c r="E398" s="55">
        <f t="shared" si="197"/>
        <v>0</v>
      </c>
      <c r="F398" s="55">
        <f t="shared" si="197"/>
        <v>0</v>
      </c>
      <c r="G398" s="55">
        <f t="shared" si="197"/>
        <v>0</v>
      </c>
      <c r="H398" s="55">
        <f t="shared" si="197"/>
        <v>0</v>
      </c>
      <c r="I398" s="55">
        <f t="shared" si="197"/>
        <v>0</v>
      </c>
      <c r="J398" s="55">
        <f t="shared" si="197"/>
        <v>0</v>
      </c>
      <c r="K398" s="55">
        <f t="shared" si="197"/>
        <v>0</v>
      </c>
      <c r="L398" s="57"/>
      <c r="M398" s="65">
        <f>A395</f>
        <v>44261</v>
      </c>
      <c r="N398" s="59">
        <f>SUM(B398:K398)</f>
        <v>0</v>
      </c>
      <c r="O398" s="94"/>
      <c r="P398" s="97"/>
      <c r="Q398" s="100"/>
      <c r="R398" s="103"/>
      <c r="S398" s="106"/>
      <c r="T398" s="109"/>
      <c r="U398" s="109"/>
      <c r="V398" s="109"/>
      <c r="W398" s="109"/>
      <c r="X398" s="109"/>
      <c r="Y398" s="109"/>
      <c r="Z398" s="109"/>
      <c r="AA398" s="109"/>
      <c r="AB398" s="109"/>
      <c r="AC398" s="109"/>
      <c r="AD398" s="109"/>
      <c r="AE398" s="109"/>
      <c r="AF398" s="109"/>
    </row>
    <row r="399" spans="1:32">
      <c r="A399" s="113">
        <f>+A395+1</f>
        <v>44262</v>
      </c>
      <c r="B399" s="31"/>
      <c r="C399" s="31"/>
      <c r="D399" s="31"/>
      <c r="E399" s="31"/>
      <c r="F399" s="31"/>
      <c r="G399" s="31"/>
      <c r="H399" s="31"/>
      <c r="I399" s="31"/>
      <c r="J399" s="31"/>
      <c r="K399" s="32"/>
      <c r="L399" s="15"/>
      <c r="M399" s="60"/>
      <c r="N399" s="61" t="s">
        <v>38</v>
      </c>
      <c r="O399" s="92">
        <f>+IFERROR(IF(HLOOKUP(S399,$S$3:$AB$3,1,)=S399,S400,0),0)</f>
        <v>0</v>
      </c>
      <c r="P399" s="95">
        <f>IFERROR(+N400/O399,0)</f>
        <v>0</v>
      </c>
      <c r="Q399" s="98">
        <f>+IFERROR(IF(HLOOKUP(S399,$S$4:$AB$4,1,)=S399,S400,0),0)</f>
        <v>0</v>
      </c>
      <c r="R399" s="101">
        <f>IFERROR(N400/Q399,0)</f>
        <v>0</v>
      </c>
      <c r="S399" s="47" t="s">
        <v>19</v>
      </c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</row>
    <row r="400" spans="1:32" ht="17.25" thickBot="1">
      <c r="A400" s="114"/>
      <c r="B400" s="35">
        <f t="shared" ref="B400:K400" si="198">+(B399-(B395+B397))*B$4</f>
        <v>0</v>
      </c>
      <c r="C400" s="35">
        <f t="shared" si="198"/>
        <v>0</v>
      </c>
      <c r="D400" s="35">
        <f t="shared" si="198"/>
        <v>0</v>
      </c>
      <c r="E400" s="35">
        <f t="shared" si="198"/>
        <v>0</v>
      </c>
      <c r="F400" s="35">
        <f t="shared" si="198"/>
        <v>0</v>
      </c>
      <c r="G400" s="35">
        <f t="shared" si="198"/>
        <v>0</v>
      </c>
      <c r="H400" s="35">
        <f t="shared" si="198"/>
        <v>0</v>
      </c>
      <c r="I400" s="35">
        <f t="shared" si="198"/>
        <v>0</v>
      </c>
      <c r="J400" s="35">
        <f t="shared" si="198"/>
        <v>0</v>
      </c>
      <c r="K400" s="35">
        <f t="shared" si="198"/>
        <v>0</v>
      </c>
      <c r="L400" s="35">
        <f>MONTH(M402)</f>
        <v>3</v>
      </c>
      <c r="M400" s="48" t="str">
        <f>IF(O399&gt;0,"Y","X")</f>
        <v>X</v>
      </c>
      <c r="N400" s="62">
        <f>IF(SUM(B399:K399)=0,0,SUM(B400:K400))</f>
        <v>0</v>
      </c>
      <c r="O400" s="93"/>
      <c r="P400" s="96"/>
      <c r="Q400" s="99"/>
      <c r="R400" s="102"/>
      <c r="S400" s="104">
        <f>SUM(T399:XFD399)</f>
        <v>0</v>
      </c>
      <c r="T400" s="108"/>
      <c r="U400" s="108"/>
      <c r="V400" s="108"/>
      <c r="W400" s="108"/>
      <c r="X400" s="108"/>
      <c r="Y400" s="108"/>
      <c r="Z400" s="108"/>
      <c r="AA400" s="108"/>
      <c r="AB400" s="108"/>
      <c r="AC400" s="108"/>
      <c r="AD400" s="108"/>
      <c r="AE400" s="108"/>
      <c r="AF400" s="108"/>
    </row>
    <row r="401" spans="1:32" ht="17.25" thickTop="1">
      <c r="A401" s="114"/>
      <c r="B401" s="50">
        <v>0</v>
      </c>
      <c r="C401" s="50">
        <v>0</v>
      </c>
      <c r="D401" s="50">
        <v>0</v>
      </c>
      <c r="E401" s="50">
        <v>0</v>
      </c>
      <c r="F401" s="50">
        <v>0</v>
      </c>
      <c r="G401" s="50">
        <v>0</v>
      </c>
      <c r="H401" s="50">
        <v>0</v>
      </c>
      <c r="I401" s="50">
        <v>0</v>
      </c>
      <c r="J401" s="50">
        <v>0</v>
      </c>
      <c r="K401" s="51">
        <v>0</v>
      </c>
      <c r="L401" s="52"/>
      <c r="M401" s="63"/>
      <c r="N401" s="64" t="s">
        <v>39</v>
      </c>
      <c r="O401" s="93"/>
      <c r="P401" s="96"/>
      <c r="Q401" s="99"/>
      <c r="R401" s="102"/>
      <c r="S401" s="105"/>
      <c r="T401" s="108"/>
      <c r="U401" s="108"/>
      <c r="V401" s="108"/>
      <c r="W401" s="108"/>
      <c r="X401" s="108"/>
      <c r="Y401" s="108"/>
      <c r="Z401" s="108"/>
      <c r="AA401" s="108"/>
      <c r="AB401" s="108"/>
      <c r="AC401" s="108"/>
      <c r="AD401" s="108"/>
      <c r="AE401" s="108"/>
      <c r="AF401" s="108"/>
    </row>
    <row r="402" spans="1:32" ht="17.25" thickBot="1">
      <c r="A402" s="115"/>
      <c r="B402" s="55">
        <f t="shared" ref="B402:K402" si="199">+(B399+B401)*B$4</f>
        <v>0</v>
      </c>
      <c r="C402" s="55">
        <f t="shared" si="199"/>
        <v>0</v>
      </c>
      <c r="D402" s="55">
        <f t="shared" si="199"/>
        <v>0</v>
      </c>
      <c r="E402" s="55">
        <f t="shared" si="199"/>
        <v>0</v>
      </c>
      <c r="F402" s="55">
        <f t="shared" si="199"/>
        <v>0</v>
      </c>
      <c r="G402" s="55">
        <f t="shared" si="199"/>
        <v>0</v>
      </c>
      <c r="H402" s="55">
        <f t="shared" si="199"/>
        <v>0</v>
      </c>
      <c r="I402" s="55">
        <f t="shared" si="199"/>
        <v>0</v>
      </c>
      <c r="J402" s="55">
        <f t="shared" si="199"/>
        <v>0</v>
      </c>
      <c r="K402" s="55">
        <f t="shared" si="199"/>
        <v>0</v>
      </c>
      <c r="L402" s="57"/>
      <c r="M402" s="65">
        <f>A399</f>
        <v>44262</v>
      </c>
      <c r="N402" s="66">
        <f>SUM(B402:K402)</f>
        <v>0</v>
      </c>
      <c r="O402" s="94"/>
      <c r="P402" s="97"/>
      <c r="Q402" s="100"/>
      <c r="R402" s="103"/>
      <c r="S402" s="106"/>
      <c r="T402" s="109"/>
      <c r="U402" s="109"/>
      <c r="V402" s="109"/>
      <c r="W402" s="109"/>
      <c r="X402" s="109"/>
      <c r="Y402" s="109"/>
      <c r="Z402" s="109"/>
      <c r="AA402" s="109"/>
      <c r="AB402" s="109"/>
      <c r="AC402" s="109"/>
      <c r="AD402" s="109"/>
      <c r="AE402" s="109"/>
      <c r="AF402" s="109"/>
    </row>
    <row r="403" spans="1:32">
      <c r="A403" s="110">
        <f>+A399+1</f>
        <v>44263</v>
      </c>
      <c r="B403" s="31"/>
      <c r="C403" s="31"/>
      <c r="D403" s="31"/>
      <c r="E403" s="31"/>
      <c r="F403" s="31"/>
      <c r="G403" s="31"/>
      <c r="H403" s="31"/>
      <c r="I403" s="31"/>
      <c r="J403" s="31"/>
      <c r="K403" s="32"/>
      <c r="L403" s="15"/>
      <c r="M403" s="45"/>
      <c r="N403" s="46" t="s">
        <v>38</v>
      </c>
      <c r="O403" s="92">
        <f>+IFERROR(IF(HLOOKUP(S403,$S$3:$AB$3,1,)=S403,S404,0),0)</f>
        <v>0</v>
      </c>
      <c r="P403" s="95">
        <f>IFERROR(+N404/O403,0)</f>
        <v>0</v>
      </c>
      <c r="Q403" s="98">
        <f>+IFERROR(IF(HLOOKUP(S403,$S$4:$AB$4,1,)=S403,S404,0),0)</f>
        <v>0</v>
      </c>
      <c r="R403" s="101">
        <f>IFERROR(N404/Q403,0)</f>
        <v>0</v>
      </c>
      <c r="S403" s="47" t="s">
        <v>20</v>
      </c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</row>
    <row r="404" spans="1:32" ht="17.25" thickBot="1">
      <c r="A404" s="111"/>
      <c r="B404" s="35">
        <f t="shared" ref="B404:K404" si="200">+(B403-(B399+B401))*B$4</f>
        <v>0</v>
      </c>
      <c r="C404" s="35">
        <f t="shared" si="200"/>
        <v>0</v>
      </c>
      <c r="D404" s="35">
        <f t="shared" si="200"/>
        <v>0</v>
      </c>
      <c r="E404" s="35">
        <f t="shared" si="200"/>
        <v>0</v>
      </c>
      <c r="F404" s="35">
        <f t="shared" si="200"/>
        <v>0</v>
      </c>
      <c r="G404" s="35">
        <f t="shared" si="200"/>
        <v>0</v>
      </c>
      <c r="H404" s="35">
        <f t="shared" si="200"/>
        <v>0</v>
      </c>
      <c r="I404" s="35">
        <f t="shared" si="200"/>
        <v>0</v>
      </c>
      <c r="J404" s="35">
        <f t="shared" si="200"/>
        <v>0</v>
      </c>
      <c r="K404" s="35">
        <f t="shared" si="200"/>
        <v>0</v>
      </c>
      <c r="L404" s="35">
        <f>MONTH(M406)</f>
        <v>3</v>
      </c>
      <c r="M404" s="48" t="str">
        <f>IF(O403&gt;0,"Y","X")</f>
        <v>X</v>
      </c>
      <c r="N404" s="49">
        <f>IF(SUM(B403:K403)=0,0,SUM(B404:K404))</f>
        <v>0</v>
      </c>
      <c r="O404" s="93"/>
      <c r="P404" s="96"/>
      <c r="Q404" s="99"/>
      <c r="R404" s="102"/>
      <c r="S404" s="104">
        <f>SUM(T403:XFD403)</f>
        <v>0</v>
      </c>
      <c r="T404" s="108"/>
      <c r="U404" s="108"/>
      <c r="V404" s="108"/>
      <c r="W404" s="108"/>
      <c r="X404" s="108"/>
      <c r="Y404" s="108"/>
      <c r="Z404" s="108"/>
      <c r="AA404" s="108"/>
      <c r="AB404" s="108"/>
      <c r="AC404" s="108"/>
      <c r="AD404" s="108"/>
      <c r="AE404" s="108"/>
      <c r="AF404" s="108"/>
    </row>
    <row r="405" spans="1:32" ht="17.25" thickTop="1">
      <c r="A405" s="111"/>
      <c r="B405" s="50">
        <v>0</v>
      </c>
      <c r="C405" s="50">
        <v>0</v>
      </c>
      <c r="D405" s="50">
        <v>0</v>
      </c>
      <c r="E405" s="50">
        <v>0</v>
      </c>
      <c r="F405" s="50">
        <v>0</v>
      </c>
      <c r="G405" s="50">
        <v>0</v>
      </c>
      <c r="H405" s="50">
        <v>0</v>
      </c>
      <c r="I405" s="50">
        <v>0</v>
      </c>
      <c r="J405" s="50">
        <v>0</v>
      </c>
      <c r="K405" s="51">
        <v>0</v>
      </c>
      <c r="L405" s="52"/>
      <c r="M405" s="53"/>
      <c r="N405" s="54" t="s">
        <v>39</v>
      </c>
      <c r="O405" s="93"/>
      <c r="P405" s="96"/>
      <c r="Q405" s="99"/>
      <c r="R405" s="102"/>
      <c r="S405" s="105"/>
      <c r="T405" s="108"/>
      <c r="U405" s="108"/>
      <c r="V405" s="108"/>
      <c r="W405" s="108"/>
      <c r="X405" s="108"/>
      <c r="Y405" s="108"/>
      <c r="Z405" s="108"/>
      <c r="AA405" s="108"/>
      <c r="AB405" s="108"/>
      <c r="AC405" s="108"/>
      <c r="AD405" s="108"/>
      <c r="AE405" s="108"/>
      <c r="AF405" s="108"/>
    </row>
    <row r="406" spans="1:32" ht="17.25" thickBot="1">
      <c r="A406" s="112"/>
      <c r="B406" s="55">
        <f t="shared" ref="B406:K406" si="201">+(B403+B405)*B$4</f>
        <v>0</v>
      </c>
      <c r="C406" s="55">
        <f t="shared" si="201"/>
        <v>0</v>
      </c>
      <c r="D406" s="55">
        <f t="shared" si="201"/>
        <v>0</v>
      </c>
      <c r="E406" s="55">
        <f t="shared" si="201"/>
        <v>0</v>
      </c>
      <c r="F406" s="55">
        <f t="shared" si="201"/>
        <v>0</v>
      </c>
      <c r="G406" s="55">
        <f t="shared" si="201"/>
        <v>0</v>
      </c>
      <c r="H406" s="55">
        <f t="shared" si="201"/>
        <v>0</v>
      </c>
      <c r="I406" s="55">
        <f t="shared" si="201"/>
        <v>0</v>
      </c>
      <c r="J406" s="55">
        <f t="shared" si="201"/>
        <v>0</v>
      </c>
      <c r="K406" s="55">
        <f t="shared" si="201"/>
        <v>0</v>
      </c>
      <c r="L406" s="57"/>
      <c r="M406" s="58">
        <f>A403</f>
        <v>44263</v>
      </c>
      <c r="N406" s="59">
        <f>SUM(B406:K406)</f>
        <v>0</v>
      </c>
      <c r="O406" s="94"/>
      <c r="P406" s="97"/>
      <c r="Q406" s="100"/>
      <c r="R406" s="103"/>
      <c r="S406" s="106"/>
      <c r="T406" s="109"/>
      <c r="U406" s="109"/>
      <c r="V406" s="109"/>
      <c r="W406" s="109"/>
      <c r="X406" s="109"/>
      <c r="Y406" s="109"/>
      <c r="Z406" s="109"/>
      <c r="AA406" s="109"/>
      <c r="AB406" s="109"/>
      <c r="AC406" s="109"/>
      <c r="AD406" s="109"/>
      <c r="AE406" s="109"/>
      <c r="AF406" s="109"/>
    </row>
    <row r="407" spans="1:32">
      <c r="A407" s="110">
        <f>+A403+1</f>
        <v>44264</v>
      </c>
      <c r="B407" s="31"/>
      <c r="C407" s="31"/>
      <c r="D407" s="31"/>
      <c r="E407" s="31"/>
      <c r="F407" s="31"/>
      <c r="G407" s="31"/>
      <c r="H407" s="31"/>
      <c r="I407" s="31"/>
      <c r="J407" s="31"/>
      <c r="K407" s="32"/>
      <c r="L407" s="15"/>
      <c r="M407" s="60"/>
      <c r="N407" s="61" t="s">
        <v>38</v>
      </c>
      <c r="O407" s="92">
        <f>+IFERROR(IF(HLOOKUP(S407,$S$3:$AB$3,1,)=S407,S408,0),0)</f>
        <v>0</v>
      </c>
      <c r="P407" s="95">
        <f>IFERROR(+N408/O407,0)</f>
        <v>0</v>
      </c>
      <c r="Q407" s="98">
        <f>+IFERROR(IF(HLOOKUP(S407,$S$4:$AB$4,1,)=S407,S408,0),0)</f>
        <v>0</v>
      </c>
      <c r="R407" s="101">
        <f>IFERROR(N408/Q407,0)</f>
        <v>0</v>
      </c>
      <c r="S407" s="47" t="s">
        <v>18</v>
      </c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</row>
    <row r="408" spans="1:32" ht="17.25" thickBot="1">
      <c r="A408" s="111"/>
      <c r="B408" s="35">
        <f t="shared" ref="B408:K408" si="202">+(B407-(B403+B405))*B$4</f>
        <v>0</v>
      </c>
      <c r="C408" s="35">
        <f t="shared" si="202"/>
        <v>0</v>
      </c>
      <c r="D408" s="35">
        <f t="shared" si="202"/>
        <v>0</v>
      </c>
      <c r="E408" s="35">
        <f t="shared" si="202"/>
        <v>0</v>
      </c>
      <c r="F408" s="35">
        <f t="shared" si="202"/>
        <v>0</v>
      </c>
      <c r="G408" s="35">
        <f t="shared" si="202"/>
        <v>0</v>
      </c>
      <c r="H408" s="35">
        <f t="shared" si="202"/>
        <v>0</v>
      </c>
      <c r="I408" s="35">
        <f t="shared" si="202"/>
        <v>0</v>
      </c>
      <c r="J408" s="35">
        <f t="shared" si="202"/>
        <v>0</v>
      </c>
      <c r="K408" s="35">
        <f t="shared" si="202"/>
        <v>0</v>
      </c>
      <c r="L408" s="35">
        <f>MONTH(M410)</f>
        <v>3</v>
      </c>
      <c r="M408" s="48" t="str">
        <f>IF(O407&gt;0,"Y","X")</f>
        <v>X</v>
      </c>
      <c r="N408" s="62">
        <f>IF(SUM(B407:K407)=0,0,SUM(B408:K408))</f>
        <v>0</v>
      </c>
      <c r="O408" s="93"/>
      <c r="P408" s="96"/>
      <c r="Q408" s="99"/>
      <c r="R408" s="102"/>
      <c r="S408" s="104">
        <f>SUM(T407:XFD407)</f>
        <v>0</v>
      </c>
      <c r="T408" s="108"/>
      <c r="U408" s="108"/>
      <c r="V408" s="108"/>
      <c r="W408" s="108"/>
      <c r="X408" s="108"/>
      <c r="Y408" s="108"/>
      <c r="Z408" s="108"/>
      <c r="AA408" s="108"/>
      <c r="AB408" s="108"/>
      <c r="AC408" s="108"/>
      <c r="AD408" s="108"/>
      <c r="AE408" s="108"/>
      <c r="AF408" s="108"/>
    </row>
    <row r="409" spans="1:32" ht="17.25" thickTop="1">
      <c r="A409" s="111"/>
      <c r="B409" s="50">
        <v>0</v>
      </c>
      <c r="C409" s="50">
        <v>0</v>
      </c>
      <c r="D409" s="50">
        <v>0</v>
      </c>
      <c r="E409" s="50">
        <v>0</v>
      </c>
      <c r="F409" s="50">
        <v>0</v>
      </c>
      <c r="G409" s="50">
        <v>0</v>
      </c>
      <c r="H409" s="50">
        <v>0</v>
      </c>
      <c r="I409" s="50">
        <v>0</v>
      </c>
      <c r="J409" s="50">
        <v>0</v>
      </c>
      <c r="K409" s="51">
        <v>0</v>
      </c>
      <c r="L409" s="52"/>
      <c r="M409" s="63"/>
      <c r="N409" s="64" t="s">
        <v>39</v>
      </c>
      <c r="O409" s="93"/>
      <c r="P409" s="96"/>
      <c r="Q409" s="99"/>
      <c r="R409" s="102"/>
      <c r="S409" s="105"/>
      <c r="T409" s="108"/>
      <c r="U409" s="108"/>
      <c r="V409" s="108"/>
      <c r="W409" s="108"/>
      <c r="X409" s="108"/>
      <c r="Y409" s="108"/>
      <c r="Z409" s="108"/>
      <c r="AA409" s="108"/>
      <c r="AB409" s="108"/>
      <c r="AC409" s="108"/>
      <c r="AD409" s="108"/>
      <c r="AE409" s="108"/>
      <c r="AF409" s="108"/>
    </row>
    <row r="410" spans="1:32" ht="17.25" thickBot="1">
      <c r="A410" s="112"/>
      <c r="B410" s="55">
        <f t="shared" ref="B410:K410" si="203">+(B407+B409)*B$4</f>
        <v>0</v>
      </c>
      <c r="C410" s="55">
        <f t="shared" si="203"/>
        <v>0</v>
      </c>
      <c r="D410" s="55">
        <f t="shared" si="203"/>
        <v>0</v>
      </c>
      <c r="E410" s="55">
        <f t="shared" si="203"/>
        <v>0</v>
      </c>
      <c r="F410" s="55">
        <f t="shared" si="203"/>
        <v>0</v>
      </c>
      <c r="G410" s="55">
        <f t="shared" si="203"/>
        <v>0</v>
      </c>
      <c r="H410" s="55">
        <f t="shared" si="203"/>
        <v>0</v>
      </c>
      <c r="I410" s="55">
        <f t="shared" si="203"/>
        <v>0</v>
      </c>
      <c r="J410" s="55">
        <f t="shared" si="203"/>
        <v>0</v>
      </c>
      <c r="K410" s="55">
        <f t="shared" si="203"/>
        <v>0</v>
      </c>
      <c r="L410" s="57"/>
      <c r="M410" s="65">
        <f>A407</f>
        <v>44264</v>
      </c>
      <c r="N410" s="66">
        <f>SUM(B410:K410)</f>
        <v>0</v>
      </c>
      <c r="O410" s="94"/>
      <c r="P410" s="97"/>
      <c r="Q410" s="100"/>
      <c r="R410" s="103"/>
      <c r="S410" s="106"/>
      <c r="T410" s="109"/>
      <c r="U410" s="109"/>
      <c r="V410" s="109"/>
      <c r="W410" s="109"/>
      <c r="X410" s="109"/>
      <c r="Y410" s="109"/>
      <c r="Z410" s="109"/>
      <c r="AA410" s="109"/>
      <c r="AB410" s="109"/>
      <c r="AC410" s="109"/>
      <c r="AD410" s="109"/>
      <c r="AE410" s="109"/>
      <c r="AF410" s="109"/>
    </row>
    <row r="411" spans="1:32">
      <c r="A411" s="110">
        <f>+A407+1</f>
        <v>44265</v>
      </c>
      <c r="B411" s="31"/>
      <c r="C411" s="31"/>
      <c r="D411" s="31"/>
      <c r="E411" s="31"/>
      <c r="F411" s="31"/>
      <c r="G411" s="31"/>
      <c r="H411" s="31"/>
      <c r="I411" s="31"/>
      <c r="J411" s="31"/>
      <c r="K411" s="32"/>
      <c r="L411" s="15"/>
      <c r="M411" s="60"/>
      <c r="N411" s="46" t="s">
        <v>38</v>
      </c>
      <c r="O411" s="92">
        <f>+IFERROR(IF(HLOOKUP(S411,$S$3:$AB$3,1,)=S411,S412,0),0)</f>
        <v>0</v>
      </c>
      <c r="P411" s="95">
        <f>IFERROR(+N412/O411,0)</f>
        <v>0</v>
      </c>
      <c r="Q411" s="98">
        <f>+IFERROR(IF(HLOOKUP(S411,$S$4:$AB$4,1,)=S411,S412,0),0)</f>
        <v>0</v>
      </c>
      <c r="R411" s="101">
        <f>IFERROR(N412/Q411,0)</f>
        <v>0</v>
      </c>
      <c r="S411" s="47" t="s">
        <v>24</v>
      </c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</row>
    <row r="412" spans="1:32" ht="17.25" thickBot="1">
      <c r="A412" s="111"/>
      <c r="B412" s="35">
        <f t="shared" ref="B412:K412" si="204">+(B411-(B407+B409))*B$4</f>
        <v>0</v>
      </c>
      <c r="C412" s="35">
        <f t="shared" si="204"/>
        <v>0</v>
      </c>
      <c r="D412" s="35">
        <f t="shared" si="204"/>
        <v>0</v>
      </c>
      <c r="E412" s="35">
        <f t="shared" si="204"/>
        <v>0</v>
      </c>
      <c r="F412" s="35">
        <f t="shared" si="204"/>
        <v>0</v>
      </c>
      <c r="G412" s="35">
        <f t="shared" si="204"/>
        <v>0</v>
      </c>
      <c r="H412" s="35">
        <f t="shared" si="204"/>
        <v>0</v>
      </c>
      <c r="I412" s="35">
        <f t="shared" si="204"/>
        <v>0</v>
      </c>
      <c r="J412" s="35">
        <f t="shared" si="204"/>
        <v>0</v>
      </c>
      <c r="K412" s="35">
        <f t="shared" si="204"/>
        <v>0</v>
      </c>
      <c r="L412" s="35">
        <f>MONTH(M414)</f>
        <v>3</v>
      </c>
      <c r="M412" s="48" t="str">
        <f>IF(O411&gt;0,"Y","X")</f>
        <v>X</v>
      </c>
      <c r="N412" s="49">
        <f>IF(SUM(B411:K411)=0,0,SUM(B412:K412))</f>
        <v>0</v>
      </c>
      <c r="O412" s="93"/>
      <c r="P412" s="96"/>
      <c r="Q412" s="99"/>
      <c r="R412" s="102"/>
      <c r="S412" s="104">
        <f>SUM(T411:XFD411)</f>
        <v>0</v>
      </c>
      <c r="T412" s="108"/>
      <c r="U412" s="108"/>
      <c r="V412" s="108"/>
      <c r="W412" s="108"/>
      <c r="X412" s="108"/>
      <c r="Y412" s="108"/>
      <c r="Z412" s="108"/>
      <c r="AA412" s="108"/>
      <c r="AB412" s="108"/>
      <c r="AC412" s="108"/>
      <c r="AD412" s="108"/>
      <c r="AE412" s="108"/>
      <c r="AF412" s="108"/>
    </row>
    <row r="413" spans="1:32" ht="17.25" thickTop="1">
      <c r="A413" s="111"/>
      <c r="B413" s="50">
        <v>0</v>
      </c>
      <c r="C413" s="50">
        <v>0</v>
      </c>
      <c r="D413" s="50">
        <v>0</v>
      </c>
      <c r="E413" s="50">
        <v>0</v>
      </c>
      <c r="F413" s="50">
        <v>0</v>
      </c>
      <c r="G413" s="50">
        <v>0</v>
      </c>
      <c r="H413" s="50">
        <v>0</v>
      </c>
      <c r="I413" s="50">
        <v>0</v>
      </c>
      <c r="J413" s="50">
        <v>0</v>
      </c>
      <c r="K413" s="51">
        <v>0</v>
      </c>
      <c r="L413" s="52"/>
      <c r="M413" s="63"/>
      <c r="N413" s="54" t="s">
        <v>39</v>
      </c>
      <c r="O413" s="93"/>
      <c r="P413" s="96"/>
      <c r="Q413" s="99"/>
      <c r="R413" s="102"/>
      <c r="S413" s="105"/>
      <c r="T413" s="108"/>
      <c r="U413" s="108"/>
      <c r="V413" s="108"/>
      <c r="W413" s="108"/>
      <c r="X413" s="108"/>
      <c r="Y413" s="108"/>
      <c r="Z413" s="108"/>
      <c r="AA413" s="108"/>
      <c r="AB413" s="108"/>
      <c r="AC413" s="108"/>
      <c r="AD413" s="108"/>
      <c r="AE413" s="108"/>
      <c r="AF413" s="108"/>
    </row>
    <row r="414" spans="1:32" ht="17.25" thickBot="1">
      <c r="A414" s="112"/>
      <c r="B414" s="55">
        <f t="shared" ref="B414:K414" si="205">+(B411+B413)*B$4</f>
        <v>0</v>
      </c>
      <c r="C414" s="55">
        <f t="shared" si="205"/>
        <v>0</v>
      </c>
      <c r="D414" s="55">
        <f t="shared" si="205"/>
        <v>0</v>
      </c>
      <c r="E414" s="55">
        <f t="shared" si="205"/>
        <v>0</v>
      </c>
      <c r="F414" s="55">
        <f t="shared" si="205"/>
        <v>0</v>
      </c>
      <c r="G414" s="55">
        <f t="shared" si="205"/>
        <v>0</v>
      </c>
      <c r="H414" s="55">
        <f t="shared" si="205"/>
        <v>0</v>
      </c>
      <c r="I414" s="55">
        <f t="shared" si="205"/>
        <v>0</v>
      </c>
      <c r="J414" s="55">
        <f t="shared" si="205"/>
        <v>0</v>
      </c>
      <c r="K414" s="55">
        <f t="shared" si="205"/>
        <v>0</v>
      </c>
      <c r="L414" s="57"/>
      <c r="M414" s="65">
        <f>A411</f>
        <v>44265</v>
      </c>
      <c r="N414" s="59">
        <f>SUM(B414:K414)</f>
        <v>0</v>
      </c>
      <c r="O414" s="94"/>
      <c r="P414" s="97"/>
      <c r="Q414" s="100"/>
      <c r="R414" s="103"/>
      <c r="S414" s="106"/>
      <c r="T414" s="109"/>
      <c r="U414" s="109"/>
      <c r="V414" s="109"/>
      <c r="W414" s="109"/>
      <c r="X414" s="109"/>
      <c r="Y414" s="109"/>
      <c r="Z414" s="109"/>
      <c r="AA414" s="109"/>
      <c r="AB414" s="109"/>
      <c r="AC414" s="109"/>
      <c r="AD414" s="109"/>
      <c r="AE414" s="109"/>
      <c r="AF414" s="109"/>
    </row>
    <row r="415" spans="1:32">
      <c r="A415" s="110">
        <f>+A411+1</f>
        <v>44266</v>
      </c>
      <c r="B415" s="31"/>
      <c r="C415" s="31"/>
      <c r="D415" s="31"/>
      <c r="E415" s="31"/>
      <c r="F415" s="31"/>
      <c r="G415" s="31"/>
      <c r="H415" s="31"/>
      <c r="I415" s="31"/>
      <c r="J415" s="31"/>
      <c r="K415" s="32"/>
      <c r="L415" s="15"/>
      <c r="M415" s="60"/>
      <c r="N415" s="61" t="s">
        <v>38</v>
      </c>
      <c r="O415" s="92">
        <f>+IFERROR(IF(HLOOKUP(S415,$S$3:$AB$3,1,)=S415,S416,0),0)</f>
        <v>0</v>
      </c>
      <c r="P415" s="95">
        <f>IFERROR(+N416/O415,0)</f>
        <v>0</v>
      </c>
      <c r="Q415" s="98">
        <f>+IFERROR(IF(HLOOKUP(S415,$S$4:$AB$4,1,)=S415,S416,0),0)</f>
        <v>0</v>
      </c>
      <c r="R415" s="101">
        <f>IFERROR(N416/Q415,0)</f>
        <v>0</v>
      </c>
      <c r="S415" s="47" t="s">
        <v>23</v>
      </c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</row>
    <row r="416" spans="1:32" ht="17.25" thickBot="1">
      <c r="A416" s="111"/>
      <c r="B416" s="35">
        <f t="shared" ref="B416:K416" si="206">+(B415-(B411+B413))*B$4</f>
        <v>0</v>
      </c>
      <c r="C416" s="35">
        <f t="shared" si="206"/>
        <v>0</v>
      </c>
      <c r="D416" s="35">
        <f t="shared" si="206"/>
        <v>0</v>
      </c>
      <c r="E416" s="35">
        <f t="shared" si="206"/>
        <v>0</v>
      </c>
      <c r="F416" s="35">
        <f t="shared" si="206"/>
        <v>0</v>
      </c>
      <c r="G416" s="35">
        <f t="shared" si="206"/>
        <v>0</v>
      </c>
      <c r="H416" s="35">
        <f t="shared" si="206"/>
        <v>0</v>
      </c>
      <c r="I416" s="35">
        <f t="shared" si="206"/>
        <v>0</v>
      </c>
      <c r="J416" s="35">
        <f t="shared" si="206"/>
        <v>0</v>
      </c>
      <c r="K416" s="35">
        <f t="shared" si="206"/>
        <v>0</v>
      </c>
      <c r="L416" s="35">
        <f>MONTH(M418)</f>
        <v>3</v>
      </c>
      <c r="M416" s="48" t="str">
        <f>IF(O415&gt;0,"Y","X")</f>
        <v>X</v>
      </c>
      <c r="N416" s="62">
        <f>IF(SUM(B415:K415)=0,0,SUM(B416:K416))</f>
        <v>0</v>
      </c>
      <c r="O416" s="93"/>
      <c r="P416" s="96"/>
      <c r="Q416" s="99"/>
      <c r="R416" s="102"/>
      <c r="S416" s="104">
        <f>SUM(T415:XFD415)</f>
        <v>0</v>
      </c>
      <c r="T416" s="108"/>
      <c r="U416" s="108"/>
      <c r="V416" s="108"/>
      <c r="W416" s="108"/>
      <c r="X416" s="108"/>
      <c r="Y416" s="108"/>
      <c r="Z416" s="108"/>
      <c r="AA416" s="108"/>
      <c r="AB416" s="108"/>
      <c r="AC416" s="108"/>
      <c r="AD416" s="108"/>
      <c r="AE416" s="108"/>
      <c r="AF416" s="108"/>
    </row>
    <row r="417" spans="1:32" ht="17.25" thickTop="1">
      <c r="A417" s="111"/>
      <c r="B417" s="50">
        <v>0</v>
      </c>
      <c r="C417" s="50">
        <v>0</v>
      </c>
      <c r="D417" s="50">
        <v>0</v>
      </c>
      <c r="E417" s="50">
        <v>0</v>
      </c>
      <c r="F417" s="50">
        <v>0</v>
      </c>
      <c r="G417" s="50">
        <v>0</v>
      </c>
      <c r="H417" s="50">
        <v>0</v>
      </c>
      <c r="I417" s="50">
        <v>0</v>
      </c>
      <c r="J417" s="50">
        <v>0</v>
      </c>
      <c r="K417" s="51">
        <v>0</v>
      </c>
      <c r="L417" s="52"/>
      <c r="M417" s="63"/>
      <c r="N417" s="64" t="s">
        <v>39</v>
      </c>
      <c r="O417" s="93"/>
      <c r="P417" s="96"/>
      <c r="Q417" s="99"/>
      <c r="R417" s="102"/>
      <c r="S417" s="105"/>
      <c r="T417" s="108"/>
      <c r="U417" s="108"/>
      <c r="V417" s="108"/>
      <c r="W417" s="108"/>
      <c r="X417" s="108"/>
      <c r="Y417" s="108"/>
      <c r="Z417" s="108"/>
      <c r="AA417" s="108"/>
      <c r="AB417" s="108"/>
      <c r="AC417" s="108"/>
      <c r="AD417" s="108"/>
      <c r="AE417" s="108"/>
      <c r="AF417" s="108"/>
    </row>
    <row r="418" spans="1:32" ht="17.25" thickBot="1">
      <c r="A418" s="112"/>
      <c r="B418" s="55">
        <f t="shared" ref="B418:K418" si="207">+(B415+B417)*B$4</f>
        <v>0</v>
      </c>
      <c r="C418" s="55">
        <f t="shared" si="207"/>
        <v>0</v>
      </c>
      <c r="D418" s="55">
        <f t="shared" si="207"/>
        <v>0</v>
      </c>
      <c r="E418" s="55">
        <f t="shared" si="207"/>
        <v>0</v>
      </c>
      <c r="F418" s="55">
        <f t="shared" si="207"/>
        <v>0</v>
      </c>
      <c r="G418" s="55">
        <f t="shared" si="207"/>
        <v>0</v>
      </c>
      <c r="H418" s="55">
        <f t="shared" si="207"/>
        <v>0</v>
      </c>
      <c r="I418" s="55">
        <f t="shared" si="207"/>
        <v>0</v>
      </c>
      <c r="J418" s="55">
        <f t="shared" si="207"/>
        <v>0</v>
      </c>
      <c r="K418" s="55">
        <f t="shared" si="207"/>
        <v>0</v>
      </c>
      <c r="L418" s="57"/>
      <c r="M418" s="65">
        <f>A415</f>
        <v>44266</v>
      </c>
      <c r="N418" s="66">
        <f>SUM(B418:K418)</f>
        <v>0</v>
      </c>
      <c r="O418" s="94"/>
      <c r="P418" s="97"/>
      <c r="Q418" s="100"/>
      <c r="R418" s="103"/>
      <c r="S418" s="106"/>
      <c r="T418" s="109"/>
      <c r="U418" s="109"/>
      <c r="V418" s="109"/>
      <c r="W418" s="109"/>
      <c r="X418" s="109"/>
      <c r="Y418" s="109"/>
      <c r="Z418" s="109"/>
      <c r="AA418" s="109"/>
      <c r="AB418" s="109"/>
      <c r="AC418" s="109"/>
      <c r="AD418" s="109"/>
      <c r="AE418" s="109"/>
      <c r="AF418" s="109"/>
    </row>
    <row r="419" spans="1:32">
      <c r="A419" s="110">
        <f>+A415+1</f>
        <v>44267</v>
      </c>
      <c r="B419" s="31"/>
      <c r="C419" s="31"/>
      <c r="D419" s="31"/>
      <c r="E419" s="31"/>
      <c r="F419" s="31"/>
      <c r="G419" s="31"/>
      <c r="H419" s="31"/>
      <c r="I419" s="31"/>
      <c r="J419" s="31"/>
      <c r="K419" s="32"/>
      <c r="L419" s="15"/>
      <c r="M419" s="60"/>
      <c r="N419" s="46" t="s">
        <v>38</v>
      </c>
      <c r="O419" s="92">
        <f>+IFERROR(IF(HLOOKUP(S419,$S$3:$AB$3,1,)=S419,S420,0),0)</f>
        <v>0</v>
      </c>
      <c r="P419" s="95">
        <f>IFERROR(+N420/O419,0)</f>
        <v>0</v>
      </c>
      <c r="Q419" s="98">
        <f>+IFERROR(IF(HLOOKUP(S419,$S$4:$AB$4,1,)=S419,S420,0),0)</f>
        <v>0</v>
      </c>
      <c r="R419" s="101">
        <f>IFERROR(N420/Q419,0)</f>
        <v>0</v>
      </c>
      <c r="S419" s="47" t="s">
        <v>17</v>
      </c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</row>
    <row r="420" spans="1:32" ht="17.25" thickBot="1">
      <c r="A420" s="111"/>
      <c r="B420" s="35">
        <f t="shared" ref="B420:K420" si="208">+(B419-(B415+B417))*B$4</f>
        <v>0</v>
      </c>
      <c r="C420" s="35">
        <f t="shared" si="208"/>
        <v>0</v>
      </c>
      <c r="D420" s="35">
        <f t="shared" si="208"/>
        <v>0</v>
      </c>
      <c r="E420" s="35">
        <f t="shared" si="208"/>
        <v>0</v>
      </c>
      <c r="F420" s="35">
        <f t="shared" si="208"/>
        <v>0</v>
      </c>
      <c r="G420" s="35">
        <f t="shared" si="208"/>
        <v>0</v>
      </c>
      <c r="H420" s="35">
        <f t="shared" si="208"/>
        <v>0</v>
      </c>
      <c r="I420" s="35">
        <f t="shared" si="208"/>
        <v>0</v>
      </c>
      <c r="J420" s="35">
        <f t="shared" si="208"/>
        <v>0</v>
      </c>
      <c r="K420" s="35">
        <f t="shared" si="208"/>
        <v>0</v>
      </c>
      <c r="L420" s="35">
        <f>MONTH(M422)</f>
        <v>3</v>
      </c>
      <c r="M420" s="48" t="str">
        <f>IF(O419&gt;0,"Y","X")</f>
        <v>X</v>
      </c>
      <c r="N420" s="49">
        <f>IF(SUM(B419:K419)=0,0,SUM(B420:K420))</f>
        <v>0</v>
      </c>
      <c r="O420" s="93"/>
      <c r="P420" s="96"/>
      <c r="Q420" s="99"/>
      <c r="R420" s="102"/>
      <c r="S420" s="104">
        <f>SUM(T419:XFD419)</f>
        <v>0</v>
      </c>
      <c r="T420" s="108"/>
      <c r="U420" s="108"/>
      <c r="V420" s="108"/>
      <c r="W420" s="108"/>
      <c r="X420" s="108"/>
      <c r="Y420" s="108"/>
      <c r="Z420" s="108"/>
      <c r="AA420" s="108"/>
      <c r="AB420" s="108"/>
      <c r="AC420" s="108"/>
      <c r="AD420" s="108"/>
      <c r="AE420" s="108"/>
      <c r="AF420" s="108"/>
    </row>
    <row r="421" spans="1:32" ht="17.25" thickTop="1">
      <c r="A421" s="111"/>
      <c r="B421" s="50">
        <v>0</v>
      </c>
      <c r="C421" s="50">
        <v>0</v>
      </c>
      <c r="D421" s="50">
        <v>0</v>
      </c>
      <c r="E421" s="50">
        <v>0</v>
      </c>
      <c r="F421" s="50">
        <v>0</v>
      </c>
      <c r="G421" s="50">
        <v>0</v>
      </c>
      <c r="H421" s="50">
        <v>0</v>
      </c>
      <c r="I421" s="50">
        <v>0</v>
      </c>
      <c r="J421" s="50">
        <v>0</v>
      </c>
      <c r="K421" s="51">
        <v>0</v>
      </c>
      <c r="L421" s="52"/>
      <c r="M421" s="63"/>
      <c r="N421" s="54" t="s">
        <v>39</v>
      </c>
      <c r="O421" s="93"/>
      <c r="P421" s="96"/>
      <c r="Q421" s="99"/>
      <c r="R421" s="102"/>
      <c r="S421" s="105"/>
      <c r="T421" s="108"/>
      <c r="U421" s="108"/>
      <c r="V421" s="108"/>
      <c r="W421" s="108"/>
      <c r="X421" s="108"/>
      <c r="Y421" s="108"/>
      <c r="Z421" s="108"/>
      <c r="AA421" s="108"/>
      <c r="AB421" s="108"/>
      <c r="AC421" s="108"/>
      <c r="AD421" s="108"/>
      <c r="AE421" s="108"/>
      <c r="AF421" s="108"/>
    </row>
    <row r="422" spans="1:32" ht="17.25" thickBot="1">
      <c r="A422" s="112"/>
      <c r="B422" s="55">
        <f t="shared" ref="B422:K422" si="209">+(B419+B421)*B$4</f>
        <v>0</v>
      </c>
      <c r="C422" s="55">
        <f t="shared" si="209"/>
        <v>0</v>
      </c>
      <c r="D422" s="55">
        <f t="shared" si="209"/>
        <v>0</v>
      </c>
      <c r="E422" s="55">
        <f t="shared" si="209"/>
        <v>0</v>
      </c>
      <c r="F422" s="55">
        <f t="shared" si="209"/>
        <v>0</v>
      </c>
      <c r="G422" s="55">
        <f t="shared" si="209"/>
        <v>0</v>
      </c>
      <c r="H422" s="55">
        <f t="shared" si="209"/>
        <v>0</v>
      </c>
      <c r="I422" s="55">
        <f t="shared" si="209"/>
        <v>0</v>
      </c>
      <c r="J422" s="55">
        <f t="shared" si="209"/>
        <v>0</v>
      </c>
      <c r="K422" s="55">
        <f t="shared" si="209"/>
        <v>0</v>
      </c>
      <c r="L422" s="57"/>
      <c r="M422" s="65">
        <f>A419</f>
        <v>44267</v>
      </c>
      <c r="N422" s="59">
        <f>SUM(B422:K422)</f>
        <v>0</v>
      </c>
      <c r="O422" s="94"/>
      <c r="P422" s="97"/>
      <c r="Q422" s="100"/>
      <c r="R422" s="103"/>
      <c r="S422" s="106"/>
      <c r="T422" s="109"/>
      <c r="U422" s="109"/>
      <c r="V422" s="109"/>
      <c r="W422" s="109"/>
      <c r="X422" s="109"/>
      <c r="Y422" s="109"/>
      <c r="Z422" s="109"/>
      <c r="AA422" s="109"/>
      <c r="AB422" s="109"/>
      <c r="AC422" s="109"/>
      <c r="AD422" s="109"/>
      <c r="AE422" s="109"/>
      <c r="AF422" s="109"/>
    </row>
    <row r="423" spans="1:32">
      <c r="A423" s="113">
        <f>+A419+1</f>
        <v>44268</v>
      </c>
      <c r="B423" s="31"/>
      <c r="C423" s="31"/>
      <c r="D423" s="31"/>
      <c r="E423" s="31"/>
      <c r="F423" s="31"/>
      <c r="G423" s="31"/>
      <c r="H423" s="31"/>
      <c r="I423" s="31"/>
      <c r="J423" s="31"/>
      <c r="K423" s="32"/>
      <c r="L423" s="15"/>
      <c r="M423" s="60"/>
      <c r="N423" s="61" t="s">
        <v>38</v>
      </c>
      <c r="O423" s="92">
        <f>+IFERROR(IF(HLOOKUP(S423,$S$3:$AB$3,1,)=S423,S424,0),0)</f>
        <v>0</v>
      </c>
      <c r="P423" s="95">
        <f>IFERROR(+N424/O423,0)</f>
        <v>0</v>
      </c>
      <c r="Q423" s="98">
        <f>+IFERROR(IF(HLOOKUP(S423,$S$4:$AB$4,1,)=S423,S424,0),0)</f>
        <v>0</v>
      </c>
      <c r="R423" s="101">
        <f>IFERROR(N424/Q423,0)</f>
        <v>0</v>
      </c>
      <c r="S423" s="47" t="s">
        <v>19</v>
      </c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</row>
    <row r="424" spans="1:32" ht="17.25" thickBot="1">
      <c r="A424" s="114"/>
      <c r="B424" s="35">
        <f t="shared" ref="B424:K424" si="210">+(B423-(B419+B421))*B$4</f>
        <v>0</v>
      </c>
      <c r="C424" s="35">
        <f t="shared" si="210"/>
        <v>0</v>
      </c>
      <c r="D424" s="35">
        <f t="shared" si="210"/>
        <v>0</v>
      </c>
      <c r="E424" s="35">
        <f t="shared" si="210"/>
        <v>0</v>
      </c>
      <c r="F424" s="35">
        <f t="shared" si="210"/>
        <v>0</v>
      </c>
      <c r="G424" s="35">
        <f t="shared" si="210"/>
        <v>0</v>
      </c>
      <c r="H424" s="35">
        <f t="shared" si="210"/>
        <v>0</v>
      </c>
      <c r="I424" s="35">
        <f t="shared" si="210"/>
        <v>0</v>
      </c>
      <c r="J424" s="35">
        <f t="shared" si="210"/>
        <v>0</v>
      </c>
      <c r="K424" s="35">
        <f t="shared" si="210"/>
        <v>0</v>
      </c>
      <c r="L424" s="35">
        <f>MONTH(M426)</f>
        <v>3</v>
      </c>
      <c r="M424" s="48" t="str">
        <f>IF(O423&gt;0,"Y","X")</f>
        <v>X</v>
      </c>
      <c r="N424" s="62">
        <f>IF(SUM(B423:K423)=0,0,SUM(B424:K424))</f>
        <v>0</v>
      </c>
      <c r="O424" s="93"/>
      <c r="P424" s="96"/>
      <c r="Q424" s="99"/>
      <c r="R424" s="102"/>
      <c r="S424" s="104">
        <f>SUM(T423:XFD423)</f>
        <v>0</v>
      </c>
      <c r="T424" s="108"/>
      <c r="U424" s="108"/>
      <c r="V424" s="108"/>
      <c r="W424" s="108"/>
      <c r="X424" s="108"/>
      <c r="Y424" s="108"/>
      <c r="Z424" s="108"/>
      <c r="AA424" s="108"/>
      <c r="AB424" s="108"/>
      <c r="AC424" s="108"/>
      <c r="AD424" s="108"/>
      <c r="AE424" s="108"/>
      <c r="AF424" s="108"/>
    </row>
    <row r="425" spans="1:32" ht="17.25" thickTop="1">
      <c r="A425" s="114"/>
      <c r="B425" s="50">
        <v>0</v>
      </c>
      <c r="C425" s="50">
        <v>0</v>
      </c>
      <c r="D425" s="50">
        <v>0</v>
      </c>
      <c r="E425" s="50">
        <v>0</v>
      </c>
      <c r="F425" s="50">
        <v>0</v>
      </c>
      <c r="G425" s="50">
        <v>0</v>
      </c>
      <c r="H425" s="50">
        <v>0</v>
      </c>
      <c r="I425" s="50">
        <v>0</v>
      </c>
      <c r="J425" s="50">
        <v>0</v>
      </c>
      <c r="K425" s="51">
        <v>0</v>
      </c>
      <c r="L425" s="52"/>
      <c r="M425" s="63"/>
      <c r="N425" s="64" t="s">
        <v>39</v>
      </c>
      <c r="O425" s="93"/>
      <c r="P425" s="96"/>
      <c r="Q425" s="99"/>
      <c r="R425" s="102"/>
      <c r="S425" s="105"/>
      <c r="T425" s="108"/>
      <c r="U425" s="108"/>
      <c r="V425" s="108"/>
      <c r="W425" s="108"/>
      <c r="X425" s="108"/>
      <c r="Y425" s="108"/>
      <c r="Z425" s="108"/>
      <c r="AA425" s="108"/>
      <c r="AB425" s="108"/>
      <c r="AC425" s="108"/>
      <c r="AD425" s="108"/>
      <c r="AE425" s="108"/>
      <c r="AF425" s="108"/>
    </row>
    <row r="426" spans="1:32" ht="17.25" thickBot="1">
      <c r="A426" s="115"/>
      <c r="B426" s="55">
        <f t="shared" ref="B426:K426" si="211">+(B423+B425)*B$4</f>
        <v>0</v>
      </c>
      <c r="C426" s="55">
        <f t="shared" si="211"/>
        <v>0</v>
      </c>
      <c r="D426" s="55">
        <f t="shared" si="211"/>
        <v>0</v>
      </c>
      <c r="E426" s="55">
        <f t="shared" si="211"/>
        <v>0</v>
      </c>
      <c r="F426" s="55">
        <f t="shared" si="211"/>
        <v>0</v>
      </c>
      <c r="G426" s="55">
        <f t="shared" si="211"/>
        <v>0</v>
      </c>
      <c r="H426" s="55">
        <f t="shared" si="211"/>
        <v>0</v>
      </c>
      <c r="I426" s="55">
        <f t="shared" si="211"/>
        <v>0</v>
      </c>
      <c r="J426" s="55">
        <f t="shared" si="211"/>
        <v>0</v>
      </c>
      <c r="K426" s="55">
        <f t="shared" si="211"/>
        <v>0</v>
      </c>
      <c r="L426" s="57"/>
      <c r="M426" s="65">
        <f>A423</f>
        <v>44268</v>
      </c>
      <c r="N426" s="66">
        <f>SUM(B426:K426)</f>
        <v>0</v>
      </c>
      <c r="O426" s="94"/>
      <c r="P426" s="97"/>
      <c r="Q426" s="100"/>
      <c r="R426" s="103"/>
      <c r="S426" s="106"/>
      <c r="T426" s="109"/>
      <c r="U426" s="109"/>
      <c r="V426" s="109"/>
      <c r="W426" s="109"/>
      <c r="X426" s="109"/>
      <c r="Y426" s="109"/>
      <c r="Z426" s="109"/>
      <c r="AA426" s="109"/>
      <c r="AB426" s="109"/>
      <c r="AC426" s="109"/>
      <c r="AD426" s="109"/>
      <c r="AE426" s="109"/>
      <c r="AF426" s="109"/>
    </row>
    <row r="427" spans="1:32">
      <c r="A427" s="113">
        <f>+A423+1</f>
        <v>44269</v>
      </c>
      <c r="B427" s="31"/>
      <c r="C427" s="31"/>
      <c r="D427" s="31"/>
      <c r="E427" s="31"/>
      <c r="F427" s="31"/>
      <c r="G427" s="31"/>
      <c r="H427" s="31"/>
      <c r="I427" s="31"/>
      <c r="J427" s="31"/>
      <c r="K427" s="32"/>
      <c r="L427" s="15"/>
      <c r="M427" s="60"/>
      <c r="N427" s="46" t="s">
        <v>38</v>
      </c>
      <c r="O427" s="92">
        <f>+IFERROR(IF(HLOOKUP(S427,$S$3:$AB$3,1,)=S427,S428,0),0)</f>
        <v>0</v>
      </c>
      <c r="P427" s="95">
        <f>IFERROR(+N428/O427,0)</f>
        <v>0</v>
      </c>
      <c r="Q427" s="98">
        <f>+IFERROR(IF(HLOOKUP(S427,$S$4:$AB$4,1,)=S427,S428,0),0)</f>
        <v>0</v>
      </c>
      <c r="R427" s="101">
        <f>IFERROR(N428/Q427,0)</f>
        <v>0</v>
      </c>
      <c r="S427" s="47" t="s">
        <v>20</v>
      </c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</row>
    <row r="428" spans="1:32" ht="17.25" thickBot="1">
      <c r="A428" s="114"/>
      <c r="B428" s="35">
        <f t="shared" ref="B428:K428" si="212">+(B427-(B423+B425))*B$4</f>
        <v>0</v>
      </c>
      <c r="C428" s="35">
        <f t="shared" si="212"/>
        <v>0</v>
      </c>
      <c r="D428" s="35">
        <f t="shared" si="212"/>
        <v>0</v>
      </c>
      <c r="E428" s="35">
        <f t="shared" si="212"/>
        <v>0</v>
      </c>
      <c r="F428" s="35">
        <f t="shared" si="212"/>
        <v>0</v>
      </c>
      <c r="G428" s="35">
        <f t="shared" si="212"/>
        <v>0</v>
      </c>
      <c r="H428" s="35">
        <f t="shared" si="212"/>
        <v>0</v>
      </c>
      <c r="I428" s="35">
        <f t="shared" si="212"/>
        <v>0</v>
      </c>
      <c r="J428" s="35">
        <f t="shared" si="212"/>
        <v>0</v>
      </c>
      <c r="K428" s="35">
        <f t="shared" si="212"/>
        <v>0</v>
      </c>
      <c r="L428" s="35">
        <f>MONTH(M430)</f>
        <v>3</v>
      </c>
      <c r="M428" s="48" t="str">
        <f>IF(O427&gt;0,"Y","X")</f>
        <v>X</v>
      </c>
      <c r="N428" s="49">
        <f>IF(SUM(B427:K427)=0,0,SUM(B428:K428))</f>
        <v>0</v>
      </c>
      <c r="O428" s="93"/>
      <c r="P428" s="96"/>
      <c r="Q428" s="99"/>
      <c r="R428" s="102"/>
      <c r="S428" s="104">
        <f>SUM(T427:XFD427)</f>
        <v>0</v>
      </c>
      <c r="T428" s="108"/>
      <c r="U428" s="108"/>
      <c r="V428" s="108"/>
      <c r="W428" s="108"/>
      <c r="X428" s="108"/>
      <c r="Y428" s="108"/>
      <c r="Z428" s="108"/>
      <c r="AA428" s="108"/>
      <c r="AB428" s="108"/>
      <c r="AC428" s="108"/>
      <c r="AD428" s="108"/>
      <c r="AE428" s="108"/>
      <c r="AF428" s="108"/>
    </row>
    <row r="429" spans="1:32" ht="17.25" thickTop="1">
      <c r="A429" s="114"/>
      <c r="B429" s="50">
        <v>0</v>
      </c>
      <c r="C429" s="50">
        <v>0</v>
      </c>
      <c r="D429" s="50">
        <v>0</v>
      </c>
      <c r="E429" s="50">
        <v>0</v>
      </c>
      <c r="F429" s="50">
        <v>0</v>
      </c>
      <c r="G429" s="50">
        <v>0</v>
      </c>
      <c r="H429" s="50">
        <v>0</v>
      </c>
      <c r="I429" s="50">
        <v>0</v>
      </c>
      <c r="J429" s="50">
        <v>0</v>
      </c>
      <c r="K429" s="51">
        <v>0</v>
      </c>
      <c r="L429" s="52"/>
      <c r="M429" s="63"/>
      <c r="N429" s="54" t="s">
        <v>39</v>
      </c>
      <c r="O429" s="93"/>
      <c r="P429" s="96"/>
      <c r="Q429" s="99"/>
      <c r="R429" s="102"/>
      <c r="S429" s="105"/>
      <c r="T429" s="108"/>
      <c r="U429" s="108"/>
      <c r="V429" s="108"/>
      <c r="W429" s="108"/>
      <c r="X429" s="108"/>
      <c r="Y429" s="108"/>
      <c r="Z429" s="108"/>
      <c r="AA429" s="108"/>
      <c r="AB429" s="108"/>
      <c r="AC429" s="108"/>
      <c r="AD429" s="108"/>
      <c r="AE429" s="108"/>
      <c r="AF429" s="108"/>
    </row>
    <row r="430" spans="1:32" ht="17.25" thickBot="1">
      <c r="A430" s="115"/>
      <c r="B430" s="55">
        <f t="shared" ref="B430:K430" si="213">+(B427+B429)*B$4</f>
        <v>0</v>
      </c>
      <c r="C430" s="55">
        <f t="shared" si="213"/>
        <v>0</v>
      </c>
      <c r="D430" s="55">
        <f t="shared" si="213"/>
        <v>0</v>
      </c>
      <c r="E430" s="55">
        <f t="shared" si="213"/>
        <v>0</v>
      </c>
      <c r="F430" s="55">
        <f t="shared" si="213"/>
        <v>0</v>
      </c>
      <c r="G430" s="55">
        <f t="shared" si="213"/>
        <v>0</v>
      </c>
      <c r="H430" s="55">
        <f t="shared" si="213"/>
        <v>0</v>
      </c>
      <c r="I430" s="55">
        <f t="shared" si="213"/>
        <v>0</v>
      </c>
      <c r="J430" s="55">
        <f t="shared" si="213"/>
        <v>0</v>
      </c>
      <c r="K430" s="55">
        <f t="shared" si="213"/>
        <v>0</v>
      </c>
      <c r="L430" s="57"/>
      <c r="M430" s="65">
        <f>A427</f>
        <v>44269</v>
      </c>
      <c r="N430" s="59">
        <f>SUM(B430:K430)</f>
        <v>0</v>
      </c>
      <c r="O430" s="94"/>
      <c r="P430" s="97"/>
      <c r="Q430" s="100"/>
      <c r="R430" s="103"/>
      <c r="S430" s="106"/>
      <c r="T430" s="109"/>
      <c r="U430" s="109"/>
      <c r="V430" s="109"/>
      <c r="W430" s="109"/>
      <c r="X430" s="109"/>
      <c r="Y430" s="109"/>
      <c r="Z430" s="109"/>
      <c r="AA430" s="109"/>
      <c r="AB430" s="109"/>
      <c r="AC430" s="109"/>
      <c r="AD430" s="109"/>
      <c r="AE430" s="109"/>
      <c r="AF430" s="109"/>
    </row>
    <row r="431" spans="1:32">
      <c r="A431" s="110">
        <f>+A427+1</f>
        <v>44270</v>
      </c>
      <c r="B431" s="31"/>
      <c r="C431" s="31"/>
      <c r="D431" s="31"/>
      <c r="E431" s="31"/>
      <c r="F431" s="31"/>
      <c r="G431" s="31"/>
      <c r="H431" s="31"/>
      <c r="I431" s="31"/>
      <c r="J431" s="31"/>
      <c r="K431" s="32"/>
      <c r="L431" s="15"/>
      <c r="M431" s="45"/>
      <c r="N431" s="61" t="s">
        <v>38</v>
      </c>
      <c r="O431" s="92">
        <f>+IFERROR(IF(HLOOKUP(S431,$S$3:$AB$3,1,)=S431,S432,0),0)</f>
        <v>0</v>
      </c>
      <c r="P431" s="95">
        <f>IFERROR(+N432/O431,0)</f>
        <v>0</v>
      </c>
      <c r="Q431" s="98">
        <f>+IFERROR(IF(HLOOKUP(S431,$S$4:$AB$4,1,)=S431,S432,0),0)</f>
        <v>0</v>
      </c>
      <c r="R431" s="101">
        <f>IFERROR(N432/Q431,0)</f>
        <v>0</v>
      </c>
      <c r="S431" s="47" t="s">
        <v>18</v>
      </c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</row>
    <row r="432" spans="1:32" ht="17.25" thickBot="1">
      <c r="A432" s="111"/>
      <c r="B432" s="35">
        <f t="shared" ref="B432:K432" si="214">+(B431-(B427+B429))*B$4</f>
        <v>0</v>
      </c>
      <c r="C432" s="35">
        <f t="shared" si="214"/>
        <v>0</v>
      </c>
      <c r="D432" s="35">
        <f t="shared" si="214"/>
        <v>0</v>
      </c>
      <c r="E432" s="35">
        <f t="shared" si="214"/>
        <v>0</v>
      </c>
      <c r="F432" s="35">
        <f t="shared" si="214"/>
        <v>0</v>
      </c>
      <c r="G432" s="35">
        <f t="shared" si="214"/>
        <v>0</v>
      </c>
      <c r="H432" s="35">
        <f t="shared" si="214"/>
        <v>0</v>
      </c>
      <c r="I432" s="35">
        <f t="shared" si="214"/>
        <v>0</v>
      </c>
      <c r="J432" s="35">
        <f t="shared" si="214"/>
        <v>0</v>
      </c>
      <c r="K432" s="35">
        <f t="shared" si="214"/>
        <v>0</v>
      </c>
      <c r="L432" s="35">
        <f>MONTH(M434)</f>
        <v>3</v>
      </c>
      <c r="M432" s="48" t="str">
        <f>IF(O431&gt;0,"Y","X")</f>
        <v>X</v>
      </c>
      <c r="N432" s="62">
        <f>IF(SUM(B431:K431)=0,0,SUM(B432:K432))</f>
        <v>0</v>
      </c>
      <c r="O432" s="93"/>
      <c r="P432" s="96"/>
      <c r="Q432" s="99"/>
      <c r="R432" s="102"/>
      <c r="S432" s="104">
        <f>SUM(T431:XFD431)</f>
        <v>0</v>
      </c>
      <c r="T432" s="108"/>
      <c r="U432" s="108"/>
      <c r="V432" s="108"/>
      <c r="W432" s="108"/>
      <c r="X432" s="108"/>
      <c r="Y432" s="108"/>
      <c r="Z432" s="108"/>
      <c r="AA432" s="108"/>
      <c r="AB432" s="108"/>
      <c r="AC432" s="108"/>
      <c r="AD432" s="108"/>
      <c r="AE432" s="108"/>
      <c r="AF432" s="108"/>
    </row>
    <row r="433" spans="1:32" ht="17.25" thickTop="1">
      <c r="A433" s="111"/>
      <c r="B433" s="50">
        <v>0</v>
      </c>
      <c r="C433" s="50">
        <v>0</v>
      </c>
      <c r="D433" s="50">
        <v>0</v>
      </c>
      <c r="E433" s="50">
        <v>0</v>
      </c>
      <c r="F433" s="50">
        <v>0</v>
      </c>
      <c r="G433" s="50">
        <v>0</v>
      </c>
      <c r="H433" s="50">
        <v>0</v>
      </c>
      <c r="I433" s="50">
        <v>0</v>
      </c>
      <c r="J433" s="50">
        <v>0</v>
      </c>
      <c r="K433" s="51">
        <v>0</v>
      </c>
      <c r="L433" s="52"/>
      <c r="M433" s="53"/>
      <c r="N433" s="64" t="s">
        <v>39</v>
      </c>
      <c r="O433" s="93"/>
      <c r="P433" s="96"/>
      <c r="Q433" s="99"/>
      <c r="R433" s="102"/>
      <c r="S433" s="105"/>
      <c r="T433" s="108"/>
      <c r="U433" s="108"/>
      <c r="V433" s="108"/>
      <c r="W433" s="108"/>
      <c r="X433" s="108"/>
      <c r="Y433" s="108"/>
      <c r="Z433" s="108"/>
      <c r="AA433" s="108"/>
      <c r="AB433" s="108"/>
      <c r="AC433" s="108"/>
      <c r="AD433" s="108"/>
      <c r="AE433" s="108"/>
      <c r="AF433" s="108"/>
    </row>
    <row r="434" spans="1:32" ht="17.25" thickBot="1">
      <c r="A434" s="112"/>
      <c r="B434" s="55">
        <f t="shared" ref="B434:K434" si="215">+(B431+B433)*B$4</f>
        <v>0</v>
      </c>
      <c r="C434" s="55">
        <f t="shared" si="215"/>
        <v>0</v>
      </c>
      <c r="D434" s="55">
        <f t="shared" si="215"/>
        <v>0</v>
      </c>
      <c r="E434" s="55">
        <f t="shared" si="215"/>
        <v>0</v>
      </c>
      <c r="F434" s="55">
        <f t="shared" si="215"/>
        <v>0</v>
      </c>
      <c r="G434" s="55">
        <f t="shared" si="215"/>
        <v>0</v>
      </c>
      <c r="H434" s="55">
        <f t="shared" si="215"/>
        <v>0</v>
      </c>
      <c r="I434" s="55">
        <f t="shared" si="215"/>
        <v>0</v>
      </c>
      <c r="J434" s="55">
        <f t="shared" si="215"/>
        <v>0</v>
      </c>
      <c r="K434" s="55">
        <f t="shared" si="215"/>
        <v>0</v>
      </c>
      <c r="L434" s="57"/>
      <c r="M434" s="58">
        <f>A431</f>
        <v>44270</v>
      </c>
      <c r="N434" s="66">
        <f>SUM(B434:K434)</f>
        <v>0</v>
      </c>
      <c r="O434" s="94"/>
      <c r="P434" s="97"/>
      <c r="Q434" s="100"/>
      <c r="R434" s="103"/>
      <c r="S434" s="106"/>
      <c r="T434" s="109"/>
      <c r="U434" s="109"/>
      <c r="V434" s="109"/>
      <c r="W434" s="109"/>
      <c r="X434" s="109"/>
      <c r="Y434" s="109"/>
      <c r="Z434" s="109"/>
      <c r="AA434" s="109"/>
      <c r="AB434" s="109"/>
      <c r="AC434" s="109"/>
      <c r="AD434" s="109"/>
      <c r="AE434" s="109"/>
      <c r="AF434" s="109"/>
    </row>
    <row r="435" spans="1:32">
      <c r="A435" s="110">
        <f>+A431+1</f>
        <v>44271</v>
      </c>
      <c r="B435" s="31"/>
      <c r="C435" s="31"/>
      <c r="D435" s="31"/>
      <c r="E435" s="31"/>
      <c r="F435" s="31"/>
      <c r="G435" s="31"/>
      <c r="H435" s="31"/>
      <c r="I435" s="31"/>
      <c r="J435" s="31"/>
      <c r="K435" s="32"/>
      <c r="L435" s="15"/>
      <c r="M435" s="60"/>
      <c r="N435" s="46" t="s">
        <v>38</v>
      </c>
      <c r="O435" s="92">
        <f>+IFERROR(IF(HLOOKUP(S435,$S$3:$AB$3,1,)=S435,S436,0),0)</f>
        <v>0</v>
      </c>
      <c r="P435" s="95">
        <f>IFERROR(+N436/O435,0)</f>
        <v>0</v>
      </c>
      <c r="Q435" s="98">
        <f>+IFERROR(IF(HLOOKUP(S435,$S$4:$AB$4,1,)=S435,S436,0),0)</f>
        <v>0</v>
      </c>
      <c r="R435" s="101">
        <f>IFERROR(N436/Q435,0)</f>
        <v>0</v>
      </c>
      <c r="S435" s="47" t="s">
        <v>24</v>
      </c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</row>
    <row r="436" spans="1:32" ht="17.25" thickBot="1">
      <c r="A436" s="111"/>
      <c r="B436" s="35">
        <f t="shared" ref="B436:K436" si="216">+(B435-(B431+B433))*B$4</f>
        <v>0</v>
      </c>
      <c r="C436" s="35">
        <f t="shared" si="216"/>
        <v>0</v>
      </c>
      <c r="D436" s="35">
        <f t="shared" si="216"/>
        <v>0</v>
      </c>
      <c r="E436" s="35">
        <f t="shared" si="216"/>
        <v>0</v>
      </c>
      <c r="F436" s="35">
        <f t="shared" si="216"/>
        <v>0</v>
      </c>
      <c r="G436" s="35">
        <f t="shared" si="216"/>
        <v>0</v>
      </c>
      <c r="H436" s="35">
        <f t="shared" si="216"/>
        <v>0</v>
      </c>
      <c r="I436" s="35">
        <f t="shared" si="216"/>
        <v>0</v>
      </c>
      <c r="J436" s="35">
        <f t="shared" si="216"/>
        <v>0</v>
      </c>
      <c r="K436" s="35">
        <f t="shared" si="216"/>
        <v>0</v>
      </c>
      <c r="L436" s="35">
        <f>MONTH(M438)</f>
        <v>3</v>
      </c>
      <c r="M436" s="48" t="str">
        <f>IF(O435&gt;0,"Y","X")</f>
        <v>X</v>
      </c>
      <c r="N436" s="49">
        <f>IF(SUM(B435:K435)=0,0,SUM(B436:K436))</f>
        <v>0</v>
      </c>
      <c r="O436" s="93"/>
      <c r="P436" s="96"/>
      <c r="Q436" s="99"/>
      <c r="R436" s="102"/>
      <c r="S436" s="104">
        <f>SUM(T435:XFD435)</f>
        <v>0</v>
      </c>
      <c r="T436" s="108"/>
      <c r="U436" s="108"/>
      <c r="V436" s="108"/>
      <c r="W436" s="108"/>
      <c r="X436" s="108"/>
      <c r="Y436" s="108"/>
      <c r="Z436" s="108"/>
      <c r="AA436" s="108"/>
      <c r="AB436" s="108"/>
      <c r="AC436" s="108"/>
      <c r="AD436" s="108"/>
      <c r="AE436" s="108"/>
      <c r="AF436" s="108"/>
    </row>
    <row r="437" spans="1:32" ht="17.25" thickTop="1">
      <c r="A437" s="111"/>
      <c r="B437" s="50">
        <v>0</v>
      </c>
      <c r="C437" s="50">
        <v>0</v>
      </c>
      <c r="D437" s="50">
        <v>0</v>
      </c>
      <c r="E437" s="50">
        <v>0</v>
      </c>
      <c r="F437" s="50">
        <v>0</v>
      </c>
      <c r="G437" s="50">
        <v>0</v>
      </c>
      <c r="H437" s="50">
        <v>0</v>
      </c>
      <c r="I437" s="50">
        <v>0</v>
      </c>
      <c r="J437" s="50">
        <v>0</v>
      </c>
      <c r="K437" s="51">
        <v>0</v>
      </c>
      <c r="L437" s="52"/>
      <c r="M437" s="63"/>
      <c r="N437" s="54" t="s">
        <v>39</v>
      </c>
      <c r="O437" s="93"/>
      <c r="P437" s="96"/>
      <c r="Q437" s="99"/>
      <c r="R437" s="102"/>
      <c r="S437" s="105"/>
      <c r="T437" s="108"/>
      <c r="U437" s="108"/>
      <c r="V437" s="108"/>
      <c r="W437" s="108"/>
      <c r="X437" s="108"/>
      <c r="Y437" s="108"/>
      <c r="Z437" s="108"/>
      <c r="AA437" s="108"/>
      <c r="AB437" s="108"/>
      <c r="AC437" s="108"/>
      <c r="AD437" s="108"/>
      <c r="AE437" s="108"/>
      <c r="AF437" s="108"/>
    </row>
    <row r="438" spans="1:32" ht="17.25" thickBot="1">
      <c r="A438" s="112"/>
      <c r="B438" s="55">
        <f t="shared" ref="B438:K438" si="217">+(B435+B437)*B$4</f>
        <v>0</v>
      </c>
      <c r="C438" s="55">
        <f t="shared" si="217"/>
        <v>0</v>
      </c>
      <c r="D438" s="55">
        <f t="shared" si="217"/>
        <v>0</v>
      </c>
      <c r="E438" s="55">
        <f t="shared" si="217"/>
        <v>0</v>
      </c>
      <c r="F438" s="55">
        <f t="shared" si="217"/>
        <v>0</v>
      </c>
      <c r="G438" s="55">
        <f t="shared" si="217"/>
        <v>0</v>
      </c>
      <c r="H438" s="55">
        <f t="shared" si="217"/>
        <v>0</v>
      </c>
      <c r="I438" s="55">
        <f t="shared" si="217"/>
        <v>0</v>
      </c>
      <c r="J438" s="55">
        <f t="shared" si="217"/>
        <v>0</v>
      </c>
      <c r="K438" s="55">
        <f t="shared" si="217"/>
        <v>0</v>
      </c>
      <c r="L438" s="57"/>
      <c r="M438" s="65">
        <f>A435</f>
        <v>44271</v>
      </c>
      <c r="N438" s="59">
        <f>SUM(B438:K438)</f>
        <v>0</v>
      </c>
      <c r="O438" s="94"/>
      <c r="P438" s="97"/>
      <c r="Q438" s="100"/>
      <c r="R438" s="103"/>
      <c r="S438" s="106"/>
      <c r="T438" s="109"/>
      <c r="U438" s="109"/>
      <c r="V438" s="109"/>
      <c r="W438" s="109"/>
      <c r="X438" s="109"/>
      <c r="Y438" s="109"/>
      <c r="Z438" s="109"/>
      <c r="AA438" s="109"/>
      <c r="AB438" s="109"/>
      <c r="AC438" s="109"/>
      <c r="AD438" s="109"/>
      <c r="AE438" s="109"/>
      <c r="AF438" s="109"/>
    </row>
    <row r="439" spans="1:32">
      <c r="A439" s="110">
        <f>+A435+1</f>
        <v>44272</v>
      </c>
      <c r="B439" s="31"/>
      <c r="C439" s="31"/>
      <c r="D439" s="31"/>
      <c r="E439" s="31"/>
      <c r="F439" s="31"/>
      <c r="G439" s="31"/>
      <c r="H439" s="31"/>
      <c r="I439" s="31"/>
      <c r="J439" s="31"/>
      <c r="K439" s="32"/>
      <c r="L439" s="15"/>
      <c r="M439" s="60"/>
      <c r="N439" s="61" t="s">
        <v>38</v>
      </c>
      <c r="O439" s="92">
        <f>+IFERROR(IF(HLOOKUP(S439,$S$3:$AB$3,1,)=S439,S440,0),0)</f>
        <v>0</v>
      </c>
      <c r="P439" s="95">
        <f>IFERROR(+N440/O439,0)</f>
        <v>0</v>
      </c>
      <c r="Q439" s="98">
        <f>+IFERROR(IF(HLOOKUP(S439,$S$4:$AB$4,1,)=S439,S440,0),0)</f>
        <v>0</v>
      </c>
      <c r="R439" s="101">
        <f>IFERROR(N440/Q439,0)</f>
        <v>0</v>
      </c>
      <c r="S439" s="47" t="s">
        <v>23</v>
      </c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</row>
    <row r="440" spans="1:32" ht="17.25" thickBot="1">
      <c r="A440" s="111"/>
      <c r="B440" s="35">
        <f t="shared" ref="B440:K440" si="218">+(B439-(B435+B437))*B$4</f>
        <v>0</v>
      </c>
      <c r="C440" s="35">
        <f t="shared" si="218"/>
        <v>0</v>
      </c>
      <c r="D440" s="35">
        <f t="shared" si="218"/>
        <v>0</v>
      </c>
      <c r="E440" s="35">
        <f t="shared" si="218"/>
        <v>0</v>
      </c>
      <c r="F440" s="35">
        <f t="shared" si="218"/>
        <v>0</v>
      </c>
      <c r="G440" s="35">
        <f t="shared" si="218"/>
        <v>0</v>
      </c>
      <c r="H440" s="35">
        <f t="shared" si="218"/>
        <v>0</v>
      </c>
      <c r="I440" s="35">
        <f t="shared" si="218"/>
        <v>0</v>
      </c>
      <c r="J440" s="35">
        <f t="shared" si="218"/>
        <v>0</v>
      </c>
      <c r="K440" s="35">
        <f t="shared" si="218"/>
        <v>0</v>
      </c>
      <c r="L440" s="35">
        <f>MONTH(M442)</f>
        <v>3</v>
      </c>
      <c r="M440" s="48" t="str">
        <f>IF(O439&gt;0,"Y","X")</f>
        <v>X</v>
      </c>
      <c r="N440" s="62">
        <f>IF(SUM(B439:K439)=0,0,SUM(B440:K440))</f>
        <v>0</v>
      </c>
      <c r="O440" s="93"/>
      <c r="P440" s="96"/>
      <c r="Q440" s="99"/>
      <c r="R440" s="102"/>
      <c r="S440" s="104">
        <f>SUM(T439:XFD439)</f>
        <v>0</v>
      </c>
      <c r="T440" s="108"/>
      <c r="U440" s="108"/>
      <c r="V440" s="108"/>
      <c r="W440" s="108"/>
      <c r="X440" s="108"/>
      <c r="Y440" s="108"/>
      <c r="Z440" s="108"/>
      <c r="AA440" s="108"/>
      <c r="AB440" s="108"/>
      <c r="AC440" s="108"/>
      <c r="AD440" s="108"/>
      <c r="AE440" s="108"/>
      <c r="AF440" s="108"/>
    </row>
    <row r="441" spans="1:32" ht="17.25" thickTop="1">
      <c r="A441" s="111"/>
      <c r="B441" s="50">
        <v>0</v>
      </c>
      <c r="C441" s="50">
        <v>0</v>
      </c>
      <c r="D441" s="50">
        <v>0</v>
      </c>
      <c r="E441" s="50">
        <v>0</v>
      </c>
      <c r="F441" s="50">
        <v>0</v>
      </c>
      <c r="G441" s="50">
        <v>0</v>
      </c>
      <c r="H441" s="50">
        <v>0</v>
      </c>
      <c r="I441" s="50">
        <v>0</v>
      </c>
      <c r="J441" s="50">
        <v>0</v>
      </c>
      <c r="K441" s="51">
        <v>0</v>
      </c>
      <c r="L441" s="52"/>
      <c r="M441" s="63"/>
      <c r="N441" s="64" t="s">
        <v>39</v>
      </c>
      <c r="O441" s="93"/>
      <c r="P441" s="96"/>
      <c r="Q441" s="99"/>
      <c r="R441" s="102"/>
      <c r="S441" s="105"/>
      <c r="T441" s="108"/>
      <c r="U441" s="108"/>
      <c r="V441" s="108"/>
      <c r="W441" s="108"/>
      <c r="X441" s="108"/>
      <c r="Y441" s="108"/>
      <c r="Z441" s="108"/>
      <c r="AA441" s="108"/>
      <c r="AB441" s="108"/>
      <c r="AC441" s="108"/>
      <c r="AD441" s="108"/>
      <c r="AE441" s="108"/>
      <c r="AF441" s="108"/>
    </row>
    <row r="442" spans="1:32" ht="17.25" thickBot="1">
      <c r="A442" s="112"/>
      <c r="B442" s="55">
        <f t="shared" ref="B442:K442" si="219">+(B439+B441)*B$4</f>
        <v>0</v>
      </c>
      <c r="C442" s="55">
        <f t="shared" si="219"/>
        <v>0</v>
      </c>
      <c r="D442" s="55">
        <f t="shared" si="219"/>
        <v>0</v>
      </c>
      <c r="E442" s="55">
        <f t="shared" si="219"/>
        <v>0</v>
      </c>
      <c r="F442" s="55">
        <f t="shared" si="219"/>
        <v>0</v>
      </c>
      <c r="G442" s="55">
        <f t="shared" si="219"/>
        <v>0</v>
      </c>
      <c r="H442" s="55">
        <f t="shared" si="219"/>
        <v>0</v>
      </c>
      <c r="I442" s="55">
        <f t="shared" si="219"/>
        <v>0</v>
      </c>
      <c r="J442" s="55">
        <f t="shared" si="219"/>
        <v>0</v>
      </c>
      <c r="K442" s="55">
        <f t="shared" si="219"/>
        <v>0</v>
      </c>
      <c r="L442" s="57"/>
      <c r="M442" s="65">
        <f>A439</f>
        <v>44272</v>
      </c>
      <c r="N442" s="66">
        <f>SUM(B442:K442)</f>
        <v>0</v>
      </c>
      <c r="O442" s="94"/>
      <c r="P442" s="97"/>
      <c r="Q442" s="100"/>
      <c r="R442" s="103"/>
      <c r="S442" s="106"/>
      <c r="T442" s="109"/>
      <c r="U442" s="109"/>
      <c r="V442" s="109"/>
      <c r="W442" s="109"/>
      <c r="X442" s="109"/>
      <c r="Y442" s="109"/>
      <c r="Z442" s="109"/>
      <c r="AA442" s="109"/>
      <c r="AB442" s="109"/>
      <c r="AC442" s="109"/>
      <c r="AD442" s="109"/>
      <c r="AE442" s="109"/>
      <c r="AF442" s="109"/>
    </row>
    <row r="443" spans="1:32">
      <c r="A443" s="110">
        <f>+A439+1</f>
        <v>44273</v>
      </c>
      <c r="B443" s="31"/>
      <c r="C443" s="31"/>
      <c r="D443" s="31"/>
      <c r="E443" s="31"/>
      <c r="F443" s="31"/>
      <c r="G443" s="31"/>
      <c r="H443" s="31"/>
      <c r="I443" s="31"/>
      <c r="J443" s="31"/>
      <c r="K443" s="32"/>
      <c r="L443" s="15"/>
      <c r="M443" s="60"/>
      <c r="N443" s="46" t="s">
        <v>38</v>
      </c>
      <c r="O443" s="92">
        <f>+IFERROR(IF(HLOOKUP(S443,$S$3:$AB$3,1,)=S443,S444,0),0)</f>
        <v>0</v>
      </c>
      <c r="P443" s="95">
        <f>IFERROR(+N444/O443,0)</f>
        <v>0</v>
      </c>
      <c r="Q443" s="98">
        <f>+IFERROR(IF(HLOOKUP(S443,$S$4:$AB$4,1,)=S443,S444,0),0)</f>
        <v>0</v>
      </c>
      <c r="R443" s="101">
        <f>IFERROR(N444/Q443,0)</f>
        <v>0</v>
      </c>
      <c r="S443" s="47" t="s">
        <v>17</v>
      </c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</row>
    <row r="444" spans="1:32" ht="17.25" thickBot="1">
      <c r="A444" s="111"/>
      <c r="B444" s="35">
        <f t="shared" ref="B444:K444" si="220">+(B443-(B439+B441))*B$4</f>
        <v>0</v>
      </c>
      <c r="C444" s="35">
        <f t="shared" si="220"/>
        <v>0</v>
      </c>
      <c r="D444" s="35">
        <f t="shared" si="220"/>
        <v>0</v>
      </c>
      <c r="E444" s="35">
        <f t="shared" si="220"/>
        <v>0</v>
      </c>
      <c r="F444" s="35">
        <f t="shared" si="220"/>
        <v>0</v>
      </c>
      <c r="G444" s="35">
        <f t="shared" si="220"/>
        <v>0</v>
      </c>
      <c r="H444" s="35">
        <f t="shared" si="220"/>
        <v>0</v>
      </c>
      <c r="I444" s="35">
        <f t="shared" si="220"/>
        <v>0</v>
      </c>
      <c r="J444" s="35">
        <f t="shared" si="220"/>
        <v>0</v>
      </c>
      <c r="K444" s="35">
        <f t="shared" si="220"/>
        <v>0</v>
      </c>
      <c r="L444" s="35">
        <f>MONTH(M446)</f>
        <v>3</v>
      </c>
      <c r="M444" s="48" t="str">
        <f>IF(O443&gt;0,"Y","X")</f>
        <v>X</v>
      </c>
      <c r="N444" s="49">
        <f>IF(SUM(B443:K443)=0,0,SUM(B444:K444))</f>
        <v>0</v>
      </c>
      <c r="O444" s="93"/>
      <c r="P444" s="96"/>
      <c r="Q444" s="99"/>
      <c r="R444" s="102"/>
      <c r="S444" s="104">
        <f>SUM(T443:XFD443)</f>
        <v>0</v>
      </c>
      <c r="T444" s="108"/>
      <c r="U444" s="108"/>
      <c r="V444" s="108"/>
      <c r="W444" s="108"/>
      <c r="X444" s="108"/>
      <c r="Y444" s="108"/>
      <c r="Z444" s="108"/>
      <c r="AA444" s="108"/>
      <c r="AB444" s="108"/>
      <c r="AC444" s="108"/>
      <c r="AD444" s="108"/>
      <c r="AE444" s="108"/>
      <c r="AF444" s="108"/>
    </row>
    <row r="445" spans="1:32" ht="17.25" thickTop="1">
      <c r="A445" s="111"/>
      <c r="B445" s="50">
        <v>0</v>
      </c>
      <c r="C445" s="50">
        <v>0</v>
      </c>
      <c r="D445" s="50">
        <v>0</v>
      </c>
      <c r="E445" s="50">
        <v>0</v>
      </c>
      <c r="F445" s="50">
        <v>0</v>
      </c>
      <c r="G445" s="50">
        <v>0</v>
      </c>
      <c r="H445" s="50">
        <v>0</v>
      </c>
      <c r="I445" s="50">
        <v>0</v>
      </c>
      <c r="J445" s="50">
        <v>0</v>
      </c>
      <c r="K445" s="51">
        <v>0</v>
      </c>
      <c r="L445" s="52"/>
      <c r="M445" s="63"/>
      <c r="N445" s="54" t="s">
        <v>39</v>
      </c>
      <c r="O445" s="93"/>
      <c r="P445" s="96"/>
      <c r="Q445" s="99"/>
      <c r="R445" s="102"/>
      <c r="S445" s="105"/>
      <c r="T445" s="108"/>
      <c r="U445" s="108"/>
      <c r="V445" s="108"/>
      <c r="W445" s="108"/>
      <c r="X445" s="108"/>
      <c r="Y445" s="108"/>
      <c r="Z445" s="108"/>
      <c r="AA445" s="108"/>
      <c r="AB445" s="108"/>
      <c r="AC445" s="108"/>
      <c r="AD445" s="108"/>
      <c r="AE445" s="108"/>
      <c r="AF445" s="108"/>
    </row>
    <row r="446" spans="1:32" ht="17.25" thickBot="1">
      <c r="A446" s="112"/>
      <c r="B446" s="55">
        <f t="shared" ref="B446:K446" si="221">+(B443+B445)*B$4</f>
        <v>0</v>
      </c>
      <c r="C446" s="55">
        <f t="shared" si="221"/>
        <v>0</v>
      </c>
      <c r="D446" s="55">
        <f t="shared" si="221"/>
        <v>0</v>
      </c>
      <c r="E446" s="55">
        <f t="shared" si="221"/>
        <v>0</v>
      </c>
      <c r="F446" s="55">
        <f t="shared" si="221"/>
        <v>0</v>
      </c>
      <c r="G446" s="55">
        <f t="shared" si="221"/>
        <v>0</v>
      </c>
      <c r="H446" s="55">
        <f t="shared" si="221"/>
        <v>0</v>
      </c>
      <c r="I446" s="55">
        <f t="shared" si="221"/>
        <v>0</v>
      </c>
      <c r="J446" s="55">
        <f t="shared" si="221"/>
        <v>0</v>
      </c>
      <c r="K446" s="55">
        <f t="shared" si="221"/>
        <v>0</v>
      </c>
      <c r="L446" s="57"/>
      <c r="M446" s="65">
        <f>A443</f>
        <v>44273</v>
      </c>
      <c r="N446" s="59">
        <f>SUM(B446:K446)</f>
        <v>0</v>
      </c>
      <c r="O446" s="94"/>
      <c r="P446" s="97"/>
      <c r="Q446" s="100"/>
      <c r="R446" s="103"/>
      <c r="S446" s="106"/>
      <c r="T446" s="109"/>
      <c r="U446" s="109"/>
      <c r="V446" s="109"/>
      <c r="W446" s="109"/>
      <c r="X446" s="109"/>
      <c r="Y446" s="109"/>
      <c r="Z446" s="109"/>
      <c r="AA446" s="109"/>
      <c r="AB446" s="109"/>
      <c r="AC446" s="109"/>
      <c r="AD446" s="109"/>
      <c r="AE446" s="109"/>
      <c r="AF446" s="109"/>
    </row>
  </sheetData>
  <mergeCells count="2087">
    <mergeCell ref="AA443:AA446"/>
    <mergeCell ref="AB443:AB446"/>
    <mergeCell ref="AC443:AC446"/>
    <mergeCell ref="AD443:AD446"/>
    <mergeCell ref="AE443:AE446"/>
    <mergeCell ref="AF443:AF446"/>
    <mergeCell ref="U443:U446"/>
    <mergeCell ref="V443:V446"/>
    <mergeCell ref="W443:W446"/>
    <mergeCell ref="X443:X446"/>
    <mergeCell ref="Y443:Y446"/>
    <mergeCell ref="Z443:Z446"/>
    <mergeCell ref="A443:A446"/>
    <mergeCell ref="O443:O446"/>
    <mergeCell ref="P443:P446"/>
    <mergeCell ref="Q443:Q446"/>
    <mergeCell ref="R443:R446"/>
    <mergeCell ref="T443:T446"/>
    <mergeCell ref="S444:S446"/>
    <mergeCell ref="AA439:AA442"/>
    <mergeCell ref="AB439:AB442"/>
    <mergeCell ref="AC439:AC442"/>
    <mergeCell ref="AD439:AD442"/>
    <mergeCell ref="AE439:AE442"/>
    <mergeCell ref="AF439:AF442"/>
    <mergeCell ref="U439:U442"/>
    <mergeCell ref="V439:V442"/>
    <mergeCell ref="W439:W442"/>
    <mergeCell ref="X439:X442"/>
    <mergeCell ref="Y439:Y442"/>
    <mergeCell ref="Z439:Z442"/>
    <mergeCell ref="A439:A442"/>
    <mergeCell ref="O439:O442"/>
    <mergeCell ref="P439:P442"/>
    <mergeCell ref="Q439:Q442"/>
    <mergeCell ref="R439:R442"/>
    <mergeCell ref="T439:T442"/>
    <mergeCell ref="S440:S442"/>
    <mergeCell ref="AA435:AA438"/>
    <mergeCell ref="AB435:AB438"/>
    <mergeCell ref="AC435:AC438"/>
    <mergeCell ref="AD435:AD438"/>
    <mergeCell ref="AE435:AE438"/>
    <mergeCell ref="AF435:AF438"/>
    <mergeCell ref="U435:U438"/>
    <mergeCell ref="V435:V438"/>
    <mergeCell ref="W435:W438"/>
    <mergeCell ref="X435:X438"/>
    <mergeCell ref="Y435:Y438"/>
    <mergeCell ref="Z435:Z438"/>
    <mergeCell ref="A435:A438"/>
    <mergeCell ref="O435:O438"/>
    <mergeCell ref="P435:P438"/>
    <mergeCell ref="Q435:Q438"/>
    <mergeCell ref="R435:R438"/>
    <mergeCell ref="T435:T438"/>
    <mergeCell ref="S436:S438"/>
    <mergeCell ref="AA431:AA434"/>
    <mergeCell ref="AB431:AB434"/>
    <mergeCell ref="AC431:AC434"/>
    <mergeCell ref="AD431:AD434"/>
    <mergeCell ref="AE431:AE434"/>
    <mergeCell ref="AF431:AF434"/>
    <mergeCell ref="U431:U434"/>
    <mergeCell ref="V431:V434"/>
    <mergeCell ref="W431:W434"/>
    <mergeCell ref="X431:X434"/>
    <mergeCell ref="Y431:Y434"/>
    <mergeCell ref="Z431:Z434"/>
    <mergeCell ref="A431:A434"/>
    <mergeCell ref="O431:O434"/>
    <mergeCell ref="P431:P434"/>
    <mergeCell ref="Q431:Q434"/>
    <mergeCell ref="R431:R434"/>
    <mergeCell ref="T431:T434"/>
    <mergeCell ref="S432:S434"/>
    <mergeCell ref="AA427:AA430"/>
    <mergeCell ref="AB427:AB430"/>
    <mergeCell ref="AC427:AC430"/>
    <mergeCell ref="AD427:AD430"/>
    <mergeCell ref="AE427:AE430"/>
    <mergeCell ref="AF427:AF430"/>
    <mergeCell ref="U427:U430"/>
    <mergeCell ref="V427:V430"/>
    <mergeCell ref="W427:W430"/>
    <mergeCell ref="X427:X430"/>
    <mergeCell ref="Y427:Y430"/>
    <mergeCell ref="Z427:Z430"/>
    <mergeCell ref="A427:A430"/>
    <mergeCell ref="O427:O430"/>
    <mergeCell ref="P427:P430"/>
    <mergeCell ref="Q427:Q430"/>
    <mergeCell ref="R427:R430"/>
    <mergeCell ref="T427:T430"/>
    <mergeCell ref="S428:S430"/>
    <mergeCell ref="AA423:AA426"/>
    <mergeCell ref="AB423:AB426"/>
    <mergeCell ref="AC423:AC426"/>
    <mergeCell ref="AD423:AD426"/>
    <mergeCell ref="AE423:AE426"/>
    <mergeCell ref="AF423:AF426"/>
    <mergeCell ref="U423:U426"/>
    <mergeCell ref="V423:V426"/>
    <mergeCell ref="W423:W426"/>
    <mergeCell ref="X423:X426"/>
    <mergeCell ref="Y423:Y426"/>
    <mergeCell ref="Z423:Z426"/>
    <mergeCell ref="A423:A426"/>
    <mergeCell ref="O423:O426"/>
    <mergeCell ref="P423:P426"/>
    <mergeCell ref="Q423:Q426"/>
    <mergeCell ref="R423:R426"/>
    <mergeCell ref="T423:T426"/>
    <mergeCell ref="S424:S426"/>
    <mergeCell ref="AA419:AA422"/>
    <mergeCell ref="AB419:AB422"/>
    <mergeCell ref="AC419:AC422"/>
    <mergeCell ref="AD419:AD422"/>
    <mergeCell ref="AE419:AE422"/>
    <mergeCell ref="AF419:AF422"/>
    <mergeCell ref="U419:U422"/>
    <mergeCell ref="V419:V422"/>
    <mergeCell ref="W419:W422"/>
    <mergeCell ref="X419:X422"/>
    <mergeCell ref="Y419:Y422"/>
    <mergeCell ref="Z419:Z422"/>
    <mergeCell ref="A419:A422"/>
    <mergeCell ref="O419:O422"/>
    <mergeCell ref="P419:P422"/>
    <mergeCell ref="Q419:Q422"/>
    <mergeCell ref="R419:R422"/>
    <mergeCell ref="T419:T422"/>
    <mergeCell ref="S420:S422"/>
    <mergeCell ref="AA415:AA418"/>
    <mergeCell ref="AB415:AB418"/>
    <mergeCell ref="AC415:AC418"/>
    <mergeCell ref="AD415:AD418"/>
    <mergeCell ref="AE415:AE418"/>
    <mergeCell ref="AF415:AF418"/>
    <mergeCell ref="U415:U418"/>
    <mergeCell ref="V415:V418"/>
    <mergeCell ref="W415:W418"/>
    <mergeCell ref="X415:X418"/>
    <mergeCell ref="Y415:Y418"/>
    <mergeCell ref="Z415:Z418"/>
    <mergeCell ref="A415:A418"/>
    <mergeCell ref="O415:O418"/>
    <mergeCell ref="P415:P418"/>
    <mergeCell ref="Q415:Q418"/>
    <mergeCell ref="R415:R418"/>
    <mergeCell ref="T415:T418"/>
    <mergeCell ref="S416:S418"/>
    <mergeCell ref="AA411:AA414"/>
    <mergeCell ref="AB411:AB414"/>
    <mergeCell ref="AC411:AC414"/>
    <mergeCell ref="AD411:AD414"/>
    <mergeCell ref="AE411:AE414"/>
    <mergeCell ref="AF411:AF414"/>
    <mergeCell ref="U411:U414"/>
    <mergeCell ref="V411:V414"/>
    <mergeCell ref="W411:W414"/>
    <mergeCell ref="X411:X414"/>
    <mergeCell ref="Y411:Y414"/>
    <mergeCell ref="Z411:Z414"/>
    <mergeCell ref="A411:A414"/>
    <mergeCell ref="O411:O414"/>
    <mergeCell ref="P411:P414"/>
    <mergeCell ref="Q411:Q414"/>
    <mergeCell ref="R411:R414"/>
    <mergeCell ref="T411:T414"/>
    <mergeCell ref="S412:S414"/>
    <mergeCell ref="AA407:AA410"/>
    <mergeCell ref="AB407:AB410"/>
    <mergeCell ref="AC407:AC410"/>
    <mergeCell ref="AD407:AD410"/>
    <mergeCell ref="AE407:AE410"/>
    <mergeCell ref="AF407:AF410"/>
    <mergeCell ref="U407:U410"/>
    <mergeCell ref="V407:V410"/>
    <mergeCell ref="W407:W410"/>
    <mergeCell ref="X407:X410"/>
    <mergeCell ref="Y407:Y410"/>
    <mergeCell ref="Z407:Z410"/>
    <mergeCell ref="A407:A410"/>
    <mergeCell ref="O407:O410"/>
    <mergeCell ref="P407:P410"/>
    <mergeCell ref="Q407:Q410"/>
    <mergeCell ref="R407:R410"/>
    <mergeCell ref="T407:T410"/>
    <mergeCell ref="S408:S410"/>
    <mergeCell ref="AA403:AA406"/>
    <mergeCell ref="AB403:AB406"/>
    <mergeCell ref="AC403:AC406"/>
    <mergeCell ref="AD403:AD406"/>
    <mergeCell ref="AE403:AE406"/>
    <mergeCell ref="AF403:AF406"/>
    <mergeCell ref="U403:U406"/>
    <mergeCell ref="V403:V406"/>
    <mergeCell ref="W403:W406"/>
    <mergeCell ref="X403:X406"/>
    <mergeCell ref="Y403:Y406"/>
    <mergeCell ref="Z403:Z406"/>
    <mergeCell ref="A403:A406"/>
    <mergeCell ref="O403:O406"/>
    <mergeCell ref="P403:P406"/>
    <mergeCell ref="Q403:Q406"/>
    <mergeCell ref="R403:R406"/>
    <mergeCell ref="T403:T406"/>
    <mergeCell ref="S404:S406"/>
    <mergeCell ref="AA399:AA402"/>
    <mergeCell ref="AB399:AB402"/>
    <mergeCell ref="AC399:AC402"/>
    <mergeCell ref="AD399:AD402"/>
    <mergeCell ref="AE399:AE402"/>
    <mergeCell ref="AF399:AF402"/>
    <mergeCell ref="U399:U402"/>
    <mergeCell ref="V399:V402"/>
    <mergeCell ref="W399:W402"/>
    <mergeCell ref="X399:X402"/>
    <mergeCell ref="Y399:Y402"/>
    <mergeCell ref="Z399:Z402"/>
    <mergeCell ref="A399:A402"/>
    <mergeCell ref="O399:O402"/>
    <mergeCell ref="P399:P402"/>
    <mergeCell ref="Q399:Q402"/>
    <mergeCell ref="R399:R402"/>
    <mergeCell ref="T399:T402"/>
    <mergeCell ref="S400:S402"/>
    <mergeCell ref="AA395:AA398"/>
    <mergeCell ref="AB395:AB398"/>
    <mergeCell ref="AC395:AC398"/>
    <mergeCell ref="AD395:AD398"/>
    <mergeCell ref="AE395:AE398"/>
    <mergeCell ref="AF395:AF398"/>
    <mergeCell ref="U395:U398"/>
    <mergeCell ref="V395:V398"/>
    <mergeCell ref="W395:W398"/>
    <mergeCell ref="X395:X398"/>
    <mergeCell ref="Y395:Y398"/>
    <mergeCell ref="Z395:Z398"/>
    <mergeCell ref="A395:A398"/>
    <mergeCell ref="O395:O398"/>
    <mergeCell ref="P395:P398"/>
    <mergeCell ref="Q395:Q398"/>
    <mergeCell ref="R395:R398"/>
    <mergeCell ref="T395:T398"/>
    <mergeCell ref="S396:S398"/>
    <mergeCell ref="AA391:AA394"/>
    <mergeCell ref="AB391:AB394"/>
    <mergeCell ref="AC391:AC394"/>
    <mergeCell ref="AD391:AD394"/>
    <mergeCell ref="AE391:AE394"/>
    <mergeCell ref="AF391:AF394"/>
    <mergeCell ref="U391:U394"/>
    <mergeCell ref="V391:V394"/>
    <mergeCell ref="W391:W394"/>
    <mergeCell ref="X391:X394"/>
    <mergeCell ref="Y391:Y394"/>
    <mergeCell ref="Z391:Z394"/>
    <mergeCell ref="A391:A394"/>
    <mergeCell ref="O391:O394"/>
    <mergeCell ref="P391:P394"/>
    <mergeCell ref="Q391:Q394"/>
    <mergeCell ref="R391:R394"/>
    <mergeCell ref="T391:T394"/>
    <mergeCell ref="S392:S394"/>
    <mergeCell ref="AA387:AA390"/>
    <mergeCell ref="AB387:AB390"/>
    <mergeCell ref="AC387:AC390"/>
    <mergeCell ref="AD387:AD390"/>
    <mergeCell ref="AE387:AE390"/>
    <mergeCell ref="AF387:AF390"/>
    <mergeCell ref="U387:U390"/>
    <mergeCell ref="V387:V390"/>
    <mergeCell ref="W387:W390"/>
    <mergeCell ref="X387:X390"/>
    <mergeCell ref="Y387:Y390"/>
    <mergeCell ref="Z387:Z390"/>
    <mergeCell ref="A387:A390"/>
    <mergeCell ref="O387:O390"/>
    <mergeCell ref="P387:P390"/>
    <mergeCell ref="Q387:Q390"/>
    <mergeCell ref="R387:R390"/>
    <mergeCell ref="T387:T390"/>
    <mergeCell ref="S388:S390"/>
    <mergeCell ref="AA383:AA386"/>
    <mergeCell ref="AB383:AB386"/>
    <mergeCell ref="AC383:AC386"/>
    <mergeCell ref="AD383:AD386"/>
    <mergeCell ref="AE383:AE386"/>
    <mergeCell ref="AF383:AF386"/>
    <mergeCell ref="U383:U386"/>
    <mergeCell ref="V383:V386"/>
    <mergeCell ref="W383:W386"/>
    <mergeCell ref="X383:X386"/>
    <mergeCell ref="Y383:Y386"/>
    <mergeCell ref="Z383:Z386"/>
    <mergeCell ref="A383:A386"/>
    <mergeCell ref="O383:O386"/>
    <mergeCell ref="P383:P386"/>
    <mergeCell ref="Q383:Q386"/>
    <mergeCell ref="R383:R386"/>
    <mergeCell ref="T383:T386"/>
    <mergeCell ref="S384:S386"/>
    <mergeCell ref="AA379:AA382"/>
    <mergeCell ref="AB379:AB382"/>
    <mergeCell ref="AC379:AC382"/>
    <mergeCell ref="AD379:AD382"/>
    <mergeCell ref="AE379:AE382"/>
    <mergeCell ref="AF379:AF382"/>
    <mergeCell ref="U379:U382"/>
    <mergeCell ref="V379:V382"/>
    <mergeCell ref="W379:W382"/>
    <mergeCell ref="X379:X382"/>
    <mergeCell ref="Y379:Y382"/>
    <mergeCell ref="Z379:Z382"/>
    <mergeCell ref="A379:A382"/>
    <mergeCell ref="O379:O382"/>
    <mergeCell ref="P379:P382"/>
    <mergeCell ref="Q379:Q382"/>
    <mergeCell ref="R379:R382"/>
    <mergeCell ref="T379:T382"/>
    <mergeCell ref="S380:S382"/>
    <mergeCell ref="AA375:AA378"/>
    <mergeCell ref="AB375:AB378"/>
    <mergeCell ref="AC375:AC378"/>
    <mergeCell ref="AD375:AD378"/>
    <mergeCell ref="AE375:AE378"/>
    <mergeCell ref="AF375:AF378"/>
    <mergeCell ref="U375:U378"/>
    <mergeCell ref="V375:V378"/>
    <mergeCell ref="W375:W378"/>
    <mergeCell ref="X375:X378"/>
    <mergeCell ref="Y375:Y378"/>
    <mergeCell ref="Z375:Z378"/>
    <mergeCell ref="A375:A378"/>
    <mergeCell ref="O375:O378"/>
    <mergeCell ref="P375:P378"/>
    <mergeCell ref="Q375:Q378"/>
    <mergeCell ref="R375:R378"/>
    <mergeCell ref="T375:T378"/>
    <mergeCell ref="S376:S378"/>
    <mergeCell ref="AA371:AA374"/>
    <mergeCell ref="AB371:AB374"/>
    <mergeCell ref="AC371:AC374"/>
    <mergeCell ref="AD371:AD374"/>
    <mergeCell ref="AE371:AE374"/>
    <mergeCell ref="AF371:AF374"/>
    <mergeCell ref="U371:U374"/>
    <mergeCell ref="V371:V374"/>
    <mergeCell ref="W371:W374"/>
    <mergeCell ref="X371:X374"/>
    <mergeCell ref="Y371:Y374"/>
    <mergeCell ref="Z371:Z374"/>
    <mergeCell ref="A371:A374"/>
    <mergeCell ref="O371:O374"/>
    <mergeCell ref="P371:P374"/>
    <mergeCell ref="Q371:Q374"/>
    <mergeCell ref="R371:R374"/>
    <mergeCell ref="T371:T374"/>
    <mergeCell ref="S372:S374"/>
    <mergeCell ref="AA367:AA370"/>
    <mergeCell ref="AB367:AB370"/>
    <mergeCell ref="AC367:AC370"/>
    <mergeCell ref="AD367:AD370"/>
    <mergeCell ref="AE367:AE370"/>
    <mergeCell ref="AF367:AF370"/>
    <mergeCell ref="U367:U370"/>
    <mergeCell ref="V367:V370"/>
    <mergeCell ref="W367:W370"/>
    <mergeCell ref="X367:X370"/>
    <mergeCell ref="Y367:Y370"/>
    <mergeCell ref="Z367:Z370"/>
    <mergeCell ref="A367:A370"/>
    <mergeCell ref="O367:O370"/>
    <mergeCell ref="P367:P370"/>
    <mergeCell ref="Q367:Q370"/>
    <mergeCell ref="R367:R370"/>
    <mergeCell ref="T367:T370"/>
    <mergeCell ref="S368:S370"/>
    <mergeCell ref="AA363:AA366"/>
    <mergeCell ref="AB363:AB366"/>
    <mergeCell ref="AC363:AC366"/>
    <mergeCell ref="AD363:AD366"/>
    <mergeCell ref="AE363:AE366"/>
    <mergeCell ref="AF363:AF366"/>
    <mergeCell ref="U363:U366"/>
    <mergeCell ref="V363:V366"/>
    <mergeCell ref="W363:W366"/>
    <mergeCell ref="X363:X366"/>
    <mergeCell ref="Y363:Y366"/>
    <mergeCell ref="Z363:Z366"/>
    <mergeCell ref="A363:A366"/>
    <mergeCell ref="O363:O366"/>
    <mergeCell ref="P363:P366"/>
    <mergeCell ref="Q363:Q366"/>
    <mergeCell ref="R363:R366"/>
    <mergeCell ref="T363:T366"/>
    <mergeCell ref="S364:S366"/>
    <mergeCell ref="AA359:AA362"/>
    <mergeCell ref="AB359:AB362"/>
    <mergeCell ref="AC359:AC362"/>
    <mergeCell ref="AD359:AD362"/>
    <mergeCell ref="AE359:AE362"/>
    <mergeCell ref="AF359:AF362"/>
    <mergeCell ref="U359:U362"/>
    <mergeCell ref="V359:V362"/>
    <mergeCell ref="W359:W362"/>
    <mergeCell ref="X359:X362"/>
    <mergeCell ref="Y359:Y362"/>
    <mergeCell ref="Z359:Z362"/>
    <mergeCell ref="A359:A362"/>
    <mergeCell ref="O359:O362"/>
    <mergeCell ref="P359:P362"/>
    <mergeCell ref="Q359:Q362"/>
    <mergeCell ref="R359:R362"/>
    <mergeCell ref="T359:T362"/>
    <mergeCell ref="S360:S362"/>
    <mergeCell ref="AA355:AA358"/>
    <mergeCell ref="AB355:AB358"/>
    <mergeCell ref="AC355:AC358"/>
    <mergeCell ref="AD355:AD358"/>
    <mergeCell ref="AE355:AE358"/>
    <mergeCell ref="AF355:AF358"/>
    <mergeCell ref="U355:U358"/>
    <mergeCell ref="V355:V358"/>
    <mergeCell ref="W355:W358"/>
    <mergeCell ref="X355:X358"/>
    <mergeCell ref="Y355:Y358"/>
    <mergeCell ref="Z355:Z358"/>
    <mergeCell ref="A355:A358"/>
    <mergeCell ref="O355:O358"/>
    <mergeCell ref="P355:P358"/>
    <mergeCell ref="Q355:Q358"/>
    <mergeCell ref="R355:R358"/>
    <mergeCell ref="T355:T358"/>
    <mergeCell ref="S356:S358"/>
    <mergeCell ref="AA351:AA354"/>
    <mergeCell ref="AB351:AB354"/>
    <mergeCell ref="AC351:AC354"/>
    <mergeCell ref="AD351:AD354"/>
    <mergeCell ref="AE351:AE354"/>
    <mergeCell ref="AF351:AF354"/>
    <mergeCell ref="U351:U354"/>
    <mergeCell ref="V351:V354"/>
    <mergeCell ref="W351:W354"/>
    <mergeCell ref="X351:X354"/>
    <mergeCell ref="Y351:Y354"/>
    <mergeCell ref="Z351:Z354"/>
    <mergeCell ref="A351:A354"/>
    <mergeCell ref="O351:O354"/>
    <mergeCell ref="P351:P354"/>
    <mergeCell ref="Q351:Q354"/>
    <mergeCell ref="R351:R354"/>
    <mergeCell ref="T351:T354"/>
    <mergeCell ref="S352:S354"/>
    <mergeCell ref="AA347:AA350"/>
    <mergeCell ref="AB347:AB350"/>
    <mergeCell ref="AC347:AC350"/>
    <mergeCell ref="AD347:AD350"/>
    <mergeCell ref="AE347:AE350"/>
    <mergeCell ref="AF347:AF350"/>
    <mergeCell ref="U347:U350"/>
    <mergeCell ref="V347:V350"/>
    <mergeCell ref="W347:W350"/>
    <mergeCell ref="X347:X350"/>
    <mergeCell ref="Y347:Y350"/>
    <mergeCell ref="Z347:Z350"/>
    <mergeCell ref="A347:A350"/>
    <mergeCell ref="O347:O350"/>
    <mergeCell ref="P347:P350"/>
    <mergeCell ref="Q347:Q350"/>
    <mergeCell ref="R347:R350"/>
    <mergeCell ref="T347:T350"/>
    <mergeCell ref="S348:S350"/>
    <mergeCell ref="AA343:AA346"/>
    <mergeCell ref="AB343:AB346"/>
    <mergeCell ref="AC343:AC346"/>
    <mergeCell ref="AD343:AD346"/>
    <mergeCell ref="AE343:AE346"/>
    <mergeCell ref="AF343:AF346"/>
    <mergeCell ref="U343:U346"/>
    <mergeCell ref="V343:V346"/>
    <mergeCell ref="W343:W346"/>
    <mergeCell ref="X343:X346"/>
    <mergeCell ref="Y343:Y346"/>
    <mergeCell ref="Z343:Z346"/>
    <mergeCell ref="A343:A346"/>
    <mergeCell ref="O343:O346"/>
    <mergeCell ref="P343:P346"/>
    <mergeCell ref="Q343:Q346"/>
    <mergeCell ref="R343:R346"/>
    <mergeCell ref="T343:T346"/>
    <mergeCell ref="S344:S346"/>
    <mergeCell ref="AA339:AA342"/>
    <mergeCell ref="AB339:AB342"/>
    <mergeCell ref="AC339:AC342"/>
    <mergeCell ref="AD339:AD342"/>
    <mergeCell ref="AE339:AE342"/>
    <mergeCell ref="AF339:AF342"/>
    <mergeCell ref="U339:U342"/>
    <mergeCell ref="V339:V342"/>
    <mergeCell ref="W339:W342"/>
    <mergeCell ref="X339:X342"/>
    <mergeCell ref="Y339:Y342"/>
    <mergeCell ref="Z339:Z342"/>
    <mergeCell ref="A339:A342"/>
    <mergeCell ref="O339:O342"/>
    <mergeCell ref="P339:P342"/>
    <mergeCell ref="Q339:Q342"/>
    <mergeCell ref="R339:R342"/>
    <mergeCell ref="T339:T342"/>
    <mergeCell ref="S340:S342"/>
    <mergeCell ref="AA335:AA338"/>
    <mergeCell ref="AB335:AB338"/>
    <mergeCell ref="AC335:AC338"/>
    <mergeCell ref="AD335:AD338"/>
    <mergeCell ref="AE335:AE338"/>
    <mergeCell ref="AF335:AF338"/>
    <mergeCell ref="U335:U338"/>
    <mergeCell ref="V335:V338"/>
    <mergeCell ref="W335:W338"/>
    <mergeCell ref="X335:X338"/>
    <mergeCell ref="Y335:Y338"/>
    <mergeCell ref="Z335:Z338"/>
    <mergeCell ref="A335:A338"/>
    <mergeCell ref="O335:O338"/>
    <mergeCell ref="P335:P338"/>
    <mergeCell ref="Q335:Q338"/>
    <mergeCell ref="R335:R338"/>
    <mergeCell ref="T335:T338"/>
    <mergeCell ref="S336:S338"/>
    <mergeCell ref="AA331:AA334"/>
    <mergeCell ref="AB331:AB334"/>
    <mergeCell ref="AC331:AC334"/>
    <mergeCell ref="AD331:AD334"/>
    <mergeCell ref="AE331:AE334"/>
    <mergeCell ref="AF331:AF334"/>
    <mergeCell ref="U331:U334"/>
    <mergeCell ref="V331:V334"/>
    <mergeCell ref="W331:W334"/>
    <mergeCell ref="X331:X334"/>
    <mergeCell ref="Y331:Y334"/>
    <mergeCell ref="Z331:Z334"/>
    <mergeCell ref="A331:A334"/>
    <mergeCell ref="O331:O334"/>
    <mergeCell ref="P331:P334"/>
    <mergeCell ref="Q331:Q334"/>
    <mergeCell ref="R331:R334"/>
    <mergeCell ref="T331:T334"/>
    <mergeCell ref="S332:S334"/>
    <mergeCell ref="AA327:AA330"/>
    <mergeCell ref="AB327:AB330"/>
    <mergeCell ref="AC327:AC330"/>
    <mergeCell ref="AD327:AD330"/>
    <mergeCell ref="AE327:AE330"/>
    <mergeCell ref="AF327:AF330"/>
    <mergeCell ref="U327:U330"/>
    <mergeCell ref="V327:V330"/>
    <mergeCell ref="W327:W330"/>
    <mergeCell ref="X327:X330"/>
    <mergeCell ref="Y327:Y330"/>
    <mergeCell ref="Z327:Z330"/>
    <mergeCell ref="A327:A330"/>
    <mergeCell ref="O327:O330"/>
    <mergeCell ref="P327:P330"/>
    <mergeCell ref="Q327:Q330"/>
    <mergeCell ref="R327:R330"/>
    <mergeCell ref="T327:T330"/>
    <mergeCell ref="S328:S330"/>
    <mergeCell ref="AA323:AA326"/>
    <mergeCell ref="AB323:AB326"/>
    <mergeCell ref="AC323:AC326"/>
    <mergeCell ref="AD323:AD326"/>
    <mergeCell ref="AE323:AE326"/>
    <mergeCell ref="AF323:AF326"/>
    <mergeCell ref="U323:U326"/>
    <mergeCell ref="V323:V326"/>
    <mergeCell ref="W323:W326"/>
    <mergeCell ref="X323:X326"/>
    <mergeCell ref="Y323:Y326"/>
    <mergeCell ref="Z323:Z326"/>
    <mergeCell ref="A323:A326"/>
    <mergeCell ref="O323:O326"/>
    <mergeCell ref="P323:P326"/>
    <mergeCell ref="Q323:Q326"/>
    <mergeCell ref="R323:R326"/>
    <mergeCell ref="T323:T326"/>
    <mergeCell ref="S324:S326"/>
    <mergeCell ref="AA319:AA322"/>
    <mergeCell ref="AB319:AB322"/>
    <mergeCell ref="AC319:AC322"/>
    <mergeCell ref="AD319:AD322"/>
    <mergeCell ref="AE319:AE322"/>
    <mergeCell ref="AF319:AF322"/>
    <mergeCell ref="U319:U322"/>
    <mergeCell ref="V319:V322"/>
    <mergeCell ref="W319:W322"/>
    <mergeCell ref="X319:X322"/>
    <mergeCell ref="Y319:Y322"/>
    <mergeCell ref="Z319:Z322"/>
    <mergeCell ref="A319:A322"/>
    <mergeCell ref="O319:O322"/>
    <mergeCell ref="P319:P322"/>
    <mergeCell ref="Q319:Q322"/>
    <mergeCell ref="R319:R322"/>
    <mergeCell ref="T319:T322"/>
    <mergeCell ref="S320:S322"/>
    <mergeCell ref="AA315:AA318"/>
    <mergeCell ref="AB315:AB318"/>
    <mergeCell ref="AC315:AC318"/>
    <mergeCell ref="AD315:AD318"/>
    <mergeCell ref="AE315:AE318"/>
    <mergeCell ref="AF315:AF318"/>
    <mergeCell ref="U315:U318"/>
    <mergeCell ref="V315:V318"/>
    <mergeCell ref="W315:W318"/>
    <mergeCell ref="X315:X318"/>
    <mergeCell ref="Y315:Y318"/>
    <mergeCell ref="Z315:Z318"/>
    <mergeCell ref="A315:A318"/>
    <mergeCell ref="O315:O318"/>
    <mergeCell ref="P315:P318"/>
    <mergeCell ref="Q315:Q318"/>
    <mergeCell ref="R315:R318"/>
    <mergeCell ref="T315:T318"/>
    <mergeCell ref="S316:S318"/>
    <mergeCell ref="AA311:AA314"/>
    <mergeCell ref="AB311:AB314"/>
    <mergeCell ref="AC311:AC314"/>
    <mergeCell ref="AD311:AD314"/>
    <mergeCell ref="AE311:AE314"/>
    <mergeCell ref="AF311:AF314"/>
    <mergeCell ref="U311:U314"/>
    <mergeCell ref="V311:V314"/>
    <mergeCell ref="W311:W314"/>
    <mergeCell ref="X311:X314"/>
    <mergeCell ref="Y311:Y314"/>
    <mergeCell ref="Z311:Z314"/>
    <mergeCell ref="A311:A314"/>
    <mergeCell ref="O311:O314"/>
    <mergeCell ref="P311:P314"/>
    <mergeCell ref="Q311:Q314"/>
    <mergeCell ref="R311:R314"/>
    <mergeCell ref="T311:T314"/>
    <mergeCell ref="S312:S314"/>
    <mergeCell ref="AA307:AA310"/>
    <mergeCell ref="AB307:AB310"/>
    <mergeCell ref="AC307:AC310"/>
    <mergeCell ref="AD307:AD310"/>
    <mergeCell ref="AE307:AE310"/>
    <mergeCell ref="AF307:AF310"/>
    <mergeCell ref="U307:U310"/>
    <mergeCell ref="V307:V310"/>
    <mergeCell ref="W307:W310"/>
    <mergeCell ref="X307:X310"/>
    <mergeCell ref="Y307:Y310"/>
    <mergeCell ref="Z307:Z310"/>
    <mergeCell ref="A307:A310"/>
    <mergeCell ref="O307:O310"/>
    <mergeCell ref="P307:P310"/>
    <mergeCell ref="Q307:Q310"/>
    <mergeCell ref="R307:R310"/>
    <mergeCell ref="T307:T310"/>
    <mergeCell ref="S308:S310"/>
    <mergeCell ref="AA303:AA306"/>
    <mergeCell ref="AB303:AB306"/>
    <mergeCell ref="AC303:AC306"/>
    <mergeCell ref="AD303:AD306"/>
    <mergeCell ref="AE303:AE306"/>
    <mergeCell ref="AF303:AF306"/>
    <mergeCell ref="U303:U306"/>
    <mergeCell ref="V303:V306"/>
    <mergeCell ref="W303:W306"/>
    <mergeCell ref="X303:X306"/>
    <mergeCell ref="Y303:Y306"/>
    <mergeCell ref="Z303:Z306"/>
    <mergeCell ref="A303:A306"/>
    <mergeCell ref="O303:O306"/>
    <mergeCell ref="P303:P306"/>
    <mergeCell ref="Q303:Q306"/>
    <mergeCell ref="R303:R306"/>
    <mergeCell ref="T303:T306"/>
    <mergeCell ref="S304:S306"/>
    <mergeCell ref="AA299:AA302"/>
    <mergeCell ref="AB299:AB302"/>
    <mergeCell ref="AC299:AC302"/>
    <mergeCell ref="AD299:AD302"/>
    <mergeCell ref="AE299:AE302"/>
    <mergeCell ref="AF299:AF302"/>
    <mergeCell ref="U299:U302"/>
    <mergeCell ref="V299:V302"/>
    <mergeCell ref="W299:W302"/>
    <mergeCell ref="X299:X302"/>
    <mergeCell ref="Y299:Y302"/>
    <mergeCell ref="Z299:Z302"/>
    <mergeCell ref="A299:A302"/>
    <mergeCell ref="O299:O302"/>
    <mergeCell ref="P299:P302"/>
    <mergeCell ref="Q299:Q302"/>
    <mergeCell ref="R299:R302"/>
    <mergeCell ref="T299:T302"/>
    <mergeCell ref="S300:S302"/>
    <mergeCell ref="AA295:AA298"/>
    <mergeCell ref="AB295:AB298"/>
    <mergeCell ref="AC295:AC298"/>
    <mergeCell ref="AD295:AD298"/>
    <mergeCell ref="AE295:AE298"/>
    <mergeCell ref="AF295:AF298"/>
    <mergeCell ref="U295:U298"/>
    <mergeCell ref="V295:V298"/>
    <mergeCell ref="W295:W298"/>
    <mergeCell ref="X295:X298"/>
    <mergeCell ref="Y295:Y298"/>
    <mergeCell ref="Z295:Z298"/>
    <mergeCell ref="A295:A298"/>
    <mergeCell ref="O295:O298"/>
    <mergeCell ref="P295:P298"/>
    <mergeCell ref="Q295:Q298"/>
    <mergeCell ref="R295:R298"/>
    <mergeCell ref="T295:T298"/>
    <mergeCell ref="S296:S298"/>
    <mergeCell ref="AA291:AA294"/>
    <mergeCell ref="AB291:AB294"/>
    <mergeCell ref="AC291:AC294"/>
    <mergeCell ref="AD291:AD294"/>
    <mergeCell ref="AE291:AE294"/>
    <mergeCell ref="AF291:AF294"/>
    <mergeCell ref="U291:U294"/>
    <mergeCell ref="V291:V294"/>
    <mergeCell ref="W291:W294"/>
    <mergeCell ref="X291:X294"/>
    <mergeCell ref="Y291:Y294"/>
    <mergeCell ref="Z291:Z294"/>
    <mergeCell ref="A291:A294"/>
    <mergeCell ref="O291:O294"/>
    <mergeCell ref="P291:P294"/>
    <mergeCell ref="Q291:Q294"/>
    <mergeCell ref="R291:R294"/>
    <mergeCell ref="T291:T294"/>
    <mergeCell ref="S292:S294"/>
    <mergeCell ref="AA287:AA290"/>
    <mergeCell ref="AB287:AB290"/>
    <mergeCell ref="AC287:AC290"/>
    <mergeCell ref="AD287:AD290"/>
    <mergeCell ref="AE287:AE290"/>
    <mergeCell ref="AF287:AF290"/>
    <mergeCell ref="U287:U290"/>
    <mergeCell ref="V287:V290"/>
    <mergeCell ref="W287:W290"/>
    <mergeCell ref="X287:X290"/>
    <mergeCell ref="Y287:Y290"/>
    <mergeCell ref="Z287:Z290"/>
    <mergeCell ref="A287:A290"/>
    <mergeCell ref="O287:O290"/>
    <mergeCell ref="P287:P290"/>
    <mergeCell ref="Q287:Q290"/>
    <mergeCell ref="R287:R290"/>
    <mergeCell ref="T287:T290"/>
    <mergeCell ref="S288:S290"/>
    <mergeCell ref="AA283:AA286"/>
    <mergeCell ref="AB283:AB286"/>
    <mergeCell ref="AC283:AC286"/>
    <mergeCell ref="AD283:AD286"/>
    <mergeCell ref="AE283:AE286"/>
    <mergeCell ref="AF283:AF286"/>
    <mergeCell ref="U283:U286"/>
    <mergeCell ref="V283:V286"/>
    <mergeCell ref="W283:W286"/>
    <mergeCell ref="X283:X286"/>
    <mergeCell ref="Y283:Y286"/>
    <mergeCell ref="Z283:Z286"/>
    <mergeCell ref="A283:A286"/>
    <mergeCell ref="O283:O286"/>
    <mergeCell ref="P283:P286"/>
    <mergeCell ref="Q283:Q286"/>
    <mergeCell ref="R283:R286"/>
    <mergeCell ref="T283:T286"/>
    <mergeCell ref="S284:S286"/>
    <mergeCell ref="AA279:AA282"/>
    <mergeCell ref="AB279:AB282"/>
    <mergeCell ref="AC279:AC282"/>
    <mergeCell ref="AD279:AD282"/>
    <mergeCell ref="AE279:AE282"/>
    <mergeCell ref="AF279:AF282"/>
    <mergeCell ref="U279:U282"/>
    <mergeCell ref="V279:V282"/>
    <mergeCell ref="W279:W282"/>
    <mergeCell ref="X279:X282"/>
    <mergeCell ref="Y279:Y282"/>
    <mergeCell ref="Z279:Z282"/>
    <mergeCell ref="A279:A282"/>
    <mergeCell ref="O279:O282"/>
    <mergeCell ref="P279:P282"/>
    <mergeCell ref="Q279:Q282"/>
    <mergeCell ref="R279:R282"/>
    <mergeCell ref="T279:T282"/>
    <mergeCell ref="S280:S282"/>
    <mergeCell ref="AA275:AA278"/>
    <mergeCell ref="AB275:AB278"/>
    <mergeCell ref="AC275:AC278"/>
    <mergeCell ref="AD275:AD278"/>
    <mergeCell ref="AE275:AE278"/>
    <mergeCell ref="AF275:AF278"/>
    <mergeCell ref="U275:U278"/>
    <mergeCell ref="V275:V278"/>
    <mergeCell ref="W275:W278"/>
    <mergeCell ref="X275:X278"/>
    <mergeCell ref="Y275:Y278"/>
    <mergeCell ref="Z275:Z278"/>
    <mergeCell ref="A275:A278"/>
    <mergeCell ref="O275:O278"/>
    <mergeCell ref="P275:P278"/>
    <mergeCell ref="Q275:Q278"/>
    <mergeCell ref="R275:R278"/>
    <mergeCell ref="T275:T278"/>
    <mergeCell ref="S276:S278"/>
    <mergeCell ref="AA271:AA274"/>
    <mergeCell ref="AB271:AB274"/>
    <mergeCell ref="AC271:AC274"/>
    <mergeCell ref="AD271:AD274"/>
    <mergeCell ref="AE271:AE274"/>
    <mergeCell ref="AF271:AF274"/>
    <mergeCell ref="U271:U274"/>
    <mergeCell ref="V271:V274"/>
    <mergeCell ref="W271:W274"/>
    <mergeCell ref="X271:X274"/>
    <mergeCell ref="Y271:Y274"/>
    <mergeCell ref="Z271:Z274"/>
    <mergeCell ref="A271:A274"/>
    <mergeCell ref="O271:O274"/>
    <mergeCell ref="P271:P274"/>
    <mergeCell ref="Q271:Q274"/>
    <mergeCell ref="R271:R274"/>
    <mergeCell ref="T271:T274"/>
    <mergeCell ref="S272:S274"/>
    <mergeCell ref="AA267:AA270"/>
    <mergeCell ref="AB267:AB270"/>
    <mergeCell ref="AC267:AC270"/>
    <mergeCell ref="AD267:AD270"/>
    <mergeCell ref="AE267:AE270"/>
    <mergeCell ref="AF267:AF270"/>
    <mergeCell ref="U267:U270"/>
    <mergeCell ref="V267:V270"/>
    <mergeCell ref="W267:W270"/>
    <mergeCell ref="X267:X270"/>
    <mergeCell ref="Y267:Y270"/>
    <mergeCell ref="Z267:Z270"/>
    <mergeCell ref="A267:A270"/>
    <mergeCell ref="O267:O270"/>
    <mergeCell ref="P267:P270"/>
    <mergeCell ref="Q267:Q270"/>
    <mergeCell ref="R267:R270"/>
    <mergeCell ref="T267:T270"/>
    <mergeCell ref="S268:S270"/>
    <mergeCell ref="AA263:AA266"/>
    <mergeCell ref="AB263:AB266"/>
    <mergeCell ref="AC263:AC266"/>
    <mergeCell ref="AD263:AD266"/>
    <mergeCell ref="AE263:AE266"/>
    <mergeCell ref="AF263:AF266"/>
    <mergeCell ref="U263:U266"/>
    <mergeCell ref="V263:V266"/>
    <mergeCell ref="W263:W266"/>
    <mergeCell ref="X263:X266"/>
    <mergeCell ref="Y263:Y266"/>
    <mergeCell ref="Z263:Z266"/>
    <mergeCell ref="A263:A266"/>
    <mergeCell ref="O263:O266"/>
    <mergeCell ref="P263:P266"/>
    <mergeCell ref="Q263:Q266"/>
    <mergeCell ref="R263:R266"/>
    <mergeCell ref="T263:T266"/>
    <mergeCell ref="S264:S266"/>
    <mergeCell ref="AA259:AA262"/>
    <mergeCell ref="AB259:AB262"/>
    <mergeCell ref="AC259:AC262"/>
    <mergeCell ref="AD259:AD262"/>
    <mergeCell ref="AE259:AE262"/>
    <mergeCell ref="AF259:AF262"/>
    <mergeCell ref="U259:U262"/>
    <mergeCell ref="V259:V262"/>
    <mergeCell ref="W259:W262"/>
    <mergeCell ref="X259:X262"/>
    <mergeCell ref="Y259:Y262"/>
    <mergeCell ref="Z259:Z262"/>
    <mergeCell ref="A259:A262"/>
    <mergeCell ref="O259:O262"/>
    <mergeCell ref="P259:P262"/>
    <mergeCell ref="Q259:Q262"/>
    <mergeCell ref="R259:R262"/>
    <mergeCell ref="T259:T262"/>
    <mergeCell ref="S260:S262"/>
    <mergeCell ref="AA255:AA258"/>
    <mergeCell ref="AB255:AB258"/>
    <mergeCell ref="AC255:AC258"/>
    <mergeCell ref="AD255:AD258"/>
    <mergeCell ref="AE255:AE258"/>
    <mergeCell ref="AF255:AF258"/>
    <mergeCell ref="U255:U258"/>
    <mergeCell ref="V255:V258"/>
    <mergeCell ref="W255:W258"/>
    <mergeCell ref="X255:X258"/>
    <mergeCell ref="Y255:Y258"/>
    <mergeCell ref="Z255:Z258"/>
    <mergeCell ref="A255:A258"/>
    <mergeCell ref="O255:O258"/>
    <mergeCell ref="P255:P258"/>
    <mergeCell ref="Q255:Q258"/>
    <mergeCell ref="R255:R258"/>
    <mergeCell ref="T255:T258"/>
    <mergeCell ref="S256:S258"/>
    <mergeCell ref="AA251:AA254"/>
    <mergeCell ref="AB251:AB254"/>
    <mergeCell ref="AC251:AC254"/>
    <mergeCell ref="AD251:AD254"/>
    <mergeCell ref="AE251:AE254"/>
    <mergeCell ref="AF251:AF254"/>
    <mergeCell ref="U251:U254"/>
    <mergeCell ref="V251:V254"/>
    <mergeCell ref="W251:W254"/>
    <mergeCell ref="X251:X254"/>
    <mergeCell ref="Y251:Y254"/>
    <mergeCell ref="Z251:Z254"/>
    <mergeCell ref="A251:A254"/>
    <mergeCell ref="O251:O254"/>
    <mergeCell ref="P251:P254"/>
    <mergeCell ref="Q251:Q254"/>
    <mergeCell ref="R251:R254"/>
    <mergeCell ref="T251:T254"/>
    <mergeCell ref="S252:S254"/>
    <mergeCell ref="AA247:AA250"/>
    <mergeCell ref="AB247:AB250"/>
    <mergeCell ref="AC247:AC250"/>
    <mergeCell ref="AD247:AD250"/>
    <mergeCell ref="AE247:AE250"/>
    <mergeCell ref="AF247:AF250"/>
    <mergeCell ref="U247:U250"/>
    <mergeCell ref="V247:V250"/>
    <mergeCell ref="W247:W250"/>
    <mergeCell ref="X247:X250"/>
    <mergeCell ref="Y247:Y250"/>
    <mergeCell ref="Z247:Z250"/>
    <mergeCell ref="A247:A250"/>
    <mergeCell ref="O247:O250"/>
    <mergeCell ref="P247:P250"/>
    <mergeCell ref="Q247:Q250"/>
    <mergeCell ref="R247:R250"/>
    <mergeCell ref="T247:T250"/>
    <mergeCell ref="S248:S250"/>
    <mergeCell ref="AA243:AA246"/>
    <mergeCell ref="AB243:AB246"/>
    <mergeCell ref="AC243:AC246"/>
    <mergeCell ref="AD243:AD246"/>
    <mergeCell ref="AE243:AE246"/>
    <mergeCell ref="AF243:AF246"/>
    <mergeCell ref="U243:U246"/>
    <mergeCell ref="V243:V246"/>
    <mergeCell ref="W243:W246"/>
    <mergeCell ref="X243:X246"/>
    <mergeCell ref="Y243:Y246"/>
    <mergeCell ref="Z243:Z246"/>
    <mergeCell ref="A243:A246"/>
    <mergeCell ref="O243:O246"/>
    <mergeCell ref="P243:P246"/>
    <mergeCell ref="Q243:Q246"/>
    <mergeCell ref="R243:R246"/>
    <mergeCell ref="T243:T246"/>
    <mergeCell ref="S244:S246"/>
    <mergeCell ref="AA239:AA242"/>
    <mergeCell ref="AB239:AB242"/>
    <mergeCell ref="AC239:AC242"/>
    <mergeCell ref="AD239:AD242"/>
    <mergeCell ref="AE239:AE242"/>
    <mergeCell ref="AF239:AF242"/>
    <mergeCell ref="U239:U242"/>
    <mergeCell ref="V239:V242"/>
    <mergeCell ref="W239:W242"/>
    <mergeCell ref="X239:X242"/>
    <mergeCell ref="Y239:Y242"/>
    <mergeCell ref="Z239:Z242"/>
    <mergeCell ref="A239:A242"/>
    <mergeCell ref="O239:O242"/>
    <mergeCell ref="P239:P242"/>
    <mergeCell ref="Q239:Q242"/>
    <mergeCell ref="R239:R242"/>
    <mergeCell ref="T239:T242"/>
    <mergeCell ref="S240:S242"/>
    <mergeCell ref="AA235:AA238"/>
    <mergeCell ref="AB235:AB238"/>
    <mergeCell ref="AC235:AC238"/>
    <mergeCell ref="AD235:AD238"/>
    <mergeCell ref="AE235:AE238"/>
    <mergeCell ref="AF235:AF238"/>
    <mergeCell ref="U235:U238"/>
    <mergeCell ref="V235:V238"/>
    <mergeCell ref="W235:W238"/>
    <mergeCell ref="X235:X238"/>
    <mergeCell ref="Y235:Y238"/>
    <mergeCell ref="Z235:Z238"/>
    <mergeCell ref="A235:A238"/>
    <mergeCell ref="O235:O238"/>
    <mergeCell ref="P235:P238"/>
    <mergeCell ref="Q235:Q238"/>
    <mergeCell ref="R235:R238"/>
    <mergeCell ref="T235:T238"/>
    <mergeCell ref="S236:S238"/>
    <mergeCell ref="AA231:AA234"/>
    <mergeCell ref="AB231:AB234"/>
    <mergeCell ref="AC231:AC234"/>
    <mergeCell ref="AD231:AD234"/>
    <mergeCell ref="AE231:AE234"/>
    <mergeCell ref="AF231:AF234"/>
    <mergeCell ref="U231:U234"/>
    <mergeCell ref="V231:V234"/>
    <mergeCell ref="W231:W234"/>
    <mergeCell ref="X231:X234"/>
    <mergeCell ref="Y231:Y234"/>
    <mergeCell ref="Z231:Z234"/>
    <mergeCell ref="A231:A234"/>
    <mergeCell ref="O231:O234"/>
    <mergeCell ref="P231:P234"/>
    <mergeCell ref="Q231:Q234"/>
    <mergeCell ref="R231:R234"/>
    <mergeCell ref="T231:T234"/>
    <mergeCell ref="S232:S234"/>
    <mergeCell ref="AA227:AA230"/>
    <mergeCell ref="AB227:AB230"/>
    <mergeCell ref="AC227:AC230"/>
    <mergeCell ref="AD227:AD230"/>
    <mergeCell ref="AE227:AE230"/>
    <mergeCell ref="AF227:AF230"/>
    <mergeCell ref="U227:U230"/>
    <mergeCell ref="V227:V230"/>
    <mergeCell ref="W227:W230"/>
    <mergeCell ref="X227:X230"/>
    <mergeCell ref="Y227:Y230"/>
    <mergeCell ref="Z227:Z230"/>
    <mergeCell ref="A227:A230"/>
    <mergeCell ref="O227:O230"/>
    <mergeCell ref="P227:P230"/>
    <mergeCell ref="Q227:Q230"/>
    <mergeCell ref="R227:R230"/>
    <mergeCell ref="T227:T230"/>
    <mergeCell ref="S228:S230"/>
    <mergeCell ref="AA223:AA226"/>
    <mergeCell ref="AB223:AB226"/>
    <mergeCell ref="AC223:AC226"/>
    <mergeCell ref="AD223:AD226"/>
    <mergeCell ref="AE223:AE226"/>
    <mergeCell ref="AF223:AF226"/>
    <mergeCell ref="U223:U226"/>
    <mergeCell ref="V223:V226"/>
    <mergeCell ref="W223:W226"/>
    <mergeCell ref="X223:X226"/>
    <mergeCell ref="Y223:Y226"/>
    <mergeCell ref="Z223:Z226"/>
    <mergeCell ref="A223:A226"/>
    <mergeCell ref="O223:O226"/>
    <mergeCell ref="P223:P226"/>
    <mergeCell ref="Q223:Q226"/>
    <mergeCell ref="R223:R226"/>
    <mergeCell ref="T223:T226"/>
    <mergeCell ref="S224:S226"/>
    <mergeCell ref="AA219:AA222"/>
    <mergeCell ref="AB219:AB222"/>
    <mergeCell ref="AC219:AC222"/>
    <mergeCell ref="AD219:AD222"/>
    <mergeCell ref="AE219:AE222"/>
    <mergeCell ref="AF219:AF222"/>
    <mergeCell ref="U219:U222"/>
    <mergeCell ref="V219:V222"/>
    <mergeCell ref="W219:W222"/>
    <mergeCell ref="X219:X222"/>
    <mergeCell ref="Y219:Y222"/>
    <mergeCell ref="Z219:Z222"/>
    <mergeCell ref="A219:A222"/>
    <mergeCell ref="O219:O222"/>
    <mergeCell ref="P219:P222"/>
    <mergeCell ref="Q219:Q222"/>
    <mergeCell ref="R219:R222"/>
    <mergeCell ref="T219:T222"/>
    <mergeCell ref="S220:S222"/>
    <mergeCell ref="AA215:AA218"/>
    <mergeCell ref="AB215:AB218"/>
    <mergeCell ref="AC215:AC218"/>
    <mergeCell ref="AD215:AD218"/>
    <mergeCell ref="AE215:AE218"/>
    <mergeCell ref="AF215:AF218"/>
    <mergeCell ref="U215:U218"/>
    <mergeCell ref="V215:V218"/>
    <mergeCell ref="W215:W218"/>
    <mergeCell ref="X215:X218"/>
    <mergeCell ref="Y215:Y218"/>
    <mergeCell ref="Z215:Z218"/>
    <mergeCell ref="A215:A218"/>
    <mergeCell ref="O215:O218"/>
    <mergeCell ref="P215:P218"/>
    <mergeCell ref="Q215:Q218"/>
    <mergeCell ref="R215:R218"/>
    <mergeCell ref="T215:T218"/>
    <mergeCell ref="S216:S218"/>
    <mergeCell ref="AA211:AA214"/>
    <mergeCell ref="AB211:AB214"/>
    <mergeCell ref="AC211:AC214"/>
    <mergeCell ref="AD211:AD214"/>
    <mergeCell ref="AE211:AE214"/>
    <mergeCell ref="AF211:AF214"/>
    <mergeCell ref="U211:U214"/>
    <mergeCell ref="V211:V214"/>
    <mergeCell ref="W211:W214"/>
    <mergeCell ref="X211:X214"/>
    <mergeCell ref="Y211:Y214"/>
    <mergeCell ref="Z211:Z214"/>
    <mergeCell ref="A211:A214"/>
    <mergeCell ref="O211:O214"/>
    <mergeCell ref="P211:P214"/>
    <mergeCell ref="Q211:Q214"/>
    <mergeCell ref="R211:R214"/>
    <mergeCell ref="T211:T214"/>
    <mergeCell ref="S212:S214"/>
    <mergeCell ref="AA207:AA210"/>
    <mergeCell ref="AB207:AB210"/>
    <mergeCell ref="AC207:AC210"/>
    <mergeCell ref="AD207:AD210"/>
    <mergeCell ref="AE207:AE210"/>
    <mergeCell ref="AF207:AF210"/>
    <mergeCell ref="U207:U210"/>
    <mergeCell ref="V207:V210"/>
    <mergeCell ref="W207:W210"/>
    <mergeCell ref="X207:X210"/>
    <mergeCell ref="Y207:Y210"/>
    <mergeCell ref="Z207:Z210"/>
    <mergeCell ref="A207:A210"/>
    <mergeCell ref="O207:O210"/>
    <mergeCell ref="P207:P210"/>
    <mergeCell ref="Q207:Q210"/>
    <mergeCell ref="R207:R210"/>
    <mergeCell ref="T207:T210"/>
    <mergeCell ref="S208:S210"/>
    <mergeCell ref="AA203:AA206"/>
    <mergeCell ref="AB203:AB206"/>
    <mergeCell ref="AC203:AC206"/>
    <mergeCell ref="AD203:AD206"/>
    <mergeCell ref="AE203:AE206"/>
    <mergeCell ref="AF203:AF206"/>
    <mergeCell ref="U203:U206"/>
    <mergeCell ref="V203:V206"/>
    <mergeCell ref="W203:W206"/>
    <mergeCell ref="X203:X206"/>
    <mergeCell ref="Y203:Y206"/>
    <mergeCell ref="Z203:Z206"/>
    <mergeCell ref="A203:A206"/>
    <mergeCell ref="O203:O206"/>
    <mergeCell ref="P203:P206"/>
    <mergeCell ref="Q203:Q206"/>
    <mergeCell ref="R203:R206"/>
    <mergeCell ref="T203:T206"/>
    <mergeCell ref="S204:S206"/>
    <mergeCell ref="AA199:AA202"/>
    <mergeCell ref="AB199:AB202"/>
    <mergeCell ref="AC199:AC202"/>
    <mergeCell ref="AD199:AD202"/>
    <mergeCell ref="AE199:AE202"/>
    <mergeCell ref="AF199:AF202"/>
    <mergeCell ref="U199:U202"/>
    <mergeCell ref="V199:V202"/>
    <mergeCell ref="W199:W202"/>
    <mergeCell ref="X199:X202"/>
    <mergeCell ref="Y199:Y202"/>
    <mergeCell ref="Z199:Z202"/>
    <mergeCell ref="A199:A202"/>
    <mergeCell ref="O199:O202"/>
    <mergeCell ref="P199:P202"/>
    <mergeCell ref="Q199:Q202"/>
    <mergeCell ref="R199:R202"/>
    <mergeCell ref="T199:T202"/>
    <mergeCell ref="S200:S202"/>
    <mergeCell ref="AA195:AA198"/>
    <mergeCell ref="AB195:AB198"/>
    <mergeCell ref="AC195:AC198"/>
    <mergeCell ref="AD195:AD198"/>
    <mergeCell ref="AE195:AE198"/>
    <mergeCell ref="AF195:AF198"/>
    <mergeCell ref="U195:U198"/>
    <mergeCell ref="V195:V198"/>
    <mergeCell ref="W195:W198"/>
    <mergeCell ref="X195:X198"/>
    <mergeCell ref="Y195:Y198"/>
    <mergeCell ref="Z195:Z198"/>
    <mergeCell ref="A195:A198"/>
    <mergeCell ref="O195:O198"/>
    <mergeCell ref="P195:P198"/>
    <mergeCell ref="Q195:Q198"/>
    <mergeCell ref="R195:R198"/>
    <mergeCell ref="T195:T198"/>
    <mergeCell ref="S196:S198"/>
    <mergeCell ref="AA191:AA194"/>
    <mergeCell ref="AB191:AB194"/>
    <mergeCell ref="AC191:AC194"/>
    <mergeCell ref="AD191:AD194"/>
    <mergeCell ref="AE191:AE194"/>
    <mergeCell ref="AF191:AF194"/>
    <mergeCell ref="U191:U194"/>
    <mergeCell ref="V191:V194"/>
    <mergeCell ref="W191:W194"/>
    <mergeCell ref="X191:X194"/>
    <mergeCell ref="Y191:Y194"/>
    <mergeCell ref="Z191:Z194"/>
    <mergeCell ref="A191:A194"/>
    <mergeCell ref="O191:O194"/>
    <mergeCell ref="P191:P194"/>
    <mergeCell ref="Q191:Q194"/>
    <mergeCell ref="R191:R194"/>
    <mergeCell ref="T191:T194"/>
    <mergeCell ref="S192:S194"/>
    <mergeCell ref="AA187:AA190"/>
    <mergeCell ref="AB187:AB190"/>
    <mergeCell ref="AC187:AC190"/>
    <mergeCell ref="AD187:AD190"/>
    <mergeCell ref="AE187:AE190"/>
    <mergeCell ref="AF187:AF190"/>
    <mergeCell ref="U187:U190"/>
    <mergeCell ref="V187:V190"/>
    <mergeCell ref="W187:W190"/>
    <mergeCell ref="X187:X190"/>
    <mergeCell ref="Y187:Y190"/>
    <mergeCell ref="Z187:Z190"/>
    <mergeCell ref="A187:A190"/>
    <mergeCell ref="O187:O190"/>
    <mergeCell ref="P187:P190"/>
    <mergeCell ref="Q187:Q190"/>
    <mergeCell ref="R187:R190"/>
    <mergeCell ref="T187:T190"/>
    <mergeCell ref="S188:S190"/>
    <mergeCell ref="AA183:AA186"/>
    <mergeCell ref="AB183:AB186"/>
    <mergeCell ref="AC183:AC186"/>
    <mergeCell ref="AD183:AD186"/>
    <mergeCell ref="AE183:AE186"/>
    <mergeCell ref="AF183:AF186"/>
    <mergeCell ref="U183:U186"/>
    <mergeCell ref="V183:V186"/>
    <mergeCell ref="W183:W186"/>
    <mergeCell ref="X183:X186"/>
    <mergeCell ref="Y183:Y186"/>
    <mergeCell ref="Z183:Z186"/>
    <mergeCell ref="A183:A186"/>
    <mergeCell ref="O183:O186"/>
    <mergeCell ref="P183:P186"/>
    <mergeCell ref="Q183:Q186"/>
    <mergeCell ref="R183:R186"/>
    <mergeCell ref="T183:T186"/>
    <mergeCell ref="S184:S186"/>
    <mergeCell ref="AA179:AA182"/>
    <mergeCell ref="AB179:AB182"/>
    <mergeCell ref="AC179:AC182"/>
    <mergeCell ref="AD179:AD182"/>
    <mergeCell ref="AE179:AE182"/>
    <mergeCell ref="AF179:AF182"/>
    <mergeCell ref="U179:U182"/>
    <mergeCell ref="V179:V182"/>
    <mergeCell ref="W179:W182"/>
    <mergeCell ref="X179:X182"/>
    <mergeCell ref="Y179:Y182"/>
    <mergeCell ref="Z179:Z182"/>
    <mergeCell ref="A179:A182"/>
    <mergeCell ref="O179:O182"/>
    <mergeCell ref="P179:P182"/>
    <mergeCell ref="Q179:Q182"/>
    <mergeCell ref="R179:R182"/>
    <mergeCell ref="T179:T182"/>
    <mergeCell ref="S180:S182"/>
    <mergeCell ref="AA175:AA178"/>
    <mergeCell ref="AB175:AB178"/>
    <mergeCell ref="AC175:AC178"/>
    <mergeCell ref="AD175:AD178"/>
    <mergeCell ref="AE175:AE178"/>
    <mergeCell ref="AF175:AF178"/>
    <mergeCell ref="U175:U178"/>
    <mergeCell ref="V175:V178"/>
    <mergeCell ref="W175:W178"/>
    <mergeCell ref="X175:X178"/>
    <mergeCell ref="Y175:Y178"/>
    <mergeCell ref="Z175:Z178"/>
    <mergeCell ref="A175:A178"/>
    <mergeCell ref="O175:O178"/>
    <mergeCell ref="P175:P178"/>
    <mergeCell ref="Q175:Q178"/>
    <mergeCell ref="R175:R178"/>
    <mergeCell ref="T175:T178"/>
    <mergeCell ref="S176:S178"/>
    <mergeCell ref="AA171:AA174"/>
    <mergeCell ref="AB171:AB174"/>
    <mergeCell ref="AC171:AC174"/>
    <mergeCell ref="AD171:AD174"/>
    <mergeCell ref="AE171:AE174"/>
    <mergeCell ref="AF171:AF174"/>
    <mergeCell ref="U171:U174"/>
    <mergeCell ref="V171:V174"/>
    <mergeCell ref="W171:W174"/>
    <mergeCell ref="X171:X174"/>
    <mergeCell ref="Y171:Y174"/>
    <mergeCell ref="Z171:Z174"/>
    <mergeCell ref="A171:A174"/>
    <mergeCell ref="O171:O174"/>
    <mergeCell ref="P171:P174"/>
    <mergeCell ref="Q171:Q174"/>
    <mergeCell ref="R171:R174"/>
    <mergeCell ref="T171:T174"/>
    <mergeCell ref="S172:S174"/>
    <mergeCell ref="AA167:AA170"/>
    <mergeCell ref="AB167:AB170"/>
    <mergeCell ref="AC167:AC170"/>
    <mergeCell ref="AD167:AD170"/>
    <mergeCell ref="AE167:AE170"/>
    <mergeCell ref="AF167:AF170"/>
    <mergeCell ref="U167:U170"/>
    <mergeCell ref="V167:V170"/>
    <mergeCell ref="W167:W170"/>
    <mergeCell ref="X167:X170"/>
    <mergeCell ref="Y167:Y170"/>
    <mergeCell ref="Z167:Z170"/>
    <mergeCell ref="A167:A170"/>
    <mergeCell ref="O167:O170"/>
    <mergeCell ref="P167:P170"/>
    <mergeCell ref="Q167:Q170"/>
    <mergeCell ref="R167:R170"/>
    <mergeCell ref="T167:T170"/>
    <mergeCell ref="S168:S170"/>
    <mergeCell ref="AA163:AA166"/>
    <mergeCell ref="AB163:AB166"/>
    <mergeCell ref="AC163:AC166"/>
    <mergeCell ref="AD163:AD166"/>
    <mergeCell ref="AE163:AE166"/>
    <mergeCell ref="AF163:AF166"/>
    <mergeCell ref="U163:U166"/>
    <mergeCell ref="V163:V166"/>
    <mergeCell ref="W163:W166"/>
    <mergeCell ref="X163:X166"/>
    <mergeCell ref="Y163:Y166"/>
    <mergeCell ref="Z163:Z166"/>
    <mergeCell ref="A163:A166"/>
    <mergeCell ref="O163:O166"/>
    <mergeCell ref="P163:P166"/>
    <mergeCell ref="Q163:Q166"/>
    <mergeCell ref="R163:R166"/>
    <mergeCell ref="T163:T166"/>
    <mergeCell ref="S164:S166"/>
    <mergeCell ref="AA159:AA162"/>
    <mergeCell ref="AB159:AB162"/>
    <mergeCell ref="AC159:AC162"/>
    <mergeCell ref="AD159:AD162"/>
    <mergeCell ref="AE159:AE162"/>
    <mergeCell ref="AF159:AF162"/>
    <mergeCell ref="U159:U162"/>
    <mergeCell ref="V159:V162"/>
    <mergeCell ref="W159:W162"/>
    <mergeCell ref="X159:X162"/>
    <mergeCell ref="Y159:Y162"/>
    <mergeCell ref="Z159:Z162"/>
    <mergeCell ref="A159:A162"/>
    <mergeCell ref="O159:O162"/>
    <mergeCell ref="P159:P162"/>
    <mergeCell ref="Q159:Q162"/>
    <mergeCell ref="R159:R162"/>
    <mergeCell ref="T159:T162"/>
    <mergeCell ref="S160:S162"/>
    <mergeCell ref="AA155:AA158"/>
    <mergeCell ref="AB155:AB158"/>
    <mergeCell ref="AC155:AC158"/>
    <mergeCell ref="AD155:AD158"/>
    <mergeCell ref="AE155:AE158"/>
    <mergeCell ref="AF155:AF158"/>
    <mergeCell ref="U155:U158"/>
    <mergeCell ref="V155:V158"/>
    <mergeCell ref="W155:W158"/>
    <mergeCell ref="X155:X158"/>
    <mergeCell ref="Y155:Y158"/>
    <mergeCell ref="Z155:Z158"/>
    <mergeCell ref="A155:A158"/>
    <mergeCell ref="O155:O158"/>
    <mergeCell ref="P155:P158"/>
    <mergeCell ref="Q155:Q158"/>
    <mergeCell ref="R155:R158"/>
    <mergeCell ref="T155:T158"/>
    <mergeCell ref="S156:S158"/>
    <mergeCell ref="AA151:AA154"/>
    <mergeCell ref="AB151:AB154"/>
    <mergeCell ref="AC151:AC154"/>
    <mergeCell ref="AD151:AD154"/>
    <mergeCell ref="AE151:AE154"/>
    <mergeCell ref="AF151:AF154"/>
    <mergeCell ref="U151:U154"/>
    <mergeCell ref="V151:V154"/>
    <mergeCell ref="W151:W154"/>
    <mergeCell ref="X151:X154"/>
    <mergeCell ref="Y151:Y154"/>
    <mergeCell ref="Z151:Z154"/>
    <mergeCell ref="A151:A154"/>
    <mergeCell ref="O151:O154"/>
    <mergeCell ref="P151:P154"/>
    <mergeCell ref="Q151:Q154"/>
    <mergeCell ref="R151:R154"/>
    <mergeCell ref="T151:T154"/>
    <mergeCell ref="S152:S154"/>
    <mergeCell ref="AA147:AA150"/>
    <mergeCell ref="AB147:AB150"/>
    <mergeCell ref="AC147:AC150"/>
    <mergeCell ref="AD147:AD150"/>
    <mergeCell ref="AE147:AE150"/>
    <mergeCell ref="AF147:AF150"/>
    <mergeCell ref="U147:U150"/>
    <mergeCell ref="V147:V150"/>
    <mergeCell ref="W147:W150"/>
    <mergeCell ref="X147:X150"/>
    <mergeCell ref="Y147:Y150"/>
    <mergeCell ref="Z147:Z150"/>
    <mergeCell ref="A147:A150"/>
    <mergeCell ref="O147:O150"/>
    <mergeCell ref="P147:P150"/>
    <mergeCell ref="Q147:Q150"/>
    <mergeCell ref="R147:R150"/>
    <mergeCell ref="T147:T150"/>
    <mergeCell ref="S148:S150"/>
    <mergeCell ref="AA143:AA146"/>
    <mergeCell ref="AB143:AB146"/>
    <mergeCell ref="AC143:AC146"/>
    <mergeCell ref="AD143:AD146"/>
    <mergeCell ref="AE143:AE146"/>
    <mergeCell ref="AF143:AF146"/>
    <mergeCell ref="U143:U146"/>
    <mergeCell ref="V143:V146"/>
    <mergeCell ref="W143:W146"/>
    <mergeCell ref="X143:X146"/>
    <mergeCell ref="Y143:Y146"/>
    <mergeCell ref="Z143:Z146"/>
    <mergeCell ref="A143:A146"/>
    <mergeCell ref="O143:O146"/>
    <mergeCell ref="P143:P146"/>
    <mergeCell ref="Q143:Q146"/>
    <mergeCell ref="R143:R146"/>
    <mergeCell ref="T143:T146"/>
    <mergeCell ref="S144:S146"/>
    <mergeCell ref="AA139:AA142"/>
    <mergeCell ref="AB139:AB142"/>
    <mergeCell ref="AC139:AC142"/>
    <mergeCell ref="AD139:AD142"/>
    <mergeCell ref="AE139:AE142"/>
    <mergeCell ref="AF139:AF142"/>
    <mergeCell ref="U139:U142"/>
    <mergeCell ref="V139:V142"/>
    <mergeCell ref="W139:W142"/>
    <mergeCell ref="X139:X142"/>
    <mergeCell ref="Y139:Y142"/>
    <mergeCell ref="Z139:Z142"/>
    <mergeCell ref="A139:A142"/>
    <mergeCell ref="O139:O142"/>
    <mergeCell ref="P139:P142"/>
    <mergeCell ref="Q139:Q142"/>
    <mergeCell ref="R139:R142"/>
    <mergeCell ref="T139:T142"/>
    <mergeCell ref="S140:S142"/>
    <mergeCell ref="AA135:AA138"/>
    <mergeCell ref="AB135:AB138"/>
    <mergeCell ref="AC135:AC138"/>
    <mergeCell ref="AD135:AD138"/>
    <mergeCell ref="AE135:AE138"/>
    <mergeCell ref="AF135:AF138"/>
    <mergeCell ref="U135:U138"/>
    <mergeCell ref="V135:V138"/>
    <mergeCell ref="W135:W138"/>
    <mergeCell ref="X135:X138"/>
    <mergeCell ref="Y135:Y138"/>
    <mergeCell ref="Z135:Z138"/>
    <mergeCell ref="A135:A138"/>
    <mergeCell ref="O135:O138"/>
    <mergeCell ref="P135:P138"/>
    <mergeCell ref="Q135:Q138"/>
    <mergeCell ref="R135:R138"/>
    <mergeCell ref="T135:T138"/>
    <mergeCell ref="S136:S138"/>
    <mergeCell ref="AA131:AA134"/>
    <mergeCell ref="AB131:AB134"/>
    <mergeCell ref="AC131:AC134"/>
    <mergeCell ref="AD131:AD134"/>
    <mergeCell ref="AE131:AE134"/>
    <mergeCell ref="AF131:AF134"/>
    <mergeCell ref="U131:U134"/>
    <mergeCell ref="V131:V134"/>
    <mergeCell ref="W131:W134"/>
    <mergeCell ref="X131:X134"/>
    <mergeCell ref="Y131:Y134"/>
    <mergeCell ref="Z131:Z134"/>
    <mergeCell ref="A131:A134"/>
    <mergeCell ref="O131:O134"/>
    <mergeCell ref="P131:P134"/>
    <mergeCell ref="Q131:Q134"/>
    <mergeCell ref="R131:R134"/>
    <mergeCell ref="T131:T134"/>
    <mergeCell ref="S132:S134"/>
    <mergeCell ref="AA127:AA130"/>
    <mergeCell ref="AB127:AB130"/>
    <mergeCell ref="AC127:AC130"/>
    <mergeCell ref="AD127:AD130"/>
    <mergeCell ref="AE127:AE130"/>
    <mergeCell ref="AF127:AF130"/>
    <mergeCell ref="U127:U130"/>
    <mergeCell ref="V127:V130"/>
    <mergeCell ref="W127:W130"/>
    <mergeCell ref="X127:X130"/>
    <mergeCell ref="Y127:Y130"/>
    <mergeCell ref="Z127:Z130"/>
    <mergeCell ref="A127:A130"/>
    <mergeCell ref="O127:O130"/>
    <mergeCell ref="P127:P130"/>
    <mergeCell ref="Q127:Q130"/>
    <mergeCell ref="R127:R130"/>
    <mergeCell ref="T127:T130"/>
    <mergeCell ref="S128:S130"/>
    <mergeCell ref="AA123:AA126"/>
    <mergeCell ref="AB123:AB126"/>
    <mergeCell ref="AC123:AC126"/>
    <mergeCell ref="AD123:AD126"/>
    <mergeCell ref="AE123:AE126"/>
    <mergeCell ref="AF123:AF126"/>
    <mergeCell ref="U123:U126"/>
    <mergeCell ref="V123:V126"/>
    <mergeCell ref="W123:W126"/>
    <mergeCell ref="X123:X126"/>
    <mergeCell ref="Y123:Y126"/>
    <mergeCell ref="Z123:Z126"/>
    <mergeCell ref="A123:A126"/>
    <mergeCell ref="O123:O126"/>
    <mergeCell ref="P123:P126"/>
    <mergeCell ref="Q123:Q126"/>
    <mergeCell ref="R123:R126"/>
    <mergeCell ref="T123:T126"/>
    <mergeCell ref="S124:S126"/>
    <mergeCell ref="AA119:AA122"/>
    <mergeCell ref="AB119:AB122"/>
    <mergeCell ref="AC119:AC122"/>
    <mergeCell ref="AD119:AD122"/>
    <mergeCell ref="AE119:AE122"/>
    <mergeCell ref="AF119:AF122"/>
    <mergeCell ref="U119:U122"/>
    <mergeCell ref="V119:V122"/>
    <mergeCell ref="W119:W122"/>
    <mergeCell ref="X119:X122"/>
    <mergeCell ref="Y119:Y122"/>
    <mergeCell ref="Z119:Z122"/>
    <mergeCell ref="A119:A122"/>
    <mergeCell ref="O119:O122"/>
    <mergeCell ref="P119:P122"/>
    <mergeCell ref="Q119:Q122"/>
    <mergeCell ref="R119:R122"/>
    <mergeCell ref="T119:T122"/>
    <mergeCell ref="S120:S122"/>
    <mergeCell ref="AA115:AA118"/>
    <mergeCell ref="AB115:AB118"/>
    <mergeCell ref="AC115:AC118"/>
    <mergeCell ref="AD115:AD118"/>
    <mergeCell ref="AE115:AE118"/>
    <mergeCell ref="AF115:AF118"/>
    <mergeCell ref="U115:U118"/>
    <mergeCell ref="V115:V118"/>
    <mergeCell ref="W115:W118"/>
    <mergeCell ref="X115:X118"/>
    <mergeCell ref="Y115:Y118"/>
    <mergeCell ref="Z115:Z118"/>
    <mergeCell ref="A115:A118"/>
    <mergeCell ref="O115:O118"/>
    <mergeCell ref="P115:P118"/>
    <mergeCell ref="Q115:Q118"/>
    <mergeCell ref="R115:R118"/>
    <mergeCell ref="T115:T118"/>
    <mergeCell ref="S116:S118"/>
    <mergeCell ref="AA111:AA114"/>
    <mergeCell ref="AB111:AB114"/>
    <mergeCell ref="AC111:AC114"/>
    <mergeCell ref="AD111:AD114"/>
    <mergeCell ref="AE111:AE114"/>
    <mergeCell ref="AF111:AF114"/>
    <mergeCell ref="U111:U114"/>
    <mergeCell ref="V111:V114"/>
    <mergeCell ref="W111:W114"/>
    <mergeCell ref="X111:X114"/>
    <mergeCell ref="Y111:Y114"/>
    <mergeCell ref="Z111:Z114"/>
    <mergeCell ref="A111:A114"/>
    <mergeCell ref="O111:O114"/>
    <mergeCell ref="P111:P114"/>
    <mergeCell ref="Q111:Q114"/>
    <mergeCell ref="R111:R114"/>
    <mergeCell ref="T111:T114"/>
    <mergeCell ref="S112:S114"/>
    <mergeCell ref="AA107:AA110"/>
    <mergeCell ref="AB107:AB110"/>
    <mergeCell ref="AC107:AC110"/>
    <mergeCell ref="AD107:AD110"/>
    <mergeCell ref="AE107:AE110"/>
    <mergeCell ref="AF107:AF110"/>
    <mergeCell ref="U107:U110"/>
    <mergeCell ref="V107:V110"/>
    <mergeCell ref="W107:W110"/>
    <mergeCell ref="X107:X110"/>
    <mergeCell ref="Y107:Y110"/>
    <mergeCell ref="Z107:Z110"/>
    <mergeCell ref="A107:A110"/>
    <mergeCell ref="O107:O110"/>
    <mergeCell ref="P107:P110"/>
    <mergeCell ref="Q107:Q110"/>
    <mergeCell ref="R107:R110"/>
    <mergeCell ref="T107:T110"/>
    <mergeCell ref="S108:S110"/>
    <mergeCell ref="AA103:AA106"/>
    <mergeCell ref="AB103:AB106"/>
    <mergeCell ref="AC103:AC106"/>
    <mergeCell ref="AD103:AD106"/>
    <mergeCell ref="AE103:AE106"/>
    <mergeCell ref="AF103:AF106"/>
    <mergeCell ref="U103:U106"/>
    <mergeCell ref="V103:V106"/>
    <mergeCell ref="W103:W106"/>
    <mergeCell ref="X103:X106"/>
    <mergeCell ref="Y103:Y106"/>
    <mergeCell ref="Z103:Z106"/>
    <mergeCell ref="A103:A106"/>
    <mergeCell ref="O103:O106"/>
    <mergeCell ref="P103:P106"/>
    <mergeCell ref="Q103:Q106"/>
    <mergeCell ref="R103:R106"/>
    <mergeCell ref="T103:T106"/>
    <mergeCell ref="S104:S106"/>
    <mergeCell ref="AA99:AA102"/>
    <mergeCell ref="AB99:AB102"/>
    <mergeCell ref="AC99:AC102"/>
    <mergeCell ref="AD99:AD102"/>
    <mergeCell ref="AE99:AE102"/>
    <mergeCell ref="AF99:AF102"/>
    <mergeCell ref="U99:U102"/>
    <mergeCell ref="V99:V102"/>
    <mergeCell ref="W99:W102"/>
    <mergeCell ref="X99:X102"/>
    <mergeCell ref="Y99:Y102"/>
    <mergeCell ref="Z99:Z102"/>
    <mergeCell ref="A99:A102"/>
    <mergeCell ref="O99:O102"/>
    <mergeCell ref="P99:P102"/>
    <mergeCell ref="Q99:Q102"/>
    <mergeCell ref="R99:R102"/>
    <mergeCell ref="T99:T102"/>
    <mergeCell ref="S100:S102"/>
    <mergeCell ref="AA95:AA98"/>
    <mergeCell ref="AB95:AB98"/>
    <mergeCell ref="AC95:AC98"/>
    <mergeCell ref="AD95:AD98"/>
    <mergeCell ref="AE95:AE98"/>
    <mergeCell ref="AF95:AF98"/>
    <mergeCell ref="U95:U98"/>
    <mergeCell ref="V95:V98"/>
    <mergeCell ref="W95:W98"/>
    <mergeCell ref="X95:X98"/>
    <mergeCell ref="Y95:Y98"/>
    <mergeCell ref="Z95:Z98"/>
    <mergeCell ref="A95:A98"/>
    <mergeCell ref="O95:O98"/>
    <mergeCell ref="P95:P98"/>
    <mergeCell ref="Q95:Q98"/>
    <mergeCell ref="R95:R98"/>
    <mergeCell ref="T95:T98"/>
    <mergeCell ref="S96:S98"/>
    <mergeCell ref="AA91:AA94"/>
    <mergeCell ref="AB91:AB94"/>
    <mergeCell ref="AC91:AC94"/>
    <mergeCell ref="AD91:AD94"/>
    <mergeCell ref="AE91:AE94"/>
    <mergeCell ref="AF91:AF94"/>
    <mergeCell ref="U91:U94"/>
    <mergeCell ref="V91:V94"/>
    <mergeCell ref="W91:W94"/>
    <mergeCell ref="X91:X94"/>
    <mergeCell ref="Y91:Y94"/>
    <mergeCell ref="Z91:Z94"/>
    <mergeCell ref="A91:A94"/>
    <mergeCell ref="O91:O94"/>
    <mergeCell ref="P91:P94"/>
    <mergeCell ref="Q91:Q94"/>
    <mergeCell ref="R91:R94"/>
    <mergeCell ref="T91:T94"/>
    <mergeCell ref="S92:S94"/>
    <mergeCell ref="AA87:AA90"/>
    <mergeCell ref="AB87:AB90"/>
    <mergeCell ref="AC87:AC90"/>
    <mergeCell ref="AD87:AD90"/>
    <mergeCell ref="AE87:AE90"/>
    <mergeCell ref="AF87:AF90"/>
    <mergeCell ref="U87:U90"/>
    <mergeCell ref="V87:V90"/>
    <mergeCell ref="W87:W90"/>
    <mergeCell ref="X87:X90"/>
    <mergeCell ref="Y87:Y90"/>
    <mergeCell ref="Z87:Z90"/>
    <mergeCell ref="A87:A90"/>
    <mergeCell ref="O87:O90"/>
    <mergeCell ref="P87:P90"/>
    <mergeCell ref="Q87:Q90"/>
    <mergeCell ref="R87:R90"/>
    <mergeCell ref="T87:T90"/>
    <mergeCell ref="S88:S90"/>
    <mergeCell ref="AA83:AA86"/>
    <mergeCell ref="AB83:AB86"/>
    <mergeCell ref="AC83:AC86"/>
    <mergeCell ref="AD83:AD86"/>
    <mergeCell ref="AE83:AE86"/>
    <mergeCell ref="AF83:AF86"/>
    <mergeCell ref="U83:U86"/>
    <mergeCell ref="V83:V86"/>
    <mergeCell ref="W83:W86"/>
    <mergeCell ref="X83:X86"/>
    <mergeCell ref="Y83:Y86"/>
    <mergeCell ref="Z83:Z86"/>
    <mergeCell ref="A83:A86"/>
    <mergeCell ref="O83:O86"/>
    <mergeCell ref="P83:P86"/>
    <mergeCell ref="Q83:Q86"/>
    <mergeCell ref="R83:R86"/>
    <mergeCell ref="T83:T86"/>
    <mergeCell ref="S84:S86"/>
    <mergeCell ref="AA79:AA82"/>
    <mergeCell ref="AB79:AB82"/>
    <mergeCell ref="AC79:AC82"/>
    <mergeCell ref="AD79:AD82"/>
    <mergeCell ref="AE79:AE82"/>
    <mergeCell ref="AF79:AF82"/>
    <mergeCell ref="U79:U82"/>
    <mergeCell ref="V79:V82"/>
    <mergeCell ref="W79:W82"/>
    <mergeCell ref="X79:X82"/>
    <mergeCell ref="Y79:Y82"/>
    <mergeCell ref="Z79:Z82"/>
    <mergeCell ref="A79:A82"/>
    <mergeCell ref="O79:O82"/>
    <mergeCell ref="P79:P82"/>
    <mergeCell ref="Q79:Q82"/>
    <mergeCell ref="R79:R82"/>
    <mergeCell ref="T79:T82"/>
    <mergeCell ref="S80:S82"/>
    <mergeCell ref="AA75:AA78"/>
    <mergeCell ref="AB75:AB78"/>
    <mergeCell ref="AC75:AC78"/>
    <mergeCell ref="AD75:AD78"/>
    <mergeCell ref="AE75:AE78"/>
    <mergeCell ref="AF75:AF78"/>
    <mergeCell ref="U75:U78"/>
    <mergeCell ref="V75:V78"/>
    <mergeCell ref="W75:W78"/>
    <mergeCell ref="X75:X78"/>
    <mergeCell ref="Y75:Y78"/>
    <mergeCell ref="Z75:Z78"/>
    <mergeCell ref="A75:A78"/>
    <mergeCell ref="O75:O78"/>
    <mergeCell ref="P75:P78"/>
    <mergeCell ref="Q75:Q78"/>
    <mergeCell ref="R75:R78"/>
    <mergeCell ref="T75:T78"/>
    <mergeCell ref="S76:S78"/>
    <mergeCell ref="AA71:AA74"/>
    <mergeCell ref="AB71:AB74"/>
    <mergeCell ref="AC71:AC74"/>
    <mergeCell ref="AD71:AD74"/>
    <mergeCell ref="AE71:AE74"/>
    <mergeCell ref="AF71:AF74"/>
    <mergeCell ref="U71:U74"/>
    <mergeCell ref="V71:V74"/>
    <mergeCell ref="W71:W74"/>
    <mergeCell ref="X71:X74"/>
    <mergeCell ref="Y71:Y74"/>
    <mergeCell ref="Z71:Z74"/>
    <mergeCell ref="A71:A74"/>
    <mergeCell ref="O71:O74"/>
    <mergeCell ref="P71:P74"/>
    <mergeCell ref="Q71:Q74"/>
    <mergeCell ref="R71:R74"/>
    <mergeCell ref="T71:T74"/>
    <mergeCell ref="S72:S74"/>
    <mergeCell ref="AA67:AA70"/>
    <mergeCell ref="AB67:AB70"/>
    <mergeCell ref="AC67:AC70"/>
    <mergeCell ref="AD67:AD70"/>
    <mergeCell ref="AE67:AE70"/>
    <mergeCell ref="AF67:AF70"/>
    <mergeCell ref="U67:U70"/>
    <mergeCell ref="V67:V70"/>
    <mergeCell ref="W67:W70"/>
    <mergeCell ref="X67:X70"/>
    <mergeCell ref="Y67:Y70"/>
    <mergeCell ref="Z67:Z70"/>
    <mergeCell ref="A67:A70"/>
    <mergeCell ref="O67:O70"/>
    <mergeCell ref="P67:P70"/>
    <mergeCell ref="Q67:Q70"/>
    <mergeCell ref="R67:R70"/>
    <mergeCell ref="T67:T70"/>
    <mergeCell ref="S68:S70"/>
    <mergeCell ref="AA63:AA66"/>
    <mergeCell ref="AB63:AB66"/>
    <mergeCell ref="AC63:AC66"/>
    <mergeCell ref="AD63:AD66"/>
    <mergeCell ref="AE63:AE66"/>
    <mergeCell ref="AF63:AF66"/>
    <mergeCell ref="U63:U66"/>
    <mergeCell ref="V63:V66"/>
    <mergeCell ref="W63:W66"/>
    <mergeCell ref="X63:X66"/>
    <mergeCell ref="Y63:Y66"/>
    <mergeCell ref="Z63:Z66"/>
    <mergeCell ref="A63:A66"/>
    <mergeCell ref="O63:O66"/>
    <mergeCell ref="P63:P66"/>
    <mergeCell ref="Q63:Q66"/>
    <mergeCell ref="R63:R66"/>
    <mergeCell ref="T63:T66"/>
    <mergeCell ref="S64:S66"/>
    <mergeCell ref="AA59:AA62"/>
    <mergeCell ref="AB59:AB62"/>
    <mergeCell ref="AC59:AC62"/>
    <mergeCell ref="AD59:AD62"/>
    <mergeCell ref="AE59:AE62"/>
    <mergeCell ref="AF59:AF62"/>
    <mergeCell ref="U59:U62"/>
    <mergeCell ref="V59:V62"/>
    <mergeCell ref="W59:W62"/>
    <mergeCell ref="X59:X62"/>
    <mergeCell ref="Y59:Y62"/>
    <mergeCell ref="Z59:Z62"/>
    <mergeCell ref="A59:A62"/>
    <mergeCell ref="O59:O62"/>
    <mergeCell ref="P59:P62"/>
    <mergeCell ref="Q59:Q62"/>
    <mergeCell ref="R59:R62"/>
    <mergeCell ref="T59:T62"/>
    <mergeCell ref="S60:S62"/>
    <mergeCell ref="AA55:AA58"/>
    <mergeCell ref="AB55:AB58"/>
    <mergeCell ref="AC55:AC58"/>
    <mergeCell ref="AD55:AD58"/>
    <mergeCell ref="AE55:AE58"/>
    <mergeCell ref="AF55:AF58"/>
    <mergeCell ref="U55:U58"/>
    <mergeCell ref="V55:V58"/>
    <mergeCell ref="W55:W58"/>
    <mergeCell ref="X55:X58"/>
    <mergeCell ref="Y55:Y58"/>
    <mergeCell ref="Z55:Z58"/>
    <mergeCell ref="A55:A58"/>
    <mergeCell ref="O55:O58"/>
    <mergeCell ref="P55:P58"/>
    <mergeCell ref="Q55:Q58"/>
    <mergeCell ref="R55:R58"/>
    <mergeCell ref="T55:T58"/>
    <mergeCell ref="S56:S58"/>
    <mergeCell ref="AA51:AA54"/>
    <mergeCell ref="AB51:AB54"/>
    <mergeCell ref="AC51:AC54"/>
    <mergeCell ref="AD51:AD54"/>
    <mergeCell ref="AE51:AE54"/>
    <mergeCell ref="AF51:AF54"/>
    <mergeCell ref="U51:U54"/>
    <mergeCell ref="V51:V54"/>
    <mergeCell ref="W51:W54"/>
    <mergeCell ref="X51:X54"/>
    <mergeCell ref="Y51:Y54"/>
    <mergeCell ref="Z51:Z54"/>
    <mergeCell ref="A51:A54"/>
    <mergeCell ref="O51:O54"/>
    <mergeCell ref="P51:P54"/>
    <mergeCell ref="Q51:Q54"/>
    <mergeCell ref="R51:R54"/>
    <mergeCell ref="T51:T54"/>
    <mergeCell ref="S52:S54"/>
    <mergeCell ref="AA47:AA50"/>
    <mergeCell ref="AB47:AB50"/>
    <mergeCell ref="AC47:AC50"/>
    <mergeCell ref="AD47:AD50"/>
    <mergeCell ref="AE47:AE50"/>
    <mergeCell ref="AF47:AF50"/>
    <mergeCell ref="U47:U50"/>
    <mergeCell ref="V47:V50"/>
    <mergeCell ref="W47:W50"/>
    <mergeCell ref="X47:X50"/>
    <mergeCell ref="Y47:Y50"/>
    <mergeCell ref="Z47:Z50"/>
    <mergeCell ref="A47:A50"/>
    <mergeCell ref="O47:O50"/>
    <mergeCell ref="P47:P50"/>
    <mergeCell ref="Q47:Q50"/>
    <mergeCell ref="R47:R50"/>
    <mergeCell ref="T47:T50"/>
    <mergeCell ref="S48:S50"/>
    <mergeCell ref="AA43:AA46"/>
    <mergeCell ref="AB43:AB46"/>
    <mergeCell ref="AC43:AC46"/>
    <mergeCell ref="AD43:AD46"/>
    <mergeCell ref="AE43:AE46"/>
    <mergeCell ref="AF43:AF46"/>
    <mergeCell ref="U43:U46"/>
    <mergeCell ref="V43:V46"/>
    <mergeCell ref="W43:W46"/>
    <mergeCell ref="X43:X46"/>
    <mergeCell ref="Y43:Y46"/>
    <mergeCell ref="Z43:Z46"/>
    <mergeCell ref="A43:A46"/>
    <mergeCell ref="O43:O46"/>
    <mergeCell ref="P43:P46"/>
    <mergeCell ref="Q43:Q46"/>
    <mergeCell ref="R43:R46"/>
    <mergeCell ref="T43:T46"/>
    <mergeCell ref="S44:S46"/>
    <mergeCell ref="AA39:AA42"/>
    <mergeCell ref="AB39:AB42"/>
    <mergeCell ref="AC39:AC42"/>
    <mergeCell ref="AD39:AD42"/>
    <mergeCell ref="AE39:AE42"/>
    <mergeCell ref="AF39:AF42"/>
    <mergeCell ref="U39:U42"/>
    <mergeCell ref="V39:V42"/>
    <mergeCell ref="W39:W42"/>
    <mergeCell ref="X39:X42"/>
    <mergeCell ref="Y39:Y42"/>
    <mergeCell ref="Z39:Z42"/>
    <mergeCell ref="A39:A42"/>
    <mergeCell ref="O39:O42"/>
    <mergeCell ref="P39:P42"/>
    <mergeCell ref="Q39:Q42"/>
    <mergeCell ref="R39:R42"/>
    <mergeCell ref="T39:T42"/>
    <mergeCell ref="S40:S42"/>
    <mergeCell ref="AA35:AA38"/>
    <mergeCell ref="AB35:AB38"/>
    <mergeCell ref="AC35:AC38"/>
    <mergeCell ref="AD35:AD38"/>
    <mergeCell ref="AE35:AE38"/>
    <mergeCell ref="AF35:AF38"/>
    <mergeCell ref="U35:U38"/>
    <mergeCell ref="V35:V38"/>
    <mergeCell ref="W35:W38"/>
    <mergeCell ref="X35:X38"/>
    <mergeCell ref="Y35:Y38"/>
    <mergeCell ref="Z35:Z38"/>
    <mergeCell ref="A35:A38"/>
    <mergeCell ref="O35:O38"/>
    <mergeCell ref="P35:P38"/>
    <mergeCell ref="Q35:Q38"/>
    <mergeCell ref="R35:R38"/>
    <mergeCell ref="T35:T38"/>
    <mergeCell ref="S36:S38"/>
    <mergeCell ref="AA31:AA34"/>
    <mergeCell ref="AB31:AB34"/>
    <mergeCell ref="AC31:AC34"/>
    <mergeCell ref="AD31:AD34"/>
    <mergeCell ref="AE31:AE34"/>
    <mergeCell ref="AF31:AF34"/>
    <mergeCell ref="U31:U34"/>
    <mergeCell ref="V31:V34"/>
    <mergeCell ref="W31:W34"/>
    <mergeCell ref="X31:X34"/>
    <mergeCell ref="Y31:Y34"/>
    <mergeCell ref="Z31:Z34"/>
    <mergeCell ref="A31:A34"/>
    <mergeCell ref="O31:O34"/>
    <mergeCell ref="P31:P34"/>
    <mergeCell ref="Q31:Q34"/>
    <mergeCell ref="R31:R34"/>
    <mergeCell ref="T31:T34"/>
    <mergeCell ref="S32:S34"/>
    <mergeCell ref="AA27:AA30"/>
    <mergeCell ref="AB27:AB30"/>
    <mergeCell ref="AC27:AC30"/>
    <mergeCell ref="AD27:AD30"/>
    <mergeCell ref="AE27:AE30"/>
    <mergeCell ref="AF27:AF30"/>
    <mergeCell ref="U27:U30"/>
    <mergeCell ref="V27:V30"/>
    <mergeCell ref="W27:W30"/>
    <mergeCell ref="X27:X30"/>
    <mergeCell ref="Y27:Y30"/>
    <mergeCell ref="Z27:Z30"/>
    <mergeCell ref="A27:A30"/>
    <mergeCell ref="O27:O30"/>
    <mergeCell ref="P27:P30"/>
    <mergeCell ref="Q27:Q30"/>
    <mergeCell ref="R27:R30"/>
    <mergeCell ref="T27:T30"/>
    <mergeCell ref="S28:S30"/>
    <mergeCell ref="AA23:AA26"/>
    <mergeCell ref="AB23:AB26"/>
    <mergeCell ref="AC23:AC26"/>
    <mergeCell ref="AD23:AD26"/>
    <mergeCell ref="AE23:AE26"/>
    <mergeCell ref="AF23:AF26"/>
    <mergeCell ref="U23:U26"/>
    <mergeCell ref="V23:V26"/>
    <mergeCell ref="W23:W26"/>
    <mergeCell ref="X23:X26"/>
    <mergeCell ref="Y23:Y26"/>
    <mergeCell ref="Z23:Z26"/>
    <mergeCell ref="A23:A26"/>
    <mergeCell ref="O23:O26"/>
    <mergeCell ref="P23:P26"/>
    <mergeCell ref="Q23:Q26"/>
    <mergeCell ref="R23:R26"/>
    <mergeCell ref="T23:T26"/>
    <mergeCell ref="S24:S26"/>
    <mergeCell ref="AA19:AA22"/>
    <mergeCell ref="AB19:AB22"/>
    <mergeCell ref="AC19:AC22"/>
    <mergeCell ref="AD19:AD22"/>
    <mergeCell ref="AE19:AE22"/>
    <mergeCell ref="AF19:AF22"/>
    <mergeCell ref="U19:U22"/>
    <mergeCell ref="V19:V22"/>
    <mergeCell ref="W19:W22"/>
    <mergeCell ref="X19:X22"/>
    <mergeCell ref="Y19:Y22"/>
    <mergeCell ref="Z19:Z22"/>
    <mergeCell ref="A19:A22"/>
    <mergeCell ref="O19:O22"/>
    <mergeCell ref="P19:P22"/>
    <mergeCell ref="Q19:Q22"/>
    <mergeCell ref="R19:R22"/>
    <mergeCell ref="T19:T22"/>
    <mergeCell ref="S20:S22"/>
    <mergeCell ref="AA15:AA18"/>
    <mergeCell ref="AB15:AB18"/>
    <mergeCell ref="AC15:AC18"/>
    <mergeCell ref="AD15:AD18"/>
    <mergeCell ref="AE15:AE18"/>
    <mergeCell ref="AF15:AF18"/>
    <mergeCell ref="U15:U18"/>
    <mergeCell ref="V15:V18"/>
    <mergeCell ref="W15:W18"/>
    <mergeCell ref="X15:X18"/>
    <mergeCell ref="Y15:Y18"/>
    <mergeCell ref="Z15:Z18"/>
    <mergeCell ref="A15:A18"/>
    <mergeCell ref="O15:O18"/>
    <mergeCell ref="P15:P18"/>
    <mergeCell ref="Q15:Q18"/>
    <mergeCell ref="R15:R18"/>
    <mergeCell ref="T15:T18"/>
    <mergeCell ref="S16:S18"/>
    <mergeCell ref="AB11:AB14"/>
    <mergeCell ref="AC11:AC14"/>
    <mergeCell ref="AD11:AD14"/>
    <mergeCell ref="AE11:AE14"/>
    <mergeCell ref="AF11:AF14"/>
    <mergeCell ref="U11:U14"/>
    <mergeCell ref="V11:V14"/>
    <mergeCell ref="W11:W14"/>
    <mergeCell ref="X11:X14"/>
    <mergeCell ref="Y11:Y14"/>
    <mergeCell ref="Z11:Z14"/>
    <mergeCell ref="A11:A14"/>
    <mergeCell ref="O11:O14"/>
    <mergeCell ref="P11:P14"/>
    <mergeCell ref="Q11:Q14"/>
    <mergeCell ref="R11:R14"/>
    <mergeCell ref="T11:T14"/>
    <mergeCell ref="S12:S14"/>
    <mergeCell ref="O4:P4"/>
    <mergeCell ref="H5:K5"/>
    <mergeCell ref="O5:P5"/>
    <mergeCell ref="P6:R6"/>
    <mergeCell ref="A8:A10"/>
    <mergeCell ref="N8:N10"/>
    <mergeCell ref="O9:O10"/>
    <mergeCell ref="Q9:Q10"/>
    <mergeCell ref="B1:K1"/>
    <mergeCell ref="O1:P1"/>
    <mergeCell ref="B2:G2"/>
    <mergeCell ref="H2:K2"/>
    <mergeCell ref="O2:P2"/>
    <mergeCell ref="O3:P3"/>
    <mergeCell ref="O7:O8"/>
    <mergeCell ref="Q7:Q8"/>
    <mergeCell ref="AA11:AA14"/>
  </mergeCells>
  <phoneticPr fontId="2" type="noConversion"/>
  <conditionalFormatting sqref="T9:AF1048576">
    <cfRule type="cellIs" dxfId="2" priority="3" operator="equal">
      <formula>0</formula>
    </cfRule>
  </conditionalFormatting>
  <conditionalFormatting sqref="B13:K13 B17:K17 B21:K21 B25:K25 B29:K29 B33:K33 B37:K37 B41:K41 B45:K45 B49:K49 B53:K53 B57:K57 B61:K61 B65:K65 B69:K69 B73:K73 B77:K77 B81:K81 B85:K85 B89:K89 B93:K93 B97:K97 B101:K101 B105:K105 B109:K109 B113:K113 B117:K117 B121:K121 B125:K125 B129:K129 B133:K133 B137:K137 B141:K141 B145:K145 B149:K149 B153:K153 B157:K157 B161:K161 B165:K165 B169:K169 B173:K173 B177:K177 B181:K181 B185:K185 B189:K189 B193:K193 B197:K197 B201:K201 B205:K205 B209:K209 B213:K213 B217:K217 B221:K221 B225:K225 B229:K229 B233:K233 B237:K237 B241:K241 B245:K245 B249:K249 B253:K253 B257:K257 B261:K261 B265:K265 B269:K269 B273:K273 B277:K277 B281:K281 B285:K285 B289:K289 B293:K293 B297:K297 B301:K301 B305:K305 B309:K309 B313:K313 B317:K317 B321:K321 B325:K325 B329:K329 B333:K333 B337:K337 B341:K341 B345:K345 B349:K349 B353:K353 B357:K357 B361:K361 B365:K365 B369:K369 B373:K373 B377:K377 B381:K381 B385:K385 B389:K389 B393:K393 B397:K397 B401:K401 B405:K405 B409:K409 B413:K413 B417:K417 B421:K421 B425:K425 B429:K429 B433:K433 B437:K437 B441:K441 B445:K445">
    <cfRule type="cellIs" dxfId="1" priority="2" operator="greaterThan">
      <formula>0</formula>
    </cfRule>
  </conditionalFormatting>
  <conditionalFormatting sqref="B13:K13 B17:K17 B21:K21 B25:K25 B29:K29 B33:K33 B37:K37 B41:K41 B45:K45 B49:K49 B53:K53 B57:K57 B61:K61 B65:K65 B69:K69 B73:K73 B77:K77 B81:K81 B85:K85 B89:K89 B93:K93 B97:K97 B101:K101 B105:K105 B109:K109 B113:K113 B117:K117 B121:K121 B125:K125 B129:K129 B133:K133 B137:K137 B141:K141 B145:K145 B149:K149 B153:K153 B157:K157 B161:K161 B165:K165 B169:K169 B173:K173 B177:K177 B181:K181 B185:K185 B189:K189 B193:K193 B197:K197 B201:K201 B205:K205 B209:K209 B213:K213 B217:K217 B221:K221 B225:K225 B229:K229 B233:K233 B237:K237 B241:K241 B245:K245 B249:K249 B253:K253 B257:K257 B261:K261 B265:K265 B269:K269 B273:K273 B277:K277 B281:K281 B285:K285 B289:K289 B293:K293 B297:K297 B301:K301 B305:K305 B309:K309 B313:K313 B317:K317 B321:K321 B325:K325 B329:K329 B333:K333 B337:K337 B341:K341 B345:K345 B349:K349 B353:K353 B357:K357 B361:K361 B365:K365 B369:K369 B373:K373 B377:K377 B381:K381 B385:K385 B389:K389 B393:K393 B397:K397 B401:K401 B405:K405 B409:K409 B413:K413 B417:K417 B421:K421 B425:K425 B429:K429 B433:K433 B437:K437 B441:K441 B445:K445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요약</vt:lpstr>
      <vt:lpstr>붉은달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Jiu Amano</dc:creator>
  <cp:lastModifiedBy>Jiu Amano</cp:lastModifiedBy>
  <dcterms:created xsi:type="dcterms:W3CDTF">2021-02-15T10:14:59Z</dcterms:created>
  <dcterms:modified xsi:type="dcterms:W3CDTF">2021-02-15T11:33:43Z</dcterms:modified>
</cp:coreProperties>
</file>