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ngc\Desktop\"/>
    </mc:Choice>
  </mc:AlternateContent>
  <bookViews>
    <workbookView xWindow="0" yWindow="0" windowWidth="23016" windowHeight="9084" activeTab="1"/>
  </bookViews>
  <sheets>
    <sheet name="Sheet1" sheetId="1" r:id="rId1"/>
    <sheet name="기공사" sheetId="15" r:id="rId2"/>
    <sheet name="블래" sheetId="11" r:id="rId3"/>
    <sheet name="바드" sheetId="19" r:id="rId4"/>
    <sheet name="건슬" sheetId="2" r:id="rId5"/>
    <sheet name="1해방억" sheetId="8" r:id="rId6"/>
    <sheet name="사멸억모닉" sheetId="21" r:id="rId7"/>
    <sheet name="창술" sheetId="4" r:id="rId8"/>
    <sheet name="사멸창술" sheetId="17" r:id="rId9"/>
    <sheet name="매혹 호크" sheetId="3" r:id="rId10"/>
    <sheet name="지배호크" sheetId="5" r:id="rId11"/>
    <sheet name="달소리퍼" sheetId="9" r:id="rId12"/>
    <sheet name="디트" sheetId="13" r:id="rId13"/>
    <sheet name="절제창" sheetId="12" r:id="rId14"/>
    <sheet name="블레이드" sheetId="16" r:id="rId15"/>
    <sheet name="기술스카" sheetId="10" r:id="rId16"/>
    <sheet name="충모닉" sheetId="20" r:id="rId17"/>
    <sheet name="Sheet3" sheetId="22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5" l="1"/>
  <c r="I34" i="15"/>
  <c r="J25" i="9" l="1"/>
  <c r="J21" i="9"/>
  <c r="K26" i="9"/>
  <c r="J23" i="9"/>
  <c r="K21" i="9"/>
  <c r="K23" i="9"/>
  <c r="K22" i="9"/>
  <c r="K24" i="9"/>
  <c r="B2" i="9"/>
  <c r="L21" i="9"/>
  <c r="C2" i="9"/>
  <c r="K7" i="9"/>
  <c r="L2" i="9"/>
  <c r="K29" i="9"/>
  <c r="K19" i="9"/>
  <c r="K17" i="9"/>
  <c r="K15" i="9"/>
  <c r="K11" i="9"/>
  <c r="K13" i="9"/>
  <c r="L13" i="9"/>
  <c r="L11" i="9"/>
  <c r="K27" i="9"/>
  <c r="L31" i="16"/>
  <c r="D4" i="9"/>
  <c r="D3" i="9"/>
  <c r="I26" i="9"/>
  <c r="G26" i="9"/>
  <c r="G23" i="9"/>
  <c r="L23" i="9"/>
  <c r="K25" i="9" l="1"/>
  <c r="L25" i="9" s="1"/>
  <c r="L31" i="9" s="1"/>
  <c r="L32" i="9" s="1"/>
  <c r="K23" i="13"/>
  <c r="D4" i="13"/>
  <c r="K17" i="13"/>
  <c r="L19" i="13"/>
  <c r="K19" i="13"/>
  <c r="J19" i="13"/>
  <c r="L31" i="13"/>
  <c r="J27" i="13"/>
  <c r="J17" i="13"/>
  <c r="H17" i="13"/>
  <c r="J15" i="13"/>
  <c r="J13" i="13"/>
  <c r="J11" i="13"/>
  <c r="J29" i="9"/>
  <c r="J27" i="9"/>
  <c r="J19" i="9"/>
  <c r="J15" i="9"/>
  <c r="C14" i="9"/>
  <c r="J13" i="9"/>
  <c r="C12" i="9"/>
  <c r="J11" i="9"/>
  <c r="K11" i="16"/>
  <c r="J11" i="16"/>
  <c r="G13" i="16"/>
  <c r="K17" i="16"/>
  <c r="K18" i="16"/>
  <c r="J17" i="16"/>
  <c r="M20" i="16"/>
  <c r="M18" i="16"/>
  <c r="D4" i="16"/>
  <c r="M16" i="16"/>
  <c r="D4" i="1"/>
  <c r="M21" i="13"/>
  <c r="N25" i="4"/>
  <c r="D12" i="1" s="1"/>
  <c r="D6" i="1"/>
  <c r="M33" i="2"/>
  <c r="M35" i="2"/>
  <c r="O21" i="2"/>
  <c r="M32" i="2"/>
  <c r="M21" i="2"/>
  <c r="L21" i="2"/>
  <c r="M4" i="2"/>
  <c r="K21" i="2"/>
  <c r="K25" i="2"/>
  <c r="K23" i="2"/>
  <c r="M21" i="11"/>
  <c r="L32" i="11"/>
  <c r="L29" i="11"/>
  <c r="K21" i="11"/>
  <c r="L21" i="11"/>
  <c r="H6" i="11"/>
  <c r="J21" i="11"/>
  <c r="K17" i="11"/>
  <c r="N25" i="17"/>
  <c r="J25" i="17"/>
  <c r="K25" i="4"/>
  <c r="L25" i="4"/>
  <c r="L17" i="13"/>
  <c r="D3" i="13"/>
  <c r="D10" i="1"/>
  <c r="D8" i="1"/>
  <c r="D7" i="1"/>
  <c r="N21" i="20"/>
  <c r="L21" i="20"/>
  <c r="K21" i="20"/>
  <c r="J21" i="20"/>
  <c r="K21" i="13"/>
  <c r="L21" i="13" s="1"/>
  <c r="P25" i="15"/>
  <c r="K25" i="15"/>
  <c r="J25" i="15"/>
  <c r="K35" i="15"/>
  <c r="G8" i="15"/>
  <c r="L36" i="15"/>
  <c r="K34" i="15"/>
  <c r="K33" i="15"/>
  <c r="K36" i="15"/>
  <c r="L21" i="12"/>
  <c r="K21" i="12"/>
  <c r="J21" i="12"/>
  <c r="L32" i="12"/>
  <c r="H3" i="20"/>
  <c r="M27" i="21"/>
  <c r="L27" i="21"/>
  <c r="L27" i="20"/>
  <c r="K27" i="21"/>
  <c r="K11" i="21"/>
  <c r="M13" i="8"/>
  <c r="L29" i="8" s="1"/>
  <c r="L30" i="8" s="1"/>
  <c r="L13" i="21"/>
  <c r="L11" i="21"/>
  <c r="N29" i="21"/>
  <c r="M35" i="8"/>
  <c r="M29" i="8"/>
  <c r="M27" i="8"/>
  <c r="M11" i="8"/>
  <c r="L27" i="8"/>
  <c r="K27" i="8"/>
  <c r="J28" i="8"/>
  <c r="I28" i="8"/>
  <c r="H28" i="8"/>
  <c r="D28" i="8"/>
  <c r="J27" i="8"/>
  <c r="I27" i="8"/>
  <c r="H27" i="8"/>
  <c r="D26" i="8"/>
  <c r="H11" i="8"/>
  <c r="G12" i="21"/>
  <c r="K11" i="8"/>
  <c r="J11" i="21"/>
  <c r="L11" i="8"/>
  <c r="C22" i="21"/>
  <c r="C24" i="21"/>
  <c r="D3" i="21"/>
  <c r="C12" i="21"/>
  <c r="C26" i="21"/>
  <c r="K25" i="21"/>
  <c r="K17" i="21"/>
  <c r="D4" i="21"/>
  <c r="B2" i="21"/>
  <c r="J27" i="21"/>
  <c r="I28" i="21"/>
  <c r="H28" i="21"/>
  <c r="G28" i="21"/>
  <c r="G27" i="21"/>
  <c r="I27" i="21"/>
  <c r="H27" i="21"/>
  <c r="C28" i="21"/>
  <c r="K4" i="21"/>
  <c r="J2" i="21"/>
  <c r="K6" i="21"/>
  <c r="J3" i="21"/>
  <c r="J6" i="21"/>
  <c r="G3" i="21"/>
  <c r="C3" i="21"/>
  <c r="I26" i="21"/>
  <c r="H26" i="21"/>
  <c r="G26" i="21"/>
  <c r="J25" i="21" s="1"/>
  <c r="I25" i="21"/>
  <c r="H25" i="21"/>
  <c r="G25" i="21"/>
  <c r="G23" i="21"/>
  <c r="G24" i="21" s="1"/>
  <c r="J24" i="21" s="1"/>
  <c r="K24" i="21" s="1"/>
  <c r="L24" i="21" s="1"/>
  <c r="G21" i="21"/>
  <c r="G22" i="21" s="1"/>
  <c r="J21" i="21" s="1"/>
  <c r="K21" i="21" s="1"/>
  <c r="C20" i="21"/>
  <c r="H19" i="21"/>
  <c r="H20" i="21" s="1"/>
  <c r="G19" i="21"/>
  <c r="G20" i="21" s="1"/>
  <c r="G17" i="21"/>
  <c r="G18" i="21" s="1"/>
  <c r="J17" i="21" s="1"/>
  <c r="H15" i="21"/>
  <c r="H16" i="21" s="1"/>
  <c r="G15" i="21"/>
  <c r="G16" i="21" s="1"/>
  <c r="I13" i="21"/>
  <c r="I14" i="21" s="1"/>
  <c r="H13" i="21"/>
  <c r="H14" i="21" s="1"/>
  <c r="G13" i="21"/>
  <c r="G14" i="21" s="1"/>
  <c r="G11" i="21"/>
  <c r="M37" i="8" l="1"/>
  <c r="M32" i="8"/>
  <c r="L29" i="21"/>
  <c r="N34" i="21"/>
  <c r="J23" i="21"/>
  <c r="K23" i="21" s="1"/>
  <c r="L23" i="21" s="1"/>
  <c r="J19" i="21"/>
  <c r="K19" i="21" s="1"/>
  <c r="L21" i="21"/>
  <c r="L19" i="21"/>
  <c r="L25" i="21"/>
  <c r="C2" i="21"/>
  <c r="C16" i="21"/>
  <c r="J15" i="21"/>
  <c r="C14" i="21"/>
  <c r="C18" i="21"/>
  <c r="J13" i="21"/>
  <c r="K13" i="21" s="1"/>
  <c r="K23" i="3"/>
  <c r="K23" i="5"/>
  <c r="J23" i="5"/>
  <c r="J21" i="5"/>
  <c r="K21" i="5" s="1"/>
  <c r="J19" i="5"/>
  <c r="K19" i="5" s="1"/>
  <c r="K17" i="5"/>
  <c r="J17" i="5"/>
  <c r="J15" i="5"/>
  <c r="K15" i="5" s="1"/>
  <c r="J13" i="5"/>
  <c r="K13" i="5" s="1"/>
  <c r="J11" i="5"/>
  <c r="K11" i="5" s="1"/>
  <c r="J23" i="3"/>
  <c r="C24" i="3"/>
  <c r="C22" i="3"/>
  <c r="K21" i="3"/>
  <c r="J21" i="3"/>
  <c r="C20" i="3"/>
  <c r="J15" i="3"/>
  <c r="K15" i="3" s="1"/>
  <c r="K13" i="3"/>
  <c r="K11" i="3"/>
  <c r="J11" i="3"/>
  <c r="J19" i="17"/>
  <c r="J17" i="17"/>
  <c r="C14" i="17"/>
  <c r="J11" i="17"/>
  <c r="J11" i="4"/>
  <c r="J19" i="4"/>
  <c r="K17" i="4"/>
  <c r="J17" i="4"/>
  <c r="C14" i="4"/>
  <c r="D24" i="8"/>
  <c r="M23" i="8" s="1"/>
  <c r="K19" i="8"/>
  <c r="L19" i="8" s="1"/>
  <c r="M19" i="8" s="1"/>
  <c r="L17" i="8"/>
  <c r="M17" i="8" s="1"/>
  <c r="K17" i="8"/>
  <c r="K15" i="8"/>
  <c r="K13" i="8"/>
  <c r="L13" i="8" s="1"/>
  <c r="M25" i="2"/>
  <c r="L25" i="2"/>
  <c r="K19" i="2"/>
  <c r="K15" i="2"/>
  <c r="D16" i="2"/>
  <c r="K11" i="2"/>
  <c r="J15" i="11"/>
  <c r="J13" i="11"/>
  <c r="H14" i="11"/>
  <c r="H13" i="11"/>
  <c r="E14" i="11"/>
  <c r="E13" i="11"/>
  <c r="J11" i="11"/>
  <c r="J13" i="15"/>
  <c r="J15" i="15"/>
  <c r="J17" i="15"/>
  <c r="J19" i="15"/>
  <c r="J23" i="15"/>
  <c r="J21" i="15"/>
  <c r="C18" i="15"/>
  <c r="K11" i="15"/>
  <c r="J11" i="15"/>
  <c r="M21" i="8"/>
  <c r="J30" i="10"/>
  <c r="L25" i="20"/>
  <c r="L29" i="5"/>
  <c r="J29" i="4"/>
  <c r="K34" i="2"/>
  <c r="H35" i="2"/>
  <c r="H34" i="2"/>
  <c r="K25" i="20"/>
  <c r="C26" i="20"/>
  <c r="J25" i="20"/>
  <c r="K29" i="20"/>
  <c r="K37" i="20"/>
  <c r="K35" i="20"/>
  <c r="K33" i="20"/>
  <c r="K31" i="20"/>
  <c r="J37" i="20"/>
  <c r="J35" i="20"/>
  <c r="J33" i="20"/>
  <c r="J31" i="20"/>
  <c r="J29" i="20"/>
  <c r="H38" i="20"/>
  <c r="G38" i="20"/>
  <c r="G36" i="20"/>
  <c r="G34" i="20"/>
  <c r="G32" i="20"/>
  <c r="G30" i="20"/>
  <c r="H37" i="20"/>
  <c r="G31" i="20"/>
  <c r="G33" i="20"/>
  <c r="G35" i="20"/>
  <c r="G37" i="20"/>
  <c r="G29" i="20"/>
  <c r="L8" i="20"/>
  <c r="J2" i="20"/>
  <c r="J1" i="20"/>
  <c r="K8" i="20" s="1"/>
  <c r="G22" i="20"/>
  <c r="J19" i="20"/>
  <c r="J17" i="20"/>
  <c r="J11" i="20"/>
  <c r="J13" i="20"/>
  <c r="J15" i="20"/>
  <c r="B2" i="20"/>
  <c r="J6" i="20"/>
  <c r="C22" i="20" s="1"/>
  <c r="H12" i="20"/>
  <c r="H11" i="20"/>
  <c r="H18" i="20"/>
  <c r="H17" i="20"/>
  <c r="A8" i="20"/>
  <c r="G17" i="20" s="1"/>
  <c r="G18" i="20" s="1"/>
  <c r="J3" i="20"/>
  <c r="I25" i="20"/>
  <c r="I26" i="20" s="1"/>
  <c r="H25" i="20"/>
  <c r="H26" i="20" s="1"/>
  <c r="G25" i="20"/>
  <c r="G26" i="20" s="1"/>
  <c r="G19" i="20"/>
  <c r="G20" i="20" s="1"/>
  <c r="L4" i="20"/>
  <c r="K4" i="20"/>
  <c r="K15" i="21" l="1"/>
  <c r="L15" i="21" s="1"/>
  <c r="L17" i="21"/>
  <c r="C2" i="20"/>
  <c r="D2" i="20" s="1"/>
  <c r="M17" i="20"/>
  <c r="M15" i="20"/>
  <c r="M13" i="20"/>
  <c r="M11" i="20"/>
  <c r="K7" i="20"/>
  <c r="K6" i="20"/>
  <c r="C12" i="20"/>
  <c r="C14" i="20"/>
  <c r="C16" i="20"/>
  <c r="C18" i="20"/>
  <c r="C20" i="20"/>
  <c r="H19" i="20"/>
  <c r="H20" i="20" s="1"/>
  <c r="G23" i="20"/>
  <c r="G24" i="20" s="1"/>
  <c r="J23" i="20" s="1"/>
  <c r="G13" i="20"/>
  <c r="G14" i="20" s="1"/>
  <c r="G15" i="20"/>
  <c r="G16" i="20" s="1"/>
  <c r="I13" i="20"/>
  <c r="I14" i="20" s="1"/>
  <c r="H15" i="20"/>
  <c r="H16" i="20" s="1"/>
  <c r="G21" i="20"/>
  <c r="G11" i="20"/>
  <c r="G12" i="20" s="1"/>
  <c r="H13" i="20"/>
  <c r="H14" i="20" s="1"/>
  <c r="J3" i="19"/>
  <c r="J2" i="19"/>
  <c r="B35" i="19"/>
  <c r="B38" i="19" s="1"/>
  <c r="G29" i="19"/>
  <c r="G30" i="19" s="1"/>
  <c r="J29" i="19" s="1"/>
  <c r="G25" i="19"/>
  <c r="H23" i="19"/>
  <c r="H24" i="19" s="1"/>
  <c r="G23" i="19"/>
  <c r="G24" i="19" s="1"/>
  <c r="H22" i="19"/>
  <c r="G22" i="19"/>
  <c r="J21" i="19" s="1"/>
  <c r="H21" i="19"/>
  <c r="G21" i="19"/>
  <c r="C20" i="19"/>
  <c r="G19" i="19"/>
  <c r="G20" i="19" s="1"/>
  <c r="J19" i="19" s="1"/>
  <c r="H18" i="19"/>
  <c r="G18" i="19"/>
  <c r="J17" i="19" s="1"/>
  <c r="K17" i="19" s="1"/>
  <c r="H17" i="19"/>
  <c r="G17" i="19"/>
  <c r="G16" i="19"/>
  <c r="E16" i="19"/>
  <c r="G15" i="19"/>
  <c r="E15" i="19"/>
  <c r="I14" i="19"/>
  <c r="E14" i="19"/>
  <c r="I13" i="19"/>
  <c r="G13" i="19"/>
  <c r="G14" i="19" s="1"/>
  <c r="E13" i="19"/>
  <c r="I12" i="19"/>
  <c r="E12" i="19"/>
  <c r="I11" i="19"/>
  <c r="G11" i="19"/>
  <c r="G12" i="19" s="1"/>
  <c r="E11" i="19"/>
  <c r="H8" i="19"/>
  <c r="J7" i="19"/>
  <c r="J6" i="19"/>
  <c r="H6" i="19"/>
  <c r="L3" i="19"/>
  <c r="K4" i="19"/>
  <c r="L2" i="19"/>
  <c r="B2" i="19"/>
  <c r="K29" i="16"/>
  <c r="L29" i="16"/>
  <c r="D6" i="16"/>
  <c r="E39" i="16"/>
  <c r="C3" i="9"/>
  <c r="K15" i="16"/>
  <c r="K13" i="16"/>
  <c r="K20" i="16"/>
  <c r="J19" i="16"/>
  <c r="J13" i="16"/>
  <c r="L3" i="4"/>
  <c r="H7" i="4"/>
  <c r="C20" i="17"/>
  <c r="C24" i="4"/>
  <c r="C26" i="4"/>
  <c r="C22" i="4"/>
  <c r="C20" i="4"/>
  <c r="C18" i="4"/>
  <c r="C16" i="4"/>
  <c r="C12" i="4"/>
  <c r="K21" i="17"/>
  <c r="K21" i="4"/>
  <c r="K19" i="4"/>
  <c r="L19" i="4" s="1"/>
  <c r="L17" i="4"/>
  <c r="K11" i="4"/>
  <c r="K15" i="4"/>
  <c r="K13" i="4"/>
  <c r="C28" i="17"/>
  <c r="I23" i="17"/>
  <c r="H23" i="17"/>
  <c r="G23" i="17"/>
  <c r="D2" i="4"/>
  <c r="C2" i="4"/>
  <c r="B2" i="4"/>
  <c r="J25" i="4"/>
  <c r="K23" i="4"/>
  <c r="L23" i="4" s="1"/>
  <c r="L21" i="4"/>
  <c r="L11" i="4"/>
  <c r="L15" i="4"/>
  <c r="I24" i="17"/>
  <c r="J1" i="17"/>
  <c r="B2" i="17"/>
  <c r="J21" i="17"/>
  <c r="C22" i="17"/>
  <c r="C16" i="17"/>
  <c r="G24" i="17"/>
  <c r="H24" i="17"/>
  <c r="J2" i="17"/>
  <c r="K7" i="17" s="1"/>
  <c r="J3" i="17"/>
  <c r="L2" i="17" s="1"/>
  <c r="G3" i="17"/>
  <c r="J6" i="17"/>
  <c r="D30" i="17"/>
  <c r="H29" i="17"/>
  <c r="H30" i="17" s="1"/>
  <c r="D29" i="17"/>
  <c r="H28" i="17"/>
  <c r="F28" i="17"/>
  <c r="H27" i="17"/>
  <c r="G27" i="17"/>
  <c r="G28" i="17" s="1"/>
  <c r="F27" i="17"/>
  <c r="I27" i="17" s="1"/>
  <c r="I28" i="17" s="1"/>
  <c r="G25" i="17"/>
  <c r="G26" i="17" s="1"/>
  <c r="G21" i="17"/>
  <c r="G22" i="17" s="1"/>
  <c r="E20" i="17"/>
  <c r="D20" i="17"/>
  <c r="I19" i="17"/>
  <c r="I20" i="17" s="1"/>
  <c r="E19" i="17"/>
  <c r="H19" i="17" s="1"/>
  <c r="H20" i="17" s="1"/>
  <c r="D19" i="17"/>
  <c r="G17" i="17"/>
  <c r="G18" i="17" s="1"/>
  <c r="D16" i="17"/>
  <c r="H15" i="17"/>
  <c r="H16" i="17" s="1"/>
  <c r="D15" i="17"/>
  <c r="G13" i="17"/>
  <c r="G14" i="17" s="1"/>
  <c r="J13" i="17" s="1"/>
  <c r="D12" i="17"/>
  <c r="I11" i="17"/>
  <c r="I12" i="17" s="1"/>
  <c r="H11" i="17"/>
  <c r="H12" i="17" s="1"/>
  <c r="D11" i="17"/>
  <c r="G11" i="17" s="1"/>
  <c r="D22" i="8"/>
  <c r="E2" i="8"/>
  <c r="J29" i="16"/>
  <c r="L2" i="16"/>
  <c r="C26" i="16"/>
  <c r="C24" i="16"/>
  <c r="C20" i="16"/>
  <c r="C18" i="16"/>
  <c r="C16" i="16"/>
  <c r="C14" i="16"/>
  <c r="C12" i="16"/>
  <c r="M17" i="16"/>
  <c r="D3" i="16"/>
  <c r="C28" i="16"/>
  <c r="K24" i="16"/>
  <c r="J23" i="16"/>
  <c r="H24" i="16"/>
  <c r="H23" i="16"/>
  <c r="C22" i="16"/>
  <c r="K19" i="16"/>
  <c r="J21" i="16"/>
  <c r="D22" i="16"/>
  <c r="D21" i="16"/>
  <c r="J15" i="16"/>
  <c r="G19" i="16"/>
  <c r="G17" i="16"/>
  <c r="G18" i="16" s="1"/>
  <c r="H18" i="16"/>
  <c r="H17" i="16"/>
  <c r="K16" i="16"/>
  <c r="B2" i="16"/>
  <c r="D3" i="12"/>
  <c r="C3" i="16"/>
  <c r="A8" i="16"/>
  <c r="H25" i="16" s="1"/>
  <c r="H26" i="16" s="1"/>
  <c r="L1" i="16"/>
  <c r="B2" i="12"/>
  <c r="K7" i="16"/>
  <c r="J1" i="16"/>
  <c r="J3" i="16"/>
  <c r="J2" i="16"/>
  <c r="H29" i="16"/>
  <c r="H30" i="16" s="1"/>
  <c r="G29" i="16"/>
  <c r="H27" i="16"/>
  <c r="H28" i="16" s="1"/>
  <c r="G27" i="16"/>
  <c r="G28" i="16" s="1"/>
  <c r="I27" i="16"/>
  <c r="G23" i="16"/>
  <c r="G24" i="16" s="1"/>
  <c r="I19" i="16"/>
  <c r="I20" i="16" s="1"/>
  <c r="H19" i="16"/>
  <c r="H20" i="16" s="1"/>
  <c r="I15" i="16"/>
  <c r="I16" i="16" s="1"/>
  <c r="G15" i="16"/>
  <c r="G16" i="16" s="1"/>
  <c r="H15" i="16"/>
  <c r="H16" i="16" s="1"/>
  <c r="I13" i="16"/>
  <c r="I14" i="16" s="1"/>
  <c r="H13" i="16"/>
  <c r="H14" i="16" s="1"/>
  <c r="J6" i="16"/>
  <c r="K4" i="16"/>
  <c r="L34" i="21" l="1"/>
  <c r="K29" i="21"/>
  <c r="K30" i="21" s="1"/>
  <c r="N32" i="21" s="1"/>
  <c r="L27" i="4"/>
  <c r="L28" i="4" s="1"/>
  <c r="K11" i="20"/>
  <c r="L11" i="20" s="1"/>
  <c r="K15" i="20"/>
  <c r="K19" i="20"/>
  <c r="K13" i="20"/>
  <c r="K17" i="20"/>
  <c r="L13" i="20"/>
  <c r="L15" i="20"/>
  <c r="L19" i="20"/>
  <c r="L17" i="20"/>
  <c r="K23" i="20"/>
  <c r="K7" i="19"/>
  <c r="C26" i="19"/>
  <c r="C12" i="19"/>
  <c r="C22" i="19"/>
  <c r="C14" i="19"/>
  <c r="J23" i="19"/>
  <c r="C2" i="19"/>
  <c r="D3" i="19" s="1"/>
  <c r="L17" i="19"/>
  <c r="H12" i="19"/>
  <c r="J11" i="19" s="1"/>
  <c r="H11" i="19"/>
  <c r="H13" i="19"/>
  <c r="H14" i="19" s="1"/>
  <c r="J13" i="19" s="1"/>
  <c r="H15" i="19"/>
  <c r="H16" i="19" s="1"/>
  <c r="J15" i="19" s="1"/>
  <c r="C18" i="19"/>
  <c r="C16" i="19"/>
  <c r="K23" i="16"/>
  <c r="J23" i="17"/>
  <c r="K23" i="17" s="1"/>
  <c r="L23" i="17" s="1"/>
  <c r="G12" i="17"/>
  <c r="C26" i="17"/>
  <c r="G15" i="17"/>
  <c r="G16" i="17" s="1"/>
  <c r="C12" i="17"/>
  <c r="C18" i="17"/>
  <c r="G19" i="17"/>
  <c r="G20" i="17" s="1"/>
  <c r="G29" i="17"/>
  <c r="G30" i="17" s="1"/>
  <c r="C2" i="17"/>
  <c r="D3" i="17" s="1"/>
  <c r="L4" i="17"/>
  <c r="H6" i="17" s="1"/>
  <c r="L3" i="17"/>
  <c r="H5" i="17" s="1"/>
  <c r="H7" i="17"/>
  <c r="K25" i="17" s="1"/>
  <c r="L25" i="17" s="1"/>
  <c r="J15" i="17"/>
  <c r="L31" i="12"/>
  <c r="G30" i="16"/>
  <c r="G21" i="16"/>
  <c r="G22" i="16" s="1"/>
  <c r="G25" i="16"/>
  <c r="G26" i="16" s="1"/>
  <c r="J25" i="16" s="1"/>
  <c r="H11" i="16"/>
  <c r="H12" i="16" s="1"/>
  <c r="I25" i="16"/>
  <c r="I26" i="16" s="1"/>
  <c r="G20" i="16"/>
  <c r="G11" i="16"/>
  <c r="G12" i="16" s="1"/>
  <c r="I11" i="16"/>
  <c r="I12" i="16" s="1"/>
  <c r="I17" i="16"/>
  <c r="I18" i="16" s="1"/>
  <c r="G14" i="16"/>
  <c r="I28" i="16"/>
  <c r="C2" i="16"/>
  <c r="L31" i="10"/>
  <c r="L29" i="10"/>
  <c r="H37" i="5"/>
  <c r="L27" i="5"/>
  <c r="L25" i="5"/>
  <c r="H33" i="15"/>
  <c r="I33" i="15"/>
  <c r="I32" i="15"/>
  <c r="H32" i="15"/>
  <c r="F32" i="15"/>
  <c r="E32" i="15"/>
  <c r="D32" i="15"/>
  <c r="K8" i="15"/>
  <c r="K12" i="16" l="1"/>
  <c r="L32" i="16" s="1"/>
  <c r="L32" i="21"/>
  <c r="L35" i="21"/>
  <c r="L37" i="21" s="1"/>
  <c r="C17" i="1" s="1"/>
  <c r="C11" i="1"/>
  <c r="L25" i="19"/>
  <c r="K29" i="19"/>
  <c r="L29" i="19" s="1"/>
  <c r="K15" i="19"/>
  <c r="L15" i="19" s="1"/>
  <c r="K13" i="19"/>
  <c r="L13" i="19" s="1"/>
  <c r="K11" i="19"/>
  <c r="L11" i="19" s="1"/>
  <c r="K23" i="19"/>
  <c r="L23" i="19" s="1"/>
  <c r="K21" i="19"/>
  <c r="L21" i="19" s="1"/>
  <c r="K19" i="19"/>
  <c r="L19" i="19" s="1"/>
  <c r="L21" i="17"/>
  <c r="J29" i="17"/>
  <c r="K19" i="17"/>
  <c r="L19" i="17" s="1"/>
  <c r="K17" i="17"/>
  <c r="L17" i="17" s="1"/>
  <c r="D4" i="17"/>
  <c r="H4" i="17"/>
  <c r="K25" i="16"/>
  <c r="K22" i="16"/>
  <c r="K21" i="16"/>
  <c r="C13" i="1" s="1"/>
  <c r="H30" i="15"/>
  <c r="G29" i="15"/>
  <c r="D29" i="15"/>
  <c r="L34" i="19" l="1"/>
  <c r="L32" i="19"/>
  <c r="K13" i="17"/>
  <c r="L13" i="17" s="1"/>
  <c r="K15" i="17"/>
  <c r="L15" i="17" s="1"/>
  <c r="K11" i="17"/>
  <c r="L11" i="17" s="1"/>
  <c r="L27" i="17" s="1"/>
  <c r="L28" i="17" s="1"/>
  <c r="C31" i="10"/>
  <c r="G31" i="10"/>
  <c r="G30" i="10"/>
  <c r="J8" i="10"/>
  <c r="J29" i="12"/>
  <c r="K7" i="12"/>
  <c r="J7" i="13"/>
  <c r="K2" i="3"/>
  <c r="L31" i="3" s="1"/>
  <c r="K7" i="4"/>
  <c r="K7" i="2"/>
  <c r="K3" i="2"/>
  <c r="J3" i="9"/>
  <c r="K2" i="5"/>
  <c r="L6" i="8"/>
  <c r="M29" i="2"/>
  <c r="C28" i="4"/>
  <c r="L12" i="12"/>
  <c r="L11" i="12"/>
  <c r="K11" i="12"/>
  <c r="C28" i="12"/>
  <c r="H30" i="12"/>
  <c r="D30" i="12"/>
  <c r="G30" i="12" s="1"/>
  <c r="H29" i="12"/>
  <c r="D29" i="12"/>
  <c r="G29" i="12" s="1"/>
  <c r="G28" i="12"/>
  <c r="F28" i="12"/>
  <c r="I27" i="12"/>
  <c r="I28" i="12" s="1"/>
  <c r="H27" i="12"/>
  <c r="H28" i="12" s="1"/>
  <c r="G27" i="12"/>
  <c r="F27" i="12"/>
  <c r="G28" i="13"/>
  <c r="G27" i="13"/>
  <c r="C28" i="13"/>
  <c r="I30" i="9"/>
  <c r="H30" i="9"/>
  <c r="G30" i="9"/>
  <c r="H29" i="9"/>
  <c r="I29" i="9"/>
  <c r="G29" i="9"/>
  <c r="C30" i="9"/>
  <c r="C30" i="5"/>
  <c r="D35" i="2"/>
  <c r="K27" i="5"/>
  <c r="G29" i="5"/>
  <c r="G30" i="5"/>
  <c r="K25" i="3"/>
  <c r="L27" i="3"/>
  <c r="K27" i="3"/>
  <c r="K29" i="3"/>
  <c r="L25" i="3"/>
  <c r="K19" i="3"/>
  <c r="K17" i="3"/>
  <c r="J27" i="3"/>
  <c r="L29" i="3"/>
  <c r="G32" i="3"/>
  <c r="G31" i="3"/>
  <c r="C32" i="3"/>
  <c r="C26" i="15"/>
  <c r="G28" i="4"/>
  <c r="H30" i="4"/>
  <c r="G30" i="4"/>
  <c r="H28" i="4"/>
  <c r="I28" i="4"/>
  <c r="H29" i="4"/>
  <c r="G29" i="4"/>
  <c r="H27" i="4"/>
  <c r="I27" i="4"/>
  <c r="G27" i="4"/>
  <c r="D30" i="4"/>
  <c r="F27" i="4"/>
  <c r="F28" i="4"/>
  <c r="D29" i="4"/>
  <c r="L23" i="8"/>
  <c r="J25" i="8"/>
  <c r="J26" i="8" s="1"/>
  <c r="I25" i="8"/>
  <c r="I26" i="8" s="1"/>
  <c r="H25" i="8"/>
  <c r="L25" i="11"/>
  <c r="G25" i="11"/>
  <c r="D18" i="2"/>
  <c r="M17" i="2"/>
  <c r="M27" i="2"/>
  <c r="D33" i="2"/>
  <c r="K2" i="2"/>
  <c r="J7" i="11"/>
  <c r="C22" i="15"/>
  <c r="C20" i="15"/>
  <c r="L23" i="11"/>
  <c r="L15" i="11"/>
  <c r="L3" i="11"/>
  <c r="K23" i="11"/>
  <c r="C26" i="11"/>
  <c r="D39" i="15"/>
  <c r="I36" i="15"/>
  <c r="H36" i="15"/>
  <c r="F36" i="15"/>
  <c r="G36" i="15"/>
  <c r="E36" i="15"/>
  <c r="D36" i="15"/>
  <c r="E29" i="15"/>
  <c r="B32" i="15"/>
  <c r="B38" i="15"/>
  <c r="B35" i="15"/>
  <c r="F29" i="15"/>
  <c r="C29" i="15"/>
  <c r="D28" i="15"/>
  <c r="C27" i="15"/>
  <c r="K13" i="15"/>
  <c r="L13" i="15" s="1"/>
  <c r="M17" i="15"/>
  <c r="M16" i="15"/>
  <c r="A24" i="15"/>
  <c r="E21" i="15"/>
  <c r="L11" i="15"/>
  <c r="A48" i="15"/>
  <c r="G19" i="15"/>
  <c r="G17" i="15"/>
  <c r="G15" i="15"/>
  <c r="H15" i="15"/>
  <c r="H16" i="15" s="1"/>
  <c r="K17" i="2"/>
  <c r="E24" i="15"/>
  <c r="E23" i="15"/>
  <c r="H23" i="15" s="1"/>
  <c r="D16" i="15"/>
  <c r="D15" i="15"/>
  <c r="A8" i="15"/>
  <c r="G13" i="15" s="1"/>
  <c r="G14" i="15" s="1"/>
  <c r="J3" i="15"/>
  <c r="K4" i="15" s="1"/>
  <c r="J2" i="15"/>
  <c r="B2" i="15" s="1"/>
  <c r="J1" i="15"/>
  <c r="L3" i="15" s="1"/>
  <c r="L7" i="15" s="1"/>
  <c r="J2" i="4"/>
  <c r="J6" i="15"/>
  <c r="L23" i="10"/>
  <c r="L21" i="10"/>
  <c r="L19" i="10"/>
  <c r="L17" i="10"/>
  <c r="C12" i="10"/>
  <c r="L11" i="5"/>
  <c r="H11" i="2"/>
  <c r="H13" i="2"/>
  <c r="H15" i="2"/>
  <c r="H17" i="2"/>
  <c r="H19" i="2"/>
  <c r="H21" i="2"/>
  <c r="H23" i="2"/>
  <c r="H25" i="2"/>
  <c r="H27" i="2"/>
  <c r="H29" i="2"/>
  <c r="K13" i="2"/>
  <c r="C3" i="13"/>
  <c r="H26" i="8" l="1"/>
  <c r="K25" i="8" s="1"/>
  <c r="L25" i="8" s="1"/>
  <c r="M25" i="8" s="1"/>
  <c r="C2" i="15"/>
  <c r="D3" i="15" s="1"/>
  <c r="G25" i="15"/>
  <c r="G26" i="15" s="1"/>
  <c r="H19" i="15"/>
  <c r="H20" i="15" s="1"/>
  <c r="L2" i="15"/>
  <c r="I19" i="15"/>
  <c r="I20" i="15" s="1"/>
  <c r="I13" i="15"/>
  <c r="I14" i="15" s="1"/>
  <c r="G11" i="15"/>
  <c r="G12" i="15" s="1"/>
  <c r="G23" i="15"/>
  <c r="H13" i="15"/>
  <c r="H14" i="15" s="1"/>
  <c r="I23" i="15"/>
  <c r="I24" i="15" s="1"/>
  <c r="H24" i="15"/>
  <c r="G18" i="15"/>
  <c r="H17" i="15"/>
  <c r="H18" i="15" s="1"/>
  <c r="H11" i="15"/>
  <c r="H12" i="15" s="1"/>
  <c r="I11" i="15"/>
  <c r="I12" i="15" s="1"/>
  <c r="G24" i="15"/>
  <c r="G16" i="15"/>
  <c r="G20" i="15"/>
  <c r="H18" i="13"/>
  <c r="G17" i="13"/>
  <c r="G18" i="13" s="1"/>
  <c r="G21" i="13"/>
  <c r="G22" i="13" s="1"/>
  <c r="B2" i="13"/>
  <c r="I19" i="13"/>
  <c r="I20" i="13"/>
  <c r="H19" i="13"/>
  <c r="H20" i="13" s="1"/>
  <c r="G19" i="13"/>
  <c r="G20" i="13" s="1"/>
  <c r="H21" i="13"/>
  <c r="H22" i="13" s="1"/>
  <c r="H23" i="13"/>
  <c r="H24" i="13" s="1"/>
  <c r="G24" i="13"/>
  <c r="J23" i="13" s="1"/>
  <c r="G23" i="13"/>
  <c r="J3" i="13"/>
  <c r="K3" i="13" s="1"/>
  <c r="L3" i="13" s="1"/>
  <c r="J2" i="13"/>
  <c r="J1" i="13"/>
  <c r="K4" i="13" s="1"/>
  <c r="C22" i="13" s="1"/>
  <c r="H15" i="13"/>
  <c r="H16" i="13" s="1"/>
  <c r="G15" i="13"/>
  <c r="G16" i="13" s="1"/>
  <c r="I13" i="13"/>
  <c r="I14" i="13" s="1"/>
  <c r="H13" i="13"/>
  <c r="H14" i="13" s="1"/>
  <c r="G13" i="13"/>
  <c r="G14" i="13" s="1"/>
  <c r="I11" i="13"/>
  <c r="I12" i="13" s="1"/>
  <c r="H11" i="13"/>
  <c r="H12" i="13" s="1"/>
  <c r="G11" i="13"/>
  <c r="G12" i="13" s="1"/>
  <c r="J6" i="13"/>
  <c r="K19" i="15" l="1"/>
  <c r="L19" i="15" s="1"/>
  <c r="K15" i="15"/>
  <c r="L15" i="15" s="1"/>
  <c r="K17" i="15"/>
  <c r="L17" i="15" s="1"/>
  <c r="G7" i="15"/>
  <c r="K23" i="15"/>
  <c r="L23" i="15" s="1"/>
  <c r="K21" i="15"/>
  <c r="K15" i="13"/>
  <c r="J21" i="13"/>
  <c r="C14" i="13"/>
  <c r="K12" i="13"/>
  <c r="C12" i="13"/>
  <c r="K24" i="13"/>
  <c r="K22" i="13"/>
  <c r="L22" i="13" s="1"/>
  <c r="K20" i="13"/>
  <c r="C16" i="13"/>
  <c r="C18" i="13"/>
  <c r="C20" i="13"/>
  <c r="C24" i="13"/>
  <c r="C2" i="13"/>
  <c r="L17" i="2"/>
  <c r="D20" i="8"/>
  <c r="D18" i="8"/>
  <c r="D16" i="8"/>
  <c r="D14" i="8"/>
  <c r="D12" i="8"/>
  <c r="C2" i="2"/>
  <c r="D14" i="2"/>
  <c r="K27" i="2"/>
  <c r="L25" i="12"/>
  <c r="L24" i="12"/>
  <c r="L18" i="12"/>
  <c r="L14" i="12"/>
  <c r="K12" i="12"/>
  <c r="K22" i="12"/>
  <c r="L34" i="12" s="1"/>
  <c r="L35" i="12" s="1"/>
  <c r="K19" i="12"/>
  <c r="K4" i="12"/>
  <c r="J17" i="12"/>
  <c r="J19" i="12"/>
  <c r="D20" i="12"/>
  <c r="D19" i="12"/>
  <c r="I17" i="12"/>
  <c r="I18" i="12" s="1"/>
  <c r="I15" i="12"/>
  <c r="I16" i="12" s="1"/>
  <c r="E16" i="12"/>
  <c r="D13" i="12"/>
  <c r="G13" i="12" s="1"/>
  <c r="G14" i="12" s="1"/>
  <c r="J13" i="12" s="1"/>
  <c r="D14" i="12"/>
  <c r="I9" i="12"/>
  <c r="I10" i="12" s="1"/>
  <c r="I11" i="12"/>
  <c r="E15" i="12"/>
  <c r="J3" i="12"/>
  <c r="J2" i="12"/>
  <c r="I25" i="12"/>
  <c r="I26" i="12" s="1"/>
  <c r="H25" i="12"/>
  <c r="H26" i="12" s="1"/>
  <c r="G25" i="12"/>
  <c r="G26" i="12" s="1"/>
  <c r="J25" i="12" s="1"/>
  <c r="G23" i="12"/>
  <c r="G24" i="12" s="1"/>
  <c r="J23" i="12" s="1"/>
  <c r="G21" i="12"/>
  <c r="G22" i="12" s="1"/>
  <c r="I19" i="12"/>
  <c r="I20" i="12" s="1"/>
  <c r="H19" i="12"/>
  <c r="H20" i="12" s="1"/>
  <c r="H17" i="12"/>
  <c r="H18" i="12" s="1"/>
  <c r="G17" i="12"/>
  <c r="G18" i="12" s="1"/>
  <c r="G15" i="12"/>
  <c r="G16" i="12" s="1"/>
  <c r="I13" i="12"/>
  <c r="I14" i="12" s="1"/>
  <c r="H13" i="12"/>
  <c r="H14" i="12" s="1"/>
  <c r="I12" i="12"/>
  <c r="H11" i="12"/>
  <c r="H12" i="12" s="1"/>
  <c r="G11" i="12"/>
  <c r="G12" i="12" s="1"/>
  <c r="J11" i="12" s="1"/>
  <c r="J6" i="12"/>
  <c r="G3" i="12"/>
  <c r="N25" i="15" l="1"/>
  <c r="N26" i="15" s="1"/>
  <c r="L19" i="2"/>
  <c r="M19" i="2" s="1"/>
  <c r="L21" i="15"/>
  <c r="L31" i="15" s="1"/>
  <c r="C16" i="15"/>
  <c r="C12" i="15"/>
  <c r="C24" i="15"/>
  <c r="C14" i="15"/>
  <c r="K13" i="13"/>
  <c r="L13" i="13" s="1"/>
  <c r="K18" i="13"/>
  <c r="L18" i="13" s="1"/>
  <c r="K11" i="13"/>
  <c r="L11" i="13" s="1"/>
  <c r="K16" i="13"/>
  <c r="L16" i="13" s="1"/>
  <c r="K14" i="13"/>
  <c r="L14" i="13" s="1"/>
  <c r="L12" i="13"/>
  <c r="L24" i="13"/>
  <c r="L15" i="13"/>
  <c r="L20" i="13"/>
  <c r="L23" i="13"/>
  <c r="C12" i="12"/>
  <c r="C22" i="12"/>
  <c r="C24" i="12"/>
  <c r="C20" i="12"/>
  <c r="C16" i="12"/>
  <c r="C26" i="12"/>
  <c r="C14" i="12"/>
  <c r="G19" i="12"/>
  <c r="G20" i="12" s="1"/>
  <c r="H15" i="12"/>
  <c r="H16" i="12" s="1"/>
  <c r="C2" i="12"/>
  <c r="K24" i="12" s="1"/>
  <c r="C16" i="1"/>
  <c r="K29" i="11"/>
  <c r="J29" i="11"/>
  <c r="G30" i="11"/>
  <c r="G29" i="11"/>
  <c r="L19" i="11"/>
  <c r="L17" i="11"/>
  <c r="L2" i="11"/>
  <c r="C14" i="11"/>
  <c r="C22" i="11"/>
  <c r="C18" i="11"/>
  <c r="J23" i="11"/>
  <c r="H24" i="11"/>
  <c r="H23" i="11"/>
  <c r="H16" i="11"/>
  <c r="B38" i="11"/>
  <c r="J19" i="11"/>
  <c r="J17" i="11"/>
  <c r="K19" i="11"/>
  <c r="G19" i="11"/>
  <c r="C20" i="11"/>
  <c r="E15" i="11"/>
  <c r="K13" i="11"/>
  <c r="L13" i="11" s="1"/>
  <c r="L34" i="11" s="1"/>
  <c r="B35" i="11"/>
  <c r="H15" i="11" s="1"/>
  <c r="C16" i="11"/>
  <c r="E16" i="11"/>
  <c r="I13" i="11"/>
  <c r="I14" i="11" s="1"/>
  <c r="E12" i="11"/>
  <c r="E11" i="11"/>
  <c r="C12" i="11"/>
  <c r="D3" i="11"/>
  <c r="K11" i="11"/>
  <c r="L11" i="11" s="1"/>
  <c r="B2" i="11"/>
  <c r="H8" i="11"/>
  <c r="G23" i="11"/>
  <c r="G24" i="11" s="1"/>
  <c r="H11" i="11"/>
  <c r="H12" i="11" s="1"/>
  <c r="J2" i="11"/>
  <c r="J3" i="11"/>
  <c r="K4" i="11"/>
  <c r="H21" i="11"/>
  <c r="H22" i="11" s="1"/>
  <c r="G21" i="11"/>
  <c r="G22" i="11" s="1"/>
  <c r="G20" i="11"/>
  <c r="H18" i="11"/>
  <c r="H17" i="11"/>
  <c r="G17" i="11"/>
  <c r="G18" i="11" s="1"/>
  <c r="G15" i="11"/>
  <c r="G16" i="11" s="1"/>
  <c r="G13" i="11"/>
  <c r="G14" i="11" s="1"/>
  <c r="I11" i="11"/>
  <c r="I12" i="11" s="1"/>
  <c r="G11" i="11"/>
  <c r="G12" i="11" s="1"/>
  <c r="J6" i="11"/>
  <c r="C7" i="1" l="1"/>
  <c r="L32" i="13"/>
  <c r="C5" i="1"/>
  <c r="L33" i="15"/>
  <c r="K23" i="12"/>
  <c r="L23" i="12" s="1"/>
  <c r="D4" i="12"/>
  <c r="K13" i="12"/>
  <c r="L13" i="12" s="1"/>
  <c r="K15" i="11"/>
  <c r="C2" i="11"/>
  <c r="K7" i="11"/>
  <c r="G29" i="3"/>
  <c r="L25" i="10"/>
  <c r="J19" i="10"/>
  <c r="K27" i="10"/>
  <c r="J27" i="10"/>
  <c r="G28" i="10"/>
  <c r="G27" i="10"/>
  <c r="J25" i="10"/>
  <c r="K25" i="10" s="1"/>
  <c r="J13" i="10"/>
  <c r="K13" i="10" s="1"/>
  <c r="L13" i="10" s="1"/>
  <c r="C26" i="10"/>
  <c r="C24" i="10"/>
  <c r="C22" i="10"/>
  <c r="C20" i="10"/>
  <c r="C18" i="10"/>
  <c r="C16" i="10"/>
  <c r="L15" i="10"/>
  <c r="L11" i="10"/>
  <c r="C14" i="10"/>
  <c r="J21" i="10"/>
  <c r="K19" i="10"/>
  <c r="K23" i="10"/>
  <c r="J24" i="10"/>
  <c r="J23" i="10"/>
  <c r="D23" i="10"/>
  <c r="D24" i="10"/>
  <c r="G23" i="10" s="1"/>
  <c r="K21" i="10"/>
  <c r="K17" i="10"/>
  <c r="K15" i="10"/>
  <c r="D3" i="10"/>
  <c r="K11" i="10"/>
  <c r="J17" i="10"/>
  <c r="J15" i="10"/>
  <c r="J11" i="10"/>
  <c r="J27" i="5"/>
  <c r="J25" i="5"/>
  <c r="J25" i="3"/>
  <c r="G26" i="10"/>
  <c r="G25" i="10"/>
  <c r="D26" i="10"/>
  <c r="I18" i="10"/>
  <c r="I17" i="10"/>
  <c r="B1" i="10"/>
  <c r="C28" i="5"/>
  <c r="C24" i="5"/>
  <c r="L23" i="5" s="1"/>
  <c r="C22" i="5"/>
  <c r="C20" i="5"/>
  <c r="C18" i="5"/>
  <c r="L17" i="5" s="1"/>
  <c r="C16" i="5"/>
  <c r="C14" i="5"/>
  <c r="L13" i="5" s="1"/>
  <c r="C12" i="5"/>
  <c r="K4" i="5"/>
  <c r="C5" i="4"/>
  <c r="M4" i="8"/>
  <c r="D20" i="2"/>
  <c r="K7" i="5"/>
  <c r="B2" i="10"/>
  <c r="L7" i="10"/>
  <c r="K4" i="10"/>
  <c r="J3" i="10"/>
  <c r="J2" i="10"/>
  <c r="C2" i="10" s="1"/>
  <c r="G21" i="10"/>
  <c r="G19" i="10"/>
  <c r="H17" i="10"/>
  <c r="G17" i="10"/>
  <c r="G15" i="10"/>
  <c r="G13" i="10"/>
  <c r="G11" i="10"/>
  <c r="J6" i="10"/>
  <c r="G30" i="3"/>
  <c r="L26" i="9"/>
  <c r="L22" i="9"/>
  <c r="K20" i="9"/>
  <c r="K18" i="9"/>
  <c r="K16" i="9"/>
  <c r="J24" i="9"/>
  <c r="L24" i="9" s="1"/>
  <c r="K14" i="9"/>
  <c r="K12" i="9"/>
  <c r="C20" i="9"/>
  <c r="J17" i="9"/>
  <c r="C18" i="9"/>
  <c r="G3" i="9"/>
  <c r="G3" i="5"/>
  <c r="G2" i="4"/>
  <c r="H2" i="8"/>
  <c r="H2" i="2"/>
  <c r="D28" i="9"/>
  <c r="D27" i="9"/>
  <c r="G27" i="9"/>
  <c r="G28" i="9" s="1"/>
  <c r="I25" i="9"/>
  <c r="G25" i="9"/>
  <c r="I20" i="9"/>
  <c r="H20" i="9"/>
  <c r="I19" i="9"/>
  <c r="H19" i="9"/>
  <c r="H16" i="9"/>
  <c r="H15" i="9"/>
  <c r="J2" i="9"/>
  <c r="K4" i="9"/>
  <c r="G24" i="9"/>
  <c r="G21" i="9"/>
  <c r="G22" i="9" s="1"/>
  <c r="G19" i="9"/>
  <c r="G20" i="9" s="1"/>
  <c r="H17" i="9"/>
  <c r="H18" i="9" s="1"/>
  <c r="G17" i="9"/>
  <c r="G15" i="9"/>
  <c r="I13" i="9"/>
  <c r="I14" i="9" s="1"/>
  <c r="H13" i="9"/>
  <c r="H14" i="9" s="1"/>
  <c r="G13" i="9"/>
  <c r="G14" i="9" s="1"/>
  <c r="I11" i="9"/>
  <c r="I12" i="9" s="1"/>
  <c r="H11" i="9"/>
  <c r="H12" i="9" s="1"/>
  <c r="G11" i="9"/>
  <c r="G12" i="9" s="1"/>
  <c r="J6" i="9"/>
  <c r="J6" i="5"/>
  <c r="J3" i="5"/>
  <c r="J2" i="5"/>
  <c r="B2" i="5" s="1"/>
  <c r="B2" i="3"/>
  <c r="K4" i="3"/>
  <c r="C14" i="3"/>
  <c r="L4" i="8"/>
  <c r="C2" i="8"/>
  <c r="J3" i="3"/>
  <c r="J2" i="3"/>
  <c r="J3" i="4"/>
  <c r="L2" i="4" s="1"/>
  <c r="L4" i="4"/>
  <c r="K3" i="8"/>
  <c r="K2" i="8"/>
  <c r="D2" i="8"/>
  <c r="K4" i="2"/>
  <c r="K6" i="2"/>
  <c r="K23" i="8"/>
  <c r="H24" i="8"/>
  <c r="H23" i="8"/>
  <c r="H21" i="8"/>
  <c r="H22" i="8" s="1"/>
  <c r="K21" i="8" s="1"/>
  <c r="I20" i="8"/>
  <c r="H20" i="8"/>
  <c r="I19" i="8"/>
  <c r="H19" i="8"/>
  <c r="H17" i="8"/>
  <c r="H18" i="8" s="1"/>
  <c r="I15" i="8"/>
  <c r="I16" i="8" s="1"/>
  <c r="H15" i="8"/>
  <c r="H16" i="8" s="1"/>
  <c r="J14" i="8"/>
  <c r="J13" i="8"/>
  <c r="I13" i="8"/>
  <c r="I14" i="8" s="1"/>
  <c r="H13" i="8"/>
  <c r="H14" i="8" s="1"/>
  <c r="H12" i="8"/>
  <c r="K6" i="8"/>
  <c r="K41" i="15" l="1"/>
  <c r="L35" i="15"/>
  <c r="L37" i="15" s="1"/>
  <c r="C9" i="1" s="1"/>
  <c r="L34" i="9"/>
  <c r="L35" i="9" s="1"/>
  <c r="H5" i="4"/>
  <c r="K17" i="12"/>
  <c r="L17" i="12" s="1"/>
  <c r="K18" i="12"/>
  <c r="K25" i="12"/>
  <c r="K14" i="12"/>
  <c r="L19" i="12"/>
  <c r="K20" i="12"/>
  <c r="G20" i="10"/>
  <c r="G22" i="10"/>
  <c r="G12" i="10"/>
  <c r="G24" i="10"/>
  <c r="G18" i="10"/>
  <c r="H18" i="10"/>
  <c r="G14" i="10"/>
  <c r="G16" i="10"/>
  <c r="G18" i="9"/>
  <c r="G16" i="9"/>
  <c r="L15" i="9" s="1"/>
  <c r="C2" i="5"/>
  <c r="D3" i="5" s="1"/>
  <c r="H6" i="4"/>
  <c r="L15" i="8"/>
  <c r="M15" i="8" s="1"/>
  <c r="L21" i="8"/>
  <c r="H4" i="4" l="1"/>
  <c r="C12" i="1"/>
  <c r="L17" i="9"/>
  <c r="L19" i="9"/>
  <c r="J29" i="3"/>
  <c r="G27" i="5"/>
  <c r="G28" i="5" s="1"/>
  <c r="G26" i="5"/>
  <c r="K25" i="5" s="1"/>
  <c r="H23" i="5"/>
  <c r="H24" i="5" s="1"/>
  <c r="G23" i="5"/>
  <c r="G24" i="5" s="1"/>
  <c r="H21" i="5"/>
  <c r="H22" i="5" s="1"/>
  <c r="G21" i="5"/>
  <c r="G22" i="5" s="1"/>
  <c r="G19" i="5"/>
  <c r="G20" i="5" s="1"/>
  <c r="D18" i="5"/>
  <c r="H17" i="5"/>
  <c r="H18" i="5" s="1"/>
  <c r="D17" i="5"/>
  <c r="G17" i="5" s="1"/>
  <c r="D16" i="5"/>
  <c r="D15" i="5"/>
  <c r="G15" i="5" s="1"/>
  <c r="I13" i="5"/>
  <c r="I14" i="5" s="1"/>
  <c r="H13" i="5"/>
  <c r="H14" i="5" s="1"/>
  <c r="G13" i="5"/>
  <c r="G14" i="5" s="1"/>
  <c r="I11" i="5"/>
  <c r="I12" i="5" s="1"/>
  <c r="H11" i="5"/>
  <c r="H12" i="5" s="1"/>
  <c r="G11" i="5"/>
  <c r="G12" i="5" s="1"/>
  <c r="J13" i="4"/>
  <c r="I19" i="4"/>
  <c r="I20" i="4" s="1"/>
  <c r="H15" i="4"/>
  <c r="H16" i="4" s="1"/>
  <c r="G15" i="4"/>
  <c r="G16" i="4"/>
  <c r="J15" i="4" s="1"/>
  <c r="E20" i="4"/>
  <c r="D20" i="4"/>
  <c r="D16" i="4"/>
  <c r="D15" i="4"/>
  <c r="D12" i="4"/>
  <c r="D23" i="4"/>
  <c r="G23" i="4" s="1"/>
  <c r="G24" i="4" s="1"/>
  <c r="J23" i="4" s="1"/>
  <c r="E19" i="4"/>
  <c r="H19" i="4" s="1"/>
  <c r="D19" i="4"/>
  <c r="D11" i="4"/>
  <c r="D16" i="3"/>
  <c r="G15" i="3" s="1"/>
  <c r="G16" i="3" s="1"/>
  <c r="L15" i="3" s="1"/>
  <c r="D15" i="3"/>
  <c r="G25" i="4"/>
  <c r="G26" i="4" s="1"/>
  <c r="G21" i="4"/>
  <c r="G22" i="4" s="1"/>
  <c r="J21" i="4" s="1"/>
  <c r="G17" i="4"/>
  <c r="G18" i="4" s="1"/>
  <c r="G13" i="4"/>
  <c r="G14" i="4" s="1"/>
  <c r="I11" i="4"/>
  <c r="I12" i="4" s="1"/>
  <c r="H11" i="4"/>
  <c r="H12" i="4" s="1"/>
  <c r="J6" i="4"/>
  <c r="J13" i="3"/>
  <c r="G13" i="3"/>
  <c r="G14" i="3" s="1"/>
  <c r="H20" i="2"/>
  <c r="G24" i="3"/>
  <c r="K7" i="3"/>
  <c r="G11" i="3"/>
  <c r="G12" i="3"/>
  <c r="L11" i="3" s="1"/>
  <c r="C28" i="3"/>
  <c r="G27" i="3"/>
  <c r="G28" i="3" s="1"/>
  <c r="G22" i="3"/>
  <c r="D17" i="3"/>
  <c r="G17" i="3" s="1"/>
  <c r="D18" i="3"/>
  <c r="G18" i="3" s="1"/>
  <c r="G19" i="3"/>
  <c r="G20" i="3" s="1"/>
  <c r="J19" i="3" s="1"/>
  <c r="H17" i="3"/>
  <c r="H18" i="3" s="1"/>
  <c r="G26" i="3"/>
  <c r="H23" i="3"/>
  <c r="H24" i="3" s="1"/>
  <c r="G23" i="3"/>
  <c r="H21" i="3"/>
  <c r="H22" i="3" s="1"/>
  <c r="G21" i="3"/>
  <c r="I13" i="3"/>
  <c r="I14" i="3" s="1"/>
  <c r="H13" i="3"/>
  <c r="H14" i="3" s="1"/>
  <c r="I11" i="3"/>
  <c r="I12" i="3" s="1"/>
  <c r="H11" i="3"/>
  <c r="H12" i="3" s="1"/>
  <c r="J6" i="3"/>
  <c r="C2" i="3"/>
  <c r="L17" i="3" s="1"/>
  <c r="D24" i="2"/>
  <c r="D22" i="2"/>
  <c r="K29" i="2"/>
  <c r="F7" i="2"/>
  <c r="D2" i="2"/>
  <c r="H30" i="2"/>
  <c r="H28" i="2"/>
  <c r="H26" i="2"/>
  <c r="I24" i="2"/>
  <c r="H22" i="2"/>
  <c r="H24" i="2"/>
  <c r="I22" i="2"/>
  <c r="H18" i="2"/>
  <c r="H16" i="2"/>
  <c r="J14" i="2"/>
  <c r="I14" i="2"/>
  <c r="H14" i="2"/>
  <c r="H12" i="2"/>
  <c r="J12" i="2"/>
  <c r="I12" i="2"/>
  <c r="I23" i="2"/>
  <c r="I21" i="2"/>
  <c r="J13" i="2"/>
  <c r="I13" i="2"/>
  <c r="J11" i="2"/>
  <c r="I11" i="2"/>
  <c r="C8" i="1" l="1"/>
  <c r="L15" i="2"/>
  <c r="M15" i="2" s="1"/>
  <c r="L11" i="2"/>
  <c r="M11" i="2" s="1"/>
  <c r="L13" i="2"/>
  <c r="M13" i="2" s="1"/>
  <c r="H20" i="4"/>
  <c r="C18" i="1"/>
  <c r="E2" i="2"/>
  <c r="L19" i="3"/>
  <c r="L21" i="3"/>
  <c r="L23" i="3"/>
  <c r="L13" i="3"/>
  <c r="D3" i="3"/>
  <c r="L27" i="2"/>
  <c r="L29" i="2"/>
  <c r="L21" i="5"/>
  <c r="G16" i="5"/>
  <c r="L15" i="5" s="1"/>
  <c r="G18" i="5"/>
  <c r="L19" i="5"/>
  <c r="G19" i="4"/>
  <c r="G20" i="4" s="1"/>
  <c r="G11" i="4"/>
  <c r="G12" i="4" s="1"/>
  <c r="J17" i="3"/>
  <c r="L32" i="5" l="1"/>
  <c r="L31" i="5"/>
  <c r="L33" i="5" s="1"/>
  <c r="L34" i="5" s="1"/>
  <c r="L34" i="3"/>
  <c r="L35" i="3" s="1"/>
  <c r="L23" i="2"/>
  <c r="M23" i="2" s="1"/>
  <c r="M36" i="2" s="1"/>
  <c r="M37" i="2" s="1"/>
  <c r="L13" i="4"/>
  <c r="M31" i="2" l="1"/>
  <c r="C6" i="1" s="1"/>
  <c r="F33" i="2"/>
  <c r="L36" i="3"/>
  <c r="C15" i="1"/>
  <c r="C14" i="1"/>
  <c r="L33" i="3" l="1"/>
  <c r="C10" i="1" s="1"/>
</calcChain>
</file>

<file path=xl/sharedStrings.xml><?xml version="1.0" encoding="utf-8"?>
<sst xmlns="http://schemas.openxmlformats.org/spreadsheetml/2006/main" count="1057" uniqueCount="399">
  <si>
    <t>공격력</t>
    <phoneticPr fontId="1" type="noConversion"/>
  </si>
  <si>
    <t>치명타확률</t>
    <phoneticPr fontId="1" type="noConversion"/>
  </si>
  <si>
    <t>치명타 데미지</t>
    <phoneticPr fontId="1" type="noConversion"/>
  </si>
  <si>
    <t>백어택</t>
    <phoneticPr fontId="1" type="noConversion"/>
  </si>
  <si>
    <t>지배</t>
    <phoneticPr fontId="1" type="noConversion"/>
  </si>
  <si>
    <t>올19강</t>
    <phoneticPr fontId="1" type="noConversion"/>
  </si>
  <si>
    <t>샷건연사</t>
    <phoneticPr fontId="1" type="noConversion"/>
  </si>
  <si>
    <t>절멸</t>
    <phoneticPr fontId="1" type="noConversion"/>
  </si>
  <si>
    <t>최후</t>
    <phoneticPr fontId="1" type="noConversion"/>
  </si>
  <si>
    <t>마탄</t>
    <phoneticPr fontId="1" type="noConversion"/>
  </si>
  <si>
    <t>타겟다운</t>
    <phoneticPr fontId="1" type="noConversion"/>
  </si>
  <si>
    <t>포커스샷</t>
    <phoneticPr fontId="1" type="noConversion"/>
  </si>
  <si>
    <t>퍼펙트샷</t>
    <phoneticPr fontId="1" type="noConversion"/>
  </si>
  <si>
    <t>원한</t>
    <phoneticPr fontId="1" type="noConversion"/>
  </si>
  <si>
    <t>예둔</t>
    <phoneticPr fontId="1" type="noConversion"/>
  </si>
  <si>
    <t>저받</t>
    <phoneticPr fontId="1" type="noConversion"/>
  </si>
  <si>
    <t>각성</t>
    <phoneticPr fontId="1" type="noConversion"/>
  </si>
  <si>
    <t>정흡</t>
    <phoneticPr fontId="1" type="noConversion"/>
  </si>
  <si>
    <t>피메</t>
    <phoneticPr fontId="1" type="noConversion"/>
  </si>
  <si>
    <t>샷건 치적</t>
    <phoneticPr fontId="1" type="noConversion"/>
  </si>
  <si>
    <t>라플</t>
    <phoneticPr fontId="1" type="noConversion"/>
  </si>
  <si>
    <t>레오불</t>
    <phoneticPr fontId="1" type="noConversion"/>
  </si>
  <si>
    <t>이퀄</t>
    <phoneticPr fontId="1" type="noConversion"/>
  </si>
  <si>
    <t>계수</t>
    <phoneticPr fontId="1" type="noConversion"/>
  </si>
  <si>
    <t>공</t>
    <phoneticPr fontId="1" type="noConversion"/>
  </si>
  <si>
    <t>치명</t>
    <phoneticPr fontId="1" type="noConversion"/>
  </si>
  <si>
    <t>특화</t>
    <phoneticPr fontId="1" type="noConversion"/>
  </si>
  <si>
    <t>핸드건 치뎀</t>
    <phoneticPr fontId="1" type="noConversion"/>
  </si>
  <si>
    <t>라플</t>
    <phoneticPr fontId="1" type="noConversion"/>
  </si>
  <si>
    <t>치명,피메적용</t>
    <phoneticPr fontId="1" type="noConversion"/>
  </si>
  <si>
    <t>7렙보석</t>
    <phoneticPr fontId="1" type="noConversion"/>
  </si>
  <si>
    <t>7렙쿨감</t>
    <phoneticPr fontId="1" type="noConversion"/>
  </si>
  <si>
    <t>보석 DPS</t>
    <phoneticPr fontId="1" type="noConversion"/>
  </si>
  <si>
    <t>멸홍</t>
    <phoneticPr fontId="1" type="noConversion"/>
  </si>
  <si>
    <t>멸홍</t>
    <phoneticPr fontId="1" type="noConversion"/>
  </si>
  <si>
    <t>멸홍</t>
    <phoneticPr fontId="1" type="noConversion"/>
  </si>
  <si>
    <t>멸</t>
    <phoneticPr fontId="1" type="noConversion"/>
  </si>
  <si>
    <t>각인</t>
    <phoneticPr fontId="1" type="noConversion"/>
  </si>
  <si>
    <t>지배</t>
    <phoneticPr fontId="1" type="noConversion"/>
  </si>
  <si>
    <t>트포</t>
    <phoneticPr fontId="1" type="noConversion"/>
  </si>
  <si>
    <t>레벨</t>
    <phoneticPr fontId="1" type="noConversion"/>
  </si>
  <si>
    <t>스킬렙</t>
    <phoneticPr fontId="1" type="noConversion"/>
  </si>
  <si>
    <t>쿨</t>
    <phoneticPr fontId="1" type="noConversion"/>
  </si>
  <si>
    <t>보석</t>
    <phoneticPr fontId="1" type="noConversion"/>
  </si>
  <si>
    <t>신속</t>
    <phoneticPr fontId="1" type="noConversion"/>
  </si>
  <si>
    <t>쿨감</t>
    <phoneticPr fontId="1" type="noConversion"/>
  </si>
  <si>
    <t>두동</t>
    <phoneticPr fontId="1" type="noConversion"/>
  </si>
  <si>
    <t>매혹</t>
    <phoneticPr fontId="1" type="noConversion"/>
  </si>
  <si>
    <t>저받</t>
    <phoneticPr fontId="1" type="noConversion"/>
  </si>
  <si>
    <t>돌대</t>
    <phoneticPr fontId="1" type="noConversion"/>
  </si>
  <si>
    <t>정흡</t>
    <phoneticPr fontId="1" type="noConversion"/>
  </si>
  <si>
    <t>래피드샷</t>
    <phoneticPr fontId="1" type="noConversion"/>
  </si>
  <si>
    <t>에로우헤일</t>
    <phoneticPr fontId="1" type="noConversion"/>
  </si>
  <si>
    <t>에로우샤워</t>
    <phoneticPr fontId="1" type="noConversion"/>
  </si>
  <si>
    <t>블레이드스톰</t>
    <phoneticPr fontId="1" type="noConversion"/>
  </si>
  <si>
    <t>샤프슈터</t>
    <phoneticPr fontId="1" type="noConversion"/>
  </si>
  <si>
    <t>스나이프</t>
    <phoneticPr fontId="1" type="noConversion"/>
  </si>
  <si>
    <t>멸홍</t>
    <phoneticPr fontId="1" type="noConversion"/>
  </si>
  <si>
    <t>차징샷</t>
    <phoneticPr fontId="1" type="noConversion"/>
  </si>
  <si>
    <t>실버호크</t>
    <phoneticPr fontId="1" type="noConversion"/>
  </si>
  <si>
    <t>멸홍</t>
    <phoneticPr fontId="1" type="noConversion"/>
  </si>
  <si>
    <t>실버호크</t>
    <phoneticPr fontId="1" type="noConversion"/>
  </si>
  <si>
    <t>멸홍</t>
    <phoneticPr fontId="1" type="noConversion"/>
  </si>
  <si>
    <t>평타</t>
    <phoneticPr fontId="1" type="noConversion"/>
  </si>
  <si>
    <t>폭풍날개</t>
    <phoneticPr fontId="1" type="noConversion"/>
  </si>
  <si>
    <t>트포깡딜</t>
    <phoneticPr fontId="1" type="noConversion"/>
  </si>
  <si>
    <t>치명 적용</t>
    <phoneticPr fontId="1" type="noConversion"/>
  </si>
  <si>
    <t>두동, 시너지</t>
    <phoneticPr fontId="1" type="noConversion"/>
  </si>
  <si>
    <t>신속</t>
    <phoneticPr fontId="1" type="noConversion"/>
  </si>
  <si>
    <t>특화</t>
    <phoneticPr fontId="1" type="noConversion"/>
  </si>
  <si>
    <t>파랑</t>
    <phoneticPr fontId="1" type="noConversion"/>
  </si>
  <si>
    <t>빨강</t>
    <phoneticPr fontId="1" type="noConversion"/>
  </si>
  <si>
    <t>절정</t>
    <phoneticPr fontId="1" type="noConversion"/>
  </si>
  <si>
    <t>빨강</t>
    <phoneticPr fontId="1" type="noConversion"/>
  </si>
  <si>
    <t>크확</t>
    <phoneticPr fontId="1" type="noConversion"/>
  </si>
  <si>
    <t>치피</t>
    <phoneticPr fontId="1" type="noConversion"/>
  </si>
  <si>
    <t>반월섬</t>
    <phoneticPr fontId="1" type="noConversion"/>
  </si>
  <si>
    <t>청룡진</t>
    <phoneticPr fontId="1" type="noConversion"/>
  </si>
  <si>
    <t>질풍참</t>
    <phoneticPr fontId="1" type="noConversion"/>
  </si>
  <si>
    <t>맹룡</t>
    <phoneticPr fontId="1" type="noConversion"/>
  </si>
  <si>
    <t>굉열파</t>
    <phoneticPr fontId="1" type="noConversion"/>
  </si>
  <si>
    <t>유성강천</t>
    <phoneticPr fontId="1" type="noConversion"/>
  </si>
  <si>
    <t>절룡세</t>
    <phoneticPr fontId="1" type="noConversion"/>
  </si>
  <si>
    <t>적룡포</t>
    <phoneticPr fontId="1" type="noConversion"/>
  </si>
  <si>
    <t>치명 적용</t>
    <phoneticPr fontId="1" type="noConversion"/>
  </si>
  <si>
    <t>홍</t>
    <phoneticPr fontId="1" type="noConversion"/>
  </si>
  <si>
    <t>멸</t>
    <phoneticPr fontId="1" type="noConversion"/>
  </si>
  <si>
    <t>홍멸</t>
    <phoneticPr fontId="1" type="noConversion"/>
  </si>
  <si>
    <t>홍멸</t>
    <phoneticPr fontId="1" type="noConversion"/>
  </si>
  <si>
    <t>각인,지배</t>
    <phoneticPr fontId="1" type="noConversion"/>
  </si>
  <si>
    <t>1싸이클/20</t>
    <phoneticPr fontId="1" type="noConversion"/>
  </si>
  <si>
    <t>억제</t>
    <phoneticPr fontId="1" type="noConversion"/>
  </si>
  <si>
    <t>지배쿨감</t>
    <phoneticPr fontId="1" type="noConversion"/>
  </si>
  <si>
    <t>크커</t>
    <phoneticPr fontId="1" type="noConversion"/>
  </si>
  <si>
    <t>샤펀컷</t>
    <phoneticPr fontId="1" type="noConversion"/>
  </si>
  <si>
    <t>제노</t>
    <phoneticPr fontId="1" type="noConversion"/>
  </si>
  <si>
    <t>하울링</t>
    <phoneticPr fontId="1" type="noConversion"/>
  </si>
  <si>
    <t>데시</t>
    <phoneticPr fontId="1" type="noConversion"/>
  </si>
  <si>
    <t>치명 적용</t>
    <phoneticPr fontId="1" type="noConversion"/>
  </si>
  <si>
    <t>dpm</t>
    <phoneticPr fontId="1" type="noConversion"/>
  </si>
  <si>
    <t>슬래셔</t>
    <phoneticPr fontId="1" type="noConversion"/>
  </si>
  <si>
    <t>쓰임</t>
    <phoneticPr fontId="1" type="noConversion"/>
  </si>
  <si>
    <t>멸</t>
    <phoneticPr fontId="1" type="noConversion"/>
  </si>
  <si>
    <t>하울링</t>
    <phoneticPr fontId="1" type="noConversion"/>
  </si>
  <si>
    <t>목</t>
    <phoneticPr fontId="1" type="noConversion"/>
  </si>
  <si>
    <t>귀</t>
    <phoneticPr fontId="1" type="noConversion"/>
  </si>
  <si>
    <t>귀</t>
    <phoneticPr fontId="1" type="noConversion"/>
  </si>
  <si>
    <t>반</t>
    <phoneticPr fontId="1" type="noConversion"/>
  </si>
  <si>
    <t>반</t>
    <phoneticPr fontId="1" type="noConversion"/>
  </si>
  <si>
    <t>치</t>
    <phoneticPr fontId="1" type="noConversion"/>
  </si>
  <si>
    <t>특</t>
    <phoneticPr fontId="1" type="noConversion"/>
  </si>
  <si>
    <t>신</t>
    <phoneticPr fontId="1" type="noConversion"/>
  </si>
  <si>
    <t>신속</t>
    <phoneticPr fontId="1" type="noConversion"/>
  </si>
  <si>
    <t>지배</t>
    <phoneticPr fontId="1" type="noConversion"/>
  </si>
  <si>
    <t>예둔</t>
    <phoneticPr fontId="1" type="noConversion"/>
  </si>
  <si>
    <t>각성</t>
    <phoneticPr fontId="1" type="noConversion"/>
  </si>
  <si>
    <t>특</t>
    <phoneticPr fontId="1" type="noConversion"/>
  </si>
  <si>
    <t>급습피해량</t>
    <phoneticPr fontId="1" type="noConversion"/>
  </si>
  <si>
    <t>기습</t>
    <phoneticPr fontId="1" type="noConversion"/>
  </si>
  <si>
    <t>달소</t>
    <phoneticPr fontId="1" type="noConversion"/>
  </si>
  <si>
    <t>나이트메어</t>
    <phoneticPr fontId="1" type="noConversion"/>
  </si>
  <si>
    <t>쉐도우닷</t>
    <phoneticPr fontId="1" type="noConversion"/>
  </si>
  <si>
    <t>디스토션</t>
    <phoneticPr fontId="1" type="noConversion"/>
  </si>
  <si>
    <t>세도우스톰</t>
    <phoneticPr fontId="1" type="noConversion"/>
  </si>
  <si>
    <t>라스트그래피티</t>
    <phoneticPr fontId="1" type="noConversion"/>
  </si>
  <si>
    <t>레이지스피어</t>
    <phoneticPr fontId="1" type="noConversion"/>
  </si>
  <si>
    <t>댄싱오브</t>
    <phoneticPr fontId="1" type="noConversion"/>
  </si>
  <si>
    <t>부식독</t>
    <phoneticPr fontId="1" type="noConversion"/>
  </si>
  <si>
    <t>사멸</t>
    <phoneticPr fontId="1" type="noConversion"/>
  </si>
  <si>
    <t>치적</t>
    <phoneticPr fontId="1" type="noConversion"/>
  </si>
  <si>
    <t>치뎀</t>
    <phoneticPr fontId="1" type="noConversion"/>
  </si>
  <si>
    <t>백어택뎀증</t>
    <phoneticPr fontId="1" type="noConversion"/>
  </si>
  <si>
    <t>쉐스</t>
    <phoneticPr fontId="1" type="noConversion"/>
  </si>
  <si>
    <t>쉐닷</t>
    <phoneticPr fontId="1" type="noConversion"/>
  </si>
  <si>
    <t>백</t>
    <phoneticPr fontId="1" type="noConversion"/>
  </si>
  <si>
    <t>스피어</t>
    <phoneticPr fontId="1" type="noConversion"/>
  </si>
  <si>
    <t>백</t>
    <phoneticPr fontId="1" type="noConversion"/>
  </si>
  <si>
    <t>쉐닷</t>
    <phoneticPr fontId="1" type="noConversion"/>
  </si>
  <si>
    <t>나메</t>
    <phoneticPr fontId="1" type="noConversion"/>
  </si>
  <si>
    <t>백</t>
    <phoneticPr fontId="1" type="noConversion"/>
  </si>
  <si>
    <t>디토</t>
    <phoneticPr fontId="1" type="noConversion"/>
  </si>
  <si>
    <t>댄오퓨</t>
    <phoneticPr fontId="1" type="noConversion"/>
  </si>
  <si>
    <t>백</t>
    <phoneticPr fontId="1" type="noConversion"/>
  </si>
  <si>
    <t>백</t>
    <phoneticPr fontId="1" type="noConversion"/>
  </si>
  <si>
    <t>쉐닷</t>
    <phoneticPr fontId="1" type="noConversion"/>
  </si>
  <si>
    <t>캐피</t>
    <phoneticPr fontId="1" type="noConversion"/>
  </si>
  <si>
    <t>나메</t>
    <phoneticPr fontId="1" type="noConversion"/>
  </si>
  <si>
    <t>그래피티</t>
    <phoneticPr fontId="1" type="noConversion"/>
  </si>
  <si>
    <t>17초</t>
    <phoneticPr fontId="1" type="noConversion"/>
  </si>
  <si>
    <t>백어택(기습)</t>
    <phoneticPr fontId="1" type="noConversion"/>
  </si>
  <si>
    <t>홍</t>
    <phoneticPr fontId="1" type="noConversion"/>
  </si>
  <si>
    <t>홍</t>
    <phoneticPr fontId="1" type="noConversion"/>
  </si>
  <si>
    <t>홍</t>
    <phoneticPr fontId="1" type="noConversion"/>
  </si>
  <si>
    <t>홍멸</t>
    <phoneticPr fontId="1" type="noConversion"/>
  </si>
  <si>
    <t>백0</t>
    <phoneticPr fontId="1" type="noConversion"/>
  </si>
  <si>
    <t>각성</t>
    <phoneticPr fontId="1" type="noConversion"/>
  </si>
  <si>
    <t>기술</t>
    <phoneticPr fontId="1" type="noConversion"/>
  </si>
  <si>
    <t>반</t>
    <phoneticPr fontId="1" type="noConversion"/>
  </si>
  <si>
    <t>싱크스킬피해</t>
    <phoneticPr fontId="1" type="noConversion"/>
  </si>
  <si>
    <t>드론,합작</t>
    <phoneticPr fontId="1" type="noConversion"/>
  </si>
  <si>
    <t>두동x</t>
    <phoneticPr fontId="1" type="noConversion"/>
  </si>
  <si>
    <t>두동o</t>
    <phoneticPr fontId="1" type="noConversion"/>
  </si>
  <si>
    <t>두동평균</t>
    <phoneticPr fontId="1" type="noConversion"/>
  </si>
  <si>
    <t>두동x</t>
    <phoneticPr fontId="1" type="noConversion"/>
  </si>
  <si>
    <t>두동o</t>
    <phoneticPr fontId="1" type="noConversion"/>
  </si>
  <si>
    <t>두동평균</t>
    <phoneticPr fontId="1" type="noConversion"/>
  </si>
  <si>
    <t>각인 시너지</t>
    <phoneticPr fontId="1" type="noConversion"/>
  </si>
  <si>
    <t>기동타격</t>
    <phoneticPr fontId="1" type="noConversion"/>
  </si>
  <si>
    <t>전술사격</t>
    <phoneticPr fontId="1" type="noConversion"/>
  </si>
  <si>
    <t>펄스파이어</t>
    <phoneticPr fontId="1" type="noConversion"/>
  </si>
  <si>
    <t>아발</t>
    <phoneticPr fontId="1" type="noConversion"/>
  </si>
  <si>
    <t>베이비드론</t>
    <phoneticPr fontId="1" type="noConversion"/>
  </si>
  <si>
    <t>레이드미사일</t>
    <phoneticPr fontId="1" type="noConversion"/>
  </si>
  <si>
    <t>어나힐</t>
    <phoneticPr fontId="1" type="noConversion"/>
  </si>
  <si>
    <t>에너지</t>
    <phoneticPr fontId="1" type="noConversion"/>
  </si>
  <si>
    <t>치적20</t>
    <phoneticPr fontId="1" type="noConversion"/>
  </si>
  <si>
    <t>멸</t>
    <phoneticPr fontId="1" type="noConversion"/>
  </si>
  <si>
    <t>홍</t>
    <phoneticPr fontId="1" type="noConversion"/>
  </si>
  <si>
    <t>멸홍</t>
    <phoneticPr fontId="1" type="noConversion"/>
  </si>
  <si>
    <t>멸홍</t>
    <phoneticPr fontId="1" type="noConversion"/>
  </si>
  <si>
    <t>에너지 화상</t>
    <phoneticPr fontId="1" type="noConversion"/>
  </si>
  <si>
    <t>5초</t>
    <phoneticPr fontId="1" type="noConversion"/>
  </si>
  <si>
    <t>리퍼</t>
    <phoneticPr fontId="1" type="noConversion"/>
  </si>
  <si>
    <t>지배 1해방 억제</t>
    <phoneticPr fontId="1" type="noConversion"/>
  </si>
  <si>
    <t>화강</t>
    <phoneticPr fontId="1" type="noConversion"/>
  </si>
  <si>
    <t>예둔</t>
    <phoneticPr fontId="1" type="noConversion"/>
  </si>
  <si>
    <t>네이팜탄</t>
    <phoneticPr fontId="1" type="noConversion"/>
  </si>
  <si>
    <t>다연장로켓포</t>
    <phoneticPr fontId="1" type="noConversion"/>
  </si>
  <si>
    <t>화염방사기</t>
    <phoneticPr fontId="1" type="noConversion"/>
  </si>
  <si>
    <t>공중포격</t>
    <phoneticPr fontId="1" type="noConversion"/>
  </si>
  <si>
    <t>포탑</t>
    <phoneticPr fontId="1" type="noConversion"/>
  </si>
  <si>
    <t>미폭</t>
    <phoneticPr fontId="1" type="noConversion"/>
  </si>
  <si>
    <t>3단계</t>
    <phoneticPr fontId="1" type="noConversion"/>
  </si>
  <si>
    <t>피증</t>
    <phoneticPr fontId="1" type="noConversion"/>
  </si>
  <si>
    <t>치확</t>
    <phoneticPr fontId="1" type="noConversion"/>
  </si>
  <si>
    <t>에너지포</t>
    <phoneticPr fontId="1" type="noConversion"/>
  </si>
  <si>
    <t>시너지</t>
    <phoneticPr fontId="1" type="noConversion"/>
  </si>
  <si>
    <t>홍멸</t>
    <phoneticPr fontId="1" type="noConversion"/>
  </si>
  <si>
    <t>멸</t>
    <phoneticPr fontId="1" type="noConversion"/>
  </si>
  <si>
    <t>멸</t>
    <phoneticPr fontId="1" type="noConversion"/>
  </si>
  <si>
    <t>홍멸</t>
    <phoneticPr fontId="1" type="noConversion"/>
  </si>
  <si>
    <t>화력버프</t>
    <phoneticPr fontId="1" type="noConversion"/>
  </si>
  <si>
    <t>포격</t>
    <phoneticPr fontId="1" type="noConversion"/>
  </si>
  <si>
    <t>매혹</t>
    <phoneticPr fontId="1" type="noConversion"/>
  </si>
  <si>
    <t>총</t>
    <phoneticPr fontId="1" type="noConversion"/>
  </si>
  <si>
    <t>블래스터</t>
    <phoneticPr fontId="1" type="noConversion"/>
  </si>
  <si>
    <t>매혹 쿨 0.5초</t>
    <phoneticPr fontId="1" type="noConversion"/>
  </si>
  <si>
    <t>매혹 쿨 0.5초 두동</t>
    <phoneticPr fontId="1" type="noConversion"/>
  </si>
  <si>
    <t>절제</t>
    <phoneticPr fontId="1" type="noConversion"/>
  </si>
  <si>
    <t>신속</t>
    <phoneticPr fontId="1" type="noConversion"/>
  </si>
  <si>
    <t>연환섬</t>
    <phoneticPr fontId="1" type="noConversion"/>
  </si>
  <si>
    <t>열공참</t>
    <phoneticPr fontId="1" type="noConversion"/>
  </si>
  <si>
    <t>선풍</t>
    <phoneticPr fontId="1" type="noConversion"/>
  </si>
  <si>
    <t>반월섬</t>
    <phoneticPr fontId="1" type="noConversion"/>
  </si>
  <si>
    <t>맹룡</t>
    <phoneticPr fontId="1" type="noConversion"/>
  </si>
  <si>
    <t>풍진</t>
    <phoneticPr fontId="1" type="noConversion"/>
  </si>
  <si>
    <t>청룡</t>
    <phoneticPr fontId="1" type="noConversion"/>
  </si>
  <si>
    <t>멸</t>
    <phoneticPr fontId="1" type="noConversion"/>
  </si>
  <si>
    <t>홍멸</t>
    <phoneticPr fontId="1" type="noConversion"/>
  </si>
  <si>
    <t>멸</t>
    <phoneticPr fontId="1" type="noConversion"/>
  </si>
  <si>
    <t>홍멸</t>
    <phoneticPr fontId="1" type="noConversion"/>
  </si>
  <si>
    <t>홍멸</t>
    <phoneticPr fontId="1" type="noConversion"/>
  </si>
  <si>
    <t>백100</t>
    <phoneticPr fontId="1" type="noConversion"/>
  </si>
  <si>
    <t>각인</t>
    <phoneticPr fontId="1" type="noConversion"/>
  </si>
  <si>
    <t>저받</t>
    <phoneticPr fontId="1" type="noConversion"/>
  </si>
  <si>
    <t>백0</t>
    <phoneticPr fontId="1" type="noConversion"/>
  </si>
  <si>
    <t>나선의 추적자</t>
    <phoneticPr fontId="1" type="noConversion"/>
  </si>
  <si>
    <t>신속</t>
    <phoneticPr fontId="1" type="noConversion"/>
  </si>
  <si>
    <t>슈차</t>
    <phoneticPr fontId="1" type="noConversion"/>
  </si>
  <si>
    <t>분망</t>
    <phoneticPr fontId="1" type="noConversion"/>
  </si>
  <si>
    <t>결대</t>
    <phoneticPr fontId="1" type="noConversion"/>
  </si>
  <si>
    <t>바리</t>
    <phoneticPr fontId="1" type="noConversion"/>
  </si>
  <si>
    <t>헤드어택(결대)</t>
    <phoneticPr fontId="1" type="noConversion"/>
  </si>
  <si>
    <t>치피</t>
    <phoneticPr fontId="1" type="noConversion"/>
  </si>
  <si>
    <t>헤드어택뎀증</t>
    <phoneticPr fontId="1" type="noConversion"/>
  </si>
  <si>
    <t>해방스킬</t>
    <phoneticPr fontId="1" type="noConversion"/>
  </si>
  <si>
    <t>해비크러쉬</t>
    <phoneticPr fontId="1" type="noConversion"/>
  </si>
  <si>
    <t>드레드노트</t>
    <phoneticPr fontId="1" type="noConversion"/>
  </si>
  <si>
    <t>점핑스매시</t>
    <phoneticPr fontId="1" type="noConversion"/>
  </si>
  <si>
    <t>풀스윙</t>
    <phoneticPr fontId="1" type="noConversion"/>
  </si>
  <si>
    <t>퍼펙트스윙</t>
    <phoneticPr fontId="1" type="noConversion"/>
  </si>
  <si>
    <t>사이즈믹</t>
    <phoneticPr fontId="1" type="noConversion"/>
  </si>
  <si>
    <t>어스스매셔</t>
    <phoneticPr fontId="1" type="noConversion"/>
  </si>
  <si>
    <t>홍</t>
    <phoneticPr fontId="1" type="noConversion"/>
  </si>
  <si>
    <t>홍</t>
    <phoneticPr fontId="1" type="noConversion"/>
  </si>
  <si>
    <t>쉴드</t>
    <phoneticPr fontId="1" type="noConversion"/>
  </si>
  <si>
    <t>홍멸</t>
    <phoneticPr fontId="1" type="noConversion"/>
  </si>
  <si>
    <t>홍멸</t>
    <phoneticPr fontId="1" type="noConversion"/>
  </si>
  <si>
    <t>백100</t>
    <phoneticPr fontId="1" type="noConversion"/>
  </si>
  <si>
    <t>데모닉</t>
    <phoneticPr fontId="1" type="noConversion"/>
  </si>
  <si>
    <t>1개</t>
    <phoneticPr fontId="1" type="noConversion"/>
  </si>
  <si>
    <t>3개</t>
    <phoneticPr fontId="1" type="noConversion"/>
  </si>
  <si>
    <t>2개</t>
    <phoneticPr fontId="1" type="noConversion"/>
  </si>
  <si>
    <t>역천</t>
    <phoneticPr fontId="1" type="noConversion"/>
  </si>
  <si>
    <t>특화</t>
    <phoneticPr fontId="1" type="noConversion"/>
  </si>
  <si>
    <t>금강선공</t>
    <phoneticPr fontId="1" type="noConversion"/>
  </si>
  <si>
    <t>운기조식</t>
    <phoneticPr fontId="1" type="noConversion"/>
  </si>
  <si>
    <t>금강선공</t>
    <phoneticPr fontId="1" type="noConversion"/>
  </si>
  <si>
    <t>피증</t>
    <phoneticPr fontId="1" type="noConversion"/>
  </si>
  <si>
    <t>배신</t>
    <phoneticPr fontId="1" type="noConversion"/>
  </si>
  <si>
    <t>벽력장</t>
    <phoneticPr fontId="1" type="noConversion"/>
  </si>
  <si>
    <t>여래신장</t>
    <phoneticPr fontId="1" type="noConversion"/>
  </si>
  <si>
    <t>낙영장</t>
    <phoneticPr fontId="1" type="noConversion"/>
  </si>
  <si>
    <t>기공장</t>
    <phoneticPr fontId="1" type="noConversion"/>
  </si>
  <si>
    <t>난화격</t>
    <phoneticPr fontId="1" type="noConversion"/>
  </si>
  <si>
    <t>내공방출</t>
    <phoneticPr fontId="1" type="noConversion"/>
  </si>
  <si>
    <t>파쇄장</t>
    <phoneticPr fontId="1" type="noConversion"/>
  </si>
  <si>
    <t>금강선공</t>
    <phoneticPr fontId="1" type="noConversion"/>
  </si>
  <si>
    <t>초</t>
    <phoneticPr fontId="1" type="noConversion"/>
  </si>
  <si>
    <t>원기옥</t>
    <phoneticPr fontId="1" type="noConversion"/>
  </si>
  <si>
    <t>금강선공</t>
    <phoneticPr fontId="1" type="noConversion"/>
  </si>
  <si>
    <t>홍멸</t>
    <phoneticPr fontId="1" type="noConversion"/>
  </si>
  <si>
    <t>홍멸</t>
    <phoneticPr fontId="1" type="noConversion"/>
  </si>
  <si>
    <t>카운터,..</t>
    <phoneticPr fontId="1" type="noConversion"/>
  </si>
  <si>
    <t>내방원기옥 / 파쇄난화낙영 /기공여래</t>
    <phoneticPr fontId="1" type="noConversion"/>
  </si>
  <si>
    <t>내방난화낙영 / 파쇄기공여래 / 내방난화</t>
    <phoneticPr fontId="1" type="noConversion"/>
  </si>
  <si>
    <t>공증</t>
    <phoneticPr fontId="1" type="noConversion"/>
  </si>
  <si>
    <t>홍</t>
    <phoneticPr fontId="1" type="noConversion"/>
  </si>
  <si>
    <t>번분</t>
    <phoneticPr fontId="1" type="noConversion"/>
  </si>
  <si>
    <t>메테오</t>
    <phoneticPr fontId="1" type="noConversion"/>
  </si>
  <si>
    <t>낙뢰</t>
    <phoneticPr fontId="1" type="noConversion"/>
  </si>
  <si>
    <t>전극</t>
    <phoneticPr fontId="1" type="noConversion"/>
  </si>
  <si>
    <t>미사일포화</t>
    <phoneticPr fontId="1" type="noConversion"/>
  </si>
  <si>
    <t>쿨감50%</t>
    <phoneticPr fontId="1" type="noConversion"/>
  </si>
  <si>
    <t>내방난화낙영 내방난화낙영 내방난화낙영</t>
    <phoneticPr fontId="1" type="noConversion"/>
  </si>
  <si>
    <t>기공사</t>
    <phoneticPr fontId="1" type="noConversion"/>
  </si>
  <si>
    <t>각성</t>
    <phoneticPr fontId="1" type="noConversion"/>
  </si>
  <si>
    <t>각성기</t>
    <phoneticPr fontId="1" type="noConversion"/>
  </si>
  <si>
    <t>각성기</t>
    <phoneticPr fontId="1" type="noConversion"/>
  </si>
  <si>
    <t>골든아이</t>
    <phoneticPr fontId="1" type="noConversion"/>
  </si>
  <si>
    <t>각성기</t>
    <phoneticPr fontId="1" type="noConversion"/>
  </si>
  <si>
    <t>건슬링어</t>
    <phoneticPr fontId="1" type="noConversion"/>
  </si>
  <si>
    <t>호크아이</t>
    <phoneticPr fontId="1" type="noConversion"/>
  </si>
  <si>
    <t>디스트로이어</t>
    <phoneticPr fontId="1" type="noConversion"/>
  </si>
  <si>
    <t>호크아이</t>
    <phoneticPr fontId="1" type="noConversion"/>
  </si>
  <si>
    <t>스카우터</t>
    <phoneticPr fontId="1" type="noConversion"/>
  </si>
  <si>
    <t>창술사</t>
    <phoneticPr fontId="1" type="noConversion"/>
  </si>
  <si>
    <t>잔제</t>
    <phoneticPr fontId="1" type="noConversion"/>
  </si>
  <si>
    <t>특화</t>
    <phoneticPr fontId="1" type="noConversion"/>
  </si>
  <si>
    <t>각성기</t>
    <phoneticPr fontId="1" type="noConversion"/>
  </si>
  <si>
    <t>버스트</t>
    <phoneticPr fontId="1" type="noConversion"/>
  </si>
  <si>
    <t>쿨감</t>
    <phoneticPr fontId="1" type="noConversion"/>
  </si>
  <si>
    <t>소울앱소버</t>
    <phoneticPr fontId="1" type="noConversion"/>
  </si>
  <si>
    <t>문라이트(백x)</t>
    <phoneticPr fontId="1" type="noConversion"/>
  </si>
  <si>
    <t>블리츠러시</t>
    <phoneticPr fontId="1" type="noConversion"/>
  </si>
  <si>
    <t>보이드</t>
    <phoneticPr fontId="1" type="noConversion"/>
  </si>
  <si>
    <t>어스슬래쉬</t>
    <phoneticPr fontId="1" type="noConversion"/>
  </si>
  <si>
    <t>스핀커터</t>
    <phoneticPr fontId="1" type="noConversion"/>
  </si>
  <si>
    <t>다크악셀</t>
    <phoneticPr fontId="1" type="noConversion"/>
  </si>
  <si>
    <t>마엘스톰</t>
    <phoneticPr fontId="1" type="noConversion"/>
  </si>
  <si>
    <t>마엘</t>
    <phoneticPr fontId="1" type="noConversion"/>
  </si>
  <si>
    <t>소울</t>
    <phoneticPr fontId="1" type="noConversion"/>
  </si>
  <si>
    <t>보이드</t>
    <phoneticPr fontId="1" type="noConversion"/>
  </si>
  <si>
    <t>문라</t>
    <phoneticPr fontId="1" type="noConversion"/>
  </si>
  <si>
    <t>블리츠</t>
    <phoneticPr fontId="1" type="noConversion"/>
  </si>
  <si>
    <t>zz</t>
    <phoneticPr fontId="1" type="noConversion"/>
  </si>
  <si>
    <t>버스트</t>
    <phoneticPr fontId="1" type="noConversion"/>
  </si>
  <si>
    <t>홍멸</t>
    <phoneticPr fontId="1" type="noConversion"/>
  </si>
  <si>
    <t>홍멸</t>
    <phoneticPr fontId="1" type="noConversion"/>
  </si>
  <si>
    <t>홍멸</t>
    <phoneticPr fontId="1" type="noConversion"/>
  </si>
  <si>
    <t>홍</t>
    <phoneticPr fontId="1" type="noConversion"/>
  </si>
  <si>
    <t>블레이드</t>
    <phoneticPr fontId="1" type="noConversion"/>
  </si>
  <si>
    <t>잔재 백 100%</t>
    <phoneticPr fontId="1" type="noConversion"/>
  </si>
  <si>
    <t>스핀</t>
    <phoneticPr fontId="1" type="noConversion"/>
  </si>
  <si>
    <t>치</t>
    <phoneticPr fontId="1" type="noConversion"/>
  </si>
  <si>
    <t>절정</t>
    <phoneticPr fontId="1" type="noConversion"/>
  </si>
  <si>
    <t>사두룡격</t>
    <phoneticPr fontId="1" type="noConversion"/>
  </si>
  <si>
    <t>멸</t>
    <phoneticPr fontId="1" type="noConversion"/>
  </si>
  <si>
    <t>홍멸</t>
    <phoneticPr fontId="1" type="noConversion"/>
  </si>
  <si>
    <t>홍멸</t>
    <phoneticPr fontId="1" type="noConversion"/>
  </si>
  <si>
    <t>청룡 맹룡 반월 질풍 / 굉열 적룡 유성 절룡</t>
    <phoneticPr fontId="1" type="noConversion"/>
  </si>
  <si>
    <t>버서커</t>
    <phoneticPr fontId="1" type="noConversion"/>
  </si>
  <si>
    <t>워로드</t>
    <phoneticPr fontId="1" type="noConversion"/>
  </si>
  <si>
    <t>홀나</t>
    <phoneticPr fontId="1" type="noConversion"/>
  </si>
  <si>
    <t>아르카나</t>
    <phoneticPr fontId="1" type="noConversion"/>
  </si>
  <si>
    <t>바드</t>
    <phoneticPr fontId="1" type="noConversion"/>
  </si>
  <si>
    <t>서머너</t>
    <phoneticPr fontId="1" type="noConversion"/>
  </si>
  <si>
    <t>인파</t>
    <phoneticPr fontId="1" type="noConversion"/>
  </si>
  <si>
    <t>배마</t>
    <phoneticPr fontId="1" type="noConversion"/>
  </si>
  <si>
    <t>데헌</t>
    <phoneticPr fontId="1" type="noConversion"/>
  </si>
  <si>
    <t>스커</t>
    <phoneticPr fontId="1" type="noConversion"/>
  </si>
  <si>
    <t>유산스카</t>
    <phoneticPr fontId="1" type="noConversion"/>
  </si>
  <si>
    <t>다크</t>
    <phoneticPr fontId="1" type="noConversion"/>
  </si>
  <si>
    <t>정흡</t>
    <phoneticPr fontId="1" type="noConversion"/>
  </si>
  <si>
    <t>돌대</t>
    <phoneticPr fontId="1" type="noConversion"/>
  </si>
  <si>
    <t>충동</t>
    <phoneticPr fontId="1" type="noConversion"/>
  </si>
  <si>
    <t>특화</t>
    <phoneticPr fontId="1" type="noConversion"/>
  </si>
  <si>
    <t>q</t>
    <phoneticPr fontId="1" type="noConversion"/>
  </si>
  <si>
    <t>w</t>
    <phoneticPr fontId="1" type="noConversion"/>
  </si>
  <si>
    <t>e</t>
    <phoneticPr fontId="1" type="noConversion"/>
  </si>
  <si>
    <t>r</t>
    <phoneticPr fontId="1" type="noConversion"/>
  </si>
  <si>
    <t>a</t>
    <phoneticPr fontId="1" type="noConversion"/>
  </si>
  <si>
    <t>s</t>
    <phoneticPr fontId="1" type="noConversion"/>
  </si>
  <si>
    <t>악마스킬</t>
    <phoneticPr fontId="1" type="noConversion"/>
  </si>
  <si>
    <t>악마지속</t>
    <phoneticPr fontId="1" type="noConversion"/>
  </si>
  <si>
    <t>7렙쿨감</t>
    <phoneticPr fontId="1" type="noConversion"/>
  </si>
  <si>
    <t>데시</t>
    <phoneticPr fontId="1" type="noConversion"/>
  </si>
  <si>
    <t>그랩</t>
    <phoneticPr fontId="1" type="noConversion"/>
  </si>
  <si>
    <t>비전</t>
    <phoneticPr fontId="1" type="noConversion"/>
  </si>
  <si>
    <t>하울링</t>
    <phoneticPr fontId="1" type="noConversion"/>
  </si>
  <si>
    <t>데모닉</t>
    <phoneticPr fontId="1" type="noConversion"/>
  </si>
  <si>
    <t>절제 창술사</t>
    <phoneticPr fontId="1" type="noConversion"/>
  </si>
  <si>
    <t>달소 백어택 100%</t>
    <phoneticPr fontId="1" type="noConversion"/>
  </si>
  <si>
    <t>지배 사면초가 피메</t>
    <phoneticPr fontId="1" type="noConversion"/>
  </si>
  <si>
    <t>배신 역천 에테르 풀히트</t>
    <phoneticPr fontId="1" type="noConversion"/>
  </si>
  <si>
    <t>지배 충동 변신5초컷</t>
    <phoneticPr fontId="1" type="noConversion"/>
  </si>
  <si>
    <t>절제 사멸 백어택 100%</t>
    <phoneticPr fontId="1" type="noConversion"/>
  </si>
  <si>
    <t>분망 53 헤드어택 100%</t>
    <phoneticPr fontId="1" type="noConversion"/>
  </si>
  <si>
    <t>지배 두동</t>
    <phoneticPr fontId="1" type="noConversion"/>
  </si>
  <si>
    <t>지배 특신 절정</t>
    <phoneticPr fontId="1" type="noConversion"/>
  </si>
  <si>
    <t>지배 기술</t>
    <phoneticPr fontId="1" type="noConversion"/>
  </si>
  <si>
    <t>9렙보석</t>
    <phoneticPr fontId="1" type="noConversion"/>
  </si>
  <si>
    <t>억제</t>
    <phoneticPr fontId="1" type="noConversion"/>
  </si>
  <si>
    <t>데몰</t>
    <phoneticPr fontId="1" type="noConversion"/>
  </si>
  <si>
    <t>1해방 크커</t>
    <phoneticPr fontId="1" type="noConversion"/>
  </si>
  <si>
    <t>1해방 데몰</t>
    <phoneticPr fontId="1" type="noConversion"/>
  </si>
  <si>
    <t>2해방</t>
    <phoneticPr fontId="1" type="noConversion"/>
  </si>
  <si>
    <t>데모닉</t>
    <phoneticPr fontId="1" type="noConversion"/>
  </si>
  <si>
    <t>사멸 2해방 억제</t>
    <phoneticPr fontId="1" type="noConversion"/>
  </si>
  <si>
    <t>1방딜</t>
    <phoneticPr fontId="1" type="noConversion"/>
  </si>
  <si>
    <t>스피릿캐치</t>
    <phoneticPr fontId="1" type="noConversion"/>
  </si>
  <si>
    <t>트포</t>
    <phoneticPr fontId="1" type="noConversion"/>
  </si>
  <si>
    <t>치명 적용</t>
    <phoneticPr fontId="1" type="noConversion"/>
  </si>
  <si>
    <t>무기 낀 딜</t>
    <phoneticPr fontId="1" type="noConversion"/>
  </si>
  <si>
    <t>무기 뺀 딜</t>
    <phoneticPr fontId="1" type="noConversion"/>
  </si>
  <si>
    <t>보석 딜</t>
    <phoneticPr fontId="1" type="noConversion"/>
  </si>
  <si>
    <t>각성</t>
    <phoneticPr fontId="1" type="noConversion"/>
  </si>
  <si>
    <t>각성기 딜 (특화)</t>
    <phoneticPr fontId="1" type="noConversion"/>
  </si>
  <si>
    <t>신속</t>
    <phoneticPr fontId="1" type="noConversion"/>
  </si>
  <si>
    <t>백0%</t>
    <phoneticPr fontId="1" type="noConversion"/>
  </si>
  <si>
    <t>싸이클</t>
    <phoneticPr fontId="1" type="noConversion"/>
  </si>
  <si>
    <t>18초</t>
    <phoneticPr fontId="1" type="noConversion"/>
  </si>
  <si>
    <t>백o</t>
    <phoneticPr fontId="1" type="noConversion"/>
  </si>
  <si>
    <t>백x</t>
    <phoneticPr fontId="1" type="noConversion"/>
  </si>
  <si>
    <t>1싸이클 dpm</t>
    <phoneticPr fontId="1" type="noConversion"/>
  </si>
  <si>
    <t>각인적용</t>
    <phoneticPr fontId="1" type="noConversion"/>
  </si>
  <si>
    <t>백100%</t>
    <phoneticPr fontId="1" type="noConversion"/>
  </si>
  <si>
    <t>1싸이클 dpm</t>
    <phoneticPr fontId="1" type="noConversion"/>
  </si>
  <si>
    <t>각인적용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</si>
</sst>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0000000_);[Red]\(#,##0.00000000\)"/>
    <numFmt numFmtId="178" formatCode="#,##0.0000000_);[Red]\(#,##0.0000000\)"/>
    <numFmt numFmtId="179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0" fillId="0" borderId="8" xfId="0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E3" sqref="E3:H11"/>
    </sheetView>
  </sheetViews>
  <sheetFormatPr defaultRowHeight="17.399999999999999" x14ac:dyDescent="0.4"/>
  <cols>
    <col min="1" max="1" width="21.69921875" customWidth="1"/>
    <col min="2" max="2" width="17.59765625" customWidth="1"/>
    <col min="3" max="3" width="35.296875" customWidth="1"/>
    <col min="4" max="4" width="12.8984375" customWidth="1"/>
    <col min="6" max="6" width="24.69921875" customWidth="1"/>
    <col min="7" max="7" width="18" customWidth="1"/>
    <col min="8" max="8" width="26.69921875" customWidth="1"/>
  </cols>
  <sheetData>
    <row r="1" spans="1:8" x14ac:dyDescent="0.4">
      <c r="A1" s="9"/>
      <c r="B1" s="9"/>
    </row>
    <row r="3" spans="1:8" x14ac:dyDescent="0.4">
      <c r="D3" t="s">
        <v>379</v>
      </c>
      <c r="E3" s="1"/>
      <c r="F3" s="1"/>
      <c r="G3" s="1"/>
      <c r="H3" s="1"/>
    </row>
    <row r="4" spans="1:8" x14ac:dyDescent="0.4">
      <c r="D4" s="14">
        <f>달소리퍼!$N$21</f>
        <v>0</v>
      </c>
      <c r="E4" s="1"/>
      <c r="F4" s="1"/>
      <c r="G4" s="1"/>
      <c r="H4" s="9"/>
    </row>
    <row r="5" spans="1:8" x14ac:dyDescent="0.4">
      <c r="A5" s="1" t="s">
        <v>206</v>
      </c>
      <c r="B5" s="1" t="s">
        <v>205</v>
      </c>
      <c r="C5" s="19">
        <f>블래!$L$32</f>
        <v>7652383.8624009732</v>
      </c>
      <c r="D5" s="14"/>
      <c r="E5" s="1"/>
      <c r="F5" s="1"/>
      <c r="G5" s="1"/>
      <c r="H5" s="9"/>
    </row>
    <row r="6" spans="1:8" x14ac:dyDescent="0.4">
      <c r="A6" s="1" t="s">
        <v>363</v>
      </c>
      <c r="B6" s="20" t="s">
        <v>291</v>
      </c>
      <c r="C6" s="19">
        <f>건슬!$M$33</f>
        <v>7534959.7106647389</v>
      </c>
      <c r="D6" s="14">
        <f>건슬!$O$21</f>
        <v>37016178.127185479</v>
      </c>
      <c r="E6" s="1"/>
      <c r="F6" s="1"/>
      <c r="G6" s="1"/>
      <c r="H6" s="9"/>
    </row>
    <row r="7" spans="1:8" x14ac:dyDescent="0.4">
      <c r="A7" s="1" t="s">
        <v>367</v>
      </c>
      <c r="B7" s="1" t="s">
        <v>293</v>
      </c>
      <c r="C7" s="19">
        <f>디트!$L$31</f>
        <v>7217648.421353559</v>
      </c>
      <c r="D7" s="14">
        <f>디트!$M$21</f>
        <v>58248949.604101539</v>
      </c>
      <c r="E7" s="1"/>
      <c r="F7" s="1"/>
      <c r="G7" s="1"/>
      <c r="H7" s="9"/>
    </row>
    <row r="8" spans="1:8" x14ac:dyDescent="0.4">
      <c r="A8" s="1" t="s">
        <v>362</v>
      </c>
      <c r="B8" s="20" t="s">
        <v>182</v>
      </c>
      <c r="C8" s="19">
        <f>달소리퍼!$L$32</f>
        <v>7142451.4045783579</v>
      </c>
      <c r="D8" s="14">
        <f>기공사!$P$25</f>
        <v>86482074.597678944</v>
      </c>
      <c r="E8" s="1"/>
      <c r="F8" s="1"/>
      <c r="G8" s="1"/>
      <c r="H8" s="9"/>
    </row>
    <row r="9" spans="1:8" x14ac:dyDescent="0.4">
      <c r="A9" s="1" t="s">
        <v>364</v>
      </c>
      <c r="B9" s="1" t="s">
        <v>285</v>
      </c>
      <c r="C9" s="19">
        <f>기공사!$L$38</f>
        <v>6870354.8826957969</v>
      </c>
      <c r="D9" s="14"/>
      <c r="E9" s="1"/>
      <c r="F9" s="1"/>
      <c r="G9" s="1"/>
      <c r="H9" s="9"/>
    </row>
    <row r="10" spans="1:8" x14ac:dyDescent="0.4">
      <c r="A10" s="1" t="s">
        <v>207</v>
      </c>
      <c r="B10" s="1" t="s">
        <v>292</v>
      </c>
      <c r="C10" s="19">
        <f>'매혹 호크'!$L$33</f>
        <v>6546630.6058806712</v>
      </c>
      <c r="D10" s="14">
        <f>충모닉!$N$21</f>
        <v>20009580.048747197</v>
      </c>
      <c r="E10" s="1"/>
      <c r="F10" s="1"/>
      <c r="G10" s="1"/>
      <c r="H10" s="9"/>
    </row>
    <row r="11" spans="1:8" x14ac:dyDescent="0.4">
      <c r="A11" s="30" t="s">
        <v>365</v>
      </c>
      <c r="B11" s="30" t="s">
        <v>360</v>
      </c>
      <c r="C11" s="9">
        <f>충모닉!$L$27</f>
        <v>6359732.9344574856</v>
      </c>
      <c r="D11" s="14"/>
      <c r="E11" s="1"/>
      <c r="F11" s="1"/>
      <c r="G11" s="1"/>
      <c r="H11" s="9"/>
    </row>
    <row r="12" spans="1:8" x14ac:dyDescent="0.4">
      <c r="A12" s="1" t="s">
        <v>366</v>
      </c>
      <c r="B12" s="1" t="s">
        <v>361</v>
      </c>
      <c r="C12" s="19">
        <f>절제창!$L$32</f>
        <v>6336602.7159827966</v>
      </c>
      <c r="D12" s="14">
        <f>창술!$N$25</f>
        <v>15780242.943744931</v>
      </c>
    </row>
    <row r="13" spans="1:8" x14ac:dyDescent="0.4">
      <c r="A13" s="1" t="s">
        <v>322</v>
      </c>
      <c r="B13" s="20" t="s">
        <v>321</v>
      </c>
      <c r="C13" s="19">
        <f>블레이드!$L$31</f>
        <v>5928459.8048325488</v>
      </c>
    </row>
    <row r="14" spans="1:8" x14ac:dyDescent="0.4">
      <c r="A14" s="1" t="s">
        <v>369</v>
      </c>
      <c r="B14" s="20" t="s">
        <v>296</v>
      </c>
      <c r="C14" s="19">
        <f>창술!$L$28</f>
        <v>5907734.7474341774</v>
      </c>
      <c r="D14" s="14"/>
      <c r="E14" t="s">
        <v>332</v>
      </c>
    </row>
    <row r="15" spans="1:8" x14ac:dyDescent="0.4">
      <c r="A15" s="1" t="s">
        <v>368</v>
      </c>
      <c r="B15" s="20" t="s">
        <v>294</v>
      </c>
      <c r="C15" s="19">
        <f>지배호크!$L$34</f>
        <v>5816582.3939935211</v>
      </c>
      <c r="D15" s="14"/>
      <c r="E15" t="s">
        <v>331</v>
      </c>
    </row>
    <row r="16" spans="1:8" x14ac:dyDescent="0.4">
      <c r="A16" s="1" t="s">
        <v>370</v>
      </c>
      <c r="B16" s="20" t="s">
        <v>295</v>
      </c>
      <c r="C16" s="19">
        <f>기술스카!$L$29</f>
        <v>5620027.494765427</v>
      </c>
      <c r="D16" s="14"/>
      <c r="E16" t="s">
        <v>333</v>
      </c>
    </row>
    <row r="17" spans="1:5" x14ac:dyDescent="0.4">
      <c r="A17" s="32" t="s">
        <v>378</v>
      </c>
      <c r="B17" s="20" t="s">
        <v>377</v>
      </c>
      <c r="C17" s="9">
        <f>사멸억모닉!$L$37</f>
        <v>5214064.6852102783</v>
      </c>
      <c r="D17" s="14"/>
    </row>
    <row r="18" spans="1:5" x14ac:dyDescent="0.4">
      <c r="A18" s="1" t="s">
        <v>183</v>
      </c>
      <c r="B18" s="20" t="s">
        <v>249</v>
      </c>
      <c r="C18" s="19">
        <f>'1해방억'!$M$32</f>
        <v>4759169.7456361251</v>
      </c>
      <c r="D18" s="14"/>
      <c r="E18" t="s">
        <v>335</v>
      </c>
    </row>
    <row r="19" spans="1:5" x14ac:dyDescent="0.4">
      <c r="A19" s="1"/>
      <c r="B19" s="1"/>
      <c r="C19" s="19"/>
      <c r="D19" s="14"/>
      <c r="E19" t="s">
        <v>336</v>
      </c>
    </row>
    <row r="20" spans="1:5" x14ac:dyDescent="0.4">
      <c r="E20" t="s">
        <v>337</v>
      </c>
    </row>
    <row r="21" spans="1:5" x14ac:dyDescent="0.4">
      <c r="E21" t="s">
        <v>338</v>
      </c>
    </row>
    <row r="22" spans="1:5" x14ac:dyDescent="0.4">
      <c r="E22" t="s">
        <v>339</v>
      </c>
    </row>
    <row r="23" spans="1:5" x14ac:dyDescent="0.4">
      <c r="E23" t="s">
        <v>340</v>
      </c>
    </row>
    <row r="25" spans="1:5" x14ac:dyDescent="0.4">
      <c r="E25" t="s">
        <v>341</v>
      </c>
    </row>
    <row r="26" spans="1:5" x14ac:dyDescent="0.4">
      <c r="E26" t="s">
        <v>334</v>
      </c>
    </row>
    <row r="32" spans="1:5" x14ac:dyDescent="0.4">
      <c r="A32" s="1"/>
      <c r="B32" s="1"/>
    </row>
  </sheetData>
  <phoneticPr fontId="1" type="noConversion"/>
  <conditionalFormatting sqref="H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{DAB43A38-93CE-4D39-BB16-18030ED77775}</x14:id>
        </ext>
      </extLst>
    </cfRule>
  </conditionalFormatting>
  <conditionalFormatting sqref="H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{32E1B9BB-C42C-40F9-AE32-5F65DF5A4152}</x14:id>
        </ext>
      </extLst>
    </cfRule>
  </conditionalFormatting>
  <conditionalFormatting sqref="H4:H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{83D8EFB1-8442-4B34-8832-32D608BF42F7}</x14:id>
        </ext>
      </extLst>
    </cfRule>
  </conditionalFormatting>
  <conditionalFormatting sqref="C18:C19 C5:C16"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{A6909D80-EC5B-4F38-949C-B3ACDEDE6863}</x14:id>
        </ext>
      </extLst>
    </cfRule>
  </conditionalFormatting>
  <conditionalFormatting sqref="C18:C19 C12:C16 C5:C10"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{F43F523A-AA4B-4400-8C37-0684565D59E9}</x14:id>
        </ext>
      </extLst>
    </cfRule>
  </conditionalFormatting>
  <conditionalFormatting sqref="C18:C19 C12 C14:C16 C5:C6 C8:C10"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{5E2528E4-5FAA-4F93-A2CF-2616C7557A66}</x14:id>
        </ext>
      </extLst>
    </cfRule>
  </conditionalFormatting>
  <conditionalFormatting sqref="C18:C19 C5:C10 C12 C14:C16"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{216B631B-33A1-4046-8D88-C702AC133D1F}</x14:id>
        </ext>
      </extLst>
    </cfRule>
  </conditionalFormatting>
  <conditionalFormatting sqref="C5:C19"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{AF77CC6D-75F0-4698-824C-C0BF8CA77F46}</x14:id>
        </ext>
      </extLst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B43A38-93CE-4D39-BB16-18030ED777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</xm:sqref>
        </x14:conditionalFormatting>
        <x14:conditionalFormatting xmlns:xm="http://schemas.microsoft.com/office/excel/2006/main">
          <x14:cfRule type="dataBar" id="{32E1B9BB-C42C-40F9-AE32-5F65DF5A41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</xm:sqref>
        </x14:conditionalFormatting>
        <x14:conditionalFormatting xmlns:xm="http://schemas.microsoft.com/office/excel/2006/main">
          <x14:cfRule type="dataBar" id="{83D8EFB1-8442-4B34-8832-32D608BF42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H4:H11</xm:sqref>
        </x14:conditionalFormatting>
        <x14:conditionalFormatting xmlns:xm="http://schemas.microsoft.com/office/excel/2006/main">
          <x14:cfRule type="dataBar" id="{A6909D80-EC5B-4F38-949C-B3ACDEDE68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C18:C19 C5:C16</xm:sqref>
        </x14:conditionalFormatting>
        <x14:conditionalFormatting xmlns:xm="http://schemas.microsoft.com/office/excel/2006/main">
          <x14:cfRule type="dataBar" id="{F43F523A-AA4B-4400-8C37-0684565D59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C18:C19 C12:C16 C5:C10</xm:sqref>
        </x14:conditionalFormatting>
        <x14:conditionalFormatting xmlns:xm="http://schemas.microsoft.com/office/excel/2006/main">
          <x14:cfRule type="dataBar" id="{5E2528E4-5FAA-4F93-A2CF-2616C7557A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C18:C19 C12 C14:C16 C5:C6 C8:C10</xm:sqref>
        </x14:conditionalFormatting>
        <x14:conditionalFormatting xmlns:xm="http://schemas.microsoft.com/office/excel/2006/main">
          <x14:cfRule type="dataBar" id="{216B631B-33A1-4046-8D88-C702AC133D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C18:C19 C5:C10 C12 C14:C16</xm:sqref>
        </x14:conditionalFormatting>
        <x14:conditionalFormatting xmlns:xm="http://schemas.microsoft.com/office/excel/2006/main">
          <x14:cfRule type="dataBar" id="{AF77CC6D-75F0-4698-824C-C0BF8CA77F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C5:C19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13" workbookViewId="0">
      <selection activeCell="K24" sqref="K24"/>
    </sheetView>
  </sheetViews>
  <sheetFormatPr defaultRowHeight="17.399999999999999" x14ac:dyDescent="0.4"/>
  <cols>
    <col min="1" max="2" width="14.5" customWidth="1"/>
    <col min="3" max="3" width="13.59765625" customWidth="1"/>
    <col min="4" max="4" width="11.5" customWidth="1"/>
    <col min="6" max="6" width="11.19921875" customWidth="1"/>
    <col min="7" max="7" width="14.09765625" customWidth="1"/>
    <col min="8" max="8" width="12.8984375" customWidth="1"/>
    <col min="9" max="9" width="13.5" customWidth="1"/>
    <col min="10" max="10" width="15.3984375" customWidth="1"/>
    <col min="11" max="11" width="14.69921875" customWidth="1"/>
    <col min="12" max="12" width="14.09765625" customWidth="1"/>
  </cols>
  <sheetData>
    <row r="1" spans="1:16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/>
      <c r="J1" s="1"/>
      <c r="K1" s="1"/>
      <c r="L1" s="1"/>
    </row>
    <row r="2" spans="1:16" x14ac:dyDescent="0.4">
      <c r="A2" s="1" t="s">
        <v>1</v>
      </c>
      <c r="B2" s="1">
        <f>(0.0357*J2-0.0328)/100</f>
        <v>0.4127924</v>
      </c>
      <c r="C2" s="1">
        <f>1-B2</f>
        <v>0.58720759999999994</v>
      </c>
      <c r="D2" s="1"/>
      <c r="E2" s="1" t="s">
        <v>48</v>
      </c>
      <c r="F2" s="1">
        <v>3</v>
      </c>
      <c r="G2" s="1">
        <v>1.1599999999999999</v>
      </c>
      <c r="H2" s="1"/>
      <c r="I2" s="1" t="s">
        <v>25</v>
      </c>
      <c r="J2" s="1">
        <f>SUM(N3:N8)*1.1</f>
        <v>1157.2</v>
      </c>
      <c r="K2" s="1">
        <f>SUM(O3:O8)/18.302/100+1</f>
        <v>1.0316905256256146</v>
      </c>
      <c r="L2" s="1"/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</v>
      </c>
      <c r="C3" s="1">
        <v>2</v>
      </c>
      <c r="D3" s="1">
        <f>B3*B2+C2</f>
        <v>1.4127923999999998</v>
      </c>
      <c r="E3" s="1" t="s">
        <v>49</v>
      </c>
      <c r="F3" s="1">
        <v>3</v>
      </c>
      <c r="G3" s="1">
        <v>1.18</v>
      </c>
      <c r="H3" s="1"/>
      <c r="I3" s="1" t="s">
        <v>44</v>
      </c>
      <c r="J3" s="1">
        <f>SUM(P3:P8)</f>
        <v>1054</v>
      </c>
      <c r="K3" s="1"/>
      <c r="L3" s="1"/>
      <c r="M3" s="1" t="s">
        <v>104</v>
      </c>
      <c r="N3">
        <v>500</v>
      </c>
      <c r="O3" s="1"/>
      <c r="P3" s="1">
        <v>500</v>
      </c>
    </row>
    <row r="4" spans="1:16" x14ac:dyDescent="0.4">
      <c r="A4" s="1" t="s">
        <v>3</v>
      </c>
      <c r="B4" s="1">
        <v>1.05</v>
      </c>
      <c r="C4" s="1"/>
      <c r="D4" s="1"/>
      <c r="E4" s="1" t="s">
        <v>50</v>
      </c>
      <c r="F4" s="1">
        <v>3</v>
      </c>
      <c r="G4" s="1"/>
      <c r="H4" s="1"/>
      <c r="I4" s="1"/>
      <c r="J4" s="1" t="s">
        <v>45</v>
      </c>
      <c r="K4" s="1">
        <f>1-(0.0214*J3-0.0943)/100</f>
        <v>0.77538700000000005</v>
      </c>
      <c r="L4" s="1"/>
      <c r="M4" s="1" t="s">
        <v>105</v>
      </c>
      <c r="N4">
        <v>300</v>
      </c>
      <c r="O4" s="1"/>
      <c r="P4" s="1"/>
    </row>
    <row r="5" spans="1:16" x14ac:dyDescent="0.4">
      <c r="A5" s="1" t="s">
        <v>47</v>
      </c>
      <c r="B5" s="1"/>
      <c r="C5" s="1"/>
      <c r="D5" s="1"/>
      <c r="E5" s="1" t="s">
        <v>46</v>
      </c>
      <c r="F5" s="1">
        <v>3</v>
      </c>
      <c r="G5" s="1">
        <v>1.1200000000000001</v>
      </c>
      <c r="H5" s="1"/>
      <c r="I5" s="1" t="s">
        <v>30</v>
      </c>
      <c r="J5" s="1">
        <v>1.21</v>
      </c>
      <c r="K5" s="1"/>
      <c r="L5" s="1"/>
      <c r="M5" s="1" t="s">
        <v>106</v>
      </c>
      <c r="O5" s="1"/>
      <c r="P5" s="1">
        <v>300</v>
      </c>
    </row>
    <row r="6" spans="1:16" x14ac:dyDescent="0.4">
      <c r="A6" s="1"/>
      <c r="B6" s="1"/>
      <c r="C6" s="1"/>
      <c r="D6" s="1"/>
      <c r="E6" s="1"/>
      <c r="F6" s="1"/>
      <c r="G6" s="1"/>
      <c r="H6" s="1"/>
      <c r="I6" s="1" t="s">
        <v>31</v>
      </c>
      <c r="J6" s="1">
        <f>1-0.14</f>
        <v>0.86</v>
      </c>
      <c r="K6" s="1"/>
      <c r="L6" s="1"/>
      <c r="M6" s="1" t="s">
        <v>107</v>
      </c>
      <c r="N6">
        <v>200</v>
      </c>
      <c r="O6" s="1"/>
      <c r="P6" s="1"/>
    </row>
    <row r="7" spans="1:16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>
        <f>20*K4</f>
        <v>15.507740000000002</v>
      </c>
      <c r="L7" s="1"/>
      <c r="M7" s="1" t="s">
        <v>108</v>
      </c>
      <c r="O7" s="1"/>
      <c r="P7" s="1">
        <v>200</v>
      </c>
    </row>
    <row r="8" spans="1:16" x14ac:dyDescent="0.4">
      <c r="A8" s="1">
        <v>16028</v>
      </c>
      <c r="B8" s="1"/>
      <c r="C8" s="1"/>
      <c r="D8" s="1"/>
      <c r="E8" s="1"/>
      <c r="F8" s="1"/>
      <c r="G8" s="1"/>
      <c r="H8" s="1"/>
      <c r="I8" s="1"/>
      <c r="J8" s="1"/>
      <c r="K8" s="1">
        <v>180</v>
      </c>
      <c r="L8" s="1">
        <v>30</v>
      </c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"/>
      <c r="J10" s="1" t="s">
        <v>65</v>
      </c>
      <c r="K10" s="1" t="s">
        <v>66</v>
      </c>
      <c r="L10" s="1" t="s">
        <v>32</v>
      </c>
    </row>
    <row r="11" spans="1:16" x14ac:dyDescent="0.4">
      <c r="A11" s="2" t="s">
        <v>51</v>
      </c>
      <c r="B11" s="3">
        <v>111</v>
      </c>
      <c r="C11" s="4">
        <v>12</v>
      </c>
      <c r="D11" s="2">
        <v>17079</v>
      </c>
      <c r="E11" s="3">
        <v>17079</v>
      </c>
      <c r="F11" s="4">
        <v>51250</v>
      </c>
      <c r="G11" s="3">
        <f>(D11-D12)/A8</f>
        <v>1.0549663089593211</v>
      </c>
      <c r="H11" s="3">
        <f>(E11-E12)/A8</f>
        <v>1.0549663089593211</v>
      </c>
      <c r="I11" s="4">
        <f>(F11-F12)/A8</f>
        <v>3.1657723983029697</v>
      </c>
      <c r="J11" s="10">
        <f>(G12+H12+I12)*1.6</f>
        <v>205861.60868480161</v>
      </c>
      <c r="K11" s="10">
        <f>J11*(B3+0.58)</f>
        <v>531122.95040678815</v>
      </c>
      <c r="L11" s="1">
        <f>K11*J5/C12</f>
        <v>128531.75399844274</v>
      </c>
    </row>
    <row r="12" spans="1:16" x14ac:dyDescent="0.4">
      <c r="A12" s="5" t="s">
        <v>36</v>
      </c>
      <c r="B12" s="6">
        <v>155</v>
      </c>
      <c r="C12" s="7">
        <v>5</v>
      </c>
      <c r="D12" s="5">
        <v>170</v>
      </c>
      <c r="E12" s="6">
        <v>170</v>
      </c>
      <c r="F12" s="7">
        <v>509</v>
      </c>
      <c r="G12" s="8">
        <f>D12+G11*B1</f>
        <v>25728.668767157473</v>
      </c>
      <c r="H12" s="8">
        <f>E12+H11*B1</f>
        <v>25728.668767157473</v>
      </c>
      <c r="I12" s="11">
        <f>F12+I11*B1</f>
        <v>77206.167893686055</v>
      </c>
      <c r="J12" s="12"/>
      <c r="K12" s="12"/>
      <c r="L12" s="1"/>
    </row>
    <row r="13" spans="1:16" x14ac:dyDescent="0.4">
      <c r="A13" s="2" t="s">
        <v>52</v>
      </c>
      <c r="B13" s="3">
        <v>111</v>
      </c>
      <c r="C13" s="4">
        <v>12</v>
      </c>
      <c r="D13" s="2">
        <v>39535</v>
      </c>
      <c r="E13" s="3"/>
      <c r="F13" s="4"/>
      <c r="G13" s="3">
        <f>(D13-D14)/A8</f>
        <v>2.443037184926379</v>
      </c>
      <c r="H13" s="3">
        <f>(E13-E14)/A8</f>
        <v>0</v>
      </c>
      <c r="I13" s="4">
        <f>(F13-F14)/A8</f>
        <v>0</v>
      </c>
      <c r="J13" s="13">
        <f>(G14+H14+I14)*1.8*3.6*4</f>
        <v>1543936.7719091591</v>
      </c>
      <c r="K13" s="13">
        <f>J13*(B2+0.4)*B3+J13*(C2-0.4)</f>
        <v>2798836.8461974571</v>
      </c>
      <c r="L13" s="1">
        <f>K13*J5/C14</f>
        <v>196894.91766854204</v>
      </c>
    </row>
    <row r="14" spans="1:16" x14ac:dyDescent="0.4">
      <c r="A14" s="5" t="s">
        <v>57</v>
      </c>
      <c r="B14" s="6">
        <v>555</v>
      </c>
      <c r="C14" s="7">
        <f>(12+8)*J6</f>
        <v>17.2</v>
      </c>
      <c r="D14" s="5">
        <v>378</v>
      </c>
      <c r="E14" s="6"/>
      <c r="F14" s="7"/>
      <c r="G14" s="8">
        <f>D14+G13*B1</f>
        <v>59565.461879211383</v>
      </c>
      <c r="H14" s="8">
        <f>E14+H13*B1</f>
        <v>0</v>
      </c>
      <c r="I14" s="11">
        <f>F14+I13*B1</f>
        <v>0</v>
      </c>
      <c r="J14" s="6"/>
      <c r="K14" s="12"/>
      <c r="L14" s="1"/>
    </row>
    <row r="15" spans="1:16" x14ac:dyDescent="0.4">
      <c r="A15" s="2" t="s">
        <v>53</v>
      </c>
      <c r="B15" s="3">
        <v>211</v>
      </c>
      <c r="C15" s="4">
        <v>11</v>
      </c>
      <c r="D15" s="2">
        <f>5*39535</f>
        <v>197675</v>
      </c>
      <c r="E15" s="3"/>
      <c r="F15" s="4"/>
      <c r="G15" s="3">
        <f>(D15-D16)/A8</f>
        <v>12.204267531819315</v>
      </c>
      <c r="H15" s="3"/>
      <c r="I15" s="4"/>
      <c r="J15" s="13">
        <f>G16*2.2</f>
        <v>655023.13688545057</v>
      </c>
      <c r="K15" s="13">
        <f>J15*B3</f>
        <v>1310046.2737709011</v>
      </c>
      <c r="L15" s="1">
        <f>K15/C16</f>
        <v>72780.348542827836</v>
      </c>
    </row>
    <row r="16" spans="1:16" x14ac:dyDescent="0.4">
      <c r="A16" s="5"/>
      <c r="B16" s="6">
        <v>155</v>
      </c>
      <c r="C16" s="7">
        <v>18</v>
      </c>
      <c r="D16" s="5">
        <f>5*413</f>
        <v>2065</v>
      </c>
      <c r="E16" s="6"/>
      <c r="F16" s="7"/>
      <c r="G16" s="8">
        <f>D16+G15*B1</f>
        <v>297737.78949338658</v>
      </c>
      <c r="H16" s="6"/>
      <c r="I16" s="7"/>
      <c r="J16" s="12"/>
      <c r="K16" s="12"/>
      <c r="L16" s="1"/>
    </row>
    <row r="17" spans="1:12" x14ac:dyDescent="0.4">
      <c r="A17" s="2" t="s">
        <v>54</v>
      </c>
      <c r="B17" s="3">
        <v>321</v>
      </c>
      <c r="C17" s="4">
        <v>10</v>
      </c>
      <c r="D17" s="2">
        <f>26445*6</f>
        <v>158670</v>
      </c>
      <c r="E17" s="3">
        <v>22698</v>
      </c>
      <c r="F17" s="4"/>
      <c r="G17" s="3">
        <f>(D17-D18)/A8</f>
        <v>9.7876216620913397</v>
      </c>
      <c r="H17" s="3">
        <f>(E17-E18)/A8</f>
        <v>1.3989268779635637</v>
      </c>
      <c r="I17" s="4"/>
      <c r="J17" s="13">
        <f>G18+H18</f>
        <v>273086.51147991017</v>
      </c>
      <c r="K17" s="13">
        <f>G18*B2*B3+G18*C2+H18*C2+H18*B2*(B3+1.5)</f>
        <v>406970.86112011742</v>
      </c>
      <c r="L17" s="1">
        <f>K17/C18</f>
        <v>20348.54305600587</v>
      </c>
    </row>
    <row r="18" spans="1:12" x14ac:dyDescent="0.4">
      <c r="A18" s="5"/>
      <c r="B18" s="6">
        <v>511</v>
      </c>
      <c r="C18" s="7">
        <v>20</v>
      </c>
      <c r="D18" s="5">
        <f>299*6</f>
        <v>1794</v>
      </c>
      <c r="E18" s="6">
        <v>276</v>
      </c>
      <c r="F18" s="7"/>
      <c r="G18" s="8">
        <f>D18+G17*B1</f>
        <v>238918.71000748689</v>
      </c>
      <c r="H18" s="8">
        <f>E18+H17*B1</f>
        <v>34167.801472423256</v>
      </c>
      <c r="I18" s="7"/>
      <c r="J18" s="12"/>
      <c r="K18" s="12"/>
      <c r="L18" s="1"/>
    </row>
    <row r="19" spans="1:12" x14ac:dyDescent="0.4">
      <c r="A19" s="2" t="s">
        <v>58</v>
      </c>
      <c r="B19" s="3">
        <v>312</v>
      </c>
      <c r="C19" s="4">
        <v>12</v>
      </c>
      <c r="D19" s="4">
        <v>339633</v>
      </c>
      <c r="E19" s="2"/>
      <c r="G19" s="2">
        <f>(D19-D20)/A8</f>
        <v>20.978724731719492</v>
      </c>
      <c r="H19" s="3"/>
      <c r="I19" s="4"/>
      <c r="J19" s="13">
        <f>G20*1.8*1.6</f>
        <v>1473516.1845370603</v>
      </c>
      <c r="K19" s="13">
        <f>J19*(B2+0.5)*B3+J19*(C2-0.5)</f>
        <v>2818530.5590594863</v>
      </c>
      <c r="L19" s="1">
        <f>K19*J5/C20</f>
        <v>247850.43433589957</v>
      </c>
    </row>
    <row r="20" spans="1:12" x14ac:dyDescent="0.4">
      <c r="A20" s="5" t="s">
        <v>57</v>
      </c>
      <c r="B20" s="6">
        <v>555</v>
      </c>
      <c r="C20" s="7">
        <f>(24-8)*J6</f>
        <v>13.76</v>
      </c>
      <c r="D20" s="5">
        <v>3386</v>
      </c>
      <c r="E20" s="6"/>
      <c r="F20" s="7"/>
      <c r="G20" s="8">
        <f>D20+G19*B1</f>
        <v>511637.56407536811</v>
      </c>
      <c r="H20" s="6"/>
      <c r="I20" s="7"/>
      <c r="J20" s="12"/>
      <c r="K20" s="12"/>
      <c r="L20" s="1"/>
    </row>
    <row r="21" spans="1:12" x14ac:dyDescent="0.4">
      <c r="A21" s="2" t="s">
        <v>55</v>
      </c>
      <c r="B21" s="3">
        <v>131</v>
      </c>
      <c r="C21" s="4">
        <v>12</v>
      </c>
      <c r="D21" s="2">
        <v>89565</v>
      </c>
      <c r="E21" s="3"/>
      <c r="F21" s="4"/>
      <c r="G21" s="3">
        <f>(D21-D22)/A8</f>
        <v>5.5326303968055903</v>
      </c>
      <c r="H21" s="3">
        <f>(E21-E22)/A8</f>
        <v>0</v>
      </c>
      <c r="I21" s="4"/>
      <c r="J21" s="13">
        <f>G22*1.7*5</f>
        <v>1146879.8112989769</v>
      </c>
      <c r="K21" s="13">
        <f>J21*(B2+0.4)*(B3+1)+J21*(C2-0.4)</f>
        <v>3011230.1999734621</v>
      </c>
      <c r="L21" s="1">
        <f>K21*J5/C22</f>
        <v>211836.54313766799</v>
      </c>
    </row>
    <row r="22" spans="1:12" x14ac:dyDescent="0.4">
      <c r="A22" s="5" t="s">
        <v>35</v>
      </c>
      <c r="B22" s="6">
        <v>444</v>
      </c>
      <c r="C22" s="7">
        <f>20*J6</f>
        <v>17.2</v>
      </c>
      <c r="D22" s="5">
        <v>888</v>
      </c>
      <c r="E22" s="6"/>
      <c r="F22" s="7"/>
      <c r="G22" s="8">
        <f>(D22+G21*B1)</f>
        <v>134927.03662340905</v>
      </c>
      <c r="H22" s="8">
        <f>E22+H21*B1</f>
        <v>0</v>
      </c>
      <c r="I22" s="7"/>
      <c r="J22" s="12"/>
      <c r="K22" s="12"/>
      <c r="L22" s="1"/>
    </row>
    <row r="23" spans="1:12" x14ac:dyDescent="0.4">
      <c r="A23" s="2" t="s">
        <v>56</v>
      </c>
      <c r="B23" s="3">
        <v>132</v>
      </c>
      <c r="C23" s="4">
        <v>12</v>
      </c>
      <c r="D23" s="2">
        <v>505448</v>
      </c>
      <c r="E23" s="3"/>
      <c r="F23" s="4"/>
      <c r="G23" s="3">
        <f>(D23-D24)/A8</f>
        <v>31.221050661342652</v>
      </c>
      <c r="H23" s="3">
        <f>(E23-E24)/A8</f>
        <v>0</v>
      </c>
      <c r="I23" s="4"/>
      <c r="J23" s="13">
        <f>G24*2.45</f>
        <v>1865502.0162122538</v>
      </c>
      <c r="K23" s="13">
        <f>J23*(B2+0.3)*(B3+1.6)+J23*(C2-0.3)</f>
        <v>5322762.7304982599</v>
      </c>
      <c r="L23" s="1">
        <f>K23*J5/C24</f>
        <v>394158.07245427748</v>
      </c>
    </row>
    <row r="24" spans="1:12" x14ac:dyDescent="0.4">
      <c r="A24" s="5" t="s">
        <v>33</v>
      </c>
      <c r="B24" s="6">
        <v>555</v>
      </c>
      <c r="C24" s="7">
        <f>(30-11)*J6</f>
        <v>16.34</v>
      </c>
      <c r="D24" s="5">
        <v>5037</v>
      </c>
      <c r="E24" s="6"/>
      <c r="F24" s="7"/>
      <c r="G24" s="8">
        <f>D24+G23*B1</f>
        <v>761429.39437234844</v>
      </c>
      <c r="H24" s="8">
        <f>E24+H23*B1</f>
        <v>0</v>
      </c>
      <c r="I24" s="7"/>
      <c r="J24" s="12"/>
      <c r="K24" s="12"/>
      <c r="L24" s="1"/>
    </row>
    <row r="25" spans="1:12" x14ac:dyDescent="0.4">
      <c r="A25" s="2" t="s">
        <v>59</v>
      </c>
      <c r="B25" s="3" t="s">
        <v>63</v>
      </c>
      <c r="C25" s="4"/>
      <c r="D25" s="2"/>
      <c r="E25" s="3"/>
      <c r="F25" s="4"/>
      <c r="G25" s="3">
        <v>1.5</v>
      </c>
      <c r="H25" s="3"/>
      <c r="I25" s="4"/>
      <c r="J25" s="13">
        <f>G26</f>
        <v>36340.5</v>
      </c>
      <c r="K25" s="13">
        <f>J25*D3*2.5</f>
        <v>128353.95553049998</v>
      </c>
      <c r="L25" s="1">
        <f>K25*J5/C26</f>
        <v>77654.143095952488</v>
      </c>
    </row>
    <row r="26" spans="1:12" x14ac:dyDescent="0.4">
      <c r="A26" s="5" t="s">
        <v>60</v>
      </c>
      <c r="B26" s="6"/>
      <c r="C26" s="7">
        <v>2</v>
      </c>
      <c r="D26" s="5"/>
      <c r="E26" s="6"/>
      <c r="F26" s="7"/>
      <c r="G26" s="8">
        <f>D26+G25*B1</f>
        <v>36340.5</v>
      </c>
      <c r="H26" s="8"/>
      <c r="I26" s="7"/>
      <c r="J26" s="12"/>
      <c r="K26" s="12"/>
      <c r="L26" s="1"/>
    </row>
    <row r="27" spans="1:12" x14ac:dyDescent="0.4">
      <c r="A27" s="2" t="s">
        <v>61</v>
      </c>
      <c r="B27" s="3"/>
      <c r="C27" s="4"/>
      <c r="D27" s="2">
        <v>212668</v>
      </c>
      <c r="E27" s="3"/>
      <c r="F27" s="4"/>
      <c r="G27" s="3">
        <f>(D27-D28)/A8</f>
        <v>13.130209633142002</v>
      </c>
      <c r="H27" s="3"/>
      <c r="I27" s="4"/>
      <c r="J27" s="13">
        <f>G28</f>
        <v>320322.58878213126</v>
      </c>
      <c r="K27" s="13">
        <f>J27*D3*2.5</f>
        <v>1131373.2974493005</v>
      </c>
      <c r="L27" s="1">
        <f>K27*J5/C28</f>
        <v>132651.32654202069</v>
      </c>
    </row>
    <row r="28" spans="1:12" x14ac:dyDescent="0.4">
      <c r="A28" s="5" t="s">
        <v>62</v>
      </c>
      <c r="B28" s="6" t="s">
        <v>64</v>
      </c>
      <c r="C28" s="7">
        <f>12*J6</f>
        <v>10.32</v>
      </c>
      <c r="D28" s="5">
        <v>2217</v>
      </c>
      <c r="E28" s="6"/>
      <c r="F28" s="7"/>
      <c r="G28" s="8">
        <f>D28+G27*B1</f>
        <v>320322.58878213126</v>
      </c>
      <c r="H28" s="8"/>
      <c r="I28" s="7"/>
      <c r="J28" s="12"/>
      <c r="K28" s="12"/>
      <c r="L28" s="1"/>
    </row>
    <row r="29" spans="1:12" x14ac:dyDescent="0.4">
      <c r="A29" s="2" t="s">
        <v>47</v>
      </c>
      <c r="B29" s="3"/>
      <c r="C29" s="4"/>
      <c r="D29" s="2"/>
      <c r="E29" s="3"/>
      <c r="F29" s="4"/>
      <c r="G29" s="3">
        <f>2.1*4*2</f>
        <v>16.8</v>
      </c>
      <c r="H29" s="3"/>
      <c r="I29" s="4"/>
      <c r="J29" s="13">
        <f>G30</f>
        <v>407013.60000000003</v>
      </c>
      <c r="K29" s="13">
        <f>J29*D3</f>
        <v>575025.72077664</v>
      </c>
      <c r="L29" s="1">
        <f>K29/C30</f>
        <v>1150051.44155328</v>
      </c>
    </row>
    <row r="30" spans="1:12" x14ac:dyDescent="0.4">
      <c r="A30" s="5"/>
      <c r="B30" s="6"/>
      <c r="C30" s="7">
        <v>0.5</v>
      </c>
      <c r="D30" s="5"/>
      <c r="E30" s="6"/>
      <c r="F30" s="7"/>
      <c r="G30" s="8">
        <f>G29*B1</f>
        <v>407013.60000000003</v>
      </c>
      <c r="H30" s="6"/>
      <c r="I30" s="7"/>
      <c r="J30" s="12"/>
      <c r="K30" s="12"/>
      <c r="L30" s="1"/>
    </row>
    <row r="31" spans="1:12" x14ac:dyDescent="0.4">
      <c r="A31" s="1" t="s">
        <v>289</v>
      </c>
      <c r="B31" s="1"/>
      <c r="C31" s="1"/>
      <c r="D31" s="1">
        <v>9019753</v>
      </c>
      <c r="E31" s="1"/>
      <c r="F31" s="1"/>
      <c r="G31" s="1">
        <f>(D31-D32)/(41835/1.16)</f>
        <v>248.98643719373726</v>
      </c>
      <c r="H31" s="1"/>
      <c r="I31" s="1"/>
      <c r="J31" s="1"/>
      <c r="K31" s="1"/>
      <c r="L31" s="1">
        <f>G32/C32*D3*K2</f>
        <v>38049.058734493519</v>
      </c>
    </row>
    <row r="32" spans="1:12" x14ac:dyDescent="0.4">
      <c r="A32" s="1"/>
      <c r="B32" s="1"/>
      <c r="C32" s="1">
        <f>300*K4</f>
        <v>232.61610000000002</v>
      </c>
      <c r="D32" s="1">
        <v>40143</v>
      </c>
      <c r="E32" s="1"/>
      <c r="F32" s="1"/>
      <c r="G32" s="1">
        <f>D32+G31*B1</f>
        <v>6072337.4138926724</v>
      </c>
      <c r="H32" s="1"/>
      <c r="I32" s="1"/>
      <c r="J32" s="1"/>
      <c r="K32" s="1"/>
      <c r="L32" s="1"/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 t="s">
        <v>67</v>
      </c>
      <c r="L33" s="1">
        <f>L36*G1*G2*G3/K4*1.06</f>
        <v>6546630.6058806712</v>
      </c>
    </row>
    <row r="34" spans="1:12" x14ac:dyDescent="0.4">
      <c r="J34" s="1"/>
      <c r="K34" s="1" t="s">
        <v>160</v>
      </c>
      <c r="L34" s="1">
        <f>SUM(L11:L23)+L31+L29</f>
        <v>2460501.1134814369</v>
      </c>
    </row>
    <row r="35" spans="1:12" x14ac:dyDescent="0.4">
      <c r="J35" s="1"/>
      <c r="K35" s="1" t="s">
        <v>161</v>
      </c>
      <c r="L35" s="1">
        <f>L34*G5+(L25+L27)*G5</f>
        <v>2991303.3730937396</v>
      </c>
    </row>
    <row r="36" spans="1:12" x14ac:dyDescent="0.4">
      <c r="J36" s="1"/>
      <c r="K36" s="1" t="s">
        <v>162</v>
      </c>
      <c r="L36" s="1">
        <f>L35*180/210+L34*30/210</f>
        <v>2915474.4788634107</v>
      </c>
    </row>
    <row r="37" spans="1:12" x14ac:dyDescent="0.4">
      <c r="J37" s="1"/>
      <c r="K37" s="1"/>
      <c r="L37" s="1"/>
    </row>
    <row r="38" spans="1:12" x14ac:dyDescent="0.4">
      <c r="J38" s="1"/>
      <c r="K38" s="1"/>
      <c r="L38" s="1"/>
    </row>
    <row r="39" spans="1:12" x14ac:dyDescent="0.4">
      <c r="J39" s="1"/>
      <c r="K39" s="1"/>
      <c r="L39" s="1"/>
    </row>
    <row r="40" spans="1:12" x14ac:dyDescent="0.4">
      <c r="J40" s="1"/>
      <c r="K40" s="1"/>
      <c r="L40" s="1"/>
    </row>
    <row r="41" spans="1:12" x14ac:dyDescent="0.4">
      <c r="J41" s="1"/>
      <c r="K41" s="1"/>
      <c r="L41" s="1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7" workbookViewId="0">
      <selection activeCell="B12" sqref="B12"/>
    </sheetView>
  </sheetViews>
  <sheetFormatPr defaultRowHeight="17.399999999999999" x14ac:dyDescent="0.4"/>
  <cols>
    <col min="1" max="2" width="14.5" customWidth="1"/>
    <col min="3" max="3" width="13.59765625" customWidth="1"/>
    <col min="4" max="4" width="11.5" customWidth="1"/>
    <col min="6" max="6" width="11.19921875" customWidth="1"/>
    <col min="7" max="7" width="14.09765625" customWidth="1"/>
    <col min="8" max="8" width="12.8984375" customWidth="1"/>
    <col min="9" max="9" width="13.5" customWidth="1"/>
    <col min="10" max="10" width="15.3984375" customWidth="1"/>
    <col min="11" max="11" width="14.69921875" customWidth="1"/>
    <col min="12" max="12" width="14.09765625" customWidth="1"/>
  </cols>
  <sheetData>
    <row r="1" spans="1:16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/>
      <c r="J1" s="1"/>
      <c r="K1" s="1"/>
      <c r="L1" s="1"/>
    </row>
    <row r="2" spans="1:16" x14ac:dyDescent="0.4">
      <c r="A2" s="1" t="s">
        <v>1</v>
      </c>
      <c r="B2" s="1">
        <f>(0.0357*J2-0.0328)/100</f>
        <v>0.4127924</v>
      </c>
      <c r="C2" s="1">
        <f>1-B2</f>
        <v>0.58720759999999994</v>
      </c>
      <c r="D2" s="1"/>
      <c r="E2" s="1" t="s">
        <v>48</v>
      </c>
      <c r="F2" s="1">
        <v>3</v>
      </c>
      <c r="G2" s="1">
        <v>1.1599999999999999</v>
      </c>
      <c r="H2" s="1"/>
      <c r="I2" s="1" t="s">
        <v>25</v>
      </c>
      <c r="J2" s="1">
        <f>SUM(N3:N8)*1.1</f>
        <v>1157.2</v>
      </c>
      <c r="K2" s="1">
        <f>SUM(O3:O8)/18.302/100+1</f>
        <v>1.0316905256256146</v>
      </c>
      <c r="L2" s="1"/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2.5</v>
      </c>
      <c r="C3" s="1">
        <v>2.5</v>
      </c>
      <c r="D3" s="1">
        <f>B3*B2+C2</f>
        <v>1.6191886</v>
      </c>
      <c r="E3" s="1" t="s">
        <v>114</v>
      </c>
      <c r="F3" s="1">
        <v>3</v>
      </c>
      <c r="G3" s="1">
        <f>0.9+0.1*0.8</f>
        <v>0.98</v>
      </c>
      <c r="H3" s="1"/>
      <c r="I3" s="1" t="s">
        <v>44</v>
      </c>
      <c r="J3" s="1">
        <f>SUM(P3:P8)</f>
        <v>1054</v>
      </c>
      <c r="K3" s="1"/>
      <c r="L3" s="1"/>
      <c r="M3" s="1" t="s">
        <v>104</v>
      </c>
      <c r="N3">
        <v>500</v>
      </c>
      <c r="O3" s="1"/>
      <c r="P3" s="1">
        <v>500</v>
      </c>
    </row>
    <row r="4" spans="1:16" x14ac:dyDescent="0.4">
      <c r="A4" s="1" t="s">
        <v>3</v>
      </c>
      <c r="B4" s="1">
        <v>1.05</v>
      </c>
      <c r="C4" s="1"/>
      <c r="D4" s="1"/>
      <c r="E4" s="1" t="s">
        <v>115</v>
      </c>
      <c r="F4" s="1">
        <v>3</v>
      </c>
      <c r="G4" s="1"/>
      <c r="H4" s="1"/>
      <c r="I4" s="1"/>
      <c r="J4" s="1" t="s">
        <v>45</v>
      </c>
      <c r="K4" s="1">
        <f>1-(0.0214*J3-0.0943)/100</f>
        <v>0.77538700000000005</v>
      </c>
      <c r="L4" s="1"/>
      <c r="M4" s="1" t="s">
        <v>105</v>
      </c>
      <c r="N4">
        <v>300</v>
      </c>
      <c r="O4" s="1"/>
      <c r="P4" s="1"/>
    </row>
    <row r="5" spans="1:16" x14ac:dyDescent="0.4">
      <c r="A5" s="1" t="s">
        <v>113</v>
      </c>
      <c r="B5" s="1">
        <v>1.4375</v>
      </c>
      <c r="C5" s="1">
        <v>0.82</v>
      </c>
      <c r="D5" s="1"/>
      <c r="E5" s="1" t="s">
        <v>46</v>
      </c>
      <c r="F5" s="1">
        <v>3</v>
      </c>
      <c r="G5" s="1">
        <v>1.1200000000000001</v>
      </c>
      <c r="H5" s="1"/>
      <c r="I5" s="1" t="s">
        <v>30</v>
      </c>
      <c r="J5" s="1">
        <v>1.21</v>
      </c>
      <c r="K5" s="1"/>
      <c r="L5" s="1"/>
      <c r="M5" s="1" t="s">
        <v>106</v>
      </c>
      <c r="O5" s="1"/>
      <c r="P5" s="1">
        <v>300</v>
      </c>
    </row>
    <row r="6" spans="1:16" x14ac:dyDescent="0.4">
      <c r="A6" s="1"/>
      <c r="B6" s="1"/>
      <c r="C6" s="1"/>
      <c r="D6" s="1"/>
      <c r="E6" s="1"/>
      <c r="F6" s="1"/>
      <c r="G6" s="1"/>
      <c r="H6" s="1"/>
      <c r="I6" s="1" t="s">
        <v>31</v>
      </c>
      <c r="J6" s="1">
        <f>1-0.14</f>
        <v>0.86</v>
      </c>
      <c r="K6" s="1"/>
      <c r="L6" s="1"/>
      <c r="M6" s="1" t="s">
        <v>107</v>
      </c>
      <c r="N6">
        <v>200</v>
      </c>
      <c r="O6" s="1"/>
      <c r="P6" s="1"/>
    </row>
    <row r="7" spans="1:16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>
        <f>20*K4</f>
        <v>15.507740000000002</v>
      </c>
      <c r="L7" s="1"/>
      <c r="M7" s="1" t="s">
        <v>108</v>
      </c>
      <c r="O7" s="1"/>
      <c r="P7" s="1">
        <v>200</v>
      </c>
    </row>
    <row r="8" spans="1:16" x14ac:dyDescent="0.4">
      <c r="A8" s="1">
        <v>16028</v>
      </c>
      <c r="B8" s="1"/>
      <c r="C8" s="1"/>
      <c r="D8" s="1"/>
      <c r="E8" s="1"/>
      <c r="F8" s="1"/>
      <c r="G8" s="1"/>
      <c r="H8" s="1"/>
      <c r="I8" s="1"/>
      <c r="J8" s="1"/>
      <c r="K8" s="1">
        <v>180</v>
      </c>
      <c r="L8" s="1">
        <v>30</v>
      </c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"/>
      <c r="J10" s="1" t="s">
        <v>65</v>
      </c>
      <c r="K10" s="1" t="s">
        <v>66</v>
      </c>
      <c r="L10" s="1" t="s">
        <v>32</v>
      </c>
    </row>
    <row r="11" spans="1:16" x14ac:dyDescent="0.4">
      <c r="A11" s="2" t="s">
        <v>51</v>
      </c>
      <c r="B11" s="3">
        <v>111</v>
      </c>
      <c r="C11" s="4">
        <v>12</v>
      </c>
      <c r="D11" s="2">
        <v>17079</v>
      </c>
      <c r="E11" s="3">
        <v>17079</v>
      </c>
      <c r="F11" s="4">
        <v>51250</v>
      </c>
      <c r="G11" s="3">
        <f>(D11-D12)/A8</f>
        <v>1.0549663089593211</v>
      </c>
      <c r="H11" s="3">
        <f>(E11-E12)/A8</f>
        <v>1.0549663089593211</v>
      </c>
      <c r="I11" s="4">
        <f>(F11-F12)/A8</f>
        <v>3.1657723983029697</v>
      </c>
      <c r="J11" s="28">
        <f>(G12+H12+I12)*1.6</f>
        <v>205861.60868480161</v>
      </c>
      <c r="K11" s="28">
        <f>J11*(B3+0.58)</f>
        <v>634053.75474918901</v>
      </c>
      <c r="L11" s="1">
        <f>K11*J5/C12</f>
        <v>241328.75748450606</v>
      </c>
    </row>
    <row r="12" spans="1:16" x14ac:dyDescent="0.4">
      <c r="A12" s="5" t="s">
        <v>36</v>
      </c>
      <c r="B12" s="6">
        <v>155</v>
      </c>
      <c r="C12" s="7">
        <f>5*K4*C5</f>
        <v>3.1790867</v>
      </c>
      <c r="D12" s="5">
        <v>170</v>
      </c>
      <c r="E12" s="6">
        <v>170</v>
      </c>
      <c r="F12" s="7">
        <v>509</v>
      </c>
      <c r="G12" s="8">
        <f>D12+G11*B1</f>
        <v>25728.668767157473</v>
      </c>
      <c r="H12" s="8">
        <f>E12+H11*B1</f>
        <v>25728.668767157473</v>
      </c>
      <c r="I12" s="11">
        <f>F12+I11*B1</f>
        <v>77206.167893686055</v>
      </c>
      <c r="J12" s="12"/>
      <c r="K12" s="12"/>
      <c r="L12" s="1"/>
    </row>
    <row r="13" spans="1:16" x14ac:dyDescent="0.4">
      <c r="A13" s="2" t="s">
        <v>52</v>
      </c>
      <c r="B13" s="3">
        <v>111</v>
      </c>
      <c r="C13" s="4">
        <v>12</v>
      </c>
      <c r="D13" s="2">
        <v>39535</v>
      </c>
      <c r="E13" s="3"/>
      <c r="F13" s="4"/>
      <c r="G13" s="3">
        <f>(D13-D14)/A8</f>
        <v>2.443037184926379</v>
      </c>
      <c r="H13" s="3">
        <f>(E13-E14)/A8</f>
        <v>0</v>
      </c>
      <c r="I13" s="4">
        <f>(F13-F14)/A8</f>
        <v>0</v>
      </c>
      <c r="J13" s="13">
        <f>(G14+H14+I14)*1.8*3.6*4</f>
        <v>1543936.7719091591</v>
      </c>
      <c r="K13" s="13">
        <f>J13*(B2+0.4)*B3+J13*(C2-0.4)</f>
        <v>3426286.8833416058</v>
      </c>
      <c r="L13" s="1">
        <f>K13*J5/C14</f>
        <v>379095.19452326739</v>
      </c>
    </row>
    <row r="14" spans="1:16" x14ac:dyDescent="0.4">
      <c r="A14" s="5" t="s">
        <v>57</v>
      </c>
      <c r="B14" s="6">
        <v>555</v>
      </c>
      <c r="C14" s="7">
        <f>(12+8)*J6*K4*C5</f>
        <v>10.936058248</v>
      </c>
      <c r="D14" s="5">
        <v>378</v>
      </c>
      <c r="E14" s="6"/>
      <c r="F14" s="7"/>
      <c r="G14" s="8">
        <f>D14+G13*B1</f>
        <v>59565.461879211383</v>
      </c>
      <c r="H14" s="8">
        <f>E14+H13*B1</f>
        <v>0</v>
      </c>
      <c r="I14" s="11">
        <f>F14+I13*B1</f>
        <v>0</v>
      </c>
      <c r="J14" s="6"/>
      <c r="K14" s="12"/>
      <c r="L14" s="1"/>
    </row>
    <row r="15" spans="1:16" x14ac:dyDescent="0.4">
      <c r="A15" s="2" t="s">
        <v>53</v>
      </c>
      <c r="B15" s="3">
        <v>211</v>
      </c>
      <c r="C15" s="4">
        <v>11</v>
      </c>
      <c r="D15" s="2">
        <f>5*39535</f>
        <v>197675</v>
      </c>
      <c r="E15" s="3"/>
      <c r="F15" s="4"/>
      <c r="G15" s="3">
        <f>(D15-D16)/A8</f>
        <v>12.204267531819315</v>
      </c>
      <c r="H15" s="3"/>
      <c r="I15" s="4"/>
      <c r="J15" s="13">
        <f>G16*2.2</f>
        <v>655023.13688545057</v>
      </c>
      <c r="K15" s="13">
        <f>J15*B3</f>
        <v>1637557.8422136265</v>
      </c>
      <c r="L15" s="1">
        <f>K15/C16</f>
        <v>143084.2318306934</v>
      </c>
    </row>
    <row r="16" spans="1:16" x14ac:dyDescent="0.4">
      <c r="A16" s="5"/>
      <c r="B16" s="6">
        <v>155</v>
      </c>
      <c r="C16" s="7">
        <f>K4*18*C5</f>
        <v>11.44471212</v>
      </c>
      <c r="D16" s="5">
        <f>5*413</f>
        <v>2065</v>
      </c>
      <c r="E16" s="6"/>
      <c r="F16" s="7"/>
      <c r="G16" s="8">
        <f>D16+G15*B1</f>
        <v>297737.78949338658</v>
      </c>
      <c r="H16" s="6"/>
      <c r="I16" s="7"/>
      <c r="J16" s="12"/>
      <c r="K16" s="12"/>
      <c r="L16" s="1"/>
    </row>
    <row r="17" spans="1:12" x14ac:dyDescent="0.4">
      <c r="A17" s="2" t="s">
        <v>54</v>
      </c>
      <c r="B17" s="3">
        <v>321</v>
      </c>
      <c r="C17" s="4">
        <v>10</v>
      </c>
      <c r="D17" s="2">
        <f>26445*6</f>
        <v>158670</v>
      </c>
      <c r="E17" s="3">
        <v>22698</v>
      </c>
      <c r="F17" s="4"/>
      <c r="G17" s="3">
        <f>(D17-D18)/A8</f>
        <v>9.7876216620913397</v>
      </c>
      <c r="H17" s="3">
        <f>(E17-E18)/A8</f>
        <v>1.3989268779635637</v>
      </c>
      <c r="I17" s="4"/>
      <c r="J17" s="13">
        <f>G18+H18</f>
        <v>273086.51147991017</v>
      </c>
      <c r="K17" s="13">
        <f>G18*B2*B3+G18*C2+H18*C2+H18*B2*(B3+1.5)</f>
        <v>463334.87936082733</v>
      </c>
      <c r="L17" s="1">
        <f>K17/C18</f>
        <v>36436.162574681221</v>
      </c>
    </row>
    <row r="18" spans="1:12" x14ac:dyDescent="0.4">
      <c r="A18" s="5"/>
      <c r="B18" s="6">
        <v>511</v>
      </c>
      <c r="C18" s="7">
        <f>K4*20*C5</f>
        <v>12.7163468</v>
      </c>
      <c r="D18" s="5">
        <f>299*6</f>
        <v>1794</v>
      </c>
      <c r="E18" s="6">
        <v>276</v>
      </c>
      <c r="F18" s="7"/>
      <c r="G18" s="8">
        <f>D18+G17*B1</f>
        <v>238918.71000748689</v>
      </c>
      <c r="H18" s="8">
        <f>E18+H17*B1</f>
        <v>34167.801472423256</v>
      </c>
      <c r="I18" s="7"/>
      <c r="J18" s="12"/>
      <c r="K18" s="12"/>
      <c r="L18" s="1"/>
    </row>
    <row r="19" spans="1:12" x14ac:dyDescent="0.4">
      <c r="A19" s="2" t="s">
        <v>58</v>
      </c>
      <c r="B19" s="3">
        <v>312</v>
      </c>
      <c r="C19" s="4">
        <v>12</v>
      </c>
      <c r="D19" s="4">
        <v>339633</v>
      </c>
      <c r="E19" s="2"/>
      <c r="G19" s="2">
        <f>(D19-D20)/A8</f>
        <v>20.978724731719492</v>
      </c>
      <c r="H19" s="3"/>
      <c r="I19" s="4"/>
      <c r="J19" s="13">
        <f>G20*1.8*1.6</f>
        <v>1473516.1845370603</v>
      </c>
      <c r="K19" s="13">
        <f>J19*(B2+0.5)*B3+J19*(C2-0.5)</f>
        <v>3491037.7463206993</v>
      </c>
      <c r="L19" s="1">
        <f>K19*J5/C20</f>
        <v>459832.65995755757</v>
      </c>
    </row>
    <row r="20" spans="1:12" x14ac:dyDescent="0.4">
      <c r="A20" s="5" t="s">
        <v>57</v>
      </c>
      <c r="B20" s="6">
        <v>555</v>
      </c>
      <c r="C20" s="7">
        <f>K4*(24-7.2)*J6*C5</f>
        <v>9.1862889283199998</v>
      </c>
      <c r="D20" s="5">
        <v>3386</v>
      </c>
      <c r="E20" s="6"/>
      <c r="F20" s="7"/>
      <c r="G20" s="8">
        <f>D20+G19*B1</f>
        <v>511637.56407536811</v>
      </c>
      <c r="H20" s="6"/>
      <c r="I20" s="7"/>
      <c r="J20" s="12"/>
      <c r="K20" s="12"/>
      <c r="L20" s="1"/>
    </row>
    <row r="21" spans="1:12" x14ac:dyDescent="0.4">
      <c r="A21" s="2" t="s">
        <v>55</v>
      </c>
      <c r="B21" s="3">
        <v>131</v>
      </c>
      <c r="C21" s="4">
        <v>12</v>
      </c>
      <c r="D21" s="2">
        <v>89565</v>
      </c>
      <c r="E21" s="3"/>
      <c r="F21" s="4"/>
      <c r="G21" s="3">
        <f>(D21-D22)/A8</f>
        <v>5.5326303968055903</v>
      </c>
      <c r="H21" s="3">
        <f>(E21-E22)/A8</f>
        <v>0</v>
      </c>
      <c r="I21" s="4"/>
      <c r="J21" s="13">
        <f>G22*1.7*5</f>
        <v>1146879.8112989769</v>
      </c>
      <c r="K21" s="13">
        <f>J21*(B2+0.4)*(B3+1)+J21*(C2-0.4)</f>
        <v>3477317.7971420833</v>
      </c>
      <c r="L21" s="1">
        <f>K21*J5/C22</f>
        <v>384741.41588550917</v>
      </c>
    </row>
    <row r="22" spans="1:12" x14ac:dyDescent="0.4">
      <c r="A22" s="5" t="s">
        <v>35</v>
      </c>
      <c r="B22" s="6">
        <v>555</v>
      </c>
      <c r="C22" s="7">
        <f>K4*20*J6*C5</f>
        <v>10.936058248</v>
      </c>
      <c r="D22" s="5">
        <v>888</v>
      </c>
      <c r="E22" s="6"/>
      <c r="F22" s="7"/>
      <c r="G22" s="8">
        <f>(D22+G21*B1)</f>
        <v>134927.03662340905</v>
      </c>
      <c r="H22" s="8">
        <f>E22+H21*B1</f>
        <v>0</v>
      </c>
      <c r="I22" s="7"/>
      <c r="J22" s="12"/>
      <c r="K22" s="12"/>
      <c r="L22" s="1"/>
    </row>
    <row r="23" spans="1:12" x14ac:dyDescent="0.4">
      <c r="A23" s="2" t="s">
        <v>56</v>
      </c>
      <c r="B23" s="3">
        <v>132</v>
      </c>
      <c r="C23" s="4">
        <v>12</v>
      </c>
      <c r="D23" s="2">
        <v>505448</v>
      </c>
      <c r="E23" s="3"/>
      <c r="F23" s="4"/>
      <c r="G23" s="3">
        <f>(D23-D24)/A8</f>
        <v>31.221050661342652</v>
      </c>
      <c r="H23" s="3">
        <f>(E23-E24)/A8</f>
        <v>0</v>
      </c>
      <c r="I23" s="4"/>
      <c r="J23" s="13">
        <f>G24*2.45</f>
        <v>1865502.0162122538</v>
      </c>
      <c r="K23" s="13">
        <f>J23*(B2+0.3)*(B3+1.6)+J23*(C2-0.3)</f>
        <v>5987620.5601686444</v>
      </c>
      <c r="L23" s="1">
        <f>K23*J5/C24</f>
        <v>652698.7550613347</v>
      </c>
    </row>
    <row r="24" spans="1:12" x14ac:dyDescent="0.4">
      <c r="A24" s="5" t="s">
        <v>33</v>
      </c>
      <c r="B24" s="6">
        <v>555</v>
      </c>
      <c r="C24" s="7">
        <f>K4*(30-9.7)*J6*C5</f>
        <v>11.100099121720001</v>
      </c>
      <c r="D24" s="5">
        <v>5037</v>
      </c>
      <c r="E24" s="6"/>
      <c r="F24" s="7"/>
      <c r="G24" s="8">
        <f>D24+G23*B1</f>
        <v>761429.39437234844</v>
      </c>
      <c r="H24" s="8">
        <f>E24+H23*B1</f>
        <v>0</v>
      </c>
      <c r="I24" s="7"/>
      <c r="J24" s="12"/>
      <c r="K24" s="12"/>
      <c r="L24" s="1"/>
    </row>
    <row r="25" spans="1:12" x14ac:dyDescent="0.4">
      <c r="A25" s="2" t="s">
        <v>59</v>
      </c>
      <c r="B25" s="3" t="s">
        <v>63</v>
      </c>
      <c r="C25" s="4"/>
      <c r="D25" s="2"/>
      <c r="E25" s="3"/>
      <c r="F25" s="4"/>
      <c r="G25" s="3">
        <v>1.5</v>
      </c>
      <c r="H25" s="3"/>
      <c r="I25" s="4"/>
      <c r="J25" s="13">
        <f>G26</f>
        <v>36340.5</v>
      </c>
      <c r="K25" s="13">
        <f>J25*D3*2.5</f>
        <v>147105.30829575</v>
      </c>
      <c r="L25" s="1">
        <f>K25*J5/2</f>
        <v>88998.711518928743</v>
      </c>
    </row>
    <row r="26" spans="1:12" x14ac:dyDescent="0.4">
      <c r="A26" s="5" t="s">
        <v>60</v>
      </c>
      <c r="B26" s="6"/>
      <c r="C26" s="7">
        <v>2</v>
      </c>
      <c r="D26" s="5"/>
      <c r="E26" s="6"/>
      <c r="F26" s="7"/>
      <c r="G26" s="8">
        <f>D26+G25*B1</f>
        <v>36340.5</v>
      </c>
      <c r="H26" s="8"/>
      <c r="I26" s="7"/>
      <c r="J26" s="12"/>
      <c r="K26" s="12"/>
      <c r="L26" s="1"/>
    </row>
    <row r="27" spans="1:12" x14ac:dyDescent="0.4">
      <c r="A27" s="2" t="s">
        <v>61</v>
      </c>
      <c r="B27" s="3"/>
      <c r="C27" s="4"/>
      <c r="D27" s="2">
        <v>212668</v>
      </c>
      <c r="E27" s="3"/>
      <c r="F27" s="4"/>
      <c r="G27" s="3">
        <f>(D27-D28)/A8</f>
        <v>13.130209633142002</v>
      </c>
      <c r="H27" s="3"/>
      <c r="I27" s="4"/>
      <c r="J27" s="13">
        <f>G28</f>
        <v>320322.58878213126</v>
      </c>
      <c r="K27" s="13">
        <f>J27*J5*2.5</f>
        <v>968975.83106594696</v>
      </c>
      <c r="L27" s="1">
        <f>K27*J5/C28</f>
        <v>178684.24024476047</v>
      </c>
    </row>
    <row r="28" spans="1:12" x14ac:dyDescent="0.4">
      <c r="A28" s="5" t="s">
        <v>62</v>
      </c>
      <c r="B28" s="6" t="s">
        <v>64</v>
      </c>
      <c r="C28" s="7">
        <f>12*J6*K4*C5</f>
        <v>6.5616349488000001</v>
      </c>
      <c r="D28" s="5">
        <v>2217</v>
      </c>
      <c r="E28" s="6"/>
      <c r="F28" s="7"/>
      <c r="G28" s="8">
        <f>D28+G27*B1</f>
        <v>320322.58878213126</v>
      </c>
      <c r="H28" s="8"/>
      <c r="I28" s="7"/>
      <c r="J28" s="12"/>
      <c r="K28" s="12"/>
      <c r="L28" s="1"/>
    </row>
    <row r="29" spans="1:12" x14ac:dyDescent="0.4">
      <c r="A29" s="1" t="s">
        <v>289</v>
      </c>
      <c r="B29" s="1"/>
      <c r="C29" s="1"/>
      <c r="D29" s="1">
        <v>9019753</v>
      </c>
      <c r="E29" s="1"/>
      <c r="F29" s="1"/>
      <c r="G29" s="1">
        <f>(D29-D30)/(41835/1.16)</f>
        <v>248.98643719373726</v>
      </c>
      <c r="H29" s="1"/>
      <c r="I29" s="1"/>
      <c r="J29" s="1"/>
      <c r="K29" s="1"/>
      <c r="L29" s="1">
        <f>G30/C30*D3*0.5*K2</f>
        <v>54509.602882580562</v>
      </c>
    </row>
    <row r="30" spans="1:12" x14ac:dyDescent="0.4">
      <c r="A30" s="1"/>
      <c r="B30" s="1"/>
      <c r="C30" s="1">
        <f>300*K4*0.5*0.8</f>
        <v>93.046440000000018</v>
      </c>
      <c r="D30" s="1">
        <v>40143</v>
      </c>
      <c r="E30" s="1"/>
      <c r="F30" s="1"/>
      <c r="G30" s="1">
        <f>D30+G29*B1</f>
        <v>6072337.4138926724</v>
      </c>
      <c r="H30" s="1"/>
      <c r="I30" s="1"/>
      <c r="J30" s="1"/>
      <c r="K30" s="1"/>
      <c r="L30" s="1"/>
    </row>
    <row r="31" spans="1:12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 t="s">
        <v>163</v>
      </c>
      <c r="L31" s="1">
        <f>SUM(L11:L24)+L29</f>
        <v>2351726.7802001298</v>
      </c>
    </row>
    <row r="32" spans="1:12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 t="s">
        <v>164</v>
      </c>
      <c r="L32" s="1">
        <f>SUM(L11:L27)*1.12</f>
        <v>2872688.1445709881</v>
      </c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 t="s">
        <v>165</v>
      </c>
      <c r="L33" s="1">
        <f>L32*180/210+L31*30/210</f>
        <v>2798265.0925180083</v>
      </c>
    </row>
    <row r="34" spans="1:12" x14ac:dyDescent="0.4">
      <c r="K34" s="1" t="s">
        <v>166</v>
      </c>
      <c r="L34">
        <f>L33*G1*G2*G3*1.06*B5</f>
        <v>5816582.3939935211</v>
      </c>
    </row>
    <row r="37" spans="1:12" x14ac:dyDescent="0.4">
      <c r="H37">
        <f>(L25+L27)*1.06*G5*G1*G2*G3*B5</f>
        <v>623186.10999067686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20" zoomScale="85" zoomScaleNormal="85" workbookViewId="0">
      <selection sqref="A1:S47"/>
    </sheetView>
  </sheetViews>
  <sheetFormatPr defaultRowHeight="17.399999999999999" x14ac:dyDescent="0.4"/>
  <cols>
    <col min="1" max="2" width="14.5" customWidth="1"/>
    <col min="3" max="3" width="13.59765625" customWidth="1"/>
    <col min="4" max="4" width="11.5" customWidth="1"/>
    <col min="6" max="6" width="11.19921875" customWidth="1"/>
    <col min="7" max="7" width="14.09765625" customWidth="1"/>
    <col min="8" max="8" width="12.8984375" customWidth="1"/>
    <col min="9" max="9" width="13.5" customWidth="1"/>
    <col min="10" max="10" width="15.3984375" customWidth="1"/>
    <col min="11" max="11" width="14.69921875" customWidth="1"/>
    <col min="12" max="12" width="18.5" customWidth="1"/>
    <col min="14" max="14" width="16.19921875" customWidth="1"/>
  </cols>
  <sheetData>
    <row r="1" spans="1:16" x14ac:dyDescent="0.4">
      <c r="A1" s="1" t="s">
        <v>0</v>
      </c>
      <c r="B1" s="1">
        <v>24227</v>
      </c>
      <c r="C1" s="1"/>
      <c r="D1" s="1"/>
      <c r="E1" s="1" t="s">
        <v>13</v>
      </c>
      <c r="F1" s="1">
        <v>3</v>
      </c>
      <c r="G1" s="1">
        <v>1.2</v>
      </c>
      <c r="H1" s="1"/>
      <c r="I1" s="1"/>
      <c r="J1" s="1"/>
      <c r="K1" s="1"/>
      <c r="L1" s="1"/>
    </row>
    <row r="2" spans="1:16" x14ac:dyDescent="0.4">
      <c r="A2" s="1" t="s">
        <v>1</v>
      </c>
      <c r="B2" s="1">
        <f>(0.0357*J2-0.0328)/100+B6</f>
        <v>0.39673599999999998</v>
      </c>
      <c r="C2" s="1">
        <f>1-B2</f>
        <v>0.60326400000000002</v>
      </c>
      <c r="D2" s="1"/>
      <c r="E2" s="1" t="s">
        <v>48</v>
      </c>
      <c r="F2" s="1">
        <v>3</v>
      </c>
      <c r="G2" s="1">
        <v>1.1599999999999999</v>
      </c>
      <c r="H2" s="1"/>
      <c r="I2" s="1" t="s">
        <v>25</v>
      </c>
      <c r="J2" s="1">
        <f>SUM(N3:N8)</f>
        <v>552</v>
      </c>
      <c r="K2" s="1" t="s">
        <v>117</v>
      </c>
      <c r="L2" s="1">
        <f>J3/24.11/100+1</f>
        <v>1.7108253836582332</v>
      </c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2.7</v>
      </c>
      <c r="C3" s="1">
        <f>B3+C6</f>
        <v>3.2</v>
      </c>
      <c r="D3" s="1">
        <f>B3*B2+C2</f>
        <v>1.6744512</v>
      </c>
      <c r="E3" s="1" t="s">
        <v>114</v>
      </c>
      <c r="F3" s="1">
        <v>3</v>
      </c>
      <c r="G3" s="1">
        <f>0.9+0.1*0.8</f>
        <v>0.98</v>
      </c>
      <c r="H3" s="1"/>
      <c r="I3" s="1" t="s">
        <v>26</v>
      </c>
      <c r="J3" s="1">
        <f>SUM(O3:O8)*1.1</f>
        <v>1713.8000000000002</v>
      </c>
      <c r="K3" s="1"/>
      <c r="L3" s="1"/>
      <c r="M3" s="1" t="s">
        <v>104</v>
      </c>
      <c r="N3">
        <v>500</v>
      </c>
      <c r="O3" s="1">
        <v>500</v>
      </c>
      <c r="P3" s="1"/>
    </row>
    <row r="4" spans="1:16" x14ac:dyDescent="0.4">
      <c r="A4" s="1" t="s">
        <v>3</v>
      </c>
      <c r="B4" s="1">
        <v>1.05</v>
      </c>
      <c r="C4" s="1" t="s">
        <v>149</v>
      </c>
      <c r="D4" s="1">
        <f>((B2+0.1)*C3+C2-0.1)*D6*B4*G4</f>
        <v>3.2412537359999991</v>
      </c>
      <c r="E4" s="1" t="s">
        <v>118</v>
      </c>
      <c r="F4" s="1">
        <v>3</v>
      </c>
      <c r="G4" s="1">
        <v>1.25</v>
      </c>
      <c r="H4" s="1"/>
      <c r="I4" s="1" t="s">
        <v>388</v>
      </c>
      <c r="J4" s="1" t="s">
        <v>45</v>
      </c>
      <c r="K4" s="1">
        <f>1-(0.0214*P8-0.0943)/100</f>
        <v>0.98938700000000002</v>
      </c>
      <c r="L4" s="1"/>
      <c r="M4" s="1" t="s">
        <v>105</v>
      </c>
      <c r="O4" s="1">
        <v>300</v>
      </c>
      <c r="P4" s="1"/>
    </row>
    <row r="5" spans="1:16" x14ac:dyDescent="0.4">
      <c r="A5" s="1" t="s">
        <v>128</v>
      </c>
      <c r="B5" s="1" t="s">
        <v>129</v>
      </c>
      <c r="C5" s="1" t="s">
        <v>130</v>
      </c>
      <c r="D5" s="1" t="s">
        <v>131</v>
      </c>
      <c r="E5" s="1" t="s">
        <v>119</v>
      </c>
      <c r="F5" s="1">
        <v>3</v>
      </c>
      <c r="G5" s="1">
        <v>2.6</v>
      </c>
      <c r="H5" s="1"/>
      <c r="I5" s="1" t="s">
        <v>30</v>
      </c>
      <c r="J5" s="1">
        <v>1.21</v>
      </c>
      <c r="K5" s="1"/>
      <c r="L5" s="1"/>
      <c r="M5" s="1" t="s">
        <v>106</v>
      </c>
      <c r="O5" s="1">
        <v>300</v>
      </c>
      <c r="P5" s="1"/>
    </row>
    <row r="6" spans="1:16" x14ac:dyDescent="0.4">
      <c r="A6" s="1"/>
      <c r="B6" s="1">
        <v>0.2</v>
      </c>
      <c r="C6" s="1">
        <v>0.5</v>
      </c>
      <c r="D6" s="1">
        <v>1.18</v>
      </c>
      <c r="E6" s="1"/>
      <c r="F6" s="1"/>
      <c r="G6" s="1"/>
      <c r="H6" s="1"/>
      <c r="I6" s="1" t="s">
        <v>31</v>
      </c>
      <c r="J6" s="1">
        <f>1-0.14</f>
        <v>0.86</v>
      </c>
      <c r="L6" s="1"/>
      <c r="M6" s="1" t="s">
        <v>107</v>
      </c>
      <c r="O6" s="1">
        <v>200</v>
      </c>
      <c r="P6" s="1"/>
    </row>
    <row r="7" spans="1:16" x14ac:dyDescent="0.4">
      <c r="A7" s="1"/>
      <c r="B7" s="1"/>
      <c r="C7" s="1"/>
      <c r="D7" s="1"/>
      <c r="E7" s="1"/>
      <c r="F7" s="1"/>
      <c r="G7" s="1"/>
      <c r="H7" s="1"/>
      <c r="I7" s="1"/>
      <c r="J7" s="1" t="s">
        <v>387</v>
      </c>
      <c r="K7" s="1">
        <f>J3/18.302/100+1</f>
        <v>1.9364003933996286</v>
      </c>
      <c r="L7" s="1"/>
      <c r="M7" s="1" t="s">
        <v>108</v>
      </c>
      <c r="O7" s="1">
        <v>200</v>
      </c>
      <c r="P7" s="1"/>
    </row>
    <row r="8" spans="1:16" x14ac:dyDescent="0.4">
      <c r="A8" s="1">
        <v>14886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 t="s">
        <v>383</v>
      </c>
      <c r="E9" s="1"/>
      <c r="F9" s="1"/>
      <c r="G9" s="1" t="s">
        <v>23</v>
      </c>
      <c r="H9" s="1"/>
      <c r="I9" s="1"/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 t="s">
        <v>384</v>
      </c>
      <c r="E10" s="1"/>
      <c r="F10" s="1"/>
      <c r="G10" s="1" t="s">
        <v>24</v>
      </c>
      <c r="H10" s="1"/>
      <c r="I10" s="1"/>
      <c r="J10" s="1" t="s">
        <v>381</v>
      </c>
      <c r="K10" s="1" t="s">
        <v>382</v>
      </c>
      <c r="L10" s="1" t="s">
        <v>385</v>
      </c>
    </row>
    <row r="11" spans="1:16" x14ac:dyDescent="0.4">
      <c r="A11" s="2" t="s">
        <v>120</v>
      </c>
      <c r="B11" s="3">
        <v>131</v>
      </c>
      <c r="C11" s="4">
        <v>11</v>
      </c>
      <c r="D11" s="2">
        <v>129016</v>
      </c>
      <c r="E11" s="3"/>
      <c r="F11" s="4"/>
      <c r="G11" s="3">
        <f>(D11-D12)/A8</f>
        <v>8.569326884320839</v>
      </c>
      <c r="H11" s="3">
        <f>(E11-E12)/A8</f>
        <v>0</v>
      </c>
      <c r="I11" s="4">
        <f>(F11-F12)/A8</f>
        <v>0</v>
      </c>
      <c r="J11" s="10">
        <f>(G12+H12+I12)*1.3</f>
        <v>271780.70715437323</v>
      </c>
      <c r="K11" s="10">
        <f>J11*D4</f>
        <v>880910.2324368339</v>
      </c>
      <c r="L11" s="9">
        <f>K11</f>
        <v>880910.2324368339</v>
      </c>
      <c r="M11" t="s">
        <v>392</v>
      </c>
    </row>
    <row r="12" spans="1:16" x14ac:dyDescent="0.4">
      <c r="A12" s="5" t="s">
        <v>150</v>
      </c>
      <c r="B12" s="6">
        <v>151</v>
      </c>
      <c r="C12" s="7">
        <f>(12-5)</f>
        <v>7</v>
      </c>
      <c r="D12" s="5">
        <v>1453</v>
      </c>
      <c r="E12" s="6"/>
      <c r="F12" s="7"/>
      <c r="G12" s="8">
        <f>D12+G11*B1</f>
        <v>209062.08242644096</v>
      </c>
      <c r="H12" s="8">
        <f>E12+H11*B1</f>
        <v>0</v>
      </c>
      <c r="I12" s="11">
        <f>F12+I11*B1</f>
        <v>0</v>
      </c>
      <c r="J12" s="12"/>
      <c r="K12" s="12">
        <f>J11*D3</f>
        <v>455083.53123148886</v>
      </c>
      <c r="L12" s="1"/>
      <c r="M12" t="s">
        <v>393</v>
      </c>
    </row>
    <row r="13" spans="1:16" x14ac:dyDescent="0.4">
      <c r="A13" s="2" t="s">
        <v>121</v>
      </c>
      <c r="B13" s="3">
        <v>112</v>
      </c>
      <c r="C13" s="4">
        <v>11</v>
      </c>
      <c r="D13" s="2">
        <v>17499</v>
      </c>
      <c r="E13" s="3">
        <v>35003</v>
      </c>
      <c r="F13" s="4">
        <v>35003</v>
      </c>
      <c r="G13" s="3">
        <f>(D13-D14)/A8</f>
        <v>1.1623673250033588</v>
      </c>
      <c r="H13" s="3">
        <f>(E13-E14)/A8</f>
        <v>2.3249361816471854</v>
      </c>
      <c r="I13" s="4">
        <f>(F13-F14)/A8</f>
        <v>2.3249361816471854</v>
      </c>
      <c r="J13" s="13">
        <f>G14+H14+I14</f>
        <v>141797.13092838909</v>
      </c>
      <c r="K13" s="13">
        <f>J13*D3</f>
        <v>237432.37603959822</v>
      </c>
      <c r="L13" s="9">
        <f>K13</f>
        <v>237432.37603959822</v>
      </c>
    </row>
    <row r="14" spans="1:16" x14ac:dyDescent="0.4">
      <c r="A14" s="5" t="s">
        <v>151</v>
      </c>
      <c r="B14" s="6">
        <v>155</v>
      </c>
      <c r="C14" s="7">
        <f>(7-3)</f>
        <v>4</v>
      </c>
      <c r="D14" s="5">
        <v>196</v>
      </c>
      <c r="E14" s="6">
        <v>394</v>
      </c>
      <c r="F14" s="7">
        <v>394</v>
      </c>
      <c r="G14" s="8">
        <f>D14+G13*B1</f>
        <v>28356.673182856375</v>
      </c>
      <c r="H14" s="8">
        <f>E14+H13*B1</f>
        <v>56720.228872766362</v>
      </c>
      <c r="I14" s="11">
        <f>F14+I13*B1</f>
        <v>56720.228872766362</v>
      </c>
      <c r="J14" s="6"/>
      <c r="K14" s="12">
        <f>J13*D3</f>
        <v>237432.37603959822</v>
      </c>
      <c r="L14" s="1"/>
    </row>
    <row r="15" spans="1:16" x14ac:dyDescent="0.4">
      <c r="A15" s="2" t="s">
        <v>380</v>
      </c>
      <c r="B15" s="3">
        <v>111</v>
      </c>
      <c r="C15" s="4">
        <v>11</v>
      </c>
      <c r="D15" s="2">
        <v>24182</v>
      </c>
      <c r="E15" s="3">
        <v>72573</v>
      </c>
      <c r="F15" s="4"/>
      <c r="G15" s="3">
        <f>(D15-D16)/A8</f>
        <v>1.6063415289533791</v>
      </c>
      <c r="H15" s="3">
        <f>(E15-E16)/A8</f>
        <v>4.8205696627703887</v>
      </c>
      <c r="I15" s="4"/>
      <c r="J15" s="13">
        <f>G16+H16*2.4</f>
        <v>321431.49514980521</v>
      </c>
      <c r="K15" s="13">
        <f>J15*D4</f>
        <v>1041841.0345223717</v>
      </c>
      <c r="L15" s="9">
        <f>K15</f>
        <v>1041841.0345223717</v>
      </c>
    </row>
    <row r="16" spans="1:16" x14ac:dyDescent="0.4">
      <c r="A16" s="5" t="s">
        <v>152</v>
      </c>
      <c r="B16" s="6">
        <v>155</v>
      </c>
      <c r="C16" s="7">
        <v>8</v>
      </c>
      <c r="D16" s="5">
        <v>270</v>
      </c>
      <c r="E16" s="6">
        <v>814</v>
      </c>
      <c r="F16" s="7"/>
      <c r="G16" s="8">
        <f>D16+G15*B1</f>
        <v>39186.836221953519</v>
      </c>
      <c r="H16" s="8">
        <f>E16+H15*B1</f>
        <v>117601.94121993821</v>
      </c>
      <c r="I16" s="7"/>
      <c r="J16" s="12"/>
      <c r="K16" s="12">
        <f>J15*D3</f>
        <v>538221.35277138557</v>
      </c>
      <c r="L16" s="1"/>
    </row>
    <row r="17" spans="1:13" x14ac:dyDescent="0.4">
      <c r="A17" s="2" t="s">
        <v>122</v>
      </c>
      <c r="B17" s="3">
        <v>3</v>
      </c>
      <c r="C17" s="4">
        <v>4</v>
      </c>
      <c r="D17" s="2">
        <v>53649</v>
      </c>
      <c r="E17" s="3">
        <v>53644</v>
      </c>
      <c r="F17" s="4"/>
      <c r="G17" s="3">
        <f>(D17-D18)/A8</f>
        <v>3.5709391374445789</v>
      </c>
      <c r="H17" s="3">
        <f>(E17-E18)/A8</f>
        <v>3.5708719602310897</v>
      </c>
      <c r="I17" s="4"/>
      <c r="J17" s="13">
        <f>G18+H18</f>
        <v>174004.6574633884</v>
      </c>
      <c r="K17" s="13">
        <f>J17*D4</f>
        <v>563993.24608460779</v>
      </c>
      <c r="L17" s="9">
        <f>K17</f>
        <v>563993.24608460779</v>
      </c>
    </row>
    <row r="18" spans="1:13" x14ac:dyDescent="0.4">
      <c r="A18" s="5" t="s">
        <v>85</v>
      </c>
      <c r="B18" s="6">
        <v>5</v>
      </c>
      <c r="C18" s="7">
        <f>(12-4)</f>
        <v>8</v>
      </c>
      <c r="D18" s="5">
        <v>492</v>
      </c>
      <c r="E18" s="6">
        <v>488</v>
      </c>
      <c r="F18" s="7"/>
      <c r="G18" s="8">
        <f>D18+G17*B1</f>
        <v>87005.142482869807</v>
      </c>
      <c r="H18" s="8">
        <f>E18+H17*B1</f>
        <v>86999.514980518608</v>
      </c>
      <c r="I18" s="7"/>
      <c r="J18" s="12"/>
      <c r="K18" s="12">
        <f>J17*D3</f>
        <v>291362.30749515968</v>
      </c>
      <c r="L18" s="1"/>
    </row>
    <row r="19" spans="1:13" x14ac:dyDescent="0.4">
      <c r="A19" s="2" t="s">
        <v>123</v>
      </c>
      <c r="B19" s="3">
        <v>123</v>
      </c>
      <c r="C19" s="4">
        <v>12</v>
      </c>
      <c r="D19" s="4">
        <v>57296</v>
      </c>
      <c r="E19" s="2">
        <v>114622</v>
      </c>
      <c r="F19" s="15">
        <v>114592</v>
      </c>
      <c r="G19" s="2">
        <f>(D19-D20)/A8</f>
        <v>3.8078059922074434</v>
      </c>
      <c r="H19" s="2">
        <f>(E19-E20)/A8</f>
        <v>7.6174929463925833</v>
      </c>
      <c r="I19" s="2">
        <f>(F19-F20)/A8</f>
        <v>7.6153432755609298</v>
      </c>
      <c r="J19" s="13">
        <f>(G20+H20+I20)*1.7</f>
        <v>789426.68616821175</v>
      </c>
      <c r="K19" s="13">
        <f>J19*D4</f>
        <v>2558732.1958408151</v>
      </c>
      <c r="L19" s="9">
        <f>K19</f>
        <v>2558732.1958408151</v>
      </c>
    </row>
    <row r="20" spans="1:13" x14ac:dyDescent="0.4">
      <c r="A20" s="5" t="s">
        <v>85</v>
      </c>
      <c r="B20" s="6">
        <v>515</v>
      </c>
      <c r="C20" s="7">
        <f>(22-1)</f>
        <v>21</v>
      </c>
      <c r="D20" s="5">
        <v>613</v>
      </c>
      <c r="E20" s="6">
        <v>1228</v>
      </c>
      <c r="F20" s="7">
        <v>1230</v>
      </c>
      <c r="G20" s="8">
        <f>D20+G19*B1</f>
        <v>92864.715773209726</v>
      </c>
      <c r="H20" s="8">
        <f>E20+H19*B1</f>
        <v>185777.00161225311</v>
      </c>
      <c r="I20" s="8">
        <f>F20+I19*B1</f>
        <v>185726.92153701466</v>
      </c>
      <c r="J20" s="12"/>
      <c r="K20" s="12">
        <f>J19*D3</f>
        <v>1321856.4619663856</v>
      </c>
      <c r="L20" s="1"/>
    </row>
    <row r="21" spans="1:13" x14ac:dyDescent="0.4">
      <c r="A21" s="2" t="s">
        <v>124</v>
      </c>
      <c r="B21" s="3">
        <v>221</v>
      </c>
      <c r="C21" s="4">
        <v>12</v>
      </c>
      <c r="D21" s="2">
        <v>233877</v>
      </c>
      <c r="E21" s="3"/>
      <c r="F21" s="4"/>
      <c r="G21" s="3">
        <f>(D21-D22)/A8</f>
        <v>15.54279188499261</v>
      </c>
      <c r="H21" s="3"/>
      <c r="I21" s="4"/>
      <c r="J21" s="13">
        <f>G22*1.6*1.8</f>
        <v>1091699.1907134221</v>
      </c>
      <c r="K21" s="13">
        <f>((B2+0.1+0.4)*C3+C2-0.1-0.4)*D6*B4*G4*J21</f>
        <v>5026350.9075113786</v>
      </c>
      <c r="L21" s="9">
        <f>K21*J5*G5*L2</f>
        <v>27053110.632314824</v>
      </c>
      <c r="M21" s="14"/>
    </row>
    <row r="22" spans="1:13" x14ac:dyDescent="0.4">
      <c r="A22" s="5" t="s">
        <v>153</v>
      </c>
      <c r="B22" s="6">
        <v>555</v>
      </c>
      <c r="C22" s="7">
        <v>22</v>
      </c>
      <c r="D22" s="5">
        <v>2507</v>
      </c>
      <c r="E22" s="6"/>
      <c r="F22" s="7"/>
      <c r="G22" s="8">
        <f>(D22+G21*B1)</f>
        <v>379062.21899771597</v>
      </c>
      <c r="H22" s="8"/>
      <c r="J22" s="12"/>
      <c r="K22" s="9">
        <f>J21*((B2+0.4)*B3+C2-0.4)</f>
        <v>2570352.4696142459</v>
      </c>
      <c r="L22" s="9">
        <f>K22*J5*L2*G5</f>
        <v>13834296.690388881</v>
      </c>
      <c r="M22" s="12"/>
    </row>
    <row r="23" spans="1:13" x14ac:dyDescent="0.4">
      <c r="A23" s="2" t="s">
        <v>125</v>
      </c>
      <c r="B23" s="3">
        <v>131</v>
      </c>
      <c r="C23" s="4">
        <v>12</v>
      </c>
      <c r="D23" s="2">
        <v>244597</v>
      </c>
      <c r="E23" s="3"/>
      <c r="F23" s="4"/>
      <c r="G23" s="3">
        <f>(D23-D24)/A8</f>
        <v>16.255206234045414</v>
      </c>
      <c r="H23" s="3"/>
      <c r="I23" s="4"/>
      <c r="J23" s="13">
        <f>G24*1.7*1.85</f>
        <v>1246793.9921043264</v>
      </c>
      <c r="K23" s="13">
        <f>((B2+0.1+0.4)*C3+C2-0.1-0.4)*D6*B4*G4*J23</f>
        <v>5740431.2167694885</v>
      </c>
      <c r="L23" s="9">
        <f>K23*J5*G5*L2</f>
        <v>30896474.130443908</v>
      </c>
      <c r="M23" s="14"/>
    </row>
    <row r="24" spans="1:13" x14ac:dyDescent="0.4">
      <c r="A24" s="5" t="s">
        <v>153</v>
      </c>
      <c r="B24" s="6">
        <v>555</v>
      </c>
      <c r="C24" s="7">
        <v>25</v>
      </c>
      <c r="D24" s="5">
        <v>2622</v>
      </c>
      <c r="E24" s="6"/>
      <c r="F24" s="7"/>
      <c r="G24" s="8">
        <f>D24+G23*B1</f>
        <v>396436.88143221824</v>
      </c>
      <c r="H24" s="8"/>
      <c r="I24" s="7"/>
      <c r="J24" s="12">
        <f>J23/1.7</f>
        <v>733408.23064960376</v>
      </c>
      <c r="K24" s="12">
        <f>J24*((B2+0.4)*B3+C2-0.4)</f>
        <v>1726773.8887428364</v>
      </c>
      <c r="L24" s="9">
        <f>K24*J5*L2*G5</f>
        <v>9293940.2578005716</v>
      </c>
      <c r="M24" s="14"/>
    </row>
    <row r="25" spans="1:13" x14ac:dyDescent="0.4">
      <c r="A25" s="2" t="s">
        <v>126</v>
      </c>
      <c r="B25" s="3">
        <v>232</v>
      </c>
      <c r="C25" s="4">
        <v>12</v>
      </c>
      <c r="D25" s="2">
        <v>104733</v>
      </c>
      <c r="E25" s="3"/>
      <c r="F25" s="4">
        <v>157014</v>
      </c>
      <c r="G25" s="3">
        <f>(D25-D26)/A8</f>
        <v>6.9599623807604463</v>
      </c>
      <c r="H25" s="3"/>
      <c r="I25" s="3">
        <f>(F25-F26)/A8</f>
        <v>10.434502216848045</v>
      </c>
      <c r="J25" s="13">
        <f>(G26+H26+I26)*(1+(62*0.7)/100)*1.7</f>
        <v>1034184.7097609028</v>
      </c>
      <c r="K25" s="13">
        <f>J25*C3*D6*B4*G4</f>
        <v>5125419.421575035</v>
      </c>
      <c r="L25" s="9">
        <f>K25*J5*G5*L2</f>
        <v>27586322.801631924</v>
      </c>
      <c r="M25" s="14"/>
    </row>
    <row r="26" spans="1:13" x14ac:dyDescent="0.4">
      <c r="A26" s="5" t="s">
        <v>153</v>
      </c>
      <c r="B26" s="6">
        <v>555</v>
      </c>
      <c r="C26" s="7">
        <v>28</v>
      </c>
      <c r="D26" s="5">
        <v>1127</v>
      </c>
      <c r="E26" s="6"/>
      <c r="F26" s="7">
        <v>1686</v>
      </c>
      <c r="G26" s="8">
        <f>D26+G25*B1</f>
        <v>169746.00859868334</v>
      </c>
      <c r="H26" s="8"/>
      <c r="I26" s="8">
        <f>F26+I25*B1</f>
        <v>254482.6852075776</v>
      </c>
      <c r="J26" s="12"/>
      <c r="K26" s="9">
        <f>J25*((B2+0.6)*B3+C2-0.6)</f>
        <v>2786560.2322369162</v>
      </c>
      <c r="L26" s="9">
        <f>K26*J5*L2*G5</f>
        <v>14997982.360057402</v>
      </c>
      <c r="M26" s="12"/>
    </row>
    <row r="27" spans="1:13" x14ac:dyDescent="0.4">
      <c r="A27" s="2" t="s">
        <v>127</v>
      </c>
      <c r="B27" s="3"/>
      <c r="C27" s="4"/>
      <c r="D27" s="2">
        <f>2309*3</f>
        <v>6927</v>
      </c>
      <c r="E27" s="3"/>
      <c r="F27" s="4"/>
      <c r="G27" s="3">
        <f>(D27-D28)/A8</f>
        <v>0.46392583635630796</v>
      </c>
      <c r="H27" s="3"/>
      <c r="I27" s="4"/>
      <c r="J27" s="13">
        <f>G28</f>
        <v>11260.531237404273</v>
      </c>
      <c r="K27" s="13">
        <f>J27*D3</f>
        <v>18855.210043109069</v>
      </c>
      <c r="L27" s="9"/>
      <c r="M27" s="14"/>
    </row>
    <row r="28" spans="1:13" x14ac:dyDescent="0.4">
      <c r="A28" s="5"/>
      <c r="B28" s="6"/>
      <c r="C28" s="7">
        <v>1</v>
      </c>
      <c r="D28" s="5">
        <f>3*7</f>
        <v>21</v>
      </c>
      <c r="E28" s="6"/>
      <c r="F28" s="7"/>
      <c r="G28" s="8">
        <f>D28+G27*B1</f>
        <v>11260.531237404273</v>
      </c>
      <c r="H28" s="8"/>
      <c r="I28" s="7"/>
      <c r="J28" s="12"/>
      <c r="K28" s="12"/>
      <c r="L28" s="9"/>
      <c r="M28" s="14"/>
    </row>
    <row r="29" spans="1:13" x14ac:dyDescent="0.4">
      <c r="A29" s="2" t="s">
        <v>386</v>
      </c>
      <c r="B29" s="3"/>
      <c r="C29" s="4"/>
      <c r="D29" s="2">
        <v>880490</v>
      </c>
      <c r="E29" s="3">
        <v>3521610</v>
      </c>
      <c r="F29" s="4">
        <v>4402447</v>
      </c>
      <c r="G29" s="3">
        <f>(D29-D30)/(41811/1.16)</f>
        <v>24.319438425294777</v>
      </c>
      <c r="H29" s="3">
        <f t="shared" ref="H29:I29" si="0">(E29-E30)/(41811/1.16)</f>
        <v>97.267738155030955</v>
      </c>
      <c r="I29" s="3">
        <f t="shared" si="0"/>
        <v>121.59716438257873</v>
      </c>
      <c r="J29" s="13">
        <f>(G30+H30+I30)/C30</f>
        <v>19981.550962054571</v>
      </c>
      <c r="K29" s="13">
        <f>J29*D3*K7</f>
        <v>64788.339940636564</v>
      </c>
      <c r="L29" s="1"/>
    </row>
    <row r="30" spans="1:13" x14ac:dyDescent="0.4">
      <c r="A30" s="5"/>
      <c r="B30" s="6"/>
      <c r="C30" s="7">
        <f>300*K4</f>
        <v>296.81610000000001</v>
      </c>
      <c r="D30" s="5">
        <v>3921</v>
      </c>
      <c r="E30" s="6">
        <v>15695</v>
      </c>
      <c r="F30" s="7">
        <v>19603</v>
      </c>
      <c r="G30" s="8">
        <f>D30+G29*B1</f>
        <v>593108.0347296166</v>
      </c>
      <c r="H30" s="8">
        <f>E30+H29*B1</f>
        <v>2372200.4922819347</v>
      </c>
      <c r="I30" s="8">
        <f>F30+I29*B1</f>
        <v>2965537.5014967346</v>
      </c>
      <c r="J30" s="12"/>
      <c r="K30" s="12"/>
      <c r="L30" s="1"/>
    </row>
    <row r="31" spans="1:13" x14ac:dyDescent="0.4">
      <c r="A31" s="1"/>
      <c r="B31" s="1"/>
      <c r="C31" s="1"/>
      <c r="D31" s="1"/>
      <c r="E31" s="1"/>
      <c r="F31" s="1"/>
      <c r="G31" s="1"/>
      <c r="H31" s="1"/>
      <c r="I31" s="1"/>
      <c r="J31" s="1" t="s">
        <v>396</v>
      </c>
      <c r="K31" s="1" t="s">
        <v>394</v>
      </c>
      <c r="L31" s="16">
        <f>(L19+L13+L23+L11+L17+L13+L25+L13+L15+L11+L17+L21)/18+K27</f>
        <v>5170998.8144828612</v>
      </c>
    </row>
    <row r="32" spans="1:13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 t="s">
        <v>395</v>
      </c>
      <c r="L32" s="1">
        <f>L31*G1*G2*G3+K29*G1*G2*G3</f>
        <v>7142451.4045783579</v>
      </c>
    </row>
    <row r="33" spans="1:12" x14ac:dyDescent="0.4">
      <c r="A33" s="1"/>
      <c r="B33" s="1" t="s">
        <v>390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">
      <c r="B34" t="s">
        <v>391</v>
      </c>
      <c r="J34" s="33" t="s">
        <v>389</v>
      </c>
      <c r="K34" t="s">
        <v>397</v>
      </c>
      <c r="L34" s="34">
        <f>(K20+K14+L24+K12+K18+K14+L26+K14+K16+K12+K18+L22)/17+K27</f>
        <v>2500707.3234876217</v>
      </c>
    </row>
    <row r="35" spans="1:12" x14ac:dyDescent="0.4">
      <c r="A35" t="s">
        <v>134</v>
      </c>
      <c r="B35" t="s">
        <v>132</v>
      </c>
      <c r="K35" s="33" t="s">
        <v>398</v>
      </c>
      <c r="L35" s="33">
        <f>L34*G1*G2*G3+K29*G1*G2*G3</f>
        <v>3499746.5642222925</v>
      </c>
    </row>
    <row r="36" spans="1:12" x14ac:dyDescent="0.4">
      <c r="B36" t="s">
        <v>133</v>
      </c>
    </row>
    <row r="37" spans="1:12" x14ac:dyDescent="0.4">
      <c r="A37" t="s">
        <v>136</v>
      </c>
      <c r="B37" t="s">
        <v>135</v>
      </c>
    </row>
    <row r="38" spans="1:12" x14ac:dyDescent="0.4">
      <c r="A38" t="s">
        <v>139</v>
      </c>
      <c r="B38" t="s">
        <v>138</v>
      </c>
    </row>
    <row r="39" spans="1:12" x14ac:dyDescent="0.4">
      <c r="A39" t="s">
        <v>139</v>
      </c>
      <c r="B39" t="s">
        <v>140</v>
      </c>
    </row>
    <row r="40" spans="1:12" x14ac:dyDescent="0.4">
      <c r="B40" t="s">
        <v>137</v>
      </c>
    </row>
    <row r="41" spans="1:12" x14ac:dyDescent="0.4">
      <c r="A41" t="s">
        <v>142</v>
      </c>
      <c r="B41" t="s">
        <v>141</v>
      </c>
    </row>
    <row r="42" spans="1:12" x14ac:dyDescent="0.4">
      <c r="A42" t="s">
        <v>143</v>
      </c>
      <c r="B42" t="s">
        <v>144</v>
      </c>
    </row>
    <row r="43" spans="1:12" x14ac:dyDescent="0.4">
      <c r="A43" t="s">
        <v>139</v>
      </c>
      <c r="B43" t="s">
        <v>145</v>
      </c>
    </row>
    <row r="44" spans="1:12" x14ac:dyDescent="0.4">
      <c r="A44" t="s">
        <v>139</v>
      </c>
      <c r="B44" t="s">
        <v>146</v>
      </c>
    </row>
    <row r="45" spans="1:12" x14ac:dyDescent="0.4">
      <c r="A45" t="s">
        <v>139</v>
      </c>
      <c r="B45" t="s">
        <v>140</v>
      </c>
    </row>
    <row r="46" spans="1:12" x14ac:dyDescent="0.4">
      <c r="A46" t="s">
        <v>139</v>
      </c>
      <c r="B46" t="s">
        <v>147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K24" sqref="K24"/>
    </sheetView>
  </sheetViews>
  <sheetFormatPr defaultRowHeight="17.399999999999999" x14ac:dyDescent="0.4"/>
  <cols>
    <col min="1" max="2" width="14.5" customWidth="1"/>
    <col min="3" max="3" width="13.59765625" customWidth="1"/>
    <col min="4" max="4" width="11.5" customWidth="1"/>
    <col min="6" max="6" width="11.19921875" customWidth="1"/>
    <col min="7" max="7" width="14.09765625" customWidth="1"/>
    <col min="8" max="8" width="12.8984375" customWidth="1"/>
    <col min="9" max="9" width="13.5" customWidth="1"/>
    <col min="10" max="10" width="15.3984375" customWidth="1"/>
    <col min="11" max="11" width="14.69921875" customWidth="1"/>
    <col min="12" max="12" width="18.5" customWidth="1"/>
    <col min="13" max="13" width="14.8984375" customWidth="1"/>
  </cols>
  <sheetData>
    <row r="1" spans="1:16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8">
        <v>1.2</v>
      </c>
      <c r="H1" s="1"/>
      <c r="I1" s="1" t="s">
        <v>227</v>
      </c>
      <c r="J1" s="1">
        <f>SUM(P3:P8)</f>
        <v>754</v>
      </c>
      <c r="K1" s="1"/>
      <c r="L1" s="1"/>
    </row>
    <row r="2" spans="1:16" x14ac:dyDescent="0.4">
      <c r="A2" s="1" t="s">
        <v>1</v>
      </c>
      <c r="B2" s="1">
        <f>(0.0357*J2-0.0328)/100+B6</f>
        <v>0.73060239999999999</v>
      </c>
      <c r="C2" s="1">
        <f>1-B2</f>
        <v>0.26939760000000001</v>
      </c>
      <c r="D2" s="1"/>
      <c r="E2" s="1" t="s">
        <v>228</v>
      </c>
      <c r="F2" s="1">
        <v>3</v>
      </c>
      <c r="G2" s="20">
        <v>1.2</v>
      </c>
      <c r="H2" s="1"/>
      <c r="I2" s="1" t="s">
        <v>25</v>
      </c>
      <c r="J2" s="1">
        <f>SUM(N3:N8)*1.1</f>
        <v>1487.2</v>
      </c>
      <c r="K2" s="1"/>
      <c r="L2" s="1" t="s">
        <v>235</v>
      </c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</v>
      </c>
      <c r="C3" s="1">
        <f>B3+C6</f>
        <v>2.5</v>
      </c>
      <c r="D3" s="20">
        <f>B3*B2+C2</f>
        <v>1.7306024</v>
      </c>
      <c r="E3" s="1" t="s">
        <v>231</v>
      </c>
      <c r="F3" s="1">
        <v>3</v>
      </c>
      <c r="G3" s="20">
        <v>1.1599999999999999</v>
      </c>
      <c r="H3" s="1"/>
      <c r="I3" s="1" t="s">
        <v>116</v>
      </c>
      <c r="J3" s="1">
        <f>SUM(O3:O8)</f>
        <v>58</v>
      </c>
      <c r="K3" s="1">
        <f>J3/12.1569/100+1</f>
        <v>1.0477095312127269</v>
      </c>
      <c r="L3" s="18">
        <f>45*K3/100+1</f>
        <v>1.471469289045727</v>
      </c>
      <c r="M3" s="1" t="s">
        <v>104</v>
      </c>
      <c r="N3" s="1">
        <v>500</v>
      </c>
      <c r="O3" s="1"/>
      <c r="P3" s="1">
        <v>500</v>
      </c>
    </row>
    <row r="4" spans="1:16" x14ac:dyDescent="0.4">
      <c r="A4" s="1" t="s">
        <v>3</v>
      </c>
      <c r="B4" s="1">
        <v>1.2</v>
      </c>
      <c r="C4" s="1" t="s">
        <v>232</v>
      </c>
      <c r="D4" s="20">
        <f>((B2+0.1)*C3+C2-0.1)*D6*B4</f>
        <v>3.1801994975999994</v>
      </c>
      <c r="E4" s="1" t="s">
        <v>230</v>
      </c>
      <c r="F4" s="1">
        <v>3</v>
      </c>
      <c r="G4" s="18">
        <v>1.25</v>
      </c>
      <c r="H4" s="1"/>
      <c r="I4" s="1"/>
      <c r="J4" s="1" t="s">
        <v>45</v>
      </c>
      <c r="K4" s="18">
        <f>1-(0.0214*J1-0.0943)/100</f>
        <v>0.83958699999999997</v>
      </c>
      <c r="L4" s="1"/>
      <c r="M4" s="1" t="s">
        <v>105</v>
      </c>
      <c r="N4" s="1">
        <v>300</v>
      </c>
      <c r="O4" s="1"/>
      <c r="P4" s="1"/>
    </row>
    <row r="5" spans="1:16" x14ac:dyDescent="0.4">
      <c r="A5" s="1" t="s">
        <v>128</v>
      </c>
      <c r="B5" s="1" t="s">
        <v>129</v>
      </c>
      <c r="C5" s="1" t="s">
        <v>130</v>
      </c>
      <c r="D5" s="1" t="s">
        <v>234</v>
      </c>
      <c r="E5" s="1" t="s">
        <v>229</v>
      </c>
      <c r="F5" s="1">
        <v>3</v>
      </c>
      <c r="G5" s="1"/>
      <c r="H5" s="1"/>
      <c r="I5" s="1" t="s">
        <v>30</v>
      </c>
      <c r="J5" s="18">
        <v>1.21</v>
      </c>
      <c r="K5" s="1"/>
      <c r="L5" s="1"/>
      <c r="M5" s="1" t="s">
        <v>106</v>
      </c>
      <c r="N5" s="1">
        <v>300</v>
      </c>
      <c r="O5" s="1"/>
      <c r="P5" s="1"/>
    </row>
    <row r="6" spans="1:16" x14ac:dyDescent="0.4">
      <c r="A6" s="1"/>
      <c r="B6" s="1">
        <v>0.2</v>
      </c>
      <c r="C6" s="1">
        <v>0.5</v>
      </c>
      <c r="D6" s="18">
        <v>1.18</v>
      </c>
      <c r="E6" s="1"/>
      <c r="F6" s="1" t="s">
        <v>129</v>
      </c>
      <c r="G6" s="18">
        <v>0.15</v>
      </c>
      <c r="H6" s="1"/>
      <c r="I6" s="1" t="s">
        <v>31</v>
      </c>
      <c r="J6" s="18">
        <f>1-0.14</f>
        <v>0.86</v>
      </c>
      <c r="K6" s="1"/>
      <c r="L6" s="1"/>
      <c r="M6" s="1" t="s">
        <v>107</v>
      </c>
      <c r="P6" s="1">
        <v>200</v>
      </c>
    </row>
    <row r="7" spans="1:16" x14ac:dyDescent="0.4">
      <c r="A7" s="1"/>
      <c r="B7" s="1"/>
      <c r="C7" s="1"/>
      <c r="D7" s="1"/>
      <c r="E7" s="1"/>
      <c r="F7" s="1" t="s">
        <v>233</v>
      </c>
      <c r="G7" s="18">
        <v>0.45</v>
      </c>
      <c r="H7" s="1"/>
      <c r="I7" s="1"/>
      <c r="J7" s="1">
        <f>SUM(O3:O8)/18.302/100+1</f>
        <v>1.0316905256256146</v>
      </c>
      <c r="K7" s="1"/>
      <c r="L7" s="1"/>
      <c r="M7" s="1" t="s">
        <v>108</v>
      </c>
      <c r="N7" s="1">
        <v>200</v>
      </c>
      <c r="O7" s="1"/>
      <c r="P7" s="1"/>
    </row>
    <row r="8" spans="1:16" x14ac:dyDescent="0.4">
      <c r="A8" s="1">
        <v>7241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"/>
      <c r="J10" s="1" t="s">
        <v>65</v>
      </c>
      <c r="K10" s="1" t="s">
        <v>66</v>
      </c>
      <c r="L10" s="1" t="s">
        <v>32</v>
      </c>
    </row>
    <row r="11" spans="1:16" x14ac:dyDescent="0.4">
      <c r="A11" s="2" t="s">
        <v>236</v>
      </c>
      <c r="B11" s="3">
        <v>122</v>
      </c>
      <c r="C11" s="4">
        <v>10</v>
      </c>
      <c r="D11" s="2">
        <v>33738</v>
      </c>
      <c r="E11" s="3"/>
      <c r="F11" s="4"/>
      <c r="G11" s="3">
        <f>(D11-D12)/A8</f>
        <v>4.5434332274547717</v>
      </c>
      <c r="H11" s="3">
        <f>(E11-E12)/A8</f>
        <v>0</v>
      </c>
      <c r="I11" s="4">
        <f>(F11-F12)/A8</f>
        <v>0</v>
      </c>
      <c r="J11" s="10">
        <f>(G12+H12+I12)*1.8</f>
        <v>199642.96224278415</v>
      </c>
      <c r="K11" s="10">
        <f>J11*D4</f>
        <v>634904.44822387781</v>
      </c>
      <c r="L11" s="9">
        <f>K11/C12</f>
        <v>175862.89123267384</v>
      </c>
    </row>
    <row r="12" spans="1:16" x14ac:dyDescent="0.4">
      <c r="A12" s="5" t="s">
        <v>243</v>
      </c>
      <c r="B12" s="6">
        <v>155</v>
      </c>
      <c r="C12" s="7">
        <f>5*J6*K4</f>
        <v>3.6102240999999999</v>
      </c>
      <c r="D12" s="5">
        <v>839</v>
      </c>
      <c r="E12" s="6"/>
      <c r="F12" s="7"/>
      <c r="G12" s="8">
        <f>D12+G11*B1</f>
        <v>110912.75680154676</v>
      </c>
      <c r="H12" s="8">
        <f>E12+H11*B1</f>
        <v>0</v>
      </c>
      <c r="I12" s="11">
        <f>F12+I11*B1</f>
        <v>0</v>
      </c>
      <c r="J12" s="12"/>
      <c r="K12" s="12">
        <f>J11*D3</f>
        <v>345502.58960047166</v>
      </c>
      <c r="L12" s="9">
        <f>K12/C12</f>
        <v>95701.147638029361</v>
      </c>
    </row>
    <row r="13" spans="1:16" x14ac:dyDescent="0.4">
      <c r="A13" s="2" t="s">
        <v>237</v>
      </c>
      <c r="B13" s="3">
        <v>112</v>
      </c>
      <c r="C13" s="4">
        <v>11</v>
      </c>
      <c r="D13" s="2">
        <v>21502</v>
      </c>
      <c r="E13" s="3">
        <v>27361</v>
      </c>
      <c r="F13" s="4"/>
      <c r="G13" s="3">
        <f>(D13-D14)/A8</f>
        <v>2.9015329374395802</v>
      </c>
      <c r="H13" s="3">
        <f>(E13-E14)/A8</f>
        <v>3.6924457947797267</v>
      </c>
      <c r="I13" s="4">
        <f>(F13-F14)/A8</f>
        <v>0</v>
      </c>
      <c r="J13" s="13">
        <f>(G14+H14+I14)*1.948</f>
        <v>313371.49270818947</v>
      </c>
      <c r="K13" s="13">
        <f>J13*D4</f>
        <v>996583.863672746</v>
      </c>
      <c r="L13" s="9">
        <f>K13/C14</f>
        <v>138022.43795236229</v>
      </c>
    </row>
    <row r="14" spans="1:16" x14ac:dyDescent="0.4">
      <c r="A14" s="5" t="s">
        <v>244</v>
      </c>
      <c r="B14" s="6">
        <v>155</v>
      </c>
      <c r="C14" s="7">
        <f>10*J6*K4</f>
        <v>7.2204481999999999</v>
      </c>
      <c r="D14" s="5">
        <v>492</v>
      </c>
      <c r="E14" s="6">
        <v>624</v>
      </c>
      <c r="F14" s="7"/>
      <c r="G14" s="8">
        <f>D14+G13*B1</f>
        <v>70787.43847534871</v>
      </c>
      <c r="H14" s="8">
        <f>E14+H13*B1</f>
        <v>90080.884270128445</v>
      </c>
      <c r="I14" s="11">
        <f>F14+I13*B1</f>
        <v>0</v>
      </c>
      <c r="J14" s="6"/>
      <c r="K14" s="12">
        <f>J13*D3</f>
        <v>542321.45737237518</v>
      </c>
      <c r="L14" s="9">
        <f>K14/C14</f>
        <v>75109.112668708738</v>
      </c>
    </row>
    <row r="15" spans="1:16" x14ac:dyDescent="0.4">
      <c r="A15" s="2" t="s">
        <v>238</v>
      </c>
      <c r="B15" s="3">
        <v>332</v>
      </c>
      <c r="C15" s="4">
        <v>12</v>
      </c>
      <c r="D15" s="2">
        <v>57864</v>
      </c>
      <c r="E15" s="3"/>
      <c r="F15" s="4"/>
      <c r="G15" s="3">
        <f>(D15-D16)/A8</f>
        <v>7.8170142245546197</v>
      </c>
      <c r="H15" s="3">
        <f>(E15-E16)/A8</f>
        <v>0</v>
      </c>
      <c r="I15" s="4"/>
      <c r="J15" s="13">
        <f>G16*2.44</f>
        <v>465170.88082861481</v>
      </c>
      <c r="K15" s="13">
        <f>J15*D4</f>
        <v>1479336.2015093099</v>
      </c>
      <c r="L15" s="9">
        <f>K15/C16</f>
        <v>128050.93261985022</v>
      </c>
    </row>
    <row r="16" spans="1:16" x14ac:dyDescent="0.4">
      <c r="A16" s="5" t="s">
        <v>85</v>
      </c>
      <c r="B16" s="6">
        <v>555</v>
      </c>
      <c r="C16" s="7">
        <f>16*K4*J6</f>
        <v>11.552717119999999</v>
      </c>
      <c r="D16" s="5">
        <v>1261</v>
      </c>
      <c r="E16" s="6"/>
      <c r="F16" s="7"/>
      <c r="G16" s="8">
        <f>D16+G15*B1</f>
        <v>190643.80361828476</v>
      </c>
      <c r="H16" s="8">
        <f>E16+H15*B1</f>
        <v>0</v>
      </c>
      <c r="I16" s="7"/>
      <c r="J16" s="12"/>
      <c r="K16" s="12">
        <f>J15*D3</f>
        <v>805025.84277211479</v>
      </c>
      <c r="L16" s="9">
        <f>K16/C16</f>
        <v>69682.814389911669</v>
      </c>
    </row>
    <row r="17" spans="1:13" x14ac:dyDescent="0.4">
      <c r="A17" s="1" t="s">
        <v>242</v>
      </c>
      <c r="B17" s="1">
        <v>32</v>
      </c>
      <c r="C17" s="4">
        <v>7</v>
      </c>
      <c r="D17" s="1">
        <v>30332</v>
      </c>
      <c r="E17" s="1">
        <v>8200</v>
      </c>
      <c r="F17" s="4"/>
      <c r="G17" s="3">
        <f>(D17-D18)/A8</f>
        <v>4.0944620908714269</v>
      </c>
      <c r="H17" s="3">
        <f>(E17-E18)/A8</f>
        <v>0.87667449247341522</v>
      </c>
      <c r="I17" s="4"/>
      <c r="J17" s="13">
        <f>(G18+H18)</f>
        <v>122971.72600469549</v>
      </c>
      <c r="K17" s="13">
        <f>J17*D4</f>
        <v>391074.62125913741</v>
      </c>
      <c r="L17" s="9">
        <f>K17/C18</f>
        <v>22567.540732163128</v>
      </c>
    </row>
    <row r="18" spans="1:13" x14ac:dyDescent="0.4">
      <c r="A18" s="1" t="s">
        <v>85</v>
      </c>
      <c r="B18" s="1">
        <v>41</v>
      </c>
      <c r="C18" s="7">
        <f>24*K4*J6</f>
        <v>17.329075679999999</v>
      </c>
      <c r="D18" s="1">
        <v>684</v>
      </c>
      <c r="E18" s="1">
        <v>1852</v>
      </c>
      <c r="F18" s="7"/>
      <c r="G18" s="21">
        <f>D18+G17*B1</f>
        <v>99880.533075542058</v>
      </c>
      <c r="H18" s="8">
        <f>E18+H17*B1</f>
        <v>23091.192929153429</v>
      </c>
      <c r="I18" s="7"/>
      <c r="J18" s="12"/>
      <c r="K18" s="12">
        <f>J17*D3</f>
        <v>212815.16415586844</v>
      </c>
      <c r="L18" s="9">
        <f>K18/C18</f>
        <v>12280.814515772745</v>
      </c>
    </row>
    <row r="19" spans="1:13" x14ac:dyDescent="0.4">
      <c r="A19" s="2" t="s">
        <v>239</v>
      </c>
      <c r="B19" s="3">
        <v>231</v>
      </c>
      <c r="C19" s="4">
        <v>12</v>
      </c>
      <c r="D19" s="2">
        <v>17304</v>
      </c>
      <c r="E19" s="3">
        <v>19788</v>
      </c>
      <c r="F19" s="3">
        <v>86536</v>
      </c>
      <c r="G19" s="2">
        <f>(D19-D20)/A8</f>
        <v>2.3376605441237399</v>
      </c>
      <c r="H19" s="3">
        <f>(E19-E20)/A8</f>
        <v>2.6736638585830685</v>
      </c>
      <c r="I19" s="22">
        <f>(F19-F20)/A8</f>
        <v>11.690374257699213</v>
      </c>
      <c r="J19" s="13">
        <f>(G20+H20+I20)*2.02*2.745</f>
        <v>2258565.5990508217</v>
      </c>
      <c r="K19" s="13">
        <f>J19*((B2+G6)*(C3+G7)+C2-G6)*D6*L3*G3*G2*B4</f>
        <v>17799342.459195007</v>
      </c>
      <c r="L19" s="9">
        <f>K19*J5/C20</f>
        <v>1355821.4229079648</v>
      </c>
    </row>
    <row r="20" spans="1:13" x14ac:dyDescent="0.4">
      <c r="A20" s="5" t="s">
        <v>246</v>
      </c>
      <c r="B20" s="6">
        <v>555</v>
      </c>
      <c r="C20" s="7">
        <f>22*K4*J6</f>
        <v>15.884986039999999</v>
      </c>
      <c r="D20" s="5">
        <v>377</v>
      </c>
      <c r="E20" s="6">
        <v>428</v>
      </c>
      <c r="F20" s="7">
        <v>1886</v>
      </c>
      <c r="G20" s="8">
        <f>D20+G19*B1</f>
        <v>57011.502002485846</v>
      </c>
      <c r="H20" s="8">
        <f>E20+H19*B1</f>
        <v>65202.854301892003</v>
      </c>
      <c r="I20" s="11">
        <f>F20+I19*B1</f>
        <v>285108.69714127883</v>
      </c>
      <c r="J20" s="12"/>
      <c r="K20" s="12">
        <f>J19*((B2+G6)*(B3+G7)+C2-G6)*G2*G3*L3</f>
        <v>10533241.591011832</v>
      </c>
      <c r="L20" s="9">
        <f>K20*J5/C20</f>
        <v>802343.94245173142</v>
      </c>
    </row>
    <row r="21" spans="1:13" x14ac:dyDescent="0.4">
      <c r="A21" s="2" t="s">
        <v>240</v>
      </c>
      <c r="B21" s="3">
        <v>122</v>
      </c>
      <c r="C21" s="4">
        <v>12</v>
      </c>
      <c r="D21" s="4">
        <v>18738</v>
      </c>
      <c r="E21" s="2">
        <v>168672</v>
      </c>
      <c r="F21" s="23"/>
      <c r="G21" s="3">
        <f>(D21-D22)/A8</f>
        <v>2.5316945173318604</v>
      </c>
      <c r="H21" s="3">
        <f>(E21-E22)/A8</f>
        <v>22.785941168346913</v>
      </c>
      <c r="I21" s="4"/>
      <c r="J21" s="13">
        <f>(G22+H22)*1.45*1.71*2.45</f>
        <v>3750902.3830674626</v>
      </c>
      <c r="K21" s="13">
        <f>J21*((B2+G6)*(C3+G7)+C2-G6)*D6*L3*G3*G2*B4</f>
        <v>29560175.74839814</v>
      </c>
      <c r="L21" s="9">
        <f>K21*J5/C22</f>
        <v>1651227.7199801228</v>
      </c>
      <c r="M21" s="14">
        <f>D6*L3*G3*G2*J21*(C3+G7)*G1*G4*J5*B4</f>
        <v>58248949.604101539</v>
      </c>
    </row>
    <row r="22" spans="1:13" x14ac:dyDescent="0.4">
      <c r="A22" s="5" t="s">
        <v>87</v>
      </c>
      <c r="B22" s="6">
        <v>555</v>
      </c>
      <c r="C22" s="7">
        <f>30*K4*J6</f>
        <v>21.6613446</v>
      </c>
      <c r="D22" s="5">
        <v>406</v>
      </c>
      <c r="E22" s="6">
        <v>3679</v>
      </c>
      <c r="F22" s="7"/>
      <c r="G22" s="8">
        <f>D22+G21*B1</f>
        <v>61741.363071398984</v>
      </c>
      <c r="H22" s="8">
        <f>E22+H21*B1</f>
        <v>555713.99668554065</v>
      </c>
      <c r="I22" s="24"/>
      <c r="J22" s="12"/>
      <c r="K22" s="9">
        <f>J21*((B2+G6)*(B3+G7)+C2-G6)*G2*G3*L3</f>
        <v>17493032.304111775</v>
      </c>
      <c r="L22" s="9">
        <f>K22*J5/C22</f>
        <v>977158.59651552979</v>
      </c>
      <c r="M22" s="12"/>
    </row>
    <row r="23" spans="1:13" x14ac:dyDescent="0.4">
      <c r="A23" s="1" t="s">
        <v>241</v>
      </c>
      <c r="B23" s="3">
        <v>331</v>
      </c>
      <c r="C23" s="4">
        <v>12</v>
      </c>
      <c r="D23" s="2">
        <v>17397</v>
      </c>
      <c r="E23" s="3">
        <v>156643</v>
      </c>
      <c r="F23" s="4"/>
      <c r="G23" s="3">
        <f>(D23-D24)/A8</f>
        <v>2.3496754591907196</v>
      </c>
      <c r="H23" s="3">
        <f>(E23-E24)/A8</f>
        <v>21.161027482391933</v>
      </c>
      <c r="I23" s="4"/>
      <c r="J23" s="13">
        <f>(G24+H24)*1.6*1.95*1.952</f>
        <v>3492099.7672812925</v>
      </c>
      <c r="K23" s="13">
        <f>J23*((B2+G6)*(C3+G7)+C2-G6)*D6*L3*G3*B4</f>
        <v>22933833.050807729</v>
      </c>
      <c r="L23" s="9">
        <f>K23*J5/C24</f>
        <v>1281081.0457019068</v>
      </c>
      <c r="M23" s="14"/>
    </row>
    <row r="24" spans="1:13" x14ac:dyDescent="0.4">
      <c r="A24" s="5" t="s">
        <v>247</v>
      </c>
      <c r="B24" s="6">
        <v>555</v>
      </c>
      <c r="C24" s="7">
        <f>30*K4*J6</f>
        <v>21.6613446</v>
      </c>
      <c r="D24" s="5">
        <v>383</v>
      </c>
      <c r="E24" s="6">
        <v>3416</v>
      </c>
      <c r="F24" s="7"/>
      <c r="G24" s="8">
        <f>D24+G23*B1</f>
        <v>57308.587349813562</v>
      </c>
      <c r="H24" s="8">
        <f>E24+H23*B1</f>
        <v>516084.21281590936</v>
      </c>
      <c r="I24" s="7"/>
      <c r="J24" s="12"/>
      <c r="K24" s="12">
        <f>J23*((B2+G6)*(B3+G7)+C2-G6)*G2*G3*L3</f>
        <v>16286058.073384462</v>
      </c>
      <c r="L24" s="9">
        <f>K24*J5/C24</f>
        <v>909737.16695293237</v>
      </c>
      <c r="M24" s="14"/>
    </row>
    <row r="25" spans="1:13" x14ac:dyDescent="0.4">
      <c r="A25" s="2" t="s">
        <v>245</v>
      </c>
      <c r="B25" s="3"/>
      <c r="C25" s="4"/>
      <c r="D25" s="2"/>
      <c r="E25" s="3"/>
      <c r="F25" s="4"/>
      <c r="G25" s="3"/>
      <c r="H25" s="3"/>
      <c r="I25" s="3"/>
      <c r="J25" s="13"/>
      <c r="K25" s="13"/>
      <c r="L25" s="9"/>
      <c r="M25" s="14"/>
    </row>
    <row r="26" spans="1:13" x14ac:dyDescent="0.4">
      <c r="A26" s="5" t="s">
        <v>85</v>
      </c>
      <c r="B26" s="6"/>
      <c r="C26" s="7"/>
      <c r="D26" s="5"/>
      <c r="E26" s="6"/>
      <c r="F26" s="7"/>
      <c r="G26" s="8"/>
      <c r="H26" s="8"/>
      <c r="I26" s="8"/>
      <c r="J26" s="12"/>
      <c r="K26" s="14"/>
      <c r="L26" s="9"/>
      <c r="M26" s="12"/>
    </row>
    <row r="27" spans="1:13" x14ac:dyDescent="0.4">
      <c r="A27" s="2" t="s">
        <v>290</v>
      </c>
      <c r="B27" s="3"/>
      <c r="C27" s="4"/>
      <c r="D27" s="2">
        <v>15478802</v>
      </c>
      <c r="E27" s="3"/>
      <c r="F27" s="4"/>
      <c r="G27" s="3">
        <f>(D27-D28)/36042</f>
        <v>427.55363187392487</v>
      </c>
      <c r="H27" s="3"/>
      <c r="I27" s="4"/>
      <c r="J27" s="13">
        <f>G28*D3/C28*J7</f>
        <v>73914.528885827182</v>
      </c>
      <c r="K27" s="13"/>
      <c r="L27" s="9"/>
      <c r="M27" s="14"/>
    </row>
    <row r="28" spans="1:13" x14ac:dyDescent="0.4">
      <c r="A28" s="5"/>
      <c r="B28" s="6"/>
      <c r="C28" s="7">
        <f>300*K4</f>
        <v>251.87609999999998</v>
      </c>
      <c r="D28" s="5">
        <v>68914</v>
      </c>
      <c r="E28" s="6"/>
      <c r="F28" s="7"/>
      <c r="G28" s="8">
        <f>G27*B1+D28</f>
        <v>10427255.839409579</v>
      </c>
      <c r="H28" s="8"/>
      <c r="I28" s="7"/>
      <c r="J28" s="12"/>
      <c r="K28" s="12"/>
      <c r="L28" s="9"/>
      <c r="M28" s="14"/>
    </row>
    <row r="29" spans="1:13" x14ac:dyDescent="0.4">
      <c r="A29" s="2"/>
      <c r="B29" s="3"/>
      <c r="C29" s="4"/>
      <c r="D29" s="2"/>
      <c r="E29" s="3"/>
      <c r="F29" s="4"/>
      <c r="G29" s="3"/>
      <c r="H29" s="3"/>
      <c r="I29" s="4"/>
      <c r="J29" s="13"/>
      <c r="K29" s="13"/>
      <c r="L29" s="1"/>
    </row>
    <row r="30" spans="1:13" x14ac:dyDescent="0.4">
      <c r="A30" s="5"/>
      <c r="B30" s="6"/>
      <c r="C30" s="7"/>
      <c r="D30" s="5"/>
      <c r="E30" s="6"/>
      <c r="F30" s="7"/>
      <c r="G30" s="8"/>
      <c r="H30" s="6"/>
      <c r="I30" s="7"/>
      <c r="J30" s="12"/>
      <c r="K30" s="12"/>
      <c r="L30" s="1"/>
    </row>
    <row r="31" spans="1:13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 t="s">
        <v>248</v>
      </c>
      <c r="L31" s="16">
        <f>(L11+L13+L15+L17+L19+L21+L23)*G4*G1+J27*G1</f>
        <v>7217648.421353559</v>
      </c>
    </row>
    <row r="32" spans="1:13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 t="s">
        <v>154</v>
      </c>
      <c r="L32" s="16">
        <f>(L12+L14+L16+L18+L20+L22+L24)*G1+J27*G1</f>
        <v>3619113.7488221317</v>
      </c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">
      <c r="L34" s="17"/>
    </row>
    <row r="35" spans="1:12" x14ac:dyDescent="0.4">
      <c r="A35" t="s">
        <v>134</v>
      </c>
      <c r="B35" t="s">
        <v>132</v>
      </c>
    </row>
    <row r="36" spans="1:12" x14ac:dyDescent="0.4">
      <c r="B36" t="s">
        <v>133</v>
      </c>
    </row>
    <row r="37" spans="1:12" x14ac:dyDescent="0.4">
      <c r="A37" t="s">
        <v>134</v>
      </c>
      <c r="B37" t="s">
        <v>135</v>
      </c>
    </row>
    <row r="38" spans="1:12" x14ac:dyDescent="0.4">
      <c r="A38" t="s">
        <v>134</v>
      </c>
      <c r="B38" t="s">
        <v>138</v>
      </c>
    </row>
    <row r="39" spans="1:12" x14ac:dyDescent="0.4">
      <c r="A39" t="s">
        <v>134</v>
      </c>
      <c r="B39" t="s">
        <v>140</v>
      </c>
    </row>
    <row r="40" spans="1:12" x14ac:dyDescent="0.4">
      <c r="B40" t="s">
        <v>133</v>
      </c>
    </row>
    <row r="41" spans="1:12" x14ac:dyDescent="0.4">
      <c r="A41" t="s">
        <v>134</v>
      </c>
      <c r="B41" t="s">
        <v>141</v>
      </c>
    </row>
    <row r="42" spans="1:12" x14ac:dyDescent="0.4">
      <c r="A42" t="s">
        <v>134</v>
      </c>
      <c r="B42" t="s">
        <v>133</v>
      </c>
    </row>
    <row r="43" spans="1:12" x14ac:dyDescent="0.4">
      <c r="A43" t="s">
        <v>134</v>
      </c>
      <c r="B43" t="s">
        <v>145</v>
      </c>
    </row>
    <row r="44" spans="1:12" x14ac:dyDescent="0.4">
      <c r="A44" t="s">
        <v>134</v>
      </c>
      <c r="B44" t="s">
        <v>138</v>
      </c>
    </row>
    <row r="45" spans="1:12" x14ac:dyDescent="0.4">
      <c r="A45" t="s">
        <v>134</v>
      </c>
      <c r="B45" t="s">
        <v>140</v>
      </c>
    </row>
    <row r="46" spans="1:12" x14ac:dyDescent="0.4">
      <c r="A46" t="s">
        <v>134</v>
      </c>
      <c r="B46" t="s">
        <v>147</v>
      </c>
    </row>
    <row r="48" spans="1:12" x14ac:dyDescent="0.4">
      <c r="B48" t="s">
        <v>148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7" workbookViewId="0">
      <selection activeCell="A31" sqref="A31"/>
    </sheetView>
  </sheetViews>
  <sheetFormatPr defaultRowHeight="17.399999999999999" x14ac:dyDescent="0.4"/>
  <cols>
    <col min="1" max="2" width="14.5" customWidth="1"/>
    <col min="3" max="3" width="13.59765625" customWidth="1"/>
    <col min="4" max="4" width="11.5" customWidth="1"/>
    <col min="6" max="6" width="11.19921875" customWidth="1"/>
    <col min="7" max="7" width="14.09765625" customWidth="1"/>
    <col min="8" max="8" width="12.8984375" customWidth="1"/>
    <col min="9" max="9" width="13.5" customWidth="1"/>
    <col min="10" max="10" width="15.3984375" customWidth="1"/>
    <col min="11" max="11" width="16.8984375" customWidth="1"/>
    <col min="12" max="12" width="18.5" customWidth="1"/>
    <col min="13" max="13" width="10.796875" bestFit="1" customWidth="1"/>
  </cols>
  <sheetData>
    <row r="1" spans="1:16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/>
      <c r="J1" s="1"/>
      <c r="K1" s="1"/>
      <c r="L1" s="1"/>
    </row>
    <row r="2" spans="1:16" x14ac:dyDescent="0.4">
      <c r="A2" s="1" t="s">
        <v>1</v>
      </c>
      <c r="B2" s="1">
        <f>(0.0357*J2-0.0328)/100+B6</f>
        <v>0.39673599999999998</v>
      </c>
      <c r="C2" s="1">
        <f>1-B2</f>
        <v>0.60326400000000002</v>
      </c>
      <c r="D2" s="1"/>
      <c r="E2" s="1" t="s">
        <v>224</v>
      </c>
      <c r="F2" s="1">
        <v>3</v>
      </c>
      <c r="G2" s="1">
        <v>1.1599999999999999</v>
      </c>
      <c r="H2" s="1"/>
      <c r="I2" s="1" t="s">
        <v>25</v>
      </c>
      <c r="J2" s="1">
        <f>SUM(N3:N8)</f>
        <v>552</v>
      </c>
      <c r="K2" s="1"/>
      <c r="L2" s="1"/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2.5</v>
      </c>
      <c r="C3" s="1">
        <v>3</v>
      </c>
      <c r="D3" s="1">
        <f>B3*B2+C2</f>
        <v>1.5951040000000001</v>
      </c>
      <c r="E3" s="1" t="s">
        <v>114</v>
      </c>
      <c r="F3" s="1">
        <v>3</v>
      </c>
      <c r="G3" s="1">
        <f>0.9+0.1*0.8</f>
        <v>0.98</v>
      </c>
      <c r="H3" s="1"/>
      <c r="I3" s="1" t="s">
        <v>209</v>
      </c>
      <c r="J3" s="1">
        <f>SUM(P3:P8)*1.1</f>
        <v>1709.4</v>
      </c>
      <c r="K3" s="1"/>
      <c r="L3" s="1"/>
      <c r="M3" s="1" t="s">
        <v>104</v>
      </c>
      <c r="N3">
        <v>500</v>
      </c>
      <c r="O3" s="1"/>
      <c r="P3" s="1">
        <v>500</v>
      </c>
    </row>
    <row r="4" spans="1:16" x14ac:dyDescent="0.4">
      <c r="A4" s="1" t="s">
        <v>3</v>
      </c>
      <c r="B4" s="1">
        <v>1.05</v>
      </c>
      <c r="C4" s="1" t="s">
        <v>149</v>
      </c>
      <c r="D4" s="1">
        <f>((B2+0.1)*C3+C2-0.1)*D6*B4*G4</f>
        <v>3.0873897599999998</v>
      </c>
      <c r="E4" s="1" t="s">
        <v>118</v>
      </c>
      <c r="F4" s="1">
        <v>3</v>
      </c>
      <c r="G4" s="1">
        <v>1.25</v>
      </c>
      <c r="H4" s="1"/>
      <c r="I4" s="1"/>
      <c r="J4" s="1" t="s">
        <v>45</v>
      </c>
      <c r="K4" s="1">
        <f>1-(0.0214*J3-0.0943)/100</f>
        <v>0.63513140000000001</v>
      </c>
      <c r="L4" s="1"/>
      <c r="M4" s="1" t="s">
        <v>105</v>
      </c>
      <c r="O4" s="1"/>
      <c r="P4">
        <v>300</v>
      </c>
    </row>
    <row r="5" spans="1:16" x14ac:dyDescent="0.4">
      <c r="A5" s="1" t="s">
        <v>128</v>
      </c>
      <c r="B5" s="1" t="s">
        <v>129</v>
      </c>
      <c r="C5" s="1" t="s">
        <v>130</v>
      </c>
      <c r="D5" s="1" t="s">
        <v>131</v>
      </c>
      <c r="E5" s="1" t="s">
        <v>208</v>
      </c>
      <c r="F5" s="1">
        <v>3</v>
      </c>
      <c r="G5" s="1">
        <v>1.3</v>
      </c>
      <c r="H5" s="1"/>
      <c r="I5" s="1" t="s">
        <v>30</v>
      </c>
      <c r="J5" s="1">
        <v>1.21</v>
      </c>
      <c r="K5" s="1"/>
      <c r="L5" s="1"/>
      <c r="M5" s="1" t="s">
        <v>106</v>
      </c>
      <c r="O5" s="1"/>
      <c r="P5" s="1">
        <v>300</v>
      </c>
    </row>
    <row r="6" spans="1:16" x14ac:dyDescent="0.4">
      <c r="A6" s="1"/>
      <c r="B6" s="1">
        <v>0.2</v>
      </c>
      <c r="C6" s="1">
        <v>0.5</v>
      </c>
      <c r="D6" s="1">
        <v>1.18</v>
      </c>
      <c r="E6" s="1"/>
      <c r="F6" s="1"/>
      <c r="G6" s="1"/>
      <c r="H6" s="1"/>
      <c r="I6" s="1" t="s">
        <v>31</v>
      </c>
      <c r="J6" s="1">
        <f>1-0.14</f>
        <v>0.86</v>
      </c>
      <c r="K6" s="1"/>
      <c r="L6" s="1"/>
      <c r="M6" s="1" t="s">
        <v>107</v>
      </c>
      <c r="O6" s="1"/>
      <c r="P6">
        <v>200</v>
      </c>
    </row>
    <row r="7" spans="1:16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>
        <f>SUM(O3:O8)/18.302/100+1</f>
        <v>1.0316905256256146</v>
      </c>
      <c r="L7" s="1"/>
      <c r="M7" s="1" t="s">
        <v>108</v>
      </c>
      <c r="O7" s="1"/>
      <c r="P7">
        <v>200</v>
      </c>
    </row>
    <row r="8" spans="1:16" x14ac:dyDescent="0.4">
      <c r="A8" s="1">
        <v>16188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/>
      <c r="E9" s="1"/>
      <c r="F9" s="1">
        <v>44229</v>
      </c>
      <c r="G9" s="1" t="s">
        <v>23</v>
      </c>
      <c r="H9" s="1"/>
      <c r="I9" s="1">
        <f>(F9-F10)/A8</f>
        <v>2.7038547071905117</v>
      </c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/>
      <c r="E10" s="1"/>
      <c r="F10" s="1">
        <v>459</v>
      </c>
      <c r="G10" s="1" t="s">
        <v>24</v>
      </c>
      <c r="H10" s="1"/>
      <c r="I10" s="18">
        <f>F10+I9*B1</f>
        <v>65965.287991104531</v>
      </c>
      <c r="J10" s="1" t="s">
        <v>65</v>
      </c>
      <c r="K10" s="1" t="s">
        <v>66</v>
      </c>
      <c r="L10" s="1" t="s">
        <v>32</v>
      </c>
    </row>
    <row r="11" spans="1:16" x14ac:dyDescent="0.4">
      <c r="A11" s="2" t="s">
        <v>210</v>
      </c>
      <c r="B11" s="3">
        <v>312</v>
      </c>
      <c r="C11" s="4">
        <v>11</v>
      </c>
      <c r="D11" s="2">
        <v>36866</v>
      </c>
      <c r="E11" s="3">
        <v>29507</v>
      </c>
      <c r="F11" s="4">
        <v>36866</v>
      </c>
      <c r="G11" s="3">
        <f>(D11-D12)/A8</f>
        <v>2.2538917716827278</v>
      </c>
      <c r="H11" s="3">
        <f>(E11-E12)/A8</f>
        <v>1.8039288361749444</v>
      </c>
      <c r="I11" s="4">
        <f>(F11-F12)/A8</f>
        <v>2.2538917716827278</v>
      </c>
      <c r="J11" s="10">
        <f>(G12+H12+I12)*1.334*1.87*1.856</f>
        <v>712912.93762105168</v>
      </c>
      <c r="K11" s="10">
        <f>J11*D4</f>
        <v>2201040.1033827537</v>
      </c>
      <c r="L11" s="9">
        <f>K11*J5/C12</f>
        <v>419324.02099677821</v>
      </c>
    </row>
    <row r="12" spans="1:16" x14ac:dyDescent="0.4">
      <c r="A12" s="5" t="s">
        <v>217</v>
      </c>
      <c r="B12" s="6">
        <v>444</v>
      </c>
      <c r="C12" s="7">
        <f>K4*10</f>
        <v>6.3513140000000003</v>
      </c>
      <c r="D12" s="5">
        <v>380</v>
      </c>
      <c r="E12" s="6">
        <v>305</v>
      </c>
      <c r="F12" s="7">
        <v>380</v>
      </c>
      <c r="G12" s="8">
        <f>D12+G11*B1</f>
        <v>54985.035952557446</v>
      </c>
      <c r="H12" s="8">
        <f>E12+H11*B1</f>
        <v>44008.783914010375</v>
      </c>
      <c r="I12" s="11">
        <f>F12+I11*B1</f>
        <v>54985.035952557446</v>
      </c>
      <c r="J12" s="12"/>
      <c r="K12" s="12">
        <f>J11*D3</f>
        <v>1137170.27845109</v>
      </c>
      <c r="L12" s="1">
        <f>K12*J5/C12</f>
        <v>216644.30965400525</v>
      </c>
    </row>
    <row r="13" spans="1:16" x14ac:dyDescent="0.4">
      <c r="A13" s="2" t="s">
        <v>211</v>
      </c>
      <c r="B13" s="3">
        <v>332</v>
      </c>
      <c r="C13" s="4">
        <v>12</v>
      </c>
      <c r="D13" s="2">
        <f>34875*3</f>
        <v>104625</v>
      </c>
      <c r="E13" s="3">
        <v>51562</v>
      </c>
      <c r="F13" s="4"/>
      <c r="G13" s="3">
        <f>(D13-D14)/A8</f>
        <v>6.3986286137879915</v>
      </c>
      <c r="H13" s="3">
        <f>(E13-E14)/A8</f>
        <v>3.153755868544601</v>
      </c>
      <c r="I13" s="4">
        <f>(F13-F14)/A8</f>
        <v>0</v>
      </c>
      <c r="J13" s="13">
        <f>(G14+H14+I14)*1.38*1.43*2.088</f>
        <v>959978.89345808094</v>
      </c>
      <c r="K13" s="13">
        <f>J13*D4</f>
        <v>2963829.0054786098</v>
      </c>
      <c r="L13" s="9">
        <f>K13*J5/C14</f>
        <v>564644.27622837061</v>
      </c>
    </row>
    <row r="14" spans="1:16" x14ac:dyDescent="0.4">
      <c r="A14" s="5" t="s">
        <v>217</v>
      </c>
      <c r="B14" s="6">
        <v>444</v>
      </c>
      <c r="C14" s="7">
        <f>10*K4</f>
        <v>6.3513140000000003</v>
      </c>
      <c r="D14" s="5">
        <f>348*3</f>
        <v>1044</v>
      </c>
      <c r="E14" s="6">
        <v>509</v>
      </c>
      <c r="F14" s="7"/>
      <c r="G14" s="8">
        <f>D14+G13*B1</f>
        <v>156063.57542624167</v>
      </c>
      <c r="H14" s="8">
        <f>E14+H13*B1</f>
        <v>76915.043427230048</v>
      </c>
      <c r="I14" s="11">
        <f>F14+I13*B1</f>
        <v>0</v>
      </c>
      <c r="J14" s="6"/>
      <c r="K14" s="12">
        <f>J13*D3</f>
        <v>1531266.1728705589</v>
      </c>
      <c r="L14" s="1">
        <f>K14*J5/C14</f>
        <v>291724.21158415033</v>
      </c>
    </row>
    <row r="15" spans="1:16" x14ac:dyDescent="0.4">
      <c r="A15" s="2" t="s">
        <v>212</v>
      </c>
      <c r="B15" s="3">
        <v>122</v>
      </c>
      <c r="C15" s="4">
        <v>12</v>
      </c>
      <c r="D15" s="2">
        <v>35069</v>
      </c>
      <c r="E15" s="3">
        <f>29216*2</f>
        <v>58432</v>
      </c>
      <c r="F15" s="4">
        <v>39725</v>
      </c>
      <c r="G15" s="3">
        <f>(D15-D16)/A8</f>
        <v>2.1448603904126515</v>
      </c>
      <c r="H15" s="3">
        <f>(E15-E16)/A8</f>
        <v>3.5737583395107486</v>
      </c>
      <c r="I15" s="3">
        <f>(F15-F16)/A8</f>
        <v>2.4298863355572027</v>
      </c>
      <c r="J15" s="13"/>
      <c r="K15" s="13"/>
      <c r="L15" s="9"/>
    </row>
    <row r="16" spans="1:16" x14ac:dyDescent="0.4">
      <c r="A16" s="5" t="s">
        <v>221</v>
      </c>
      <c r="B16" s="6">
        <v>454</v>
      </c>
      <c r="C16" s="7">
        <f>(15-4.5)*K4*J6</f>
        <v>5.735236542</v>
      </c>
      <c r="D16" s="5">
        <v>348</v>
      </c>
      <c r="E16" s="6">
        <f>290*2</f>
        <v>580</v>
      </c>
      <c r="F16" s="7">
        <v>390</v>
      </c>
      <c r="G16" s="8">
        <f>D16+G15*B1</f>
        <v>52311.532678527306</v>
      </c>
      <c r="H16" s="8">
        <f>E16+H15*B1</f>
        <v>87161.443291326912</v>
      </c>
      <c r="I16" s="8">
        <f>F16+I15*B1</f>
        <v>59258.856251544348</v>
      </c>
      <c r="J16" s="12"/>
      <c r="K16" s="12"/>
      <c r="L16" s="1"/>
    </row>
    <row r="17" spans="1:13" x14ac:dyDescent="0.4">
      <c r="D17" s="2">
        <v>29216</v>
      </c>
      <c r="E17" s="3">
        <v>29216</v>
      </c>
      <c r="F17" s="4">
        <v>42067</v>
      </c>
      <c r="G17" s="3">
        <f>(D17-D18)/A8</f>
        <v>1.7868791697553743</v>
      </c>
      <c r="H17" s="3">
        <f>(E17-E18)/A8</f>
        <v>1.7868791697553743</v>
      </c>
      <c r="I17" s="3">
        <f>(F17-F18)/A8</f>
        <v>2.5728317272053371</v>
      </c>
      <c r="J17" s="13">
        <f>(G16+H16+I16+G18+H18+I18)*1.464*1.86</f>
        <v>949369.56930831715</v>
      </c>
      <c r="K17" s="13">
        <f>J17*D4</f>
        <v>2931073.8867381085</v>
      </c>
      <c r="L17" s="9">
        <f>K17*J5/C16</f>
        <v>618387.64224994555</v>
      </c>
    </row>
    <row r="18" spans="1:13" x14ac:dyDescent="0.4">
      <c r="D18" s="5">
        <v>290</v>
      </c>
      <c r="E18" s="6">
        <v>290</v>
      </c>
      <c r="F18" s="7">
        <v>418</v>
      </c>
      <c r="G18" s="8">
        <f>D18+G17*B1</f>
        <v>43580.721645663456</v>
      </c>
      <c r="H18" s="8">
        <f>E18+H17*B1</f>
        <v>43580.721645663456</v>
      </c>
      <c r="I18" s="8">
        <f>F18+I17*B1</f>
        <v>62749.994255003701</v>
      </c>
      <c r="J18" s="12"/>
      <c r="K18" s="12">
        <f>J17*D3</f>
        <v>1514343.197481974</v>
      </c>
      <c r="L18" s="1">
        <f>K18*J5/C16</f>
        <v>319490.79266994051</v>
      </c>
    </row>
    <row r="19" spans="1:13" x14ac:dyDescent="0.4">
      <c r="A19" s="2" t="s">
        <v>213</v>
      </c>
      <c r="B19" s="3">
        <v>131</v>
      </c>
      <c r="C19" s="4">
        <v>12</v>
      </c>
      <c r="D19" s="4">
        <f>46317*2</f>
        <v>92634</v>
      </c>
      <c r="E19" s="2">
        <v>79406</v>
      </c>
      <c r="F19" s="15">
        <v>92644</v>
      </c>
      <c r="G19" s="2">
        <f>(D19-D20)/A8</f>
        <v>5.6656782802075609</v>
      </c>
      <c r="H19" s="2">
        <f>(E19-E20)/A8</f>
        <v>4.8566839634297008</v>
      </c>
      <c r="I19" s="2">
        <f>(F19-F20)/A8</f>
        <v>5.666666666666667</v>
      </c>
      <c r="J19" s="13">
        <f>(G20+H20+I20)*1.45*1.96*2.2</f>
        <v>2468620.1075602667</v>
      </c>
      <c r="K19" s="13">
        <f>J19*((B2+0.1+0.18)*C3+C2-0.28)*B4*D6*G4</f>
        <v>8997971.5823818911</v>
      </c>
      <c r="L19" s="9">
        <f>K19*J5/C20</f>
        <v>1107376.8673221043</v>
      </c>
    </row>
    <row r="20" spans="1:13" x14ac:dyDescent="0.4">
      <c r="A20" s="5" t="s">
        <v>218</v>
      </c>
      <c r="B20" s="6">
        <v>555</v>
      </c>
      <c r="C20" s="7">
        <f>18*K4*J6</f>
        <v>9.8318340719999995</v>
      </c>
      <c r="D20" s="5">
        <f>459*2</f>
        <v>918</v>
      </c>
      <c r="E20" s="6">
        <v>786</v>
      </c>
      <c r="F20" s="7">
        <v>912</v>
      </c>
      <c r="G20" s="8">
        <f>D20+G19*B1</f>
        <v>138180.38769458857</v>
      </c>
      <c r="H20" s="8">
        <f>E20+H19*B1</f>
        <v>118448.88238201136</v>
      </c>
      <c r="I20" s="8">
        <f>F20+I19*B1</f>
        <v>138198.33333333334</v>
      </c>
      <c r="J20" s="12"/>
      <c r="K20" s="12">
        <f>J19*D3</f>
        <v>3937705.808049812</v>
      </c>
      <c r="L20" s="1"/>
    </row>
    <row r="21" spans="1:13" x14ac:dyDescent="0.4">
      <c r="A21" s="2" t="s">
        <v>214</v>
      </c>
      <c r="B21" s="3">
        <v>322</v>
      </c>
      <c r="C21" s="4">
        <v>12</v>
      </c>
      <c r="D21" s="2">
        <v>349873</v>
      </c>
      <c r="E21" s="3"/>
      <c r="F21" s="4"/>
      <c r="G21" s="3">
        <f>(D21-D22)/A8</f>
        <v>21.39967877440079</v>
      </c>
      <c r="H21" s="3"/>
      <c r="I21" s="4"/>
      <c r="J21" s="13">
        <f>G22*1.464*1.83</f>
        <v>1398246.170933106</v>
      </c>
      <c r="K21" s="13">
        <f>J21*((B2+0.1+0.25+0.18)*C3+C2-0.35-0.18)*B4*D6*G4</f>
        <v>6179289.9413181581</v>
      </c>
      <c r="L21" s="9">
        <f>K21*J5/C22</f>
        <v>720457.40149762365</v>
      </c>
      <c r="M21" s="14"/>
    </row>
    <row r="22" spans="1:13" x14ac:dyDescent="0.4">
      <c r="A22" s="5" t="s">
        <v>218</v>
      </c>
      <c r="B22" s="6">
        <v>155</v>
      </c>
      <c r="C22" s="7">
        <f>(24-5)*K4*J6</f>
        <v>10.378047076</v>
      </c>
      <c r="D22" s="5">
        <v>3455</v>
      </c>
      <c r="E22" s="6"/>
      <c r="F22" s="7"/>
      <c r="G22" s="8">
        <f>(D22+G21*B1)</f>
        <v>521905.01766740793</v>
      </c>
      <c r="H22" s="8"/>
      <c r="J22" s="12"/>
      <c r="K22" s="9">
        <f>J21*((B2+0.18+0.25)*B3+C2-0.18-0.25)</f>
        <v>3132216.8404919347</v>
      </c>
      <c r="L22" s="9"/>
      <c r="M22" s="12"/>
    </row>
    <row r="23" spans="1:13" x14ac:dyDescent="0.4">
      <c r="A23" s="2" t="s">
        <v>215</v>
      </c>
      <c r="B23" s="3">
        <v>132</v>
      </c>
      <c r="C23" s="4">
        <v>12</v>
      </c>
      <c r="D23" s="2">
        <v>133236</v>
      </c>
      <c r="E23" s="3"/>
      <c r="F23" s="4"/>
      <c r="G23" s="3">
        <f>(D23-D24)/A8</f>
        <v>8.1494934519397084</v>
      </c>
      <c r="H23" s="3"/>
      <c r="I23" s="4"/>
      <c r="J23" s="13">
        <f>G24*1.87*1.74</f>
        <v>646692.02720133436</v>
      </c>
      <c r="K23" s="13">
        <f>((B2+0.1)*(C3+1)+C2-0.1)*D6*B4*G4*J23</f>
        <v>2494103.375418528</v>
      </c>
      <c r="L23" s="9">
        <f>K23*J5/C24</f>
        <v>395963.35029470793</v>
      </c>
      <c r="M23" s="14"/>
    </row>
    <row r="24" spans="1:13" x14ac:dyDescent="0.4">
      <c r="A24" s="5" t="s">
        <v>219</v>
      </c>
      <c r="B24" s="6">
        <v>144</v>
      </c>
      <c r="C24" s="7">
        <f>12*K4</f>
        <v>7.6215767999999997</v>
      </c>
      <c r="D24" s="5">
        <v>1312</v>
      </c>
      <c r="E24" s="6"/>
      <c r="F24" s="7"/>
      <c r="G24" s="8">
        <f>D24+G23*B1</f>
        <v>198749.77786014331</v>
      </c>
      <c r="H24" s="8"/>
      <c r="I24" s="7"/>
      <c r="J24" s="12"/>
      <c r="K24" s="12">
        <f>J23*(B2*3.5+C2)</f>
        <v>1288107.047460706</v>
      </c>
      <c r="L24" s="9">
        <f>K24*J5/C24</f>
        <v>204499.61580488886</v>
      </c>
      <c r="M24" s="14"/>
    </row>
    <row r="25" spans="1:13" x14ac:dyDescent="0.4">
      <c r="A25" s="2" t="s">
        <v>216</v>
      </c>
      <c r="B25" s="3">
        <v>311</v>
      </c>
      <c r="C25" s="4">
        <v>12</v>
      </c>
      <c r="D25" s="2">
        <v>212295</v>
      </c>
      <c r="E25" s="3"/>
      <c r="F25" s="4"/>
      <c r="G25" s="3">
        <f>(D25-D26)/A8</f>
        <v>12.967197924388437</v>
      </c>
      <c r="H25" s="3">
        <f>(E25-E26)/A8</f>
        <v>0</v>
      </c>
      <c r="I25" s="3">
        <f>(F25-F26)/A8</f>
        <v>0</v>
      </c>
      <c r="J25" s="13">
        <f>(G26+H26+I26)</f>
        <v>316538.30411415867</v>
      </c>
      <c r="K25" s="13">
        <f>J25*D3</f>
        <v>504911.51504571096</v>
      </c>
      <c r="L25" s="9">
        <f>K25*J5/C26</f>
        <v>58868.776440430775</v>
      </c>
      <c r="M25" s="14"/>
    </row>
    <row r="26" spans="1:13" x14ac:dyDescent="0.4">
      <c r="A26" s="5" t="s">
        <v>220</v>
      </c>
      <c r="B26" s="6">
        <v>511</v>
      </c>
      <c r="C26" s="7">
        <f>(24-5)*K4*J6</f>
        <v>10.378047076</v>
      </c>
      <c r="D26" s="5">
        <v>2382</v>
      </c>
      <c r="E26" s="6"/>
      <c r="F26" s="7"/>
      <c r="G26" s="8">
        <f>D26+G25*B1</f>
        <v>316538.30411415867</v>
      </c>
      <c r="H26" s="8">
        <f>E26+H25*B1</f>
        <v>0</v>
      </c>
      <c r="I26" s="8">
        <f>F26+I25*B1</f>
        <v>0</v>
      </c>
      <c r="J26" s="12"/>
      <c r="K26" s="14"/>
      <c r="L26" s="9"/>
      <c r="M26" s="12"/>
    </row>
    <row r="27" spans="1:13" x14ac:dyDescent="0.4">
      <c r="A27" s="2" t="s">
        <v>288</v>
      </c>
      <c r="B27" s="3"/>
      <c r="C27" s="4"/>
      <c r="D27" s="2">
        <v>480531</v>
      </c>
      <c r="E27" s="3">
        <v>480531</v>
      </c>
      <c r="F27" s="4">
        <f>768875*5</f>
        <v>3844375</v>
      </c>
      <c r="G27" s="3">
        <f>(D27-D28)/(28165/1.16)</f>
        <v>19.716499201136159</v>
      </c>
      <c r="H27" s="3">
        <f t="shared" ref="H27:I27" si="0">(E27-E28)/(28165/1.16)</f>
        <v>19.716499201136159</v>
      </c>
      <c r="I27" s="3">
        <f t="shared" si="0"/>
        <v>157.73775963074738</v>
      </c>
      <c r="J27" s="13"/>
      <c r="K27" s="13"/>
      <c r="L27" s="1"/>
      <c r="M27" s="14"/>
    </row>
    <row r="28" spans="1:13" x14ac:dyDescent="0.4">
      <c r="A28" s="5"/>
      <c r="B28" s="6"/>
      <c r="C28" s="7">
        <f>300*K4</f>
        <v>190.53942000000001</v>
      </c>
      <c r="D28" s="5">
        <v>1811</v>
      </c>
      <c r="E28" s="6">
        <v>1811</v>
      </c>
      <c r="F28" s="7">
        <f>2895*5</f>
        <v>14475</v>
      </c>
      <c r="G28" s="3">
        <f>D28+G27*B1</f>
        <v>479482.62614592572</v>
      </c>
      <c r="H28" s="3">
        <f>E28+H27*B1</f>
        <v>479482.62614592572</v>
      </c>
      <c r="I28" s="3">
        <f>F28+I27*B1</f>
        <v>3835987.7025741166</v>
      </c>
      <c r="J28" s="12"/>
      <c r="K28" s="12"/>
      <c r="L28" s="1"/>
      <c r="M28" s="14"/>
    </row>
    <row r="29" spans="1:13" x14ac:dyDescent="0.4">
      <c r="A29" s="2"/>
      <c r="B29" s="3"/>
      <c r="C29" s="4"/>
      <c r="D29" s="2">
        <f>480531*8</f>
        <v>3844248</v>
      </c>
      <c r="E29" s="3">
        <v>961042</v>
      </c>
      <c r="F29" s="4"/>
      <c r="G29" s="3">
        <f>(D29-D30)/(28165/1.16)</f>
        <v>157.73199360908927</v>
      </c>
      <c r="H29" s="3">
        <f>(E29-E30)/(28165/1.16)</f>
        <v>39.432380614237523</v>
      </c>
      <c r="I29" s="4"/>
      <c r="J29" s="13">
        <f>(G28+H28+I28+H30+G30)*D3*G1*G2*G3/C28*K7</f>
        <v>112986.51747259556</v>
      </c>
      <c r="K29" s="13"/>
      <c r="L29" s="1"/>
    </row>
    <row r="30" spans="1:13" x14ac:dyDescent="0.4">
      <c r="A30" s="5"/>
      <c r="B30" s="6"/>
      <c r="C30" s="7"/>
      <c r="D30" s="5">
        <f>1811*8</f>
        <v>14488</v>
      </c>
      <c r="E30" s="6">
        <v>3617</v>
      </c>
      <c r="F30" s="7"/>
      <c r="G30" s="8">
        <f>D30+G29*B1</f>
        <v>3835861.0091674058</v>
      </c>
      <c r="H30" s="6">
        <f>E30+H29*B1</f>
        <v>958945.28514113242</v>
      </c>
      <c r="I30" s="7"/>
      <c r="J30" s="12"/>
      <c r="K30" s="12"/>
      <c r="L30" s="1"/>
    </row>
    <row r="31" spans="1:13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 t="s">
        <v>222</v>
      </c>
      <c r="L31" s="16">
        <f>(K25+K21+K19)/C22+L23+L17+L13+L11</f>
        <v>3509410.2420369149</v>
      </c>
    </row>
    <row r="32" spans="1:13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 t="s">
        <v>223</v>
      </c>
      <c r="L32" s="1">
        <f>L31*G5*G3*G1*G2+J29</f>
        <v>6336602.7159827966</v>
      </c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">
      <c r="K34" t="s">
        <v>225</v>
      </c>
      <c r="L34" s="17">
        <f>(K20+K22+K25)/C22+L24+L18+L14+L12</f>
        <v>1762249.0630025922</v>
      </c>
    </row>
    <row r="35" spans="1:12" x14ac:dyDescent="0.4">
      <c r="L35">
        <f>L34*G1*G2*G3*G5+J29</f>
        <v>3238173.1037938958</v>
      </c>
    </row>
    <row r="48" spans="1:12" x14ac:dyDescent="0.4">
      <c r="B48" t="s">
        <v>148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L32" sqref="L32"/>
    </sheetView>
  </sheetViews>
  <sheetFormatPr defaultRowHeight="17.399999999999999" x14ac:dyDescent="0.4"/>
  <cols>
    <col min="1" max="2" width="14.5" customWidth="1"/>
    <col min="3" max="3" width="13.59765625" customWidth="1"/>
    <col min="4" max="4" width="11.5" customWidth="1"/>
    <col min="6" max="6" width="11.19921875" customWidth="1"/>
    <col min="7" max="7" width="14.09765625" customWidth="1"/>
    <col min="8" max="8" width="12.8984375" customWidth="1"/>
    <col min="9" max="9" width="13.5" customWidth="1"/>
    <col min="10" max="10" width="15.3984375" customWidth="1"/>
    <col min="11" max="11" width="16.8984375" customWidth="1"/>
    <col min="12" max="12" width="18.5" customWidth="1"/>
    <col min="13" max="13" width="15.296875" customWidth="1"/>
  </cols>
  <sheetData>
    <row r="1" spans="1:16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 t="s">
        <v>298</v>
      </c>
      <c r="J1" s="1">
        <f>SUM(O3:O8)*1.1</f>
        <v>1493.8000000000002</v>
      </c>
      <c r="K1" s="1" t="s">
        <v>300</v>
      </c>
      <c r="L1" s="1">
        <f>J1/8.1383/100+1</f>
        <v>2.8355184743742554</v>
      </c>
    </row>
    <row r="2" spans="1:16" x14ac:dyDescent="0.4">
      <c r="A2" s="1" t="s">
        <v>1</v>
      </c>
      <c r="B2" s="1">
        <f>(0.0357*J2-0.0328)/100+B6</f>
        <v>0.468136</v>
      </c>
      <c r="C2" s="1">
        <f>1-B2</f>
        <v>0.531864</v>
      </c>
      <c r="D2" s="1"/>
      <c r="E2" s="1" t="s">
        <v>15</v>
      </c>
      <c r="F2" s="1">
        <v>3</v>
      </c>
      <c r="G2" s="1">
        <v>1.1599999999999999</v>
      </c>
      <c r="H2" s="1"/>
      <c r="I2" s="1" t="s">
        <v>25</v>
      </c>
      <c r="J2" s="1">
        <f>SUM(N3:N8)</f>
        <v>752</v>
      </c>
      <c r="K2" s="1" t="s">
        <v>301</v>
      </c>
      <c r="L2" s="1">
        <f>1-J1/34.9655/100</f>
        <v>0.5727788820408688</v>
      </c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</v>
      </c>
      <c r="C3" s="1">
        <f>B3+C6</f>
        <v>2.5</v>
      </c>
      <c r="D3" s="1">
        <f>B3*(B2)+C2</f>
        <v>1.4681359999999999</v>
      </c>
      <c r="E3" s="1" t="s">
        <v>228</v>
      </c>
      <c r="F3" s="1">
        <v>3</v>
      </c>
      <c r="G3" s="1">
        <v>1.2</v>
      </c>
      <c r="H3" s="1"/>
      <c r="I3" s="1" t="s">
        <v>68</v>
      </c>
      <c r="J3" s="1">
        <f>SUM(P3:P8)</f>
        <v>54</v>
      </c>
      <c r="K3" s="1"/>
      <c r="L3" s="1"/>
      <c r="M3" s="1" t="s">
        <v>104</v>
      </c>
      <c r="N3">
        <v>500</v>
      </c>
      <c r="O3" s="1">
        <v>500</v>
      </c>
    </row>
    <row r="4" spans="1:16" x14ac:dyDescent="0.4">
      <c r="A4" s="1" t="s">
        <v>3</v>
      </c>
      <c r="B4" s="1">
        <v>1.05</v>
      </c>
      <c r="C4" s="1" t="s">
        <v>149</v>
      </c>
      <c r="D4" s="1">
        <f>((B2+0.1)*C3+C2-0.1)*D6*B4*G4*1.12</f>
        <v>3.8553996700800002</v>
      </c>
      <c r="E4" s="1" t="s">
        <v>118</v>
      </c>
      <c r="F4" s="1">
        <v>3</v>
      </c>
      <c r="G4" s="1">
        <v>1.25</v>
      </c>
      <c r="H4" s="1"/>
      <c r="I4" s="1"/>
      <c r="J4" s="1" t="s">
        <v>45</v>
      </c>
      <c r="K4" s="1">
        <f>1-(0.0214*J3-0.0943)/100</f>
        <v>0.98938700000000002</v>
      </c>
      <c r="L4" s="1"/>
      <c r="M4" s="1" t="s">
        <v>105</v>
      </c>
      <c r="O4">
        <v>300</v>
      </c>
    </row>
    <row r="5" spans="1:16" x14ac:dyDescent="0.4">
      <c r="A5" s="1" t="s">
        <v>128</v>
      </c>
      <c r="B5" s="1" t="s">
        <v>129</v>
      </c>
      <c r="C5" s="1" t="s">
        <v>130</v>
      </c>
      <c r="D5" s="1" t="s">
        <v>131</v>
      </c>
      <c r="E5" s="1" t="s">
        <v>297</v>
      </c>
      <c r="F5" s="1">
        <v>3</v>
      </c>
      <c r="G5" s="1"/>
      <c r="H5" s="1"/>
      <c r="I5" s="1" t="s">
        <v>30</v>
      </c>
      <c r="J5" s="1">
        <v>1.21</v>
      </c>
      <c r="K5" s="1"/>
      <c r="L5" s="1"/>
      <c r="M5" s="1" t="s">
        <v>106</v>
      </c>
      <c r="O5" s="1">
        <v>300</v>
      </c>
    </row>
    <row r="6" spans="1:16" x14ac:dyDescent="0.4">
      <c r="A6" s="1"/>
      <c r="B6" s="1">
        <v>0.2</v>
      </c>
      <c r="C6" s="1">
        <v>0.5</v>
      </c>
      <c r="D6" s="1">
        <f>1.18*1.2</f>
        <v>1.4159999999999999</v>
      </c>
      <c r="E6" s="1"/>
      <c r="F6" s="1" t="s">
        <v>0</v>
      </c>
      <c r="G6" s="1">
        <v>1.36</v>
      </c>
      <c r="H6" s="1"/>
      <c r="I6" s="1" t="s">
        <v>31</v>
      </c>
      <c r="J6" s="1">
        <f>1-0.14</f>
        <v>0.86</v>
      </c>
      <c r="K6" s="1"/>
      <c r="L6" s="1"/>
      <c r="M6" s="1" t="s">
        <v>107</v>
      </c>
      <c r="N6">
        <v>200</v>
      </c>
    </row>
    <row r="7" spans="1:16" x14ac:dyDescent="0.4">
      <c r="A7" s="1"/>
      <c r="B7" s="1"/>
      <c r="C7" s="1"/>
      <c r="D7" s="1"/>
      <c r="E7" s="1"/>
      <c r="F7" s="1"/>
      <c r="G7" s="1"/>
      <c r="H7" s="1"/>
      <c r="I7" s="1"/>
      <c r="J7" s="1" t="s">
        <v>299</v>
      </c>
      <c r="K7" s="1">
        <f>J1/18.302/100+1</f>
        <v>1.8161949513714348</v>
      </c>
      <c r="L7" s="1"/>
      <c r="M7" s="1" t="s">
        <v>108</v>
      </c>
      <c r="O7">
        <v>200</v>
      </c>
    </row>
    <row r="8" spans="1:16" x14ac:dyDescent="0.4">
      <c r="A8" s="1">
        <f>41807/1.16</f>
        <v>36040.517241379312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8"/>
      <c r="J10" s="1" t="s">
        <v>65</v>
      </c>
      <c r="K10" s="1" t="s">
        <v>66</v>
      </c>
      <c r="L10" s="1" t="s">
        <v>32</v>
      </c>
    </row>
    <row r="11" spans="1:16" x14ac:dyDescent="0.4">
      <c r="A11" s="2" t="s">
        <v>302</v>
      </c>
      <c r="B11" s="3">
        <v>312</v>
      </c>
      <c r="C11" s="4">
        <v>12</v>
      </c>
      <c r="D11" s="2"/>
      <c r="E11" s="3">
        <v>711869</v>
      </c>
      <c r="F11" s="4"/>
      <c r="G11" s="3">
        <f>(D11-D12)/A8</f>
        <v>0</v>
      </c>
      <c r="H11" s="3">
        <f>(E11-E12)/A8</f>
        <v>19.663702250819242</v>
      </c>
      <c r="I11" s="4">
        <f>(F11-F12)/A8</f>
        <v>0</v>
      </c>
      <c r="J11" s="27">
        <f>(G12+H12)*1.52*2.32</f>
        <v>1691160.98848806</v>
      </c>
      <c r="K11" s="27">
        <f>J11*D4*J5*G3</f>
        <v>9467187.4027842358</v>
      </c>
      <c r="L11" s="9"/>
    </row>
    <row r="12" spans="1:16" x14ac:dyDescent="0.4">
      <c r="A12" s="5" t="s">
        <v>319</v>
      </c>
      <c r="B12" s="6">
        <v>444</v>
      </c>
      <c r="C12" s="7">
        <f>24*J6*K4</f>
        <v>20.420947680000001</v>
      </c>
      <c r="D12" s="5"/>
      <c r="E12" s="6">
        <v>3179</v>
      </c>
      <c r="F12" s="7"/>
      <c r="G12" s="8">
        <f>D12+G11*B1</f>
        <v>0</v>
      </c>
      <c r="H12" s="8">
        <f>E12+H11*B1</f>
        <v>479571.51443059777</v>
      </c>
      <c r="I12" s="11">
        <f>F12+I11*B1</f>
        <v>0</v>
      </c>
      <c r="J12" s="12"/>
      <c r="K12" s="12">
        <f>J11*D3</f>
        <v>2482854.328994906</v>
      </c>
      <c r="L12" s="1"/>
    </row>
    <row r="13" spans="1:16" x14ac:dyDescent="0.4">
      <c r="A13" s="2" t="s">
        <v>303</v>
      </c>
      <c r="B13" s="3">
        <v>123</v>
      </c>
      <c r="C13" s="4">
        <v>12</v>
      </c>
      <c r="D13" s="2">
        <v>816604</v>
      </c>
      <c r="E13" s="3"/>
      <c r="F13" s="4"/>
      <c r="G13" s="3">
        <f>(D13-D14)/A8</f>
        <v>22.556668500490346</v>
      </c>
      <c r="H13" s="3">
        <f>(E13-E14)/A8</f>
        <v>0</v>
      </c>
      <c r="I13" s="4">
        <f>(F13-F14)/A8</f>
        <v>0</v>
      </c>
      <c r="J13" s="13">
        <f>(G14+H14+I14)*1.33*1.72*1.96</f>
        <v>2466617.5087580667</v>
      </c>
      <c r="K13" s="13">
        <f>J13*D3*J5</f>
        <v>4381809.2550340192</v>
      </c>
      <c r="L13" s="9"/>
    </row>
    <row r="14" spans="1:16" x14ac:dyDescent="0.4">
      <c r="A14" s="5" t="s">
        <v>318</v>
      </c>
      <c r="B14" s="6">
        <v>444</v>
      </c>
      <c r="C14" s="7">
        <f>27*J6*K4</f>
        <v>22.973566139999999</v>
      </c>
      <c r="D14" s="5">
        <v>3650</v>
      </c>
      <c r="E14" s="6"/>
      <c r="F14" s="7"/>
      <c r="G14" s="8">
        <f>D14+G13*B1</f>
        <v>550130.40776137961</v>
      </c>
      <c r="H14" s="8">
        <f>E14+H13*B1</f>
        <v>0</v>
      </c>
      <c r="I14" s="11">
        <f>F14+I13*B1</f>
        <v>0</v>
      </c>
      <c r="J14" s="6"/>
      <c r="K14" s="12"/>
      <c r="L14" s="1"/>
      <c r="M14" t="s">
        <v>36</v>
      </c>
    </row>
    <row r="15" spans="1:16" x14ac:dyDescent="0.4">
      <c r="A15" s="2" t="s">
        <v>304</v>
      </c>
      <c r="B15" s="3">
        <v>321</v>
      </c>
      <c r="C15" s="4">
        <v>12</v>
      </c>
      <c r="D15" s="2">
        <v>567920</v>
      </c>
      <c r="E15" s="3">
        <v>378560</v>
      </c>
      <c r="F15" s="4"/>
      <c r="G15" s="3">
        <f>(D15-D16)/A8</f>
        <v>15.687760422895687</v>
      </c>
      <c r="H15" s="3">
        <f>(E15-E16)/A8</f>
        <v>10.456869902169492</v>
      </c>
      <c r="I15" s="3">
        <f>(F15-F16)/A8</f>
        <v>0</v>
      </c>
      <c r="J15" s="13">
        <f>(G16+H16+I16)*1.7*1.7</f>
        <v>1842721.6811786734</v>
      </c>
      <c r="K15" s="13">
        <f>J15*((B2+0.1+0.4)*C3+C2-0.1-0.4)*D6*B4*G4*G3*J5</f>
        <v>12193981.281599129</v>
      </c>
      <c r="M15" s="9" t="s">
        <v>316</v>
      </c>
    </row>
    <row r="16" spans="1:16" x14ac:dyDescent="0.4">
      <c r="A16" s="5" t="s">
        <v>317</v>
      </c>
      <c r="B16" s="6">
        <v>555</v>
      </c>
      <c r="C16" s="7">
        <f>24*K4*J6</f>
        <v>20.420947680000001</v>
      </c>
      <c r="D16" s="5">
        <v>2525</v>
      </c>
      <c r="E16" s="6">
        <v>1689</v>
      </c>
      <c r="F16" s="7"/>
      <c r="G16" s="8">
        <f>D16+G15*B1</f>
        <v>382592.37176549382</v>
      </c>
      <c r="H16" s="8">
        <f>E16+H15*B1</f>
        <v>255027.58711986028</v>
      </c>
      <c r="I16" s="8">
        <f>F16+I15*B1</f>
        <v>0</v>
      </c>
      <c r="J16" s="12"/>
      <c r="K16" s="12">
        <f>J15*((B2+0.33)*B3+C2-0.33)</f>
        <v>3313464.192907895</v>
      </c>
      <c r="M16" s="1">
        <f>J15*1.5/2.5416</f>
        <v>1087536.4029619179</v>
      </c>
    </row>
    <row r="17" spans="1:13" x14ac:dyDescent="0.4">
      <c r="A17" s="26" t="s">
        <v>305</v>
      </c>
      <c r="B17" s="15">
        <v>311</v>
      </c>
      <c r="C17" s="29">
        <v>12</v>
      </c>
      <c r="D17" s="2"/>
      <c r="E17" s="3">
        <v>798210</v>
      </c>
      <c r="F17" s="4"/>
      <c r="G17" s="3">
        <f>(D17-D18)/A8</f>
        <v>0</v>
      </c>
      <c r="H17" s="3">
        <f>(E17-E18)/A8</f>
        <v>22.048684670031335</v>
      </c>
      <c r="I17" s="3">
        <f>(F17-F18)/A8</f>
        <v>0</v>
      </c>
      <c r="J17" s="13">
        <f>(G18+H18)*1.6*2.05</f>
        <v>1763778.9458827849</v>
      </c>
      <c r="K17" s="13">
        <f>J17*D4*J5*G3</f>
        <v>9873705.656305382</v>
      </c>
      <c r="M17" s="9">
        <f>M16/(33724/1.16)</f>
        <v>37.407846857900154</v>
      </c>
    </row>
    <row r="18" spans="1:13" x14ac:dyDescent="0.4">
      <c r="A18" s="26" t="s">
        <v>87</v>
      </c>
      <c r="B18" s="15">
        <v>555</v>
      </c>
      <c r="C18" s="29">
        <f>27*J6*K4</f>
        <v>22.973566139999999</v>
      </c>
      <c r="D18" s="5"/>
      <c r="E18" s="6">
        <v>3564</v>
      </c>
      <c r="F18" s="7"/>
      <c r="G18" s="8">
        <f>D18+G17*B1</f>
        <v>0</v>
      </c>
      <c r="H18" s="8">
        <f>E18+H17*B1</f>
        <v>537737.48350084911</v>
      </c>
      <c r="I18" s="8">
        <f>F18+I17*B1</f>
        <v>0</v>
      </c>
      <c r="J18" s="12"/>
      <c r="K18" s="12">
        <f>J17*D3</f>
        <v>2589467.366492568</v>
      </c>
      <c r="M18" s="1">
        <f>M17*L1*B1*D4*J5</f>
        <v>11988079.331723409</v>
      </c>
    </row>
    <row r="19" spans="1:13" x14ac:dyDescent="0.4">
      <c r="A19" s="2" t="s">
        <v>306</v>
      </c>
      <c r="B19" s="3">
        <v>312</v>
      </c>
      <c r="C19" s="4">
        <v>11</v>
      </c>
      <c r="D19" s="4">
        <v>406377</v>
      </c>
      <c r="E19" s="2"/>
      <c r="F19" s="15"/>
      <c r="G19" s="2">
        <f>(D19-D20)/A8</f>
        <v>11.22284115100342</v>
      </c>
      <c r="H19" s="2">
        <f>(E19-E20)/A8</f>
        <v>0</v>
      </c>
      <c r="I19" s="2">
        <f>(F19-F20)/A8</f>
        <v>0</v>
      </c>
      <c r="J19" s="13">
        <f>(G20+H20+I20)*1.338*1.525*2.197</f>
        <v>1227390.4853357819</v>
      </c>
      <c r="K19" s="13">
        <f>J19*D4*J5</f>
        <v>5725817.8553897152</v>
      </c>
      <c r="M19" s="9"/>
    </row>
    <row r="20" spans="1:13" x14ac:dyDescent="0.4">
      <c r="A20" s="5" t="s">
        <v>36</v>
      </c>
      <c r="B20" s="6">
        <v>444</v>
      </c>
      <c r="C20" s="7">
        <f>16*K4</f>
        <v>15.830192</v>
      </c>
      <c r="D20" s="5">
        <v>1900</v>
      </c>
      <c r="E20" s="6"/>
      <c r="F20" s="7"/>
      <c r="G20" s="8">
        <f>D20+G19*B1</f>
        <v>273795.77256535989</v>
      </c>
      <c r="H20" s="8">
        <f>E20+H19*B1</f>
        <v>0</v>
      </c>
      <c r="I20" s="8">
        <f>F20+I19*B1</f>
        <v>0</v>
      </c>
      <c r="J20" s="12"/>
      <c r="K20" s="12">
        <f>J19*D3</f>
        <v>1801976.1575789335</v>
      </c>
      <c r="L20" s="1"/>
      <c r="M20">
        <f>M18*G1*G2*G6/D4*C3*B4*D6*G4</f>
        <v>27350226.04979784</v>
      </c>
    </row>
    <row r="21" spans="1:13" x14ac:dyDescent="0.4">
      <c r="A21" s="2" t="s">
        <v>307</v>
      </c>
      <c r="B21" s="3">
        <v>231</v>
      </c>
      <c r="C21" s="4">
        <v>10</v>
      </c>
      <c r="D21" s="2">
        <f>124979*2</f>
        <v>249958</v>
      </c>
      <c r="E21" s="3"/>
      <c r="F21" s="4"/>
      <c r="G21" s="3">
        <f>(D21-D22)/A8</f>
        <v>6.8999009735211807</v>
      </c>
      <c r="H21" s="3"/>
      <c r="I21" s="4"/>
      <c r="J21" s="13">
        <f>G22*3/2</f>
        <v>252668.85132824647</v>
      </c>
      <c r="K21" s="13">
        <f>J21*((B2+0.1+0.25+0.18)*C3+C2-0.35-0.18)*B4*D6*G4</f>
        <v>1172649.6906555637</v>
      </c>
      <c r="L21" s="9"/>
      <c r="M21" s="14"/>
    </row>
    <row r="22" spans="1:13" x14ac:dyDescent="0.4">
      <c r="A22" s="5"/>
      <c r="B22" s="6">
        <v>111</v>
      </c>
      <c r="C22" s="7">
        <f>(12-4)</f>
        <v>8</v>
      </c>
      <c r="D22" s="5">
        <f>641*2</f>
        <v>1282</v>
      </c>
      <c r="E22" s="6"/>
      <c r="F22" s="7"/>
      <c r="G22" s="8">
        <f>(D22+G21*B1)</f>
        <v>168445.90088549766</v>
      </c>
      <c r="H22" s="8"/>
      <c r="J22" s="12"/>
      <c r="K22" s="9">
        <f>J21*((B2+0.18+0.25)*B3+C2-0.18-0.25)</f>
        <v>479599.84278479248</v>
      </c>
      <c r="L22" s="9"/>
      <c r="M22" s="12"/>
    </row>
    <row r="23" spans="1:13" x14ac:dyDescent="0.4">
      <c r="A23" s="2" t="s">
        <v>308</v>
      </c>
      <c r="B23" s="3">
        <v>112</v>
      </c>
      <c r="C23" s="4">
        <v>10</v>
      </c>
      <c r="D23" s="2">
        <v>193973</v>
      </c>
      <c r="E23" s="3">
        <v>129354</v>
      </c>
      <c r="F23" s="4"/>
      <c r="G23" s="3">
        <f>(D23-D24)/A8</f>
        <v>5.3549175975315135</v>
      </c>
      <c r="H23" s="3">
        <f>(E23-E24)/A8</f>
        <v>3.5709254431076136</v>
      </c>
      <c r="I23" s="4"/>
      <c r="J23" s="13">
        <f>(G24+H24)</f>
        <v>217881.39934556413</v>
      </c>
      <c r="K23" s="13">
        <f>J23*D4</f>
        <v>840019.8751534567</v>
      </c>
      <c r="L23" s="9"/>
      <c r="M23" s="14"/>
    </row>
    <row r="24" spans="1:13" x14ac:dyDescent="0.4">
      <c r="A24" s="5"/>
      <c r="B24" s="6">
        <v>411</v>
      </c>
      <c r="C24" s="7">
        <f>12*J6</f>
        <v>10.32</v>
      </c>
      <c r="D24" s="5">
        <v>979</v>
      </c>
      <c r="E24" s="6">
        <v>656</v>
      </c>
      <c r="F24" s="7"/>
      <c r="G24" s="8">
        <f>D24+G23*B1</f>
        <v>130712.58863539598</v>
      </c>
      <c r="H24" s="8">
        <f>E24+H23*B1</f>
        <v>87168.810710168153</v>
      </c>
      <c r="I24" s="7"/>
      <c r="J24" s="12"/>
      <c r="K24" s="12">
        <f>J23*D3</f>
        <v>319879.5261095991</v>
      </c>
      <c r="L24" s="9"/>
      <c r="M24" s="14"/>
    </row>
    <row r="25" spans="1:13" x14ac:dyDescent="0.4">
      <c r="A25" s="2" t="s">
        <v>309</v>
      </c>
      <c r="B25" s="3">
        <v>21</v>
      </c>
      <c r="C25" s="4">
        <v>7</v>
      </c>
      <c r="D25" s="2"/>
      <c r="E25" s="3"/>
      <c r="F25" s="4"/>
      <c r="G25" s="3">
        <f>(D25-D26)/A8</f>
        <v>0</v>
      </c>
      <c r="H25" s="3">
        <f>(E25-E26)/A8</f>
        <v>0</v>
      </c>
      <c r="I25" s="3">
        <f>(F25-F26)/A8</f>
        <v>0</v>
      </c>
      <c r="J25" s="13">
        <f>(G26+H26+I26)</f>
        <v>0</v>
      </c>
      <c r="K25" s="13">
        <f>J25*D3</f>
        <v>0</v>
      </c>
      <c r="L25" s="9"/>
      <c r="M25" s="14"/>
    </row>
    <row r="26" spans="1:13" x14ac:dyDescent="0.4">
      <c r="A26" s="5" t="s">
        <v>320</v>
      </c>
      <c r="B26" s="6">
        <v>54</v>
      </c>
      <c r="C26" s="7">
        <f>30*K4*J6</f>
        <v>25.526184600000001</v>
      </c>
      <c r="D26" s="5"/>
      <c r="E26" s="6"/>
      <c r="F26" s="7"/>
      <c r="G26" s="8">
        <f>D26+G25*B1</f>
        <v>0</v>
      </c>
      <c r="H26" s="8">
        <f>E26+H25*B1</f>
        <v>0</v>
      </c>
      <c r="I26" s="8">
        <f>F26+I25*B1</f>
        <v>0</v>
      </c>
      <c r="J26" s="12"/>
      <c r="K26" s="14"/>
      <c r="L26" s="9"/>
      <c r="M26" s="12"/>
    </row>
    <row r="27" spans="1:13" x14ac:dyDescent="0.4">
      <c r="A27" s="2" t="s">
        <v>287</v>
      </c>
      <c r="B27" s="3"/>
      <c r="C27" s="4"/>
      <c r="D27" s="2">
        <v>1701827</v>
      </c>
      <c r="E27" s="3">
        <v>6807296</v>
      </c>
      <c r="F27" s="4"/>
      <c r="G27" s="3">
        <f>(D27-D28)/(28165/1.16)</f>
        <v>70.072154802059288</v>
      </c>
      <c r="H27" s="3">
        <f t="shared" ref="H27:I27" si="0">(E27-E28)/(28165/1.16)</f>
        <v>280.0986287946032</v>
      </c>
      <c r="I27" s="3">
        <f t="shared" si="0"/>
        <v>0</v>
      </c>
      <c r="J27" s="13"/>
      <c r="K27" s="13"/>
      <c r="L27" s="1"/>
      <c r="M27" s="14"/>
    </row>
    <row r="28" spans="1:13" x14ac:dyDescent="0.4">
      <c r="A28" s="5"/>
      <c r="B28" s="6"/>
      <c r="C28" s="7">
        <f>300*K4</f>
        <v>296.81610000000001</v>
      </c>
      <c r="D28" s="5">
        <v>463</v>
      </c>
      <c r="E28" s="6">
        <v>6453</v>
      </c>
      <c r="F28" s="7"/>
      <c r="G28" s="3">
        <f>D28+G27*B1</f>
        <v>1698101.0943894903</v>
      </c>
      <c r="H28" s="3">
        <f>E28+H27*B1</f>
        <v>6792402.4798068516</v>
      </c>
      <c r="I28" s="3">
        <f>F28+I27*B1</f>
        <v>0</v>
      </c>
      <c r="J28" s="12"/>
      <c r="K28" s="12"/>
      <c r="L28" s="1"/>
      <c r="M28" s="14"/>
    </row>
    <row r="29" spans="1:13" x14ac:dyDescent="0.4">
      <c r="A29" s="2"/>
      <c r="B29" s="3"/>
      <c r="C29" s="4"/>
      <c r="D29" s="2"/>
      <c r="E29" s="3"/>
      <c r="F29" s="4"/>
      <c r="G29" s="3">
        <f>(D29-D30)/(28165/1.16)</f>
        <v>0</v>
      </c>
      <c r="H29" s="3">
        <f>(E29-E30)/(28165/1.16)</f>
        <v>0</v>
      </c>
      <c r="I29" s="4"/>
      <c r="J29" s="13">
        <f>(G28+H28)*K7</f>
        <v>15420409.72605652</v>
      </c>
      <c r="K29" s="13">
        <f>J29*D3</f>
        <v>22639258.653573714</v>
      </c>
      <c r="L29" s="1">
        <f>K29/C28</f>
        <v>76273.688164401174</v>
      </c>
    </row>
    <row r="30" spans="1:13" x14ac:dyDescent="0.4">
      <c r="A30" s="5"/>
      <c r="B30" s="6"/>
      <c r="C30" s="7"/>
      <c r="D30" s="5"/>
      <c r="E30" s="6"/>
      <c r="F30" s="7"/>
      <c r="G30" s="8">
        <f>D30+G29*B1</f>
        <v>0</v>
      </c>
      <c r="H30" s="6">
        <f>E30+H29*B1</f>
        <v>0</v>
      </c>
      <c r="I30" s="7"/>
      <c r="J30" s="12"/>
      <c r="K30" s="12"/>
      <c r="L30" s="1"/>
    </row>
    <row r="31" spans="1:13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 t="s">
        <v>222</v>
      </c>
      <c r="L31" s="16">
        <f>(K21+K11+K17+K13+K15+K23+M18+K19)/18*G1*G2*G6+L29</f>
        <v>5928459.8048325488</v>
      </c>
    </row>
    <row r="32" spans="1:13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 t="s">
        <v>37</v>
      </c>
      <c r="L32" s="16">
        <f>(K22+K12+K18+K13+K16+K24+M18)/E39*G1*G2*G6+L29</f>
        <v>4212399.621645024</v>
      </c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">
      <c r="D34" t="s">
        <v>323</v>
      </c>
      <c r="K34" s="1" t="s">
        <v>154</v>
      </c>
      <c r="L34" s="17"/>
    </row>
    <row r="35" spans="1:12" x14ac:dyDescent="0.4">
      <c r="D35" t="s">
        <v>310</v>
      </c>
    </row>
    <row r="36" spans="1:12" x14ac:dyDescent="0.4">
      <c r="D36" t="s">
        <v>311</v>
      </c>
    </row>
    <row r="37" spans="1:12" x14ac:dyDescent="0.4">
      <c r="D37" t="s">
        <v>312</v>
      </c>
    </row>
    <row r="38" spans="1:12" x14ac:dyDescent="0.4">
      <c r="D38" t="s">
        <v>313</v>
      </c>
    </row>
    <row r="39" spans="1:12" x14ac:dyDescent="0.4">
      <c r="D39" t="s">
        <v>314</v>
      </c>
      <c r="E39">
        <f>C16*L2</f>
        <v>11.696687582365474</v>
      </c>
    </row>
    <row r="40" spans="1:12" x14ac:dyDescent="0.4">
      <c r="D40" t="s">
        <v>342</v>
      </c>
    </row>
    <row r="41" spans="1:12" x14ac:dyDescent="0.4">
      <c r="D41" t="s">
        <v>315</v>
      </c>
    </row>
    <row r="48" spans="1:12" x14ac:dyDescent="0.4">
      <c r="B48" t="s">
        <v>148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10" workbookViewId="0">
      <selection activeCell="J31" sqref="J31"/>
    </sheetView>
  </sheetViews>
  <sheetFormatPr defaultRowHeight="17.399999999999999" x14ac:dyDescent="0.4"/>
  <cols>
    <col min="1" max="1" width="11" customWidth="1"/>
    <col min="2" max="2" width="11.5" customWidth="1"/>
    <col min="4" max="4" width="12.5" customWidth="1"/>
    <col min="5" max="5" width="12.296875" customWidth="1"/>
    <col min="6" max="6" width="10.296875" customWidth="1"/>
    <col min="7" max="7" width="12.09765625" customWidth="1"/>
    <col min="8" max="8" width="11.59765625" customWidth="1"/>
    <col min="9" max="9" width="11.69921875" customWidth="1"/>
    <col min="10" max="10" width="14.296875" customWidth="1"/>
    <col min="11" max="11" width="12.19921875" customWidth="1"/>
    <col min="12" max="12" width="13.59765625" customWidth="1"/>
  </cols>
  <sheetData>
    <row r="1" spans="1:16" x14ac:dyDescent="0.4">
      <c r="A1" s="1" t="s">
        <v>0</v>
      </c>
      <c r="B1" s="1">
        <f>24227*1.06</f>
        <v>25680.620000000003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/>
      <c r="J1" s="1"/>
      <c r="K1" s="1"/>
      <c r="L1" s="1"/>
    </row>
    <row r="2" spans="1:16" x14ac:dyDescent="0.4">
      <c r="A2" s="1" t="s">
        <v>1</v>
      </c>
      <c r="B2" s="1">
        <f>(0.0357*J2-0.0328)/100</f>
        <v>0.60914240000000008</v>
      </c>
      <c r="C2" s="1">
        <f>1-B2</f>
        <v>0.39085759999999992</v>
      </c>
      <c r="D2" s="1"/>
      <c r="E2" s="1" t="s">
        <v>49</v>
      </c>
      <c r="F2" s="1">
        <v>3</v>
      </c>
      <c r="G2" s="1">
        <v>1.18</v>
      </c>
      <c r="H2" s="1"/>
      <c r="I2" s="1" t="s">
        <v>25</v>
      </c>
      <c r="J2" s="1">
        <f>SUM(N3:N8)*1.1</f>
        <v>1707.2</v>
      </c>
      <c r="K2" s="1"/>
      <c r="L2" s="1"/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2.5</v>
      </c>
      <c r="C3" s="1">
        <v>2.5</v>
      </c>
      <c r="D3" s="1">
        <f>B3*B2+C2</f>
        <v>1.9137136000000001</v>
      </c>
      <c r="E3" s="1" t="s">
        <v>114</v>
      </c>
      <c r="F3" s="1">
        <v>3</v>
      </c>
      <c r="G3" s="1">
        <v>0.98</v>
      </c>
      <c r="H3" s="1"/>
      <c r="I3" s="1" t="s">
        <v>44</v>
      </c>
      <c r="J3" s="1">
        <f>SUM(P3:P8)</f>
        <v>554</v>
      </c>
      <c r="K3" s="1"/>
      <c r="L3" s="1"/>
      <c r="M3" s="1" t="s">
        <v>104</v>
      </c>
      <c r="N3">
        <v>500</v>
      </c>
      <c r="O3" s="1"/>
      <c r="P3" s="1">
        <v>500</v>
      </c>
    </row>
    <row r="4" spans="1:16" x14ac:dyDescent="0.4">
      <c r="A4" s="1" t="s">
        <v>3</v>
      </c>
      <c r="B4" s="1">
        <v>1.05</v>
      </c>
      <c r="C4" s="1"/>
      <c r="D4" s="1"/>
      <c r="E4" s="1" t="s">
        <v>155</v>
      </c>
      <c r="F4" s="1">
        <v>3</v>
      </c>
      <c r="G4" s="1"/>
      <c r="H4" s="1"/>
      <c r="I4" s="1"/>
      <c r="J4" s="1" t="s">
        <v>45</v>
      </c>
      <c r="K4" s="1">
        <f>1-(0.0214*J3-0.0943)/100</f>
        <v>0.88238700000000003</v>
      </c>
      <c r="L4" s="1"/>
      <c r="M4" s="1" t="s">
        <v>105</v>
      </c>
      <c r="N4">
        <v>300</v>
      </c>
      <c r="O4" s="1"/>
      <c r="P4" s="1"/>
    </row>
    <row r="5" spans="1:16" x14ac:dyDescent="0.4">
      <c r="A5" s="1" t="s">
        <v>113</v>
      </c>
      <c r="B5" s="1">
        <v>1.4375</v>
      </c>
      <c r="C5" s="1">
        <v>0.82</v>
      </c>
      <c r="D5" s="1"/>
      <c r="E5" s="1" t="s">
        <v>156</v>
      </c>
      <c r="F5" s="1">
        <v>3</v>
      </c>
      <c r="G5" s="1" t="s">
        <v>159</v>
      </c>
      <c r="H5" s="1">
        <v>1.25</v>
      </c>
      <c r="I5" s="1" t="s">
        <v>30</v>
      </c>
      <c r="J5" s="1">
        <v>1.21</v>
      </c>
      <c r="K5" s="1"/>
      <c r="L5" s="1"/>
      <c r="M5" s="1" t="s">
        <v>106</v>
      </c>
      <c r="N5">
        <v>300</v>
      </c>
      <c r="O5" s="1"/>
      <c r="P5" s="1"/>
    </row>
    <row r="6" spans="1:16" x14ac:dyDescent="0.4">
      <c r="A6" s="1"/>
      <c r="B6" s="1"/>
      <c r="C6" s="1"/>
      <c r="D6" s="1"/>
      <c r="E6" s="1"/>
      <c r="F6" s="1"/>
      <c r="G6" s="1"/>
      <c r="H6" s="1"/>
      <c r="I6" s="1" t="s">
        <v>31</v>
      </c>
      <c r="J6" s="1">
        <f>1-0.14</f>
        <v>0.86</v>
      </c>
      <c r="K6" s="1"/>
      <c r="L6" s="1"/>
      <c r="M6" s="1" t="s">
        <v>157</v>
      </c>
      <c r="N6">
        <v>200</v>
      </c>
      <c r="O6" s="1"/>
      <c r="P6" s="1"/>
    </row>
    <row r="7" spans="1:16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 t="s">
        <v>158</v>
      </c>
      <c r="L7" s="1">
        <f>O8/11.2781/100+1</f>
        <v>1.0514271020827977</v>
      </c>
      <c r="M7" s="1" t="s">
        <v>108</v>
      </c>
      <c r="N7">
        <v>200</v>
      </c>
      <c r="O7" s="1"/>
      <c r="P7" s="1"/>
    </row>
    <row r="8" spans="1:16" x14ac:dyDescent="0.4">
      <c r="A8" s="1">
        <v>16028</v>
      </c>
      <c r="B8" s="1"/>
      <c r="C8" s="1"/>
      <c r="D8" s="1"/>
      <c r="E8" s="1"/>
      <c r="F8" s="1"/>
      <c r="G8" s="1"/>
      <c r="H8" s="1"/>
      <c r="I8" s="1"/>
      <c r="J8" s="1">
        <f>SUM(O3:O8)/18.302/100+1</f>
        <v>1.0316905256256146</v>
      </c>
      <c r="K8" s="1"/>
      <c r="L8" s="1"/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"/>
      <c r="J10" s="1" t="s">
        <v>65</v>
      </c>
      <c r="K10" s="1" t="s">
        <v>66</v>
      </c>
      <c r="L10" s="1" t="s">
        <v>32</v>
      </c>
    </row>
    <row r="11" spans="1:16" x14ac:dyDescent="0.4">
      <c r="A11" s="2" t="s">
        <v>167</v>
      </c>
      <c r="B11" s="3">
        <v>221</v>
      </c>
      <c r="C11" s="4">
        <v>10</v>
      </c>
      <c r="D11" s="2">
        <v>83993</v>
      </c>
      <c r="E11" s="3"/>
      <c r="F11" s="4"/>
      <c r="G11" s="3">
        <f>(D11-D12)/A8</f>
        <v>5.1776266533566258</v>
      </c>
      <c r="H11" s="3"/>
      <c r="I11" s="4"/>
      <c r="J11" s="10">
        <f>G12</f>
        <v>133970.66258672325</v>
      </c>
      <c r="K11" s="10">
        <f>J11*D3</f>
        <v>256381.47899322349</v>
      </c>
      <c r="L11" s="1">
        <f>K11/C12</f>
        <v>34334.758554326603</v>
      </c>
    </row>
    <row r="12" spans="1:16" x14ac:dyDescent="0.4">
      <c r="A12" s="5" t="s">
        <v>177</v>
      </c>
      <c r="B12" s="6">
        <v>151</v>
      </c>
      <c r="C12" s="7">
        <f>12*C5*K4*J6</f>
        <v>7.4671117487999998</v>
      </c>
      <c r="D12" s="5">
        <v>1006</v>
      </c>
      <c r="E12" s="6"/>
      <c r="F12" s="7"/>
      <c r="G12" s="8">
        <f>D12+G11*B1</f>
        <v>133970.66258672325</v>
      </c>
      <c r="H12" s="8"/>
      <c r="I12" s="11"/>
      <c r="J12" s="12"/>
      <c r="K12" s="12"/>
      <c r="L12" s="1"/>
    </row>
    <row r="13" spans="1:16" x14ac:dyDescent="0.4">
      <c r="A13" s="2" t="s">
        <v>168</v>
      </c>
      <c r="B13" s="3">
        <v>132</v>
      </c>
      <c r="C13" s="4">
        <v>12</v>
      </c>
      <c r="D13" s="2">
        <v>131627</v>
      </c>
      <c r="E13" s="3"/>
      <c r="F13" s="4"/>
      <c r="G13" s="3">
        <f>(D13-D14)/A8</f>
        <v>8.0936486149238824</v>
      </c>
      <c r="H13" s="3"/>
      <c r="I13" s="4"/>
      <c r="J13" s="13">
        <f>G14*1.6+G14*1.6*1.8*4/3*2.4</f>
        <v>2268676.7071604691</v>
      </c>
      <c r="K13" s="13">
        <f>J13*D3</f>
        <v>4341597.4684962071</v>
      </c>
      <c r="L13" s="1">
        <f>K13*J5/C14</f>
        <v>527647.07897849323</v>
      </c>
    </row>
    <row r="14" spans="1:16" x14ac:dyDescent="0.4">
      <c r="A14" s="5" t="s">
        <v>178</v>
      </c>
      <c r="B14" s="6">
        <v>555</v>
      </c>
      <c r="C14" s="7">
        <f>C5*K4*J6*16</f>
        <v>9.9561489983999998</v>
      </c>
      <c r="D14" s="5">
        <v>1902</v>
      </c>
      <c r="E14" s="6"/>
      <c r="F14" s="7"/>
      <c r="G14" s="8">
        <f>D14+G13*B1</f>
        <v>209751.91449338658</v>
      </c>
      <c r="H14" s="8"/>
      <c r="I14" s="11"/>
      <c r="J14" s="6"/>
      <c r="K14" s="12"/>
      <c r="L14" s="1"/>
    </row>
    <row r="15" spans="1:16" x14ac:dyDescent="0.4">
      <c r="A15" s="2" t="s">
        <v>169</v>
      </c>
      <c r="B15" s="3">
        <v>2</v>
      </c>
      <c r="C15" s="4">
        <v>4</v>
      </c>
      <c r="D15" s="2">
        <v>76473</v>
      </c>
      <c r="E15" s="3"/>
      <c r="F15" s="4"/>
      <c r="G15" s="3">
        <f>(D15-D16)/A8</f>
        <v>4.7285999500873475</v>
      </c>
      <c r="H15" s="3"/>
      <c r="I15" s="4"/>
      <c r="J15" s="13">
        <f>G16</f>
        <v>122116.37845021216</v>
      </c>
      <c r="K15" s="13">
        <f>J15*D3</f>
        <v>233695.77422291794</v>
      </c>
      <c r="L15" s="1">
        <f>K15/C16</f>
        <v>26915.141033480268</v>
      </c>
    </row>
    <row r="16" spans="1:16" x14ac:dyDescent="0.4">
      <c r="A16" s="5"/>
      <c r="B16" s="6">
        <v>1</v>
      </c>
      <c r="C16" s="7">
        <f>K4*C5*12</f>
        <v>8.6826880799999984</v>
      </c>
      <c r="D16" s="5">
        <v>683</v>
      </c>
      <c r="E16" s="6"/>
      <c r="F16" s="7"/>
      <c r="G16" s="8">
        <f>D16+G15*B1</f>
        <v>122116.37845021216</v>
      </c>
      <c r="H16" s="6"/>
      <c r="I16" s="7"/>
      <c r="J16" s="12"/>
      <c r="K16" s="12"/>
      <c r="L16" s="1"/>
    </row>
    <row r="17" spans="1:12" x14ac:dyDescent="0.4">
      <c r="A17" s="2" t="s">
        <v>170</v>
      </c>
      <c r="B17" s="3">
        <v>221</v>
      </c>
      <c r="C17" s="4">
        <v>11</v>
      </c>
      <c r="D17" s="2">
        <v>18455</v>
      </c>
      <c r="E17" s="3">
        <v>55385</v>
      </c>
      <c r="F17" s="4">
        <v>110718</v>
      </c>
      <c r="G17" s="3">
        <f>(D17-D18)/A8</f>
        <v>1.1386323933117046</v>
      </c>
      <c r="H17" s="3">
        <f>(E17-E18)/A8</f>
        <v>3.4173945595208384</v>
      </c>
      <c r="I17" s="3">
        <f>(F17-F18)/A8</f>
        <v>6.831420014973796</v>
      </c>
      <c r="J17" s="13">
        <f>G18*1.525+I18*1.525*1.52*2.9</f>
        <v>1232442.635231396</v>
      </c>
      <c r="K17" s="13">
        <f>J17*D3</f>
        <v>2358542.2322621616</v>
      </c>
      <c r="L17" s="1">
        <f>K17*J5/C18</f>
        <v>246510.87958671802</v>
      </c>
    </row>
    <row r="18" spans="1:12" x14ac:dyDescent="0.4">
      <c r="A18" s="5" t="s">
        <v>176</v>
      </c>
      <c r="B18" s="6">
        <v>444</v>
      </c>
      <c r="C18" s="7">
        <f>C5*K4*16</f>
        <v>11.576917439999999</v>
      </c>
      <c r="D18" s="5">
        <v>205</v>
      </c>
      <c r="E18" s="6">
        <v>611</v>
      </c>
      <c r="F18" s="7">
        <v>1224</v>
      </c>
      <c r="G18" s="8">
        <f>D18+G17*B1</f>
        <v>29445.785812328431</v>
      </c>
      <c r="H18" s="8">
        <f>E18+H17*B1</f>
        <v>88371.811073122037</v>
      </c>
      <c r="I18" s="8">
        <f>F18+I17*B1</f>
        <v>176659.10146493639</v>
      </c>
      <c r="J18" s="12"/>
      <c r="K18" s="12"/>
      <c r="L18" s="1"/>
    </row>
    <row r="19" spans="1:12" x14ac:dyDescent="0.4">
      <c r="A19" s="2" t="s">
        <v>171</v>
      </c>
      <c r="B19" s="3"/>
      <c r="C19" s="4">
        <v>12</v>
      </c>
      <c r="D19" s="4">
        <v>302811</v>
      </c>
      <c r="E19" s="2"/>
      <c r="G19" s="2">
        <f>(D19-D20)/A8</f>
        <v>18.69178936860494</v>
      </c>
      <c r="H19" s="3"/>
      <c r="I19" s="4"/>
      <c r="J19" s="13">
        <f>G20*1.85</f>
        <v>893986.11880608951</v>
      </c>
      <c r="K19" s="13">
        <f>J19*((B2+0.2)*(1.45+B3)+C2-0.2)</f>
        <v>3027904.2363315509</v>
      </c>
      <c r="L19" s="1">
        <f>K19*J5/C20*H5</f>
        <v>351634.97104854119</v>
      </c>
    </row>
    <row r="20" spans="1:12" x14ac:dyDescent="0.4">
      <c r="A20" s="5" t="s">
        <v>36</v>
      </c>
      <c r="B20" s="6">
        <v>144</v>
      </c>
      <c r="C20" s="7">
        <f>C5*K4*18</f>
        <v>13.024032119999999</v>
      </c>
      <c r="D20" s="5">
        <v>3219</v>
      </c>
      <c r="E20" s="6"/>
      <c r="F20" s="7"/>
      <c r="G20" s="8">
        <f>D20+G19*B1</f>
        <v>483235.73989518348</v>
      </c>
      <c r="H20" s="6"/>
      <c r="I20" s="7"/>
      <c r="J20" s="12" t="s">
        <v>175</v>
      </c>
      <c r="K20" s="12"/>
      <c r="L20" s="1"/>
    </row>
    <row r="21" spans="1:12" x14ac:dyDescent="0.4">
      <c r="A21" s="2" t="s">
        <v>172</v>
      </c>
      <c r="B21" s="3"/>
      <c r="C21" s="4">
        <v>12</v>
      </c>
      <c r="D21" s="2">
        <v>293466</v>
      </c>
      <c r="E21" s="3"/>
      <c r="F21" s="4"/>
      <c r="G21" s="3">
        <f>(D21-D22)/A8</f>
        <v>18.117107561766908</v>
      </c>
      <c r="H21" s="3"/>
      <c r="I21" s="4"/>
      <c r="J21" s="13">
        <f>G22*1.6*0.85*2*1.96</f>
        <v>2496833.1593117085</v>
      </c>
      <c r="K21" s="13">
        <f>J21*D3</f>
        <v>4778223.5739057837</v>
      </c>
      <c r="L21" s="1">
        <f>K21*J5/C22*H5</f>
        <v>645235.03407627647</v>
      </c>
    </row>
    <row r="22" spans="1:12" x14ac:dyDescent="0.4">
      <c r="A22" s="5" t="s">
        <v>179</v>
      </c>
      <c r="B22" s="6">
        <v>555</v>
      </c>
      <c r="C22" s="7">
        <f>C5*K4*J6*18</f>
        <v>11.200667623199999</v>
      </c>
      <c r="D22" s="5">
        <v>3085</v>
      </c>
      <c r="E22" s="6"/>
      <c r="F22" s="7"/>
      <c r="G22" s="8">
        <f>(D22+G21*B1)</f>
        <v>468343.5547928625</v>
      </c>
      <c r="H22" s="8"/>
      <c r="I22" s="7"/>
      <c r="J22" s="12"/>
      <c r="K22" s="12"/>
      <c r="L22" s="1"/>
    </row>
    <row r="23" spans="1:12" x14ac:dyDescent="0.4">
      <c r="A23" s="2" t="s">
        <v>173</v>
      </c>
      <c r="B23" s="3">
        <v>121</v>
      </c>
      <c r="C23" s="4">
        <v>12</v>
      </c>
      <c r="D23" s="2">
        <f>37038</f>
        <v>37038</v>
      </c>
      <c r="E23" s="3"/>
      <c r="F23" s="4"/>
      <c r="G23" s="3">
        <f>(D23-D24)/A8</f>
        <v>2.2864986274020462</v>
      </c>
      <c r="H23" s="3"/>
      <c r="I23" s="4"/>
      <c r="J23" s="13">
        <f>G24*1.525*(1+1.26+1.26*1.26+1.26*1.26*1.26+1.26*1.26*1.26*1.26+1.26^5+1.26^6+1.26^7+1.26^8)</f>
        <v>2428431.4982383912</v>
      </c>
      <c r="K23" s="13">
        <f>J23*D3</f>
        <v>4647322.3848471856</v>
      </c>
      <c r="L23" s="1">
        <f>K23*J5/C24*L7*H5</f>
        <v>494874.07707194093</v>
      </c>
    </row>
    <row r="24" spans="1:12" x14ac:dyDescent="0.4">
      <c r="A24" s="5" t="s">
        <v>178</v>
      </c>
      <c r="B24" s="6">
        <v>414</v>
      </c>
      <c r="C24" s="7">
        <f>C5*K4*J6*24</f>
        <v>14.9342234976</v>
      </c>
      <c r="D24" s="5">
        <f>390</f>
        <v>390</v>
      </c>
      <c r="E24" s="6"/>
      <c r="F24" s="7"/>
      <c r="G24" s="8">
        <f>D24+G23*B1</f>
        <v>59108.702380833543</v>
      </c>
      <c r="H24" s="8"/>
      <c r="I24" s="7"/>
      <c r="J24" s="12">
        <f>G24*1.74*1.525*(1+1.26+1.26^2+1.26^3+1.26^4)</f>
        <v>1312549.0152917993</v>
      </c>
      <c r="K24" s="12"/>
      <c r="L24" s="1"/>
    </row>
    <row r="25" spans="1:12" x14ac:dyDescent="0.4">
      <c r="A25" s="2" t="s">
        <v>174</v>
      </c>
      <c r="B25" s="3"/>
      <c r="C25" s="4">
        <v>12</v>
      </c>
      <c r="D25" s="2">
        <v>352340</v>
      </c>
      <c r="E25" s="3"/>
      <c r="F25" s="4"/>
      <c r="G25" s="3">
        <f>(D25-D26)/A8</f>
        <v>21.75162216121787</v>
      </c>
      <c r="H25" s="3"/>
      <c r="I25" s="4"/>
      <c r="J25" s="13">
        <f>G26*1.38*1.42*2.088</f>
        <v>2300732.4565781634</v>
      </c>
      <c r="K25" s="13">
        <f>J25*D3</f>
        <v>4402942.9921150412</v>
      </c>
      <c r="L25" s="1">
        <f>K25*J5/C26*H5*L7+K27</f>
        <v>470387.09944472311</v>
      </c>
    </row>
    <row r="26" spans="1:12" x14ac:dyDescent="0.4">
      <c r="A26" s="5" t="s">
        <v>178</v>
      </c>
      <c r="B26" s="6">
        <v>444</v>
      </c>
      <c r="C26" s="7">
        <f>C5*K4*J6*24</f>
        <v>14.9342234976</v>
      </c>
      <c r="D26" s="5">
        <f>3705</f>
        <v>3705</v>
      </c>
      <c r="E26" s="6"/>
      <c r="F26" s="7"/>
      <c r="G26" s="8">
        <f>D26+G25*B1</f>
        <v>562300.14310581493</v>
      </c>
      <c r="H26" s="8"/>
      <c r="I26" s="7"/>
      <c r="J26" s="12"/>
      <c r="K26" s="12"/>
      <c r="L26" s="1"/>
    </row>
    <row r="27" spans="1:12" x14ac:dyDescent="0.4">
      <c r="A27" s="2" t="s">
        <v>180</v>
      </c>
      <c r="B27" s="3" t="s">
        <v>181</v>
      </c>
      <c r="C27" s="4"/>
      <c r="D27" s="2">
        <v>3194</v>
      </c>
      <c r="E27" s="3"/>
      <c r="F27" s="4"/>
      <c r="G27" s="3">
        <f>(D27-D28)/C28</f>
        <v>9.2648774795799305E-2</v>
      </c>
      <c r="H27" s="3"/>
      <c r="I27" s="4"/>
      <c r="J27" s="13">
        <f>G28</f>
        <v>2397.2779789964998</v>
      </c>
      <c r="K27" s="13">
        <f>J27*D3*5/C26</f>
        <v>1535.9698721943537</v>
      </c>
      <c r="L27" s="1"/>
    </row>
    <row r="28" spans="1:12" x14ac:dyDescent="0.4">
      <c r="A28" s="5"/>
      <c r="B28" s="6"/>
      <c r="C28" s="7">
        <v>34280</v>
      </c>
      <c r="D28" s="5">
        <v>18</v>
      </c>
      <c r="E28" s="6"/>
      <c r="F28" s="7"/>
      <c r="G28" s="8">
        <f>G27*B1+D28</f>
        <v>2397.2779789964998</v>
      </c>
      <c r="H28" s="8"/>
      <c r="I28" s="7"/>
      <c r="J28" s="12"/>
      <c r="K28" s="12"/>
      <c r="L28" s="1"/>
    </row>
    <row r="29" spans="1:12" x14ac:dyDescent="0.4">
      <c r="A29" s="2"/>
      <c r="B29" s="3"/>
      <c r="C29" s="4"/>
      <c r="D29" s="2"/>
      <c r="E29" s="3"/>
      <c r="F29" s="4"/>
      <c r="G29" s="3"/>
      <c r="H29" s="3"/>
      <c r="I29" s="4"/>
      <c r="J29" s="13"/>
      <c r="K29" s="13"/>
      <c r="L29" s="1">
        <f>SUM(L11:L25)*G1*G2*G3*B5+J30*G1*G3</f>
        <v>5620027.494765427</v>
      </c>
    </row>
    <row r="30" spans="1:12" x14ac:dyDescent="0.4">
      <c r="A30" s="26" t="s">
        <v>288</v>
      </c>
      <c r="D30" s="26">
        <v>7730632</v>
      </c>
      <c r="G30">
        <f>(D30-D31)/(41801/1.16)</f>
        <v>213.57375756560845</v>
      </c>
      <c r="J30">
        <f>G31*J8*H5/C31*0.5</f>
        <v>33609.348277004028</v>
      </c>
    </row>
    <row r="31" spans="1:12" x14ac:dyDescent="0.4">
      <c r="C31">
        <f>300*0.8*0.5*K4</f>
        <v>105.88644000000001</v>
      </c>
      <c r="D31" s="26">
        <v>34428</v>
      </c>
      <c r="G31">
        <f>D31+G30*B1</f>
        <v>5519134.5100145163</v>
      </c>
      <c r="L31">
        <f>SUM(L19:L21)*G1*G2*G3*B5+J30*G1*G3</f>
        <v>2028070.9110966919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N21" sqref="N21"/>
    </sheetView>
  </sheetViews>
  <sheetFormatPr defaultRowHeight="17.399999999999999" x14ac:dyDescent="0.4"/>
  <cols>
    <col min="1" max="1" width="15.3984375" customWidth="1"/>
    <col min="7" max="7" width="12.59765625" bestFit="1" customWidth="1"/>
    <col min="8" max="8" width="13.296875" customWidth="1"/>
    <col min="10" max="10" width="15.3984375" customWidth="1"/>
    <col min="11" max="11" width="13.8984375" customWidth="1"/>
    <col min="12" max="12" width="19" customWidth="1"/>
    <col min="14" max="14" width="11.5" bestFit="1" customWidth="1"/>
  </cols>
  <sheetData>
    <row r="1" spans="1:16" x14ac:dyDescent="0.4">
      <c r="A1" s="30" t="s">
        <v>0</v>
      </c>
      <c r="B1" s="30">
        <v>24227</v>
      </c>
      <c r="C1" s="30" t="s">
        <v>5</v>
      </c>
      <c r="D1" s="30"/>
      <c r="E1" s="30" t="s">
        <v>13</v>
      </c>
      <c r="F1" s="30">
        <v>3</v>
      </c>
      <c r="G1" s="30">
        <v>1.2</v>
      </c>
      <c r="H1" s="30"/>
      <c r="I1" s="30" t="s">
        <v>346</v>
      </c>
      <c r="J1" s="30">
        <f>SUM(O3:O8)*1.1</f>
        <v>1713.8000000000002</v>
      </c>
      <c r="K1" s="30"/>
      <c r="L1" s="30"/>
    </row>
    <row r="2" spans="1:16" x14ac:dyDescent="0.4">
      <c r="A2" s="30" t="s">
        <v>1</v>
      </c>
      <c r="B2" s="30">
        <f>(0.0357*J2-0.0328)/100+G5</f>
        <v>0.49673599999999996</v>
      </c>
      <c r="C2" s="30">
        <f>1-B2</f>
        <v>0.50326400000000004</v>
      </c>
      <c r="D2" s="30">
        <f>B2*B3+C2</f>
        <v>1.4967359999999998</v>
      </c>
      <c r="E2" s="30" t="s">
        <v>343</v>
      </c>
      <c r="F2" s="30">
        <v>3</v>
      </c>
      <c r="G2" s="30"/>
      <c r="H2" s="30"/>
      <c r="I2" s="30" t="s">
        <v>25</v>
      </c>
      <c r="J2" s="30">
        <f>SUM(N3:N8)</f>
        <v>552</v>
      </c>
      <c r="K2" s="30"/>
      <c r="L2" s="30"/>
      <c r="M2" s="30"/>
      <c r="N2" s="30" t="s">
        <v>109</v>
      </c>
      <c r="O2" s="30" t="s">
        <v>110</v>
      </c>
      <c r="P2" s="30" t="s">
        <v>111</v>
      </c>
    </row>
    <row r="3" spans="1:16" x14ac:dyDescent="0.4">
      <c r="A3" s="30" t="s">
        <v>2</v>
      </c>
      <c r="B3" s="30">
        <v>2</v>
      </c>
      <c r="C3" s="30">
        <v>2</v>
      </c>
      <c r="D3" s="30"/>
      <c r="E3" s="30" t="s">
        <v>344</v>
      </c>
      <c r="F3" s="30">
        <v>3</v>
      </c>
      <c r="G3" s="30">
        <v>1.1575</v>
      </c>
      <c r="H3" s="30">
        <f>45*15/100/100+1</f>
        <v>1.0674999999999999</v>
      </c>
      <c r="I3" s="30" t="s">
        <v>44</v>
      </c>
      <c r="J3" s="30">
        <f>SUM(P3:P8)</f>
        <v>54</v>
      </c>
      <c r="K3" s="30"/>
      <c r="L3" s="30" t="s">
        <v>92</v>
      </c>
      <c r="M3" s="30" t="s">
        <v>104</v>
      </c>
      <c r="N3" s="30">
        <v>500</v>
      </c>
      <c r="O3" s="30">
        <v>500</v>
      </c>
    </row>
    <row r="4" spans="1:16" x14ac:dyDescent="0.4">
      <c r="A4" s="30" t="s">
        <v>3</v>
      </c>
      <c r="B4" s="30"/>
      <c r="C4" s="30"/>
      <c r="D4" s="30"/>
      <c r="E4" s="30" t="s">
        <v>16</v>
      </c>
      <c r="F4" s="30">
        <v>3</v>
      </c>
      <c r="G4" s="30"/>
      <c r="H4" s="30"/>
      <c r="I4" s="30"/>
      <c r="J4" s="30" t="s">
        <v>45</v>
      </c>
      <c r="K4" s="30">
        <f>1-(0.0214*J3-0.0943)/100</f>
        <v>0.98938700000000002</v>
      </c>
      <c r="L4" s="30">
        <f>1-0.18</f>
        <v>0.82000000000000006</v>
      </c>
      <c r="M4" s="30" t="s">
        <v>105</v>
      </c>
      <c r="O4" s="30">
        <v>300</v>
      </c>
      <c r="P4" s="30"/>
    </row>
    <row r="5" spans="1:16" x14ac:dyDescent="0.4">
      <c r="A5" s="30" t="s">
        <v>4</v>
      </c>
      <c r="B5" s="30">
        <v>1.4375</v>
      </c>
      <c r="C5" s="30"/>
      <c r="D5" s="30"/>
      <c r="E5" s="30" t="s">
        <v>345</v>
      </c>
      <c r="F5" s="30">
        <v>3</v>
      </c>
      <c r="G5" s="30">
        <v>0.3</v>
      </c>
      <c r="H5" s="30"/>
      <c r="I5" s="30" t="s">
        <v>371</v>
      </c>
      <c r="J5" s="30">
        <v>1.3</v>
      </c>
      <c r="K5" s="30"/>
      <c r="L5" s="30"/>
      <c r="M5" s="30" t="s">
        <v>106</v>
      </c>
      <c r="O5" s="30">
        <v>300</v>
      </c>
      <c r="P5" s="30"/>
    </row>
    <row r="6" spans="1:16" x14ac:dyDescent="0.4">
      <c r="A6" s="30"/>
      <c r="B6" s="30"/>
      <c r="C6" s="30"/>
      <c r="D6" s="30"/>
      <c r="E6" s="30"/>
      <c r="F6" s="30"/>
      <c r="G6" s="30"/>
      <c r="H6" s="30"/>
      <c r="I6" s="30" t="s">
        <v>355</v>
      </c>
      <c r="J6" s="30">
        <f>1-0.14</f>
        <v>0.86</v>
      </c>
      <c r="K6" s="30">
        <f>J1/18.302/100+1</f>
        <v>1.9364003933996286</v>
      </c>
      <c r="L6" s="30"/>
      <c r="M6" s="30" t="s">
        <v>107</v>
      </c>
      <c r="O6" s="30">
        <v>200</v>
      </c>
      <c r="P6" s="30"/>
    </row>
    <row r="7" spans="1:16" x14ac:dyDescent="0.4">
      <c r="A7" s="30"/>
      <c r="B7" s="30"/>
      <c r="C7" s="30"/>
      <c r="D7" s="30"/>
      <c r="E7" s="30"/>
      <c r="F7" s="30"/>
      <c r="G7" s="30"/>
      <c r="H7" s="30"/>
      <c r="I7" s="30"/>
      <c r="J7" s="30" t="s">
        <v>353</v>
      </c>
      <c r="K7" s="30">
        <f>J1/11.6507/100+1</f>
        <v>2.4709845760340583</v>
      </c>
      <c r="L7" s="30"/>
      <c r="M7" s="30" t="s">
        <v>108</v>
      </c>
      <c r="O7" s="30">
        <v>200</v>
      </c>
      <c r="P7" s="30"/>
    </row>
    <row r="8" spans="1:16" x14ac:dyDescent="0.4">
      <c r="A8" s="30">
        <f>37323/1.16</f>
        <v>32175.000000000004</v>
      </c>
      <c r="B8" s="30"/>
      <c r="C8" s="30"/>
      <c r="D8" s="30"/>
      <c r="E8" s="30"/>
      <c r="F8" s="30"/>
      <c r="G8" s="30"/>
      <c r="H8" s="30"/>
      <c r="I8" s="30"/>
      <c r="J8" s="30" t="s">
        <v>354</v>
      </c>
      <c r="K8" s="30">
        <f>J1/23.3031/100+1</f>
        <v>1.7354386326282771</v>
      </c>
      <c r="L8" s="30">
        <f>K8*20</f>
        <v>34.708772652565543</v>
      </c>
      <c r="N8" s="30">
        <v>52</v>
      </c>
      <c r="O8" s="30">
        <v>58</v>
      </c>
      <c r="P8" s="30">
        <v>54</v>
      </c>
    </row>
    <row r="9" spans="1:16" x14ac:dyDescent="0.4">
      <c r="A9" s="30"/>
      <c r="B9" s="30" t="s">
        <v>39</v>
      </c>
      <c r="C9" s="30" t="s">
        <v>41</v>
      </c>
      <c r="D9" s="30"/>
      <c r="E9" s="30"/>
      <c r="F9" s="30"/>
      <c r="G9" s="30" t="s">
        <v>23</v>
      </c>
      <c r="H9" s="30"/>
      <c r="I9" s="30"/>
      <c r="J9" s="30"/>
      <c r="K9" s="30"/>
      <c r="L9" s="30">
        <v>5</v>
      </c>
    </row>
    <row r="10" spans="1:16" x14ac:dyDescent="0.4">
      <c r="A10" s="30" t="s">
        <v>43</v>
      </c>
      <c r="B10" s="30" t="s">
        <v>40</v>
      </c>
      <c r="C10" s="30" t="s">
        <v>42</v>
      </c>
      <c r="D10" s="30"/>
      <c r="E10" s="30"/>
      <c r="F10" s="30"/>
      <c r="G10" s="30" t="s">
        <v>24</v>
      </c>
      <c r="H10" s="30"/>
      <c r="I10" s="30"/>
      <c r="J10" s="30" t="s">
        <v>65</v>
      </c>
      <c r="K10" s="30" t="s">
        <v>84</v>
      </c>
      <c r="L10" s="30" t="s">
        <v>32</v>
      </c>
    </row>
    <row r="11" spans="1:16" x14ac:dyDescent="0.4">
      <c r="A11" s="2" t="s">
        <v>347</v>
      </c>
      <c r="B11" s="3"/>
      <c r="C11" s="4"/>
      <c r="D11" s="2">
        <v>144731</v>
      </c>
      <c r="E11" s="3">
        <v>257736</v>
      </c>
      <c r="F11" s="4"/>
      <c r="G11" s="3">
        <f>(D11-D12)/A8</f>
        <v>4.475866355866355</v>
      </c>
      <c r="H11" s="3">
        <f>(E11-E12)/A8</f>
        <v>7.97075369075369</v>
      </c>
      <c r="I11" s="4"/>
      <c r="J11" s="28">
        <f>(G12+H12+I12)</f>
        <v>303541.26386946382</v>
      </c>
      <c r="K11" s="28">
        <f>J11*D2</f>
        <v>454321.13711892575</v>
      </c>
      <c r="L11" s="9">
        <f>K11*K7*J5*N11</f>
        <v>11675253.432826048</v>
      </c>
      <c r="M11">
        <f>L8/C12</f>
        <v>8.2910494049155599</v>
      </c>
      <c r="N11">
        <v>8</v>
      </c>
    </row>
    <row r="12" spans="1:16" x14ac:dyDescent="0.4">
      <c r="A12" s="5"/>
      <c r="B12" s="6"/>
      <c r="C12" s="7">
        <f>6*J6*L4*K4</f>
        <v>4.1862942744000007</v>
      </c>
      <c r="D12" s="5">
        <v>720</v>
      </c>
      <c r="E12" s="6">
        <v>1277</v>
      </c>
      <c r="F12" s="7"/>
      <c r="G12" s="8">
        <f>D12+G11*B1</f>
        <v>109156.81420357418</v>
      </c>
      <c r="H12" s="8">
        <f>E12+H11*B1</f>
        <v>194384.44966588964</v>
      </c>
      <c r="I12" s="11"/>
      <c r="J12" s="12"/>
      <c r="K12" s="12"/>
      <c r="L12" s="9"/>
    </row>
    <row r="13" spans="1:16" x14ac:dyDescent="0.4">
      <c r="A13" s="2" t="s">
        <v>348</v>
      </c>
      <c r="B13" s="3"/>
      <c r="C13" s="4"/>
      <c r="D13" s="2">
        <v>278076</v>
      </c>
      <c r="E13" s="3">
        <v>277924</v>
      </c>
      <c r="F13" s="4"/>
      <c r="G13" s="3">
        <f>(D13-D14)/A8</f>
        <v>8.5997513597513588</v>
      </c>
      <c r="H13" s="3">
        <f>(E13-E14)/A8</f>
        <v>8.5947474747474732</v>
      </c>
      <c r="I13" s="4">
        <f>(F13-F14)/A8</f>
        <v>0</v>
      </c>
      <c r="J13" s="13">
        <f>(G14+H14+I14)</f>
        <v>419338.12326340319</v>
      </c>
      <c r="K13" s="13">
        <f>J13*D2</f>
        <v>627638.46526077297</v>
      </c>
      <c r="L13" s="9">
        <f>K13*K7*J5*N13</f>
        <v>24193805.484966904</v>
      </c>
      <c r="M13">
        <f>L8/C14</f>
        <v>12.436574107373341</v>
      </c>
      <c r="N13">
        <v>12</v>
      </c>
    </row>
    <row r="14" spans="1:16" x14ac:dyDescent="0.4">
      <c r="A14" s="5"/>
      <c r="B14" s="6"/>
      <c r="C14" s="7">
        <f>4*J6*K4*L4</f>
        <v>2.7908628496000003</v>
      </c>
      <c r="D14" s="5">
        <v>1379</v>
      </c>
      <c r="E14" s="6">
        <v>1388</v>
      </c>
      <c r="F14" s="7"/>
      <c r="G14" s="8">
        <f>D14+G13*B1</f>
        <v>209725.17619269618</v>
      </c>
      <c r="H14" s="8">
        <f>E14+H13*B1</f>
        <v>209612.94707070704</v>
      </c>
      <c r="I14" s="11">
        <f>F14+I13*B1</f>
        <v>0</v>
      </c>
      <c r="J14" s="6"/>
      <c r="K14" s="12"/>
      <c r="L14" s="9"/>
    </row>
    <row r="15" spans="1:16" x14ac:dyDescent="0.4">
      <c r="A15" s="2" t="s">
        <v>349</v>
      </c>
      <c r="B15" s="3"/>
      <c r="C15" s="4"/>
      <c r="D15" s="2">
        <v>868881</v>
      </c>
      <c r="E15" s="3"/>
      <c r="F15" s="4"/>
      <c r="G15" s="3">
        <f>(D15-D16)/A8</f>
        <v>26.870209790209788</v>
      </c>
      <c r="H15" s="3">
        <f>(E15-E16)/A8</f>
        <v>0</v>
      </c>
      <c r="I15" s="4"/>
      <c r="J15" s="13">
        <f>(G16+H16)</f>
        <v>655316.57258741255</v>
      </c>
      <c r="K15" s="13">
        <f>J15*D2</f>
        <v>980835.90558819345</v>
      </c>
      <c r="L15" s="9">
        <f>K15*K7*J5*N15</f>
        <v>18904317.075764827</v>
      </c>
      <c r="M15">
        <f>L8/C16</f>
        <v>6.2182870536866703</v>
      </c>
      <c r="N15">
        <v>6</v>
      </c>
    </row>
    <row r="16" spans="1:16" x14ac:dyDescent="0.4">
      <c r="A16" s="5"/>
      <c r="B16" s="6"/>
      <c r="C16" s="7">
        <f>8*J6*K4*L4</f>
        <v>5.5817256992000006</v>
      </c>
      <c r="D16" s="5">
        <v>4332</v>
      </c>
      <c r="E16" s="6"/>
      <c r="F16" s="7"/>
      <c r="G16" s="8">
        <f>D16+G15*B1</f>
        <v>655316.57258741255</v>
      </c>
      <c r="H16" s="8">
        <f>E16+H15*B1</f>
        <v>0</v>
      </c>
      <c r="I16" s="7"/>
      <c r="J16" s="12"/>
      <c r="K16" s="12"/>
      <c r="L16" s="9"/>
    </row>
    <row r="17" spans="1:14" x14ac:dyDescent="0.4">
      <c r="A17" s="2" t="s">
        <v>350</v>
      </c>
      <c r="B17" s="3"/>
      <c r="C17" s="4"/>
      <c r="D17" s="2">
        <v>753865</v>
      </c>
      <c r="E17" s="3">
        <v>323029</v>
      </c>
      <c r="F17" s="4"/>
      <c r="G17" s="3">
        <f>(D17-D18)/A8</f>
        <v>23.314312354312353</v>
      </c>
      <c r="H17" s="3">
        <f>(E17-E18)/A8</f>
        <v>9.9897125097125095</v>
      </c>
      <c r="I17" s="4"/>
      <c r="J17" s="13">
        <f>G18+H18</f>
        <v>812193.61038073036</v>
      </c>
      <c r="K17" s="13">
        <f>J17*D2</f>
        <v>1215639.4156268127</v>
      </c>
      <c r="L17" s="9">
        <f>K17*K7*J5*N17</f>
        <v>31239792.958742268</v>
      </c>
      <c r="M17">
        <f>L8/C18</f>
        <v>8.2910494049155599</v>
      </c>
      <c r="N17">
        <v>8</v>
      </c>
    </row>
    <row r="18" spans="1:14" x14ac:dyDescent="0.4">
      <c r="A18" s="5"/>
      <c r="B18" s="6"/>
      <c r="C18" s="7">
        <f>6*J6*K4*L4</f>
        <v>4.1862942744000007</v>
      </c>
      <c r="D18" s="5">
        <v>3727</v>
      </c>
      <c r="E18" s="6">
        <v>1610</v>
      </c>
      <c r="F18" s="7"/>
      <c r="G18" s="8">
        <f>D18+G17*B1</f>
        <v>568562.84540792543</v>
      </c>
      <c r="H18" s="8">
        <f>E18+H17*B1</f>
        <v>243630.76497280496</v>
      </c>
      <c r="I18" s="7"/>
      <c r="J18" s="12"/>
      <c r="K18" s="12"/>
      <c r="L18" s="9"/>
    </row>
    <row r="19" spans="1:14" x14ac:dyDescent="0.4">
      <c r="A19" s="2" t="s">
        <v>351</v>
      </c>
      <c r="B19" s="3"/>
      <c r="C19" s="4"/>
      <c r="D19" s="2">
        <v>877650</v>
      </c>
      <c r="E19" s="3">
        <v>472551</v>
      </c>
      <c r="F19" s="4"/>
      <c r="G19" s="3">
        <f>(D19-D20)/A8</f>
        <v>27.141196581196578</v>
      </c>
      <c r="H19" s="3">
        <f>(E19-E20)/A8</f>
        <v>14.613581973581972</v>
      </c>
      <c r="I19" s="4"/>
      <c r="J19" s="13">
        <f>(G20+H20)</f>
        <v>1018334.0200466199</v>
      </c>
      <c r="K19" s="13">
        <f>J19*D2</f>
        <v>1524177.1878284975</v>
      </c>
      <c r="L19" s="9">
        <f>K19*K7*J5*M19*1.04</f>
        <v>15275781.515115697</v>
      </c>
      <c r="M19">
        <v>3</v>
      </c>
    </row>
    <row r="20" spans="1:14" x14ac:dyDescent="0.4">
      <c r="A20" s="5"/>
      <c r="B20" s="6"/>
      <c r="C20" s="7">
        <f>18*J6*K4*L4</f>
        <v>12.558882823200001</v>
      </c>
      <c r="D20" s="5">
        <v>4382</v>
      </c>
      <c r="E20" s="6">
        <v>2359</v>
      </c>
      <c r="F20" s="7"/>
      <c r="G20" s="8">
        <f>D20+G19*B1</f>
        <v>661931.7695726495</v>
      </c>
      <c r="H20" s="8">
        <f>E20+H19*B1</f>
        <v>356402.25047397043</v>
      </c>
      <c r="I20" s="7"/>
      <c r="J20" s="12"/>
      <c r="K20" s="12"/>
      <c r="L20" s="9"/>
    </row>
    <row r="21" spans="1:14" x14ac:dyDescent="0.4">
      <c r="A21" s="2" t="s">
        <v>352</v>
      </c>
      <c r="B21" s="3"/>
      <c r="C21" s="4"/>
      <c r="D21" s="2">
        <v>1782935</v>
      </c>
      <c r="E21" s="3"/>
      <c r="F21" s="4"/>
      <c r="G21" s="3">
        <f>(D21-D22)/A8</f>
        <v>55.13734265734265</v>
      </c>
      <c r="H21" s="3"/>
      <c r="I21" s="4"/>
      <c r="J21" s="13">
        <f>G22</f>
        <v>1344703.4005594405</v>
      </c>
      <c r="K21" s="13">
        <f>J21*D2</f>
        <v>2012665.9889397344</v>
      </c>
      <c r="L21" s="9">
        <f>K21*K7*J5*M21*1.04</f>
        <v>20171569.391974866</v>
      </c>
      <c r="M21">
        <v>3</v>
      </c>
      <c r="N21">
        <f>J21*B5*G1*G3*1.16*J5*K7*C3</f>
        <v>20009580.048747197</v>
      </c>
    </row>
    <row r="22" spans="1:14" x14ac:dyDescent="0.4">
      <c r="A22" s="5"/>
      <c r="B22" s="6"/>
      <c r="C22" s="7">
        <f>20*J6*K4*L4</f>
        <v>13.954314248000001</v>
      </c>
      <c r="D22" s="5">
        <v>8891</v>
      </c>
      <c r="E22" s="6"/>
      <c r="F22" s="7"/>
      <c r="G22" s="8">
        <f>D22+G21*B1</f>
        <v>1344703.4005594405</v>
      </c>
      <c r="H22" s="8"/>
      <c r="I22" s="7"/>
      <c r="J22" s="12"/>
      <c r="K22" s="12"/>
      <c r="L22" s="9"/>
    </row>
    <row r="23" spans="1:14" x14ac:dyDescent="0.4">
      <c r="A23" s="2"/>
      <c r="B23" s="3"/>
      <c r="C23" s="4"/>
      <c r="D23" s="2"/>
      <c r="E23" s="3"/>
      <c r="F23" s="4"/>
      <c r="G23" s="3">
        <f>(D23-D24)/A8</f>
        <v>0</v>
      </c>
      <c r="H23" s="3"/>
      <c r="I23" s="4"/>
      <c r="J23" s="13">
        <f>G24*2.45*2.2</f>
        <v>0</v>
      </c>
      <c r="K23" s="13">
        <f>J23*D2</f>
        <v>0</v>
      </c>
      <c r="L23" s="9"/>
    </row>
    <row r="24" spans="1:14" x14ac:dyDescent="0.4">
      <c r="A24" s="5"/>
      <c r="B24" s="6"/>
      <c r="C24" s="7"/>
      <c r="D24" s="5"/>
      <c r="E24" s="6"/>
      <c r="F24" s="7"/>
      <c r="G24" s="8">
        <f>D24+G23*B1</f>
        <v>0</v>
      </c>
      <c r="H24" s="8"/>
      <c r="I24" s="7"/>
      <c r="J24" s="12"/>
      <c r="K24" s="12"/>
      <c r="L24" s="30"/>
    </row>
    <row r="25" spans="1:14" x14ac:dyDescent="0.4">
      <c r="A25" s="2" t="s">
        <v>287</v>
      </c>
      <c r="B25" s="3"/>
      <c r="C25" s="4"/>
      <c r="D25" s="2">
        <v>695350</v>
      </c>
      <c r="E25" s="3">
        <v>4866881</v>
      </c>
      <c r="F25" s="4">
        <v>1390728</v>
      </c>
      <c r="G25" s="3">
        <f>(D25-D26)/32328</f>
        <v>21.507176441474883</v>
      </c>
      <c r="H25" s="3">
        <f t="shared" ref="H25" si="0">(E25-E26)/32328</f>
        <v>150.53161346201435</v>
      </c>
      <c r="I25" s="3">
        <f>(F25-F26)/32328</f>
        <v>43.002350903241769</v>
      </c>
      <c r="J25" s="13">
        <f>SUM(G26:I26)</f>
        <v>5210910.7183246715</v>
      </c>
      <c r="K25" s="13">
        <f>J25*((B2-G5)*B3+C2+G5)*0.5</f>
        <v>3118042.224702497</v>
      </c>
      <c r="L25" s="9">
        <f>K25/C26*K6</f>
        <v>50854.537460658023</v>
      </c>
    </row>
    <row r="26" spans="1:14" x14ac:dyDescent="0.4">
      <c r="A26" s="5"/>
      <c r="B26" s="6"/>
      <c r="C26" s="7">
        <f>300*K4*0.8*0.5</f>
        <v>118.72644000000001</v>
      </c>
      <c r="D26" s="5">
        <v>66</v>
      </c>
      <c r="E26" s="6">
        <v>495</v>
      </c>
      <c r="F26" s="7">
        <v>548</v>
      </c>
      <c r="G26" s="8">
        <f>D26+G25*B1</f>
        <v>521120.36364761199</v>
      </c>
      <c r="H26" s="8">
        <f>E26+H25*B1</f>
        <v>3647424.3993442217</v>
      </c>
      <c r="I26" s="8">
        <f>F26+I25*B1</f>
        <v>1042365.9553328383</v>
      </c>
      <c r="J26" s="12"/>
      <c r="K26" s="12"/>
      <c r="L26" s="30"/>
    </row>
    <row r="27" spans="1:14" x14ac:dyDescent="0.4">
      <c r="A27" s="2"/>
      <c r="B27" s="3"/>
      <c r="C27" s="4"/>
      <c r="D27" s="2"/>
      <c r="E27" s="3"/>
      <c r="F27" s="4"/>
      <c r="G27" s="3"/>
      <c r="H27" s="3"/>
      <c r="I27" s="4"/>
      <c r="J27" s="13"/>
      <c r="K27" s="13"/>
      <c r="L27" s="30">
        <f>SUM(L11:L21)/(L8+L9)*G1*G3*B5+SUM(K29:K37)*B5*G1/(L8+L9)*H3+L25*H3*G1</f>
        <v>6359732.9344574856</v>
      </c>
    </row>
    <row r="28" spans="1:14" x14ac:dyDescent="0.4">
      <c r="A28" s="5"/>
      <c r="B28" s="6"/>
      <c r="C28" s="7"/>
      <c r="D28" s="5"/>
      <c r="E28" s="6"/>
      <c r="F28" s="7"/>
      <c r="G28" s="8"/>
      <c r="H28" s="8"/>
      <c r="I28" s="7"/>
      <c r="J28" s="12"/>
      <c r="K28" s="12"/>
      <c r="L28" s="30"/>
    </row>
    <row r="29" spans="1:14" x14ac:dyDescent="0.4">
      <c r="A29" t="s">
        <v>356</v>
      </c>
      <c r="B29">
        <v>212</v>
      </c>
      <c r="C29">
        <v>12</v>
      </c>
      <c r="D29">
        <v>453255</v>
      </c>
      <c r="G29">
        <f>(D29-D30)/27530</f>
        <v>16.367417362876861</v>
      </c>
      <c r="J29">
        <f>G30*1.948*1.952</f>
        <v>1517931.3844890315</v>
      </c>
      <c r="K29" s="14">
        <f>J29*((B2-G5)*B3+C2+G5)</f>
        <v>1816563.1333478657</v>
      </c>
    </row>
    <row r="30" spans="1:14" x14ac:dyDescent="0.4">
      <c r="B30">
        <v>455</v>
      </c>
      <c r="D30" s="15">
        <v>2660</v>
      </c>
      <c r="G30">
        <f>D30+G29*B1</f>
        <v>399193.42045041773</v>
      </c>
    </row>
    <row r="31" spans="1:14" x14ac:dyDescent="0.4">
      <c r="A31" t="s">
        <v>357</v>
      </c>
      <c r="B31">
        <v>322</v>
      </c>
      <c r="C31">
        <v>10</v>
      </c>
      <c r="D31">
        <v>261011</v>
      </c>
      <c r="G31">
        <f t="shared" ref="G31:H37" si="1">(D31-D32)/27530</f>
        <v>9.4176897929531425</v>
      </c>
      <c r="J31">
        <f>G32*2.096</f>
        <v>481879.56080668361</v>
      </c>
      <c r="K31">
        <f>J31*((B2-G5)*B3+C2+G5)</f>
        <v>576682.61808154732</v>
      </c>
    </row>
    <row r="32" spans="1:14" x14ac:dyDescent="0.4">
      <c r="B32">
        <v>454</v>
      </c>
      <c r="D32">
        <v>1742</v>
      </c>
      <c r="G32">
        <f>D32+G31*B1</f>
        <v>229904.37061387577</v>
      </c>
    </row>
    <row r="33" spans="1:11" x14ac:dyDescent="0.4">
      <c r="A33" t="s">
        <v>358</v>
      </c>
      <c r="B33">
        <v>231</v>
      </c>
      <c r="C33">
        <v>12</v>
      </c>
      <c r="D33">
        <v>557500</v>
      </c>
      <c r="G33">
        <f t="shared" si="1"/>
        <v>20.131274972756991</v>
      </c>
      <c r="J33">
        <f>G34*1.508</f>
        <v>740437.64933759533</v>
      </c>
      <c r="K33">
        <f>J33*((B2-G5)*B3+C2+G5)</f>
        <v>886108.39071767649</v>
      </c>
    </row>
    <row r="34" spans="1:11" x14ac:dyDescent="0.4">
      <c r="B34">
        <v>151</v>
      </c>
      <c r="D34">
        <v>3286</v>
      </c>
      <c r="G34">
        <f>D34+G33*B1</f>
        <v>491006.39876498363</v>
      </c>
    </row>
    <row r="35" spans="1:11" x14ac:dyDescent="0.4">
      <c r="A35" t="s">
        <v>359</v>
      </c>
      <c r="B35">
        <v>121</v>
      </c>
      <c r="C35">
        <v>10</v>
      </c>
      <c r="D35">
        <v>203211</v>
      </c>
      <c r="G35">
        <f t="shared" si="1"/>
        <v>7.3327279331638211</v>
      </c>
      <c r="J35">
        <f>G36</f>
        <v>178990.99963675989</v>
      </c>
      <c r="K35">
        <f>J35*((B2-G5)*B3+C2+G5)</f>
        <v>214204.97294129748</v>
      </c>
    </row>
    <row r="36" spans="1:11" x14ac:dyDescent="0.4">
      <c r="B36">
        <v>451</v>
      </c>
      <c r="D36">
        <v>1341</v>
      </c>
      <c r="G36">
        <f>D36+G35*B1</f>
        <v>178990.99963675989</v>
      </c>
    </row>
    <row r="37" spans="1:11" x14ac:dyDescent="0.4">
      <c r="A37" t="s">
        <v>95</v>
      </c>
      <c r="B37">
        <v>231</v>
      </c>
      <c r="C37">
        <v>10</v>
      </c>
      <c r="D37">
        <v>155400</v>
      </c>
      <c r="E37">
        <v>103503</v>
      </c>
      <c r="G37">
        <f t="shared" si="1"/>
        <v>5.6057755176171451</v>
      </c>
      <c r="H37">
        <f t="shared" si="1"/>
        <v>3.7348710497638939</v>
      </c>
      <c r="J37">
        <f>(G38+H38)*1.508</f>
        <v>343900.67333701416</v>
      </c>
      <c r="K37">
        <f>J37*((B2-G5+0.38)*B3+C2+G5-0.38)</f>
        <v>542240.57207471028</v>
      </c>
    </row>
    <row r="38" spans="1:11" x14ac:dyDescent="0.4">
      <c r="B38">
        <v>445</v>
      </c>
      <c r="D38">
        <v>1073</v>
      </c>
      <c r="E38">
        <v>682</v>
      </c>
      <c r="G38">
        <f>D38+G37*B1</f>
        <v>136884.12346531058</v>
      </c>
      <c r="H38">
        <f>E38+H37*B1</f>
        <v>91166.720922629858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topLeftCell="A16" zoomScale="85" zoomScaleNormal="85" workbookViewId="0">
      <selection activeCell="L37" sqref="L37"/>
    </sheetView>
  </sheetViews>
  <sheetFormatPr defaultRowHeight="17.399999999999999" x14ac:dyDescent="0.4"/>
  <cols>
    <col min="1" max="2" width="14.5" customWidth="1"/>
    <col min="3" max="3" width="13.59765625" customWidth="1"/>
    <col min="4" max="4" width="11.5" customWidth="1"/>
    <col min="6" max="6" width="11.19921875" customWidth="1"/>
    <col min="7" max="7" width="14.09765625" customWidth="1"/>
    <col min="8" max="8" width="12.8984375" customWidth="1"/>
    <col min="9" max="9" width="13.5" customWidth="1"/>
    <col min="10" max="10" width="15.3984375" customWidth="1"/>
    <col min="11" max="11" width="14.69921875" customWidth="1"/>
    <col min="12" max="12" width="14.09765625" customWidth="1"/>
    <col min="14" max="14" width="12.59765625" bestFit="1" customWidth="1"/>
    <col min="16" max="16" width="17.296875" customWidth="1"/>
  </cols>
  <sheetData>
    <row r="1" spans="1:16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 t="s">
        <v>254</v>
      </c>
      <c r="J1" s="1">
        <f>SUM(O3:O8)*1.1</f>
        <v>1713.8000000000002</v>
      </c>
      <c r="K1" s="1"/>
      <c r="L1" s="1"/>
    </row>
    <row r="2" spans="1:16" x14ac:dyDescent="0.4">
      <c r="A2" s="1" t="s">
        <v>1</v>
      </c>
      <c r="B2" s="1">
        <f>(0.0357*J2-0.0328)/100</f>
        <v>0.19673599999999999</v>
      </c>
      <c r="C2" s="1">
        <f>1-B2</f>
        <v>0.80326399999999998</v>
      </c>
      <c r="D2" s="1"/>
      <c r="E2" s="1" t="s">
        <v>48</v>
      </c>
      <c r="F2" s="1">
        <v>3</v>
      </c>
      <c r="G2" s="1">
        <v>1.1599999999999999</v>
      </c>
      <c r="H2" s="1"/>
      <c r="I2" s="1" t="s">
        <v>25</v>
      </c>
      <c r="J2" s="1">
        <f>SUM(N3:N8)</f>
        <v>552</v>
      </c>
      <c r="K2" s="1" t="s">
        <v>255</v>
      </c>
      <c r="L2">
        <f>J1/46.6123/100+1</f>
        <v>1.367671194083965</v>
      </c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</v>
      </c>
      <c r="C3" s="1">
        <v>2</v>
      </c>
      <c r="D3" s="1">
        <f>B3*B2+C2</f>
        <v>1.196736</v>
      </c>
      <c r="E3" s="1" t="s">
        <v>16</v>
      </c>
      <c r="F3" s="1">
        <v>3</v>
      </c>
      <c r="G3" s="1"/>
      <c r="H3" s="1"/>
      <c r="I3" s="1" t="s">
        <v>44</v>
      </c>
      <c r="J3" s="1">
        <f>SUM(P3:P8)</f>
        <v>54</v>
      </c>
      <c r="K3" s="1" t="s">
        <v>256</v>
      </c>
      <c r="L3" s="1">
        <f>1-J1/23.3028/100</f>
        <v>0.26455189934256818</v>
      </c>
      <c r="M3" s="1" t="s">
        <v>104</v>
      </c>
      <c r="N3">
        <v>500</v>
      </c>
      <c r="O3" s="1">
        <v>500</v>
      </c>
    </row>
    <row r="4" spans="1:16" x14ac:dyDescent="0.4">
      <c r="A4" s="1" t="s">
        <v>3</v>
      </c>
      <c r="B4" s="1">
        <v>1.05</v>
      </c>
      <c r="C4" s="1"/>
      <c r="D4" s="1"/>
      <c r="E4" s="1" t="s">
        <v>17</v>
      </c>
      <c r="F4" s="1">
        <v>3</v>
      </c>
      <c r="G4" s="1"/>
      <c r="H4" s="1"/>
      <c r="I4" s="1"/>
      <c r="J4" s="1" t="s">
        <v>45</v>
      </c>
      <c r="K4" s="1">
        <f>1-(0.0214*J3-0.0943)/100</f>
        <v>0.98938700000000002</v>
      </c>
      <c r="L4" s="1"/>
      <c r="M4" s="1" t="s">
        <v>105</v>
      </c>
      <c r="O4">
        <v>300</v>
      </c>
    </row>
    <row r="5" spans="1:16" x14ac:dyDescent="0.4">
      <c r="A5" s="1" t="s">
        <v>259</v>
      </c>
      <c r="B5" s="1"/>
      <c r="C5" s="1"/>
      <c r="D5" s="1"/>
      <c r="E5" s="1" t="s">
        <v>253</v>
      </c>
      <c r="F5" s="1">
        <v>3</v>
      </c>
      <c r="G5" s="1">
        <v>1.35</v>
      </c>
      <c r="H5" s="1"/>
      <c r="I5" s="1" t="s">
        <v>30</v>
      </c>
      <c r="J5" s="1">
        <v>1.21</v>
      </c>
      <c r="K5" s="1"/>
      <c r="L5" s="1" t="s">
        <v>268</v>
      </c>
      <c r="M5" s="1" t="s">
        <v>105</v>
      </c>
      <c r="O5" s="1">
        <v>300</v>
      </c>
    </row>
    <row r="6" spans="1:16" x14ac:dyDescent="0.4">
      <c r="A6" s="1"/>
      <c r="B6" s="1"/>
      <c r="C6" s="1"/>
      <c r="D6" s="1"/>
      <c r="E6" s="1"/>
      <c r="F6" s="1"/>
      <c r="G6" s="1"/>
      <c r="H6" s="1"/>
      <c r="I6" s="1" t="s">
        <v>31</v>
      </c>
      <c r="J6" s="1">
        <f>1-0.14</f>
        <v>0.86</v>
      </c>
      <c r="K6" s="1" t="s">
        <v>267</v>
      </c>
      <c r="L6" s="1">
        <v>20</v>
      </c>
      <c r="M6" s="1" t="s">
        <v>107</v>
      </c>
      <c r="O6">
        <v>200</v>
      </c>
    </row>
    <row r="7" spans="1:16" x14ac:dyDescent="0.4">
      <c r="A7" s="1"/>
      <c r="B7" s="1"/>
      <c r="C7" s="1"/>
      <c r="D7" s="1"/>
      <c r="E7" s="1" t="s">
        <v>257</v>
      </c>
      <c r="F7" s="1" t="s">
        <v>45</v>
      </c>
      <c r="G7" s="1">
        <f>1-25*L2/100</f>
        <v>0.65808220147900875</v>
      </c>
      <c r="H7" s="1"/>
      <c r="I7" s="1"/>
      <c r="J7" s="1"/>
      <c r="K7" s="1" t="s">
        <v>256</v>
      </c>
      <c r="L7" s="1">
        <f>50*L3</f>
        <v>13.227594967128409</v>
      </c>
      <c r="M7" s="1" t="s">
        <v>108</v>
      </c>
      <c r="O7">
        <v>200</v>
      </c>
    </row>
    <row r="8" spans="1:16" x14ac:dyDescent="0.4">
      <c r="A8" s="1">
        <f>41802/1.16</f>
        <v>36036.206896551725</v>
      </c>
      <c r="B8" s="1"/>
      <c r="C8" s="1"/>
      <c r="D8" s="1"/>
      <c r="E8" s="1"/>
      <c r="F8" s="1" t="s">
        <v>258</v>
      </c>
      <c r="G8" s="1">
        <f>1.6*G5*L2</f>
        <v>2.9541697792213646</v>
      </c>
      <c r="H8" s="1"/>
      <c r="I8" s="1"/>
      <c r="J8" s="1"/>
      <c r="K8" s="1">
        <f>J1/18.302/100+1</f>
        <v>1.9364003933996286</v>
      </c>
      <c r="L8" s="1"/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"/>
      <c r="J10" s="1" t="s">
        <v>65</v>
      </c>
      <c r="K10" s="1" t="s">
        <v>66</v>
      </c>
      <c r="L10" s="1" t="s">
        <v>32</v>
      </c>
    </row>
    <row r="11" spans="1:16" x14ac:dyDescent="0.4">
      <c r="A11" s="2" t="s">
        <v>260</v>
      </c>
      <c r="B11" s="3">
        <v>112</v>
      </c>
      <c r="C11" s="4">
        <v>12</v>
      </c>
      <c r="D11" s="2">
        <v>280557</v>
      </c>
      <c r="E11" s="3"/>
      <c r="F11" s="4"/>
      <c r="G11" s="3">
        <f>(D11-D12)/A8</f>
        <v>7.7507325008372803</v>
      </c>
      <c r="H11" s="3">
        <f>(E11-E12)/A8</f>
        <v>0</v>
      </c>
      <c r="I11" s="4">
        <f>(F11-F12)/A8</f>
        <v>0</v>
      </c>
      <c r="J11" s="10">
        <f>G12*3.05</f>
        <v>576532.33870824357</v>
      </c>
      <c r="K11" s="10">
        <f>J11*D3</f>
        <v>689957.00489634858</v>
      </c>
      <c r="L11" s="1">
        <f>K11*J5</f>
        <v>834847.97592458175</v>
      </c>
      <c r="M11" t="s">
        <v>273</v>
      </c>
    </row>
    <row r="12" spans="1:16" x14ac:dyDescent="0.4">
      <c r="A12" s="5" t="s">
        <v>277</v>
      </c>
      <c r="B12" s="6">
        <v>555</v>
      </c>
      <c r="C12" s="7">
        <f>16*G7*K4*J6</f>
        <v>8.9591081370280374</v>
      </c>
      <c r="D12" s="5">
        <v>1250</v>
      </c>
      <c r="E12" s="6"/>
      <c r="F12" s="7"/>
      <c r="G12" s="8">
        <f>D12+G11*B1</f>
        <v>189026.99629778479</v>
      </c>
      <c r="H12" s="8">
        <f>E12+H11*B1</f>
        <v>0</v>
      </c>
      <c r="I12" s="11">
        <f>F12+I11*B1</f>
        <v>0</v>
      </c>
      <c r="J12" s="12"/>
      <c r="K12" s="12"/>
      <c r="L12" s="1"/>
    </row>
    <row r="13" spans="1:16" x14ac:dyDescent="0.4">
      <c r="A13" s="2" t="s">
        <v>261</v>
      </c>
      <c r="B13" s="3">
        <v>121</v>
      </c>
      <c r="C13" s="4">
        <v>12</v>
      </c>
      <c r="D13" s="2">
        <v>411879</v>
      </c>
      <c r="E13" s="3"/>
      <c r="F13" s="4"/>
      <c r="G13" s="3">
        <f>(D13-D14)/A8</f>
        <v>11.378611549686617</v>
      </c>
      <c r="H13" s="3">
        <f>(E13-E14)/A8</f>
        <v>0</v>
      </c>
      <c r="I13" s="4">
        <f>(F13-F14)/A8</f>
        <v>0</v>
      </c>
      <c r="J13" s="13">
        <f>G14*1.6*2.684</f>
        <v>1191724.4375780285</v>
      </c>
      <c r="K13" s="13">
        <f>J13*D3</f>
        <v>1426179.5365293797</v>
      </c>
      <c r="L13" s="1">
        <f>K13*J5</f>
        <v>1725677.2392005494</v>
      </c>
    </row>
    <row r="14" spans="1:16" x14ac:dyDescent="0.4">
      <c r="A14" s="5" t="s">
        <v>271</v>
      </c>
      <c r="B14" s="6">
        <v>515</v>
      </c>
      <c r="C14" s="7">
        <f>20*K4*G7*J6</f>
        <v>11.198885171285047</v>
      </c>
      <c r="D14" s="5">
        <v>1837</v>
      </c>
      <c r="E14" s="6"/>
      <c r="F14" s="7"/>
      <c r="G14" s="8">
        <f>D14+G13*B1</f>
        <v>277506.62201425771</v>
      </c>
      <c r="H14" s="8">
        <f>E14+H13*B1</f>
        <v>0</v>
      </c>
      <c r="I14" s="11">
        <f>F14+I13*B1</f>
        <v>0</v>
      </c>
      <c r="J14" s="6"/>
      <c r="K14" s="12"/>
      <c r="L14" s="1"/>
    </row>
    <row r="15" spans="1:16" x14ac:dyDescent="0.4">
      <c r="A15" s="2" t="s">
        <v>262</v>
      </c>
      <c r="B15" s="3">
        <v>221</v>
      </c>
      <c r="C15" s="4">
        <v>12</v>
      </c>
      <c r="D15" s="2">
        <f>96357*2</f>
        <v>192714</v>
      </c>
      <c r="E15" s="3">
        <v>192567</v>
      </c>
      <c r="F15" s="4"/>
      <c r="G15" s="3">
        <f>(D15-D16)/A8</f>
        <v>5.3238122577867086</v>
      </c>
      <c r="H15" s="3">
        <f>(E15-E16)/A8</f>
        <v>5.3198162767331709</v>
      </c>
      <c r="I15" s="4"/>
      <c r="J15" s="13">
        <f>(G16+H16)*(1+0.45/2)*1.7*2.6</f>
        <v>1405540.2466647252</v>
      </c>
      <c r="K15" s="13">
        <f>J15*D3</f>
        <v>1682060.6126325566</v>
      </c>
      <c r="L15" s="1">
        <f>K15*J5</f>
        <v>2035293.3412853933</v>
      </c>
    </row>
    <row r="16" spans="1:16" x14ac:dyDescent="0.4">
      <c r="A16" s="5" t="s">
        <v>272</v>
      </c>
      <c r="B16" s="6">
        <v>555</v>
      </c>
      <c r="C16" s="7">
        <f>16*G7*K4*J6</f>
        <v>8.9591081370280374</v>
      </c>
      <c r="D16" s="5">
        <f>432*2</f>
        <v>864</v>
      </c>
      <c r="E16" s="6">
        <v>861</v>
      </c>
      <c r="F16" s="7"/>
      <c r="G16" s="8">
        <f>D16+G15*B1</f>
        <v>129843.99956939858</v>
      </c>
      <c r="H16" s="8">
        <f>E16+H15*B1</f>
        <v>129744.18893641453</v>
      </c>
      <c r="I16" s="7"/>
      <c r="J16" s="12"/>
      <c r="K16" s="12"/>
      <c r="L16" s="1"/>
      <c r="M16">
        <f>L6+L7</f>
        <v>33.227594967128411</v>
      </c>
    </row>
    <row r="17" spans="1:19" x14ac:dyDescent="0.4">
      <c r="A17" s="2" t="s">
        <v>263</v>
      </c>
      <c r="B17" s="3">
        <v>131</v>
      </c>
      <c r="C17" s="4">
        <v>12</v>
      </c>
      <c r="D17" s="2">
        <v>303106</v>
      </c>
      <c r="E17" s="3"/>
      <c r="F17" s="4"/>
      <c r="G17" s="3">
        <f>(D17-D18)/A8</f>
        <v>8.3737170470312421</v>
      </c>
      <c r="H17" s="3">
        <f>(E17-E18)/A8</f>
        <v>0</v>
      </c>
      <c r="I17" s="4"/>
      <c r="J17" s="13">
        <f>G18*1.6*2.55</f>
        <v>833213.69502557768</v>
      </c>
      <c r="K17" s="13">
        <f>J17*D3</f>
        <v>997136.82453012979</v>
      </c>
      <c r="L17" s="1">
        <f>K17*J5</f>
        <v>1206535.5576814569</v>
      </c>
      <c r="M17">
        <f>M16*3</f>
        <v>99.682784901385233</v>
      </c>
    </row>
    <row r="18" spans="1:19" x14ac:dyDescent="0.4">
      <c r="A18" s="5" t="s">
        <v>87</v>
      </c>
      <c r="B18" s="6">
        <v>555</v>
      </c>
      <c r="C18" s="7">
        <f>(18-6)*G7*K4*J6</f>
        <v>6.7193311027710276</v>
      </c>
      <c r="D18" s="5">
        <v>1349</v>
      </c>
      <c r="E18" s="6"/>
      <c r="F18" s="7"/>
      <c r="G18" s="8">
        <f>D18+G17*B1</f>
        <v>204219.04289842589</v>
      </c>
      <c r="H18" s="8">
        <f>E18+H17*B1</f>
        <v>0</v>
      </c>
      <c r="I18" s="7"/>
      <c r="J18" s="12"/>
      <c r="K18" s="12"/>
      <c r="L18" s="1"/>
      <c r="N18">
        <v>20</v>
      </c>
      <c r="O18">
        <v>13</v>
      </c>
      <c r="P18">
        <v>20</v>
      </c>
      <c r="Q18">
        <v>13</v>
      </c>
      <c r="R18">
        <v>20</v>
      </c>
      <c r="S18">
        <v>13</v>
      </c>
    </row>
    <row r="19" spans="1:19" x14ac:dyDescent="0.4">
      <c r="A19" s="2" t="s">
        <v>264</v>
      </c>
      <c r="B19" s="3">
        <v>132</v>
      </c>
      <c r="C19" s="4">
        <v>12</v>
      </c>
      <c r="D19" s="4">
        <v>111882</v>
      </c>
      <c r="E19" s="2">
        <v>134253</v>
      </c>
      <c r="F19" s="15">
        <v>201358</v>
      </c>
      <c r="G19" s="2">
        <f>(D19-D20)/A8</f>
        <v>3.0908913449117268</v>
      </c>
      <c r="H19" s="2">
        <f>(E19-E20)/A8</f>
        <v>3.7088809147887662</v>
      </c>
      <c r="I19" s="2">
        <f>(F19-F20)/A8</f>
        <v>5.5627941246830295</v>
      </c>
      <c r="J19" s="13">
        <f>(G20+H20+I20)*1.45*1.8*2.44</f>
        <v>1920078.3047774367</v>
      </c>
      <c r="K19" s="13">
        <f>J19*D3</f>
        <v>2297826.8301461306</v>
      </c>
      <c r="L19" s="1">
        <f>K19*J5</f>
        <v>2780370.4644768182</v>
      </c>
      <c r="M19" t="s">
        <v>283</v>
      </c>
    </row>
    <row r="20" spans="1:19" x14ac:dyDescent="0.4">
      <c r="A20" s="5" t="s">
        <v>271</v>
      </c>
      <c r="B20" s="6">
        <v>555</v>
      </c>
      <c r="C20" s="7">
        <f>(20+5)*G7*K4*J6*0.5</f>
        <v>6.9993032320531539</v>
      </c>
      <c r="D20" s="5">
        <v>498</v>
      </c>
      <c r="E20" s="6">
        <v>599</v>
      </c>
      <c r="F20" s="7">
        <v>896</v>
      </c>
      <c r="G20" s="8">
        <f>D20+G19*B1</f>
        <v>75381.0246131764</v>
      </c>
      <c r="H20" s="8">
        <f>E20+H19*B1</f>
        <v>90454.057922587439</v>
      </c>
      <c r="I20" s="8">
        <f>F20+I19*B1</f>
        <v>135665.81325869577</v>
      </c>
      <c r="J20" s="12"/>
      <c r="K20" s="12"/>
      <c r="L20" s="1"/>
    </row>
    <row r="21" spans="1:19" x14ac:dyDescent="0.4">
      <c r="A21" s="2" t="s">
        <v>265</v>
      </c>
      <c r="B21" s="3">
        <v>331</v>
      </c>
      <c r="C21" s="4">
        <v>10</v>
      </c>
      <c r="D21" s="2" t="s">
        <v>276</v>
      </c>
      <c r="E21" s="3">
        <f>1.556*1.06</f>
        <v>1.6493600000000002</v>
      </c>
      <c r="F21" s="4"/>
      <c r="G21" s="3"/>
      <c r="H21" s="3"/>
      <c r="I21" s="4"/>
      <c r="J21" s="13">
        <f>G22*1.7*1.96+G22*0.05*6*1.7</f>
        <v>0</v>
      </c>
      <c r="K21" s="13">
        <f>J21*D3</f>
        <v>0</v>
      </c>
      <c r="L21" s="1">
        <f>K21*J5/C22*L2</f>
        <v>0</v>
      </c>
    </row>
    <row r="22" spans="1:19" x14ac:dyDescent="0.4">
      <c r="A22" s="5" t="s">
        <v>85</v>
      </c>
      <c r="B22" s="6">
        <v>115</v>
      </c>
      <c r="C22" s="7">
        <f>30*G7*K4*J6*0.5</f>
        <v>8.399163878463785</v>
      </c>
      <c r="D22" s="5"/>
      <c r="E22" s="6"/>
      <c r="F22" s="7"/>
      <c r="G22" s="8"/>
      <c r="H22" s="8"/>
      <c r="I22" s="7"/>
      <c r="J22" s="12"/>
      <c r="K22" s="12"/>
      <c r="L22" s="1"/>
    </row>
    <row r="23" spans="1:19" x14ac:dyDescent="0.4">
      <c r="A23" s="2" t="s">
        <v>266</v>
      </c>
      <c r="B23" s="3">
        <v>22</v>
      </c>
      <c r="C23" s="4">
        <v>9</v>
      </c>
      <c r="D23" s="2">
        <v>56676</v>
      </c>
      <c r="E23" s="3">
        <f>28393*2</f>
        <v>56786</v>
      </c>
      <c r="F23" s="4">
        <v>75503</v>
      </c>
      <c r="G23" s="3">
        <f>(D23-D24)/A8</f>
        <v>1.5649260800918616</v>
      </c>
      <c r="H23" s="3">
        <f>(E23-E24)/A8</f>
        <v>1.5679230658820151</v>
      </c>
      <c r="I23" s="3">
        <f>(F23-F24)/A8</f>
        <v>2.0849308645519353</v>
      </c>
      <c r="J23" s="13">
        <f>(H24+G24+I24)*1.1*1.05</f>
        <v>147085.96554383522</v>
      </c>
      <c r="K23" s="13">
        <f>J23*D3</f>
        <v>176023.07006106718</v>
      </c>
      <c r="L23" s="9">
        <f>K23</f>
        <v>176023.07006106718</v>
      </c>
    </row>
    <row r="24" spans="1:19" x14ac:dyDescent="0.4">
      <c r="A24" s="5">
        <f>1.388</f>
        <v>1.3879999999999999</v>
      </c>
      <c r="B24" s="6">
        <v>15</v>
      </c>
      <c r="C24" s="7">
        <f>9*G7*K4</f>
        <v>5.8598817756724086</v>
      </c>
      <c r="D24" s="5">
        <v>282</v>
      </c>
      <c r="E24" s="6">
        <f>142*2</f>
        <v>284</v>
      </c>
      <c r="F24" s="7">
        <v>370</v>
      </c>
      <c r="G24" s="8">
        <f>G23*B1+D24</f>
        <v>38195.464142385528</v>
      </c>
      <c r="H24" s="8">
        <f>E24+H23*B1</f>
        <v>38270.072117123578</v>
      </c>
      <c r="I24" s="8">
        <f>F24+I23*B1</f>
        <v>50881.620055499734</v>
      </c>
      <c r="J24" s="12"/>
      <c r="K24" s="12"/>
      <c r="L24" s="1"/>
    </row>
    <row r="25" spans="1:19" x14ac:dyDescent="0.4">
      <c r="A25" s="2" t="s">
        <v>269</v>
      </c>
      <c r="B25" s="3"/>
      <c r="C25" s="4"/>
      <c r="D25" s="2">
        <v>8059796</v>
      </c>
      <c r="E25" s="3"/>
      <c r="F25" s="4"/>
      <c r="G25" s="3">
        <f>(D25-D26)/A8</f>
        <v>222.66233577340796</v>
      </c>
      <c r="H25" s="3"/>
      <c r="I25" s="4"/>
      <c r="J25" s="13">
        <f>G26</f>
        <v>5430330.4087823546</v>
      </c>
      <c r="K25" s="13">
        <f>J25*D3*K8</f>
        <v>12584030.808407651</v>
      </c>
      <c r="L25" s="1"/>
      <c r="N25">
        <f>(L19+L15)*E21*3</f>
        <v>23828289.764015887</v>
      </c>
      <c r="P25">
        <f>J25*C3*K8*G1*G2*G8</f>
        <v>86482074.597678944</v>
      </c>
    </row>
    <row r="26" spans="1:19" x14ac:dyDescent="0.4">
      <c r="A26" s="5"/>
      <c r="B26" s="6"/>
      <c r="C26" s="7">
        <f>300*0.5*K4*G7</f>
        <v>97.664696261206814</v>
      </c>
      <c r="D26" s="5">
        <v>35890</v>
      </c>
      <c r="E26" s="6"/>
      <c r="F26" s="7"/>
      <c r="G26" s="8">
        <f>D26+G25*B1</f>
        <v>5430330.4087823546</v>
      </c>
      <c r="H26" s="8"/>
      <c r="I26" s="7"/>
      <c r="J26" s="12"/>
      <c r="K26" s="12"/>
      <c r="L26" s="1"/>
      <c r="N26">
        <f>N25*G8*G1*G2/(L6+L7)</f>
        <v>2948958.4336388349</v>
      </c>
    </row>
    <row r="27" spans="1:19" x14ac:dyDescent="0.4">
      <c r="A27" s="2"/>
      <c r="B27" s="3"/>
      <c r="C27" s="4">
        <f>31520</f>
        <v>31520</v>
      </c>
      <c r="D27" s="2"/>
      <c r="E27" s="3"/>
      <c r="F27" s="4"/>
      <c r="G27" s="3"/>
      <c r="H27" s="3"/>
      <c r="I27" s="4"/>
      <c r="J27" s="35" t="s">
        <v>274</v>
      </c>
      <c r="K27" s="36"/>
      <c r="L27" s="36"/>
      <c r="M27" s="36"/>
    </row>
    <row r="28" spans="1:19" x14ac:dyDescent="0.4">
      <c r="A28" s="5">
        <v>1928505</v>
      </c>
      <c r="B28" s="6" t="s">
        <v>278</v>
      </c>
      <c r="C28" s="7">
        <v>25</v>
      </c>
      <c r="D28" s="5">
        <f>A28/C28</f>
        <v>77140.2</v>
      </c>
      <c r="E28" s="6"/>
      <c r="F28" s="7"/>
      <c r="G28" s="8"/>
      <c r="H28" s="8"/>
      <c r="I28" s="7"/>
      <c r="J28" s="35" t="s">
        <v>275</v>
      </c>
      <c r="K28" s="36"/>
      <c r="L28" s="36"/>
      <c r="M28" s="36"/>
    </row>
    <row r="29" spans="1:19" x14ac:dyDescent="0.4">
      <c r="A29" s="2">
        <v>31387059</v>
      </c>
      <c r="B29" s="3"/>
      <c r="C29" s="4">
        <f>A29/D28</f>
        <v>406.88329820249368</v>
      </c>
      <c r="D29">
        <f>G29/10</f>
        <v>20.344164910124682</v>
      </c>
      <c r="E29" s="3">
        <f>G29*3/20</f>
        <v>30.516247365187024</v>
      </c>
      <c r="F29" s="4">
        <f>G29/10</f>
        <v>20.344164910124682</v>
      </c>
      <c r="G29" s="2">
        <f>C29/2</f>
        <v>203.44164910124684</v>
      </c>
      <c r="H29" s="3"/>
      <c r="I29" s="4"/>
      <c r="J29" s="35" t="s">
        <v>284</v>
      </c>
      <c r="K29" s="36"/>
      <c r="L29" s="36"/>
    </row>
    <row r="30" spans="1:19" x14ac:dyDescent="0.4">
      <c r="A30" s="5"/>
      <c r="B30" s="6"/>
      <c r="C30" s="7"/>
      <c r="D30" s="5" t="s">
        <v>279</v>
      </c>
      <c r="E30" s="6" t="s">
        <v>280</v>
      </c>
      <c r="F30" s="7" t="s">
        <v>281</v>
      </c>
      <c r="G30" s="8"/>
      <c r="H30" s="6">
        <f>G29*B1*D3*3</f>
        <v>17695348.376078725</v>
      </c>
      <c r="I30" s="7"/>
      <c r="J30" s="1"/>
      <c r="K30" s="1"/>
      <c r="L30" s="1"/>
    </row>
    <row r="31" spans="1:19" x14ac:dyDescent="0.4">
      <c r="A31" s="1">
        <v>27</v>
      </c>
      <c r="B31" s="1"/>
      <c r="C31" s="1" t="s">
        <v>42</v>
      </c>
      <c r="D31" s="1">
        <v>10</v>
      </c>
      <c r="E31" s="1">
        <v>1</v>
      </c>
      <c r="F31" s="1">
        <v>1</v>
      </c>
      <c r="G31" s="1"/>
      <c r="H31" s="1"/>
      <c r="I31" s="1"/>
      <c r="J31" s="1"/>
      <c r="K31" s="1" t="s">
        <v>204</v>
      </c>
      <c r="L31" s="1">
        <f>SUM(L11:L28)*H6*H8*G1*G2*G3</f>
        <v>0</v>
      </c>
    </row>
    <row r="32" spans="1:19" x14ac:dyDescent="0.4">
      <c r="A32" s="1" t="s">
        <v>250</v>
      </c>
      <c r="B32" s="1">
        <f>3/27</f>
        <v>0.1111111111111111</v>
      </c>
      <c r="C32" s="1"/>
      <c r="D32" s="1">
        <f>D29*3</f>
        <v>61.032494730374047</v>
      </c>
      <c r="E32" s="1">
        <f>E29*3</f>
        <v>91.548742095561067</v>
      </c>
      <c r="F32" s="1">
        <f>F29*3</f>
        <v>61.032494730374047</v>
      </c>
      <c r="G32" s="1"/>
      <c r="H32" s="1">
        <f>(D32+E32+F32+3*SUM(D36:I36)+6*D39)/27</f>
        <v>71.204577185436378</v>
      </c>
      <c r="I32" s="1">
        <f>(L6*G8+L7)/(L6+L7)</f>
        <v>2.176233056382562</v>
      </c>
      <c r="J32" s="1"/>
      <c r="K32" s="1"/>
      <c r="L32" s="1"/>
    </row>
    <row r="33" spans="1:16" x14ac:dyDescent="0.4">
      <c r="A33" s="1">
        <v>3</v>
      </c>
      <c r="B33" s="1"/>
      <c r="C33" s="1"/>
      <c r="D33" s="1"/>
      <c r="E33" s="1"/>
      <c r="F33" s="1"/>
      <c r="G33" s="1"/>
      <c r="H33" s="1">
        <f>H32*B1*D3*G1*G2</f>
        <v>2873724.5762751838</v>
      </c>
      <c r="I33" s="1">
        <f>H33*I32</f>
        <v>6253894.4178290265</v>
      </c>
      <c r="J33" s="1" t="s">
        <v>270</v>
      </c>
      <c r="K33" s="1">
        <f>K25*E21+L23+(L19+L15)*A24+L17+L13</f>
        <v>30547974.283496272</v>
      </c>
      <c r="L33" s="1">
        <f>(K33+K34*2)/3</f>
        <v>21365677.771895248</v>
      </c>
    </row>
    <row r="34" spans="1:16" x14ac:dyDescent="0.4">
      <c r="I34" s="25">
        <f>(I33+I33*E21*6/30)*0.5</f>
        <v>4158439.5386135615</v>
      </c>
      <c r="J34" s="1"/>
      <c r="K34" s="1">
        <f>(L19+L15)*E21+L23+(L13+L17)*A24+L19*E21</f>
        <v>16774529.51609474</v>
      </c>
      <c r="L34" s="1"/>
    </row>
    <row r="35" spans="1:16" x14ac:dyDescent="0.4">
      <c r="A35" t="s">
        <v>252</v>
      </c>
      <c r="B35">
        <f>18/27</f>
        <v>0.66666666666666663</v>
      </c>
      <c r="D35">
        <v>112</v>
      </c>
      <c r="E35">
        <v>113</v>
      </c>
      <c r="F35">
        <v>221</v>
      </c>
      <c r="G35">
        <v>223</v>
      </c>
      <c r="H35">
        <v>331</v>
      </c>
      <c r="I35">
        <v>332</v>
      </c>
      <c r="J35" s="1"/>
      <c r="K35" s="1">
        <f>L33*G8*G1*G2/(L6+L7)</f>
        <v>2644188.7470660638</v>
      </c>
      <c r="L35" s="1">
        <f>K35*21/27</f>
        <v>2056591.2477180497</v>
      </c>
    </row>
    <row r="36" spans="1:16" x14ac:dyDescent="0.4">
      <c r="A36">
        <v>18</v>
      </c>
      <c r="D36">
        <f>D29+D29+E29</f>
        <v>71.204577185436392</v>
      </c>
      <c r="E36">
        <f>D29+D29+F29</f>
        <v>61.032494730374047</v>
      </c>
      <c r="F36">
        <f>E29+E29+D29</f>
        <v>81.37665964049873</v>
      </c>
      <c r="G36">
        <f>E29+E29+F29</f>
        <v>81.37665964049873</v>
      </c>
      <c r="H36">
        <f>F29+F29+D29</f>
        <v>61.032494730374047</v>
      </c>
      <c r="I36">
        <f>F29+F29+E29</f>
        <v>71.204577185436392</v>
      </c>
      <c r="J36" s="1"/>
      <c r="K36">
        <f>N26</f>
        <v>2948958.4336388349</v>
      </c>
      <c r="L36" s="1">
        <f>K36*6/27</f>
        <v>655324.09636418545</v>
      </c>
    </row>
    <row r="37" spans="1:16" x14ac:dyDescent="0.4">
      <c r="J37" s="1"/>
      <c r="K37" s="1"/>
      <c r="L37" s="18">
        <f>L36+L35</f>
        <v>2711915.3440822354</v>
      </c>
    </row>
    <row r="38" spans="1:16" x14ac:dyDescent="0.4">
      <c r="A38" t="s">
        <v>251</v>
      </c>
      <c r="B38">
        <f>6/27</f>
        <v>0.22222222222222221</v>
      </c>
      <c r="D38">
        <v>123</v>
      </c>
      <c r="J38" s="1"/>
      <c r="K38" s="1"/>
      <c r="L38" s="18">
        <f>L37+I34</f>
        <v>6870354.8826957969</v>
      </c>
    </row>
    <row r="39" spans="1:16" x14ac:dyDescent="0.4">
      <c r="A39">
        <v>6</v>
      </c>
      <c r="D39">
        <f>D29+E29+F29</f>
        <v>71.204577185436392</v>
      </c>
      <c r="J39" s="1"/>
      <c r="K39" s="1"/>
      <c r="L39" s="1"/>
    </row>
    <row r="40" spans="1:16" x14ac:dyDescent="0.4">
      <c r="J40" s="1"/>
      <c r="K40" s="1"/>
      <c r="L40" s="1"/>
    </row>
    <row r="41" spans="1:16" x14ac:dyDescent="0.4">
      <c r="A41" s="1" t="s">
        <v>0</v>
      </c>
      <c r="B41" s="1"/>
      <c r="C41" s="1"/>
      <c r="D41" s="1"/>
      <c r="E41" s="1"/>
      <c r="F41" s="1"/>
      <c r="G41" s="1"/>
      <c r="H41" s="1"/>
      <c r="I41" s="1"/>
      <c r="J41" s="1"/>
      <c r="K41" s="1">
        <f>L33*G1*G2/(L6+L7)+H33</f>
        <v>3768794.5772156836</v>
      </c>
      <c r="L41" s="1"/>
      <c r="M41" s="1"/>
    </row>
    <row r="42" spans="1:16" x14ac:dyDescent="0.4">
      <c r="A42" s="1" t="s">
        <v>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4">
      <c r="A43" s="1" t="s">
        <v>2</v>
      </c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  <c r="O43" s="1"/>
    </row>
    <row r="44" spans="1:16" x14ac:dyDescent="0.4">
      <c r="A44" s="1" t="s">
        <v>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6" x14ac:dyDescent="0.4">
      <c r="A45" s="1" t="s">
        <v>259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6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6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6" x14ac:dyDescent="0.4">
      <c r="A48" s="1">
        <f>41802/1.16</f>
        <v>36036.206896551725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O48" s="1"/>
      <c r="P48" s="1"/>
    </row>
    <row r="49" spans="1:12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4">
      <c r="A50" s="1" t="s">
        <v>43</v>
      </c>
      <c r="B50" s="1"/>
      <c r="C50" s="1"/>
      <c r="D50" s="1"/>
      <c r="E50" s="1"/>
      <c r="F50" s="1"/>
      <c r="G50" s="1"/>
      <c r="H50" s="1"/>
      <c r="I50" s="1"/>
      <c r="J50" s="10"/>
      <c r="K50" s="10"/>
      <c r="L50" s="1"/>
    </row>
    <row r="51" spans="1:12" x14ac:dyDescent="0.4">
      <c r="A51" s="2" t="s">
        <v>260</v>
      </c>
      <c r="B51" s="3"/>
      <c r="C51" s="4"/>
      <c r="D51" s="2"/>
      <c r="E51" s="3"/>
      <c r="F51" s="4"/>
      <c r="G51" s="3"/>
      <c r="H51" s="3"/>
      <c r="I51" s="4"/>
      <c r="J51" s="12"/>
      <c r="K51" s="12"/>
      <c r="L51" s="1"/>
    </row>
    <row r="52" spans="1:12" x14ac:dyDescent="0.4">
      <c r="A52" s="5"/>
      <c r="B52" s="6"/>
      <c r="C52" s="7"/>
      <c r="D52" s="5"/>
      <c r="E52" s="6"/>
      <c r="F52" s="7"/>
      <c r="G52" s="8"/>
      <c r="H52" s="8"/>
      <c r="I52" s="11"/>
      <c r="J52" s="13"/>
      <c r="K52" s="13"/>
      <c r="L52" s="1"/>
    </row>
    <row r="53" spans="1:12" x14ac:dyDescent="0.4">
      <c r="A53" s="2" t="s">
        <v>261</v>
      </c>
      <c r="B53" s="3"/>
      <c r="C53" s="4"/>
      <c r="D53" s="2"/>
      <c r="E53" s="3"/>
      <c r="F53" s="4"/>
      <c r="G53" s="3"/>
      <c r="H53" s="3"/>
      <c r="I53" s="4"/>
      <c r="J53" s="6"/>
      <c r="K53" s="12"/>
      <c r="L53" s="1"/>
    </row>
    <row r="54" spans="1:12" x14ac:dyDescent="0.4">
      <c r="A54" s="5"/>
      <c r="B54" s="6"/>
      <c r="C54" s="7"/>
      <c r="D54" s="5"/>
      <c r="E54" s="6"/>
      <c r="F54" s="7"/>
      <c r="G54" s="8"/>
      <c r="H54" s="8"/>
      <c r="I54" s="11"/>
      <c r="J54" s="13"/>
      <c r="K54" s="13"/>
      <c r="L54" s="1"/>
    </row>
    <row r="55" spans="1:12" x14ac:dyDescent="0.4">
      <c r="A55" s="2" t="s">
        <v>262</v>
      </c>
      <c r="B55" s="3"/>
      <c r="C55" s="4"/>
      <c r="D55" s="2"/>
      <c r="E55" s="3"/>
      <c r="F55" s="4"/>
      <c r="G55" s="3"/>
      <c r="H55" s="3"/>
      <c r="I55" s="4"/>
      <c r="J55" s="12"/>
      <c r="K55" s="12"/>
      <c r="L55" s="1"/>
    </row>
    <row r="56" spans="1:12" x14ac:dyDescent="0.4">
      <c r="A56" s="5"/>
      <c r="B56" s="6"/>
      <c r="C56" s="7"/>
      <c r="D56" s="5"/>
      <c r="E56" s="6"/>
      <c r="F56" s="7"/>
      <c r="G56" s="8"/>
      <c r="H56" s="8"/>
      <c r="I56" s="7"/>
      <c r="J56" s="13"/>
      <c r="K56" s="13"/>
      <c r="L56" s="1"/>
    </row>
    <row r="57" spans="1:12" x14ac:dyDescent="0.4">
      <c r="A57" s="2" t="s">
        <v>263</v>
      </c>
      <c r="B57" s="3"/>
      <c r="C57" s="4"/>
      <c r="D57" s="2"/>
      <c r="E57" s="3"/>
      <c r="F57" s="4"/>
      <c r="G57" s="3"/>
      <c r="H57" s="3"/>
      <c r="I57" s="4"/>
      <c r="J57" s="12"/>
      <c r="K57" s="12"/>
      <c r="L57" s="1"/>
    </row>
    <row r="58" spans="1:12" x14ac:dyDescent="0.4">
      <c r="A58" s="5"/>
      <c r="B58" s="6"/>
      <c r="C58" s="7"/>
      <c r="D58" s="5"/>
      <c r="E58" s="6"/>
      <c r="F58" s="7"/>
      <c r="G58" s="8"/>
      <c r="H58" s="8"/>
      <c r="I58" s="7"/>
      <c r="J58" s="13"/>
      <c r="K58" s="13"/>
      <c r="L58" s="1"/>
    </row>
    <row r="59" spans="1:12" x14ac:dyDescent="0.4">
      <c r="A59" s="2" t="s">
        <v>264</v>
      </c>
      <c r="B59" s="3"/>
      <c r="C59" s="4"/>
      <c r="D59" s="4"/>
      <c r="E59" s="2"/>
      <c r="F59" s="15"/>
      <c r="G59" s="2"/>
      <c r="H59" s="2"/>
      <c r="I59" s="2"/>
      <c r="J59" s="12"/>
      <c r="K59" s="12"/>
      <c r="L59" s="1"/>
    </row>
    <row r="60" spans="1:12" x14ac:dyDescent="0.4">
      <c r="A60" s="5"/>
      <c r="B60" s="6"/>
      <c r="C60" s="7"/>
      <c r="D60" s="5"/>
      <c r="E60" s="6"/>
      <c r="F60" s="7"/>
      <c r="G60" s="8"/>
      <c r="H60" s="8"/>
      <c r="I60" s="8"/>
      <c r="J60" s="13"/>
      <c r="K60" s="13"/>
      <c r="L60" s="1"/>
    </row>
    <row r="61" spans="1:12" x14ac:dyDescent="0.4">
      <c r="A61" s="2" t="s">
        <v>265</v>
      </c>
      <c r="B61" s="3"/>
      <c r="C61" s="4"/>
      <c r="D61" s="2"/>
      <c r="E61" s="3"/>
      <c r="F61" s="4"/>
      <c r="G61" s="3"/>
      <c r="H61" s="3"/>
      <c r="I61" s="4"/>
      <c r="J61" s="12"/>
      <c r="K61" s="12"/>
      <c r="L61" s="1"/>
    </row>
    <row r="62" spans="1:12" x14ac:dyDescent="0.4">
      <c r="A62" s="5"/>
      <c r="B62" s="6"/>
      <c r="C62" s="7"/>
      <c r="D62" s="5"/>
      <c r="E62" s="6"/>
      <c r="F62" s="7"/>
      <c r="G62" s="8"/>
      <c r="H62" s="8"/>
      <c r="I62" s="7"/>
      <c r="J62" s="13"/>
      <c r="K62" s="13"/>
      <c r="L62" s="1"/>
    </row>
    <row r="63" spans="1:12" x14ac:dyDescent="0.4">
      <c r="A63" s="2" t="s">
        <v>266</v>
      </c>
      <c r="B63" s="3"/>
      <c r="C63" s="4"/>
      <c r="D63" s="2"/>
      <c r="E63" s="3"/>
      <c r="F63" s="4"/>
      <c r="G63" s="3"/>
      <c r="H63" s="3"/>
      <c r="I63" s="3"/>
      <c r="J63" s="12"/>
      <c r="K63" s="12"/>
      <c r="L63" s="1"/>
    </row>
    <row r="64" spans="1:12" x14ac:dyDescent="0.4">
      <c r="A64" s="5"/>
      <c r="B64" s="6"/>
      <c r="C64" s="7"/>
      <c r="D64" s="5"/>
      <c r="E64" s="6"/>
      <c r="F64" s="7"/>
      <c r="G64" s="8"/>
      <c r="H64" s="8"/>
      <c r="I64" s="8"/>
      <c r="J64" s="13"/>
      <c r="K64" s="13"/>
      <c r="L64" s="1"/>
    </row>
    <row r="65" spans="1:12" x14ac:dyDescent="0.4">
      <c r="A65" s="2" t="s">
        <v>269</v>
      </c>
      <c r="B65" s="3"/>
      <c r="C65" s="4"/>
      <c r="D65" s="2"/>
      <c r="E65" s="3"/>
      <c r="F65" s="4"/>
      <c r="G65" s="3"/>
      <c r="H65" s="3"/>
      <c r="I65" s="4"/>
      <c r="J65" s="12"/>
      <c r="K65" s="12"/>
      <c r="L65" s="1"/>
    </row>
    <row r="66" spans="1:12" x14ac:dyDescent="0.4">
      <c r="A66" s="5"/>
      <c r="B66" s="6"/>
      <c r="C66" s="7"/>
      <c r="D66" s="5"/>
      <c r="E66" s="6"/>
      <c r="F66" s="7"/>
      <c r="G66" s="8"/>
      <c r="H66" s="8"/>
      <c r="I66" s="7"/>
      <c r="J66" s="13"/>
      <c r="K66" s="13"/>
      <c r="L66" s="1"/>
    </row>
    <row r="67" spans="1:12" x14ac:dyDescent="0.4">
      <c r="A67" s="2"/>
      <c r="B67" s="3"/>
      <c r="C67" s="4"/>
      <c r="D67" s="2"/>
      <c r="E67" s="3"/>
      <c r="F67" s="4"/>
      <c r="G67" s="3"/>
      <c r="H67" s="3"/>
      <c r="I67" s="4"/>
      <c r="J67" s="12"/>
      <c r="K67" s="12"/>
      <c r="L67" s="1"/>
    </row>
    <row r="68" spans="1:12" x14ac:dyDescent="0.4">
      <c r="A68" s="5"/>
      <c r="B68" s="6"/>
      <c r="C68" s="7"/>
      <c r="D68" s="5"/>
      <c r="E68" s="6"/>
      <c r="F68" s="7"/>
      <c r="G68" s="8"/>
      <c r="H68" s="8"/>
      <c r="I68" s="7"/>
      <c r="J68" s="13"/>
      <c r="K68" s="13"/>
      <c r="L68" s="1"/>
    </row>
    <row r="69" spans="1:12" x14ac:dyDescent="0.4">
      <c r="A69" s="2"/>
      <c r="B69" s="3"/>
      <c r="C69" s="4"/>
      <c r="D69" s="2"/>
      <c r="E69" s="3"/>
      <c r="F69" s="4"/>
      <c r="G69" s="3"/>
      <c r="H69" s="3"/>
      <c r="I69" s="4"/>
      <c r="J69" s="12"/>
      <c r="K69" s="12"/>
      <c r="L69" s="1"/>
    </row>
    <row r="70" spans="1:12" x14ac:dyDescent="0.4">
      <c r="A70" s="5"/>
      <c r="B70" s="6"/>
      <c r="C70" s="7"/>
      <c r="D70" s="5"/>
      <c r="E70" s="6"/>
      <c r="F70" s="7"/>
      <c r="G70" s="8"/>
      <c r="H70" s="6"/>
      <c r="I70" s="7"/>
    </row>
  </sheetData>
  <mergeCells count="3">
    <mergeCell ref="J27:M27"/>
    <mergeCell ref="J28:M28"/>
    <mergeCell ref="J29:L2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M22" sqref="M22"/>
    </sheetView>
  </sheetViews>
  <sheetFormatPr defaultRowHeight="17.399999999999999" x14ac:dyDescent="0.4"/>
  <cols>
    <col min="1" max="2" width="14.5" customWidth="1"/>
    <col min="3" max="3" width="13.59765625" customWidth="1"/>
    <col min="4" max="4" width="11.5" customWidth="1"/>
    <col min="6" max="6" width="11.19921875" customWidth="1"/>
    <col min="7" max="7" width="14.09765625" customWidth="1"/>
    <col min="8" max="8" width="12.8984375" customWidth="1"/>
    <col min="9" max="9" width="13.5" customWidth="1"/>
    <col min="10" max="10" width="15.3984375" customWidth="1"/>
    <col min="11" max="11" width="14.69921875" customWidth="1"/>
    <col min="12" max="12" width="14.09765625" customWidth="1"/>
    <col min="13" max="13" width="14.5" customWidth="1"/>
  </cols>
  <sheetData>
    <row r="1" spans="1:16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/>
      <c r="J1" s="1"/>
      <c r="K1" s="1"/>
      <c r="L1" s="1"/>
    </row>
    <row r="2" spans="1:16" x14ac:dyDescent="0.4">
      <c r="A2" s="1" t="s">
        <v>1</v>
      </c>
      <c r="B2" s="1">
        <f>(0.0357*J2-0.0328)/100+H7</f>
        <v>0.65383599999999997</v>
      </c>
      <c r="C2" s="1">
        <f>1-B2</f>
        <v>0.34616400000000003</v>
      </c>
      <c r="D2" s="1"/>
      <c r="E2" s="1" t="s">
        <v>48</v>
      </c>
      <c r="F2" s="1">
        <v>3</v>
      </c>
      <c r="G2" s="1">
        <v>1.1599999999999999</v>
      </c>
      <c r="H2" s="1"/>
      <c r="I2" s="1" t="s">
        <v>25</v>
      </c>
      <c r="J2" s="1">
        <f>SUM(N3:N8)</f>
        <v>852</v>
      </c>
      <c r="K2" s="1" t="s">
        <v>201</v>
      </c>
      <c r="L2">
        <f>O8/10/100+1</f>
        <v>1.0580000000000001</v>
      </c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2.5</v>
      </c>
      <c r="C3" s="1">
        <v>2.5</v>
      </c>
      <c r="D3" s="1">
        <f>B3*B2+C2</f>
        <v>1.9807540000000001</v>
      </c>
      <c r="E3" s="1" t="s">
        <v>185</v>
      </c>
      <c r="F3" s="1">
        <v>3</v>
      </c>
      <c r="G3" s="1">
        <v>0.98</v>
      </c>
      <c r="H3" s="1"/>
      <c r="I3" s="1" t="s">
        <v>44</v>
      </c>
      <c r="J3" s="1">
        <f>SUM(P3:P8)*1.1</f>
        <v>1379.4</v>
      </c>
      <c r="K3" s="1" t="s">
        <v>202</v>
      </c>
      <c r="L3" s="1">
        <f>O8/14.0109/100+1</f>
        <v>1.0413963414198946</v>
      </c>
      <c r="M3" s="1" t="s">
        <v>104</v>
      </c>
      <c r="N3">
        <v>500</v>
      </c>
      <c r="O3" s="1"/>
      <c r="P3" s="1">
        <v>500</v>
      </c>
    </row>
    <row r="4" spans="1:16" x14ac:dyDescent="0.4">
      <c r="A4" s="1" t="s">
        <v>3</v>
      </c>
      <c r="B4" s="1">
        <v>1.05</v>
      </c>
      <c r="C4" s="1"/>
      <c r="D4" s="1"/>
      <c r="E4" s="1" t="s">
        <v>17</v>
      </c>
      <c r="F4" s="1">
        <v>3</v>
      </c>
      <c r="G4" s="1"/>
      <c r="H4" s="1"/>
      <c r="I4" s="1"/>
      <c r="J4" s="1" t="s">
        <v>45</v>
      </c>
      <c r="K4" s="1">
        <f>1-(0.0214*J3-0.0943)/100</f>
        <v>0.70575140000000003</v>
      </c>
      <c r="L4" s="1"/>
      <c r="M4" s="1" t="s">
        <v>105</v>
      </c>
      <c r="N4">
        <v>300</v>
      </c>
      <c r="O4" s="1"/>
      <c r="P4" s="1"/>
    </row>
    <row r="5" spans="1:16" x14ac:dyDescent="0.4">
      <c r="A5" s="1" t="s">
        <v>47</v>
      </c>
      <c r="B5" s="1"/>
      <c r="C5" s="1"/>
      <c r="D5" s="1"/>
      <c r="E5" s="1" t="s">
        <v>184</v>
      </c>
      <c r="F5" s="1">
        <v>3</v>
      </c>
      <c r="G5" s="1"/>
      <c r="H5" s="1"/>
      <c r="I5" s="1" t="s">
        <v>30</v>
      </c>
      <c r="J5" s="1">
        <v>1.21</v>
      </c>
      <c r="K5" s="1"/>
      <c r="L5" s="1"/>
      <c r="M5" s="1" t="s">
        <v>105</v>
      </c>
      <c r="O5" s="1"/>
      <c r="P5" s="1">
        <v>300</v>
      </c>
    </row>
    <row r="6" spans="1:16" x14ac:dyDescent="0.4">
      <c r="A6" s="1"/>
      <c r="B6" s="1"/>
      <c r="C6" s="1"/>
      <c r="D6" s="1"/>
      <c r="E6" s="1"/>
      <c r="F6" s="1" t="s">
        <v>192</v>
      </c>
      <c r="G6" s="1" t="s">
        <v>193</v>
      </c>
      <c r="H6" s="1">
        <f>1.3</f>
        <v>1.3</v>
      </c>
      <c r="I6" s="1" t="s">
        <v>31</v>
      </c>
      <c r="J6" s="1">
        <f>1-0.14</f>
        <v>0.86</v>
      </c>
      <c r="K6" s="1"/>
      <c r="L6" s="1"/>
      <c r="M6" s="1" t="s">
        <v>107</v>
      </c>
      <c r="O6" s="1"/>
      <c r="P6">
        <v>200</v>
      </c>
    </row>
    <row r="7" spans="1:16" x14ac:dyDescent="0.4">
      <c r="A7" s="1"/>
      <c r="B7" s="1"/>
      <c r="C7" s="1"/>
      <c r="D7" s="1"/>
      <c r="E7" s="1"/>
      <c r="F7" s="1"/>
      <c r="G7" s="1" t="s">
        <v>194</v>
      </c>
      <c r="H7" s="1">
        <v>0.35</v>
      </c>
      <c r="I7" s="1" t="s">
        <v>286</v>
      </c>
      <c r="J7" s="1">
        <f>SUM(O3:O8)/18.302/100+1</f>
        <v>1.0316905256256146</v>
      </c>
      <c r="K7" s="1">
        <f>20*K4</f>
        <v>14.115028000000001</v>
      </c>
      <c r="L7" s="1"/>
      <c r="M7" s="1" t="s">
        <v>108</v>
      </c>
      <c r="O7" s="1"/>
      <c r="P7">
        <v>200</v>
      </c>
    </row>
    <row r="8" spans="1:16" x14ac:dyDescent="0.4">
      <c r="A8" s="1">
        <v>8146</v>
      </c>
      <c r="B8" s="1">
        <v>8019</v>
      </c>
      <c r="C8" s="1">
        <v>6709</v>
      </c>
      <c r="D8" s="1"/>
      <c r="E8" s="1"/>
      <c r="F8" s="1"/>
      <c r="G8" s="1" t="s">
        <v>196</v>
      </c>
      <c r="H8" s="1">
        <f>12*0.7/100+1</f>
        <v>1.0840000000000001</v>
      </c>
      <c r="I8" s="1"/>
      <c r="J8" s="1"/>
      <c r="K8" s="1">
        <v>180</v>
      </c>
      <c r="L8" s="1">
        <v>30</v>
      </c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"/>
      <c r="J10" s="1" t="s">
        <v>65</v>
      </c>
      <c r="K10" s="1" t="s">
        <v>66</v>
      </c>
      <c r="L10" s="1" t="s">
        <v>32</v>
      </c>
    </row>
    <row r="11" spans="1:16" x14ac:dyDescent="0.4">
      <c r="A11" s="2" t="s">
        <v>186</v>
      </c>
      <c r="B11" s="3">
        <v>122</v>
      </c>
      <c r="C11" s="4">
        <v>12</v>
      </c>
      <c r="D11" s="2">
        <v>58529</v>
      </c>
      <c r="E11" s="3">
        <f>7802*5</f>
        <v>39010</v>
      </c>
      <c r="F11" s="4"/>
      <c r="G11" s="3">
        <f>(D11-D12)/A8</f>
        <v>7.0478762582862755</v>
      </c>
      <c r="H11" s="3">
        <f>(E11-E12)/A8</f>
        <v>4.6986250920697277</v>
      </c>
      <c r="I11" s="4">
        <f>(F11-F12)/A8</f>
        <v>0</v>
      </c>
      <c r="J11" s="10">
        <f>G12+H12*2.75*3.248</f>
        <v>1195192.5449324825</v>
      </c>
      <c r="K11" s="10">
        <f>J11*D3</f>
        <v>2367382.4141451945</v>
      </c>
      <c r="L11" s="1">
        <f>K11*J5/C12*L2</f>
        <v>238569.65458220956</v>
      </c>
    </row>
    <row r="12" spans="1:16" x14ac:dyDescent="0.4">
      <c r="A12" s="5" t="s">
        <v>198</v>
      </c>
      <c r="B12" s="6">
        <v>155</v>
      </c>
      <c r="C12" s="7">
        <f>18*K4</f>
        <v>12.703525200000001</v>
      </c>
      <c r="D12" s="5">
        <v>1117</v>
      </c>
      <c r="E12" s="6">
        <f>147*5</f>
        <v>735</v>
      </c>
      <c r="F12" s="7"/>
      <c r="G12" s="8">
        <f>D12+G11*B1</f>
        <v>171865.89810950161</v>
      </c>
      <c r="H12" s="8">
        <f>E12+H11*B1</f>
        <v>114568.5901055733</v>
      </c>
      <c r="I12" s="11">
        <f>F12+I11*B1</f>
        <v>0</v>
      </c>
      <c r="J12" s="12"/>
      <c r="K12" s="12"/>
      <c r="L12" s="1"/>
    </row>
    <row r="13" spans="1:16" x14ac:dyDescent="0.4">
      <c r="A13" s="2" t="s">
        <v>187</v>
      </c>
      <c r="B13" s="3">
        <v>132</v>
      </c>
      <c r="C13" s="4">
        <v>11</v>
      </c>
      <c r="D13" s="2">
        <v>139294</v>
      </c>
      <c r="E13" s="3">
        <f>18427*12</f>
        <v>221124</v>
      </c>
      <c r="F13" s="4"/>
      <c r="G13" s="3">
        <f>(D13-D14)/A8</f>
        <v>16.7730174318684</v>
      </c>
      <c r="H13" s="3">
        <f>(E13-E14)/(41794/1.16)</f>
        <v>6.1006996219553047</v>
      </c>
      <c r="I13" s="4">
        <f>(F13-F14)/A8</f>
        <v>0</v>
      </c>
      <c r="J13" s="13">
        <f>G14*1.708*1.952+H14</f>
        <v>1512803.8524105379</v>
      </c>
      <c r="K13" s="13">
        <f>J13*D3</f>
        <v>2996492.2818775829</v>
      </c>
      <c r="L13" s="1">
        <f>K13*J5/C14*L2</f>
        <v>263343.5950976832</v>
      </c>
    </row>
    <row r="14" spans="1:16" x14ac:dyDescent="0.4">
      <c r="A14" s="5" t="s">
        <v>87</v>
      </c>
      <c r="B14" s="6">
        <v>444</v>
      </c>
      <c r="C14" s="7">
        <f>24*K4*J6</f>
        <v>14.566708896</v>
      </c>
      <c r="D14" s="5">
        <v>2661</v>
      </c>
      <c r="E14" s="6">
        <f>110*12</f>
        <v>1320</v>
      </c>
      <c r="F14" s="7"/>
      <c r="G14" s="8">
        <f>D14+G13*B1</f>
        <v>409020.89332187572</v>
      </c>
      <c r="H14" s="8">
        <f>E14+H13*B1</f>
        <v>149121.64974111118</v>
      </c>
      <c r="I14" s="11">
        <f>F14+I13*B1</f>
        <v>0</v>
      </c>
      <c r="J14" s="6"/>
      <c r="K14" s="12"/>
      <c r="L14" s="1"/>
    </row>
    <row r="15" spans="1:16" x14ac:dyDescent="0.4">
      <c r="A15" s="2" t="s">
        <v>188</v>
      </c>
      <c r="B15" s="3">
        <v>232</v>
      </c>
      <c r="C15" s="4">
        <v>12</v>
      </c>
      <c r="D15" s="2">
        <v>174287</v>
      </c>
      <c r="E15" s="3">
        <f>5423*10*5</f>
        <v>271150</v>
      </c>
      <c r="F15" s="4"/>
      <c r="G15" s="3">
        <f>(D15-D16)/A8</f>
        <v>20.976430149766756</v>
      </c>
      <c r="H15" s="3">
        <f>B35*5*10</f>
        <v>42.958700067704811</v>
      </c>
      <c r="I15" s="4"/>
      <c r="J15" s="13">
        <f>G16+H16</f>
        <v>1552513.201403599</v>
      </c>
      <c r="K15" s="13">
        <f>J15*D3</f>
        <v>3075146.7337329844</v>
      </c>
      <c r="L15" s="1">
        <f>K15*J5/C14*L2</f>
        <v>270256.05946387223</v>
      </c>
    </row>
    <row r="16" spans="1:16" x14ac:dyDescent="0.4">
      <c r="A16" s="5" t="s">
        <v>199</v>
      </c>
      <c r="B16" s="6">
        <v>145</v>
      </c>
      <c r="C16" s="7">
        <f>(20-4)*K4</f>
        <v>11.2920224</v>
      </c>
      <c r="D16" s="5">
        <v>3413</v>
      </c>
      <c r="E16" s="6">
        <f>130*10*5</f>
        <v>6500</v>
      </c>
      <c r="F16" s="7"/>
      <c r="G16" s="8">
        <f>D16+G15*B1</f>
        <v>511608.97323839919</v>
      </c>
      <c r="H16" s="6">
        <f>H15*B1+(B33-B38)</f>
        <v>1040904.2281651997</v>
      </c>
      <c r="I16" s="7"/>
      <c r="J16" s="12"/>
      <c r="K16" s="12"/>
      <c r="L16" s="1"/>
    </row>
    <row r="17" spans="1:13" x14ac:dyDescent="0.4">
      <c r="A17" s="2" t="s">
        <v>189</v>
      </c>
      <c r="B17" s="3">
        <v>232</v>
      </c>
      <c r="C17" s="4">
        <v>12</v>
      </c>
      <c r="D17" s="2">
        <v>140139</v>
      </c>
      <c r="E17" s="3"/>
      <c r="F17" s="4"/>
      <c r="G17" s="3">
        <f>(D17-D18)/A8</f>
        <v>16.877117603731893</v>
      </c>
      <c r="H17" s="3">
        <f>(E17-E18)/A8</f>
        <v>0</v>
      </c>
      <c r="I17" s="4"/>
      <c r="J17" s="13">
        <f>G18*1.83*2.928</f>
        <v>2205129.7048012768</v>
      </c>
      <c r="K17" s="13">
        <f>J17*C3</f>
        <v>5512824.2620031917</v>
      </c>
      <c r="L17" s="1">
        <f>K17*J5/C18*L2</f>
        <v>581386.56418149755</v>
      </c>
    </row>
    <row r="18" spans="1:13" x14ac:dyDescent="0.4">
      <c r="A18" s="5" t="s">
        <v>87</v>
      </c>
      <c r="B18" s="6">
        <v>545</v>
      </c>
      <c r="C18" s="7">
        <f>20*K4*J6</f>
        <v>12.138924080000001</v>
      </c>
      <c r="D18" s="5">
        <v>2658</v>
      </c>
      <c r="E18" s="6"/>
      <c r="F18" s="7"/>
      <c r="G18" s="8">
        <f>D18+G17*B1</f>
        <v>411539.92818561255</v>
      </c>
      <c r="H18" s="8">
        <f>E18+H17*B1</f>
        <v>0</v>
      </c>
      <c r="I18" s="7"/>
      <c r="J18" s="12"/>
      <c r="K18" s="12"/>
      <c r="L18" s="1"/>
    </row>
    <row r="19" spans="1:13" x14ac:dyDescent="0.4">
      <c r="A19" s="2" t="s">
        <v>190</v>
      </c>
      <c r="B19" s="3">
        <v>212</v>
      </c>
      <c r="C19" s="4">
        <v>12</v>
      </c>
      <c r="D19" s="4">
        <v>26282</v>
      </c>
      <c r="E19" s="2"/>
      <c r="G19" s="2">
        <f>(D19-D20)/A8</f>
        <v>3.1648661919960719</v>
      </c>
      <c r="H19" s="3"/>
      <c r="I19" s="4"/>
      <c r="J19" s="13">
        <f>G20*1.5*1.83</f>
        <v>211848.70532592683</v>
      </c>
      <c r="K19" s="13">
        <f>J19*D3</f>
        <v>419620.17046915088</v>
      </c>
      <c r="L19" s="1">
        <f>K19*J5/C20*L2</f>
        <v>358126.23322079843</v>
      </c>
    </row>
    <row r="20" spans="1:13" x14ac:dyDescent="0.4">
      <c r="A20" s="5" t="s">
        <v>200</v>
      </c>
      <c r="B20" s="6">
        <v>455</v>
      </c>
      <c r="C20" s="7">
        <f>1.5</f>
        <v>1.5</v>
      </c>
      <c r="D20" s="5">
        <v>501</v>
      </c>
      <c r="E20" s="6"/>
      <c r="F20" s="7"/>
      <c r="G20" s="8">
        <f>D20+G19*B1</f>
        <v>77176.21323348883</v>
      </c>
      <c r="H20" s="6"/>
      <c r="I20" s="7"/>
      <c r="J20" s="12"/>
      <c r="K20" s="12"/>
      <c r="L20" s="1"/>
    </row>
    <row r="21" spans="1:13" x14ac:dyDescent="0.4">
      <c r="A21" s="2" t="s">
        <v>191</v>
      </c>
      <c r="B21" s="3">
        <v>232</v>
      </c>
      <c r="C21" s="4">
        <v>12</v>
      </c>
      <c r="D21" s="2">
        <v>192997</v>
      </c>
      <c r="E21" s="3"/>
      <c r="F21" s="4"/>
      <c r="G21" s="3">
        <f>(D21-D22)/A8</f>
        <v>23.24134544561748</v>
      </c>
      <c r="H21" s="3">
        <f>(E21-E22)/A8</f>
        <v>0</v>
      </c>
      <c r="I21" s="4"/>
      <c r="J21" s="13">
        <f>G22*1.7*1.96+G22*0.05*6*1.7</f>
        <v>2177419.2144183647</v>
      </c>
      <c r="K21" s="13">
        <f>J21*D3</f>
        <v>4312931.8186360337</v>
      </c>
      <c r="L21" s="1">
        <f>K21*J5/C22*L2</f>
        <v>454845.01090820535</v>
      </c>
      <c r="M21">
        <f>J21*C3*G1*G2*H8*H6*J5*L2</f>
        <v>13669888.350515237</v>
      </c>
    </row>
    <row r="22" spans="1:13" x14ac:dyDescent="0.4">
      <c r="A22" s="5" t="s">
        <v>197</v>
      </c>
      <c r="B22" s="6">
        <v>155</v>
      </c>
      <c r="C22" s="7">
        <f>20*K4*J6</f>
        <v>12.138924080000001</v>
      </c>
      <c r="D22" s="5">
        <v>3673</v>
      </c>
      <c r="E22" s="6"/>
      <c r="F22" s="7"/>
      <c r="G22" s="8">
        <f>(D22+G21*B1)</f>
        <v>566741.07611097465</v>
      </c>
      <c r="H22" s="8">
        <f>E22+H21*B1</f>
        <v>0</v>
      </c>
      <c r="I22" s="7"/>
      <c r="J22" s="12"/>
      <c r="K22" s="12"/>
      <c r="L22" s="1"/>
    </row>
    <row r="23" spans="1:13" x14ac:dyDescent="0.4">
      <c r="A23" s="2" t="s">
        <v>195</v>
      </c>
      <c r="B23" s="3"/>
      <c r="C23" s="4"/>
      <c r="D23" s="2">
        <v>535785</v>
      </c>
      <c r="E23" s="3">
        <v>157865</v>
      </c>
      <c r="F23" s="4"/>
      <c r="G23" s="3">
        <f>(D23-D24)/A8</f>
        <v>64.345445617480976</v>
      </c>
      <c r="H23" s="3">
        <f>(E23-E24)/A8</f>
        <v>18.959366560274983</v>
      </c>
      <c r="I23" s="4"/>
      <c r="J23" s="13">
        <f>(H24+G24)*1.1*1.05</f>
        <v>2348432.2607482206</v>
      </c>
      <c r="K23" s="13">
        <f>J23*D3</f>
        <v>4651666.5942060817</v>
      </c>
      <c r="L23" s="1">
        <f>K23/C24*L3</f>
        <v>121105.71431778387</v>
      </c>
    </row>
    <row r="24" spans="1:13" x14ac:dyDescent="0.4">
      <c r="A24" s="5"/>
      <c r="B24" s="6"/>
      <c r="C24" s="7">
        <v>40</v>
      </c>
      <c r="D24" s="5">
        <v>11627</v>
      </c>
      <c r="E24" s="6">
        <v>3422</v>
      </c>
      <c r="F24" s="7"/>
      <c r="G24" s="8">
        <f>G23*B1+D24</f>
        <v>1570524.1109747116</v>
      </c>
      <c r="H24" s="8">
        <f>E24+H23*B1</f>
        <v>462750.57365578203</v>
      </c>
      <c r="I24" s="7"/>
      <c r="J24" s="12"/>
      <c r="K24" s="12"/>
      <c r="L24" s="1"/>
    </row>
    <row r="25" spans="1:13" x14ac:dyDescent="0.4">
      <c r="A25" s="2" t="s">
        <v>282</v>
      </c>
      <c r="B25" s="3"/>
      <c r="C25" s="4"/>
      <c r="D25" s="2">
        <v>10175480</v>
      </c>
      <c r="E25" s="3"/>
      <c r="F25" s="4"/>
      <c r="G25" s="3">
        <f>(D25-D26)/(36036/1.16)</f>
        <v>326.09127095127093</v>
      </c>
      <c r="H25" s="3"/>
      <c r="I25" s="4"/>
      <c r="J25" s="13"/>
      <c r="K25" s="13"/>
      <c r="L25" s="1">
        <f>G25*B1*D3/C26*L2*J7</f>
        <v>80673.604434283494</v>
      </c>
    </row>
    <row r="26" spans="1:13" x14ac:dyDescent="0.4">
      <c r="A26" s="5"/>
      <c r="B26" s="6"/>
      <c r="C26" s="7">
        <f>300*K4</f>
        <v>211.72542000000001</v>
      </c>
      <c r="D26" s="5">
        <v>45286</v>
      </c>
      <c r="E26" s="6"/>
      <c r="F26" s="7"/>
      <c r="G26" s="8"/>
      <c r="H26" s="8"/>
      <c r="I26" s="7"/>
      <c r="J26" s="12"/>
      <c r="K26" s="12"/>
      <c r="L26" s="1"/>
    </row>
    <row r="27" spans="1:13" x14ac:dyDescent="0.4">
      <c r="A27" s="2"/>
      <c r="B27" s="3"/>
      <c r="C27" s="4"/>
      <c r="D27" s="2"/>
      <c r="E27" s="3"/>
      <c r="F27" s="4"/>
      <c r="G27" s="3"/>
      <c r="H27" s="3"/>
      <c r="I27" s="4"/>
      <c r="J27" s="13"/>
      <c r="K27" s="13"/>
      <c r="L27" s="1"/>
    </row>
    <row r="28" spans="1:13" x14ac:dyDescent="0.4">
      <c r="A28" s="5"/>
      <c r="B28" s="6"/>
      <c r="C28" s="7"/>
      <c r="D28" s="5"/>
      <c r="E28" s="6"/>
      <c r="F28" s="7"/>
      <c r="G28" s="8"/>
      <c r="H28" s="8"/>
      <c r="I28" s="7"/>
      <c r="J28" s="12"/>
      <c r="K28" s="12"/>
      <c r="L28" s="1"/>
    </row>
    <row r="29" spans="1:13" x14ac:dyDescent="0.4">
      <c r="A29" s="2" t="s">
        <v>47</v>
      </c>
      <c r="B29" s="3" t="s">
        <v>203</v>
      </c>
      <c r="C29" s="4"/>
      <c r="D29" s="2"/>
      <c r="E29" s="3"/>
      <c r="F29" s="4"/>
      <c r="G29" s="3">
        <f>2.1*4*2</f>
        <v>16.8</v>
      </c>
      <c r="H29" s="3"/>
      <c r="I29" s="4"/>
      <c r="J29" s="13">
        <f>G30</f>
        <v>407013.60000000003</v>
      </c>
      <c r="K29" s="13">
        <f>J29*D3</f>
        <v>806193.81625440007</v>
      </c>
      <c r="L29" s="1">
        <f>K29/C30</f>
        <v>1612387.6325088001</v>
      </c>
    </row>
    <row r="30" spans="1:13" x14ac:dyDescent="0.4">
      <c r="A30" s="5"/>
      <c r="B30" s="6"/>
      <c r="C30" s="7">
        <v>0.5</v>
      </c>
      <c r="D30" s="5"/>
      <c r="E30" s="6"/>
      <c r="F30" s="7"/>
      <c r="G30" s="8">
        <f>G29*B1</f>
        <v>407013.60000000003</v>
      </c>
      <c r="H30" s="6"/>
      <c r="I30" s="7"/>
      <c r="J30" s="12"/>
      <c r="K30" s="12"/>
      <c r="L30" s="1"/>
    </row>
    <row r="31" spans="1:13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 t="s">
        <v>204</v>
      </c>
      <c r="L32" s="1">
        <f>SUM(L11:L29)*H6*H8*G1*G2*G3</f>
        <v>7652383.8624009732</v>
      </c>
    </row>
    <row r="33" spans="1:12" x14ac:dyDescent="0.4">
      <c r="A33" s="1"/>
      <c r="B33" s="1">
        <v>5908</v>
      </c>
      <c r="C33" s="1">
        <v>6709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">
      <c r="B34">
        <v>4639</v>
      </c>
      <c r="C34">
        <v>5232</v>
      </c>
      <c r="J34" s="1"/>
      <c r="K34" s="1"/>
      <c r="L34" s="1">
        <f>(L13+L15+L19+L23+L25)*H6*H8*G1*G2*G3</f>
        <v>2102126.2753398176</v>
      </c>
    </row>
    <row r="35" spans="1:12" x14ac:dyDescent="0.4">
      <c r="B35">
        <f>(B33-B34)/(C33-C34)</f>
        <v>0.85917400135409616</v>
      </c>
      <c r="J35" s="1"/>
      <c r="K35" s="1"/>
      <c r="L35" s="1"/>
    </row>
    <row r="36" spans="1:12" x14ac:dyDescent="0.4">
      <c r="J36" s="1"/>
      <c r="K36" s="1"/>
      <c r="L36" s="1"/>
    </row>
    <row r="37" spans="1:12" x14ac:dyDescent="0.4">
      <c r="J37" s="1"/>
      <c r="K37" s="1"/>
      <c r="L37" s="1"/>
    </row>
    <row r="38" spans="1:12" x14ac:dyDescent="0.4">
      <c r="B38">
        <f>C33*B35</f>
        <v>5764.1983750846312</v>
      </c>
      <c r="J38" s="1"/>
      <c r="K38" s="1"/>
      <c r="L38" s="1"/>
    </row>
    <row r="39" spans="1:12" x14ac:dyDescent="0.4">
      <c r="J39" s="1"/>
      <c r="K39" s="1"/>
      <c r="L39" s="1"/>
    </row>
    <row r="40" spans="1:12" x14ac:dyDescent="0.4">
      <c r="J40" s="1"/>
      <c r="K40" s="1"/>
      <c r="L40" s="1"/>
    </row>
    <row r="41" spans="1:12" x14ac:dyDescent="0.4">
      <c r="J41" s="1"/>
      <c r="K41" s="1"/>
      <c r="L41" s="1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D1" workbookViewId="0">
      <selection activeCell="J4" sqref="J4"/>
    </sheetView>
  </sheetViews>
  <sheetFormatPr defaultRowHeight="17.399999999999999" x14ac:dyDescent="0.4"/>
  <cols>
    <col min="1" max="2" width="14.5" customWidth="1"/>
    <col min="3" max="3" width="13.59765625" customWidth="1"/>
    <col min="4" max="4" width="11.5" customWidth="1"/>
    <col min="6" max="6" width="11.19921875" customWidth="1"/>
    <col min="7" max="7" width="14.09765625" customWidth="1"/>
    <col min="8" max="8" width="12.8984375" customWidth="1"/>
    <col min="9" max="9" width="13.5" customWidth="1"/>
    <col min="10" max="10" width="15.3984375" customWidth="1"/>
    <col min="11" max="11" width="14.69921875" customWidth="1"/>
    <col min="12" max="12" width="14.09765625" customWidth="1"/>
  </cols>
  <sheetData>
    <row r="1" spans="1:16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/>
      <c r="J1" s="1"/>
      <c r="K1" s="1"/>
      <c r="L1" s="1"/>
    </row>
    <row r="2" spans="1:16" x14ac:dyDescent="0.4">
      <c r="A2" s="1" t="s">
        <v>1</v>
      </c>
      <c r="B2" s="1">
        <f>(0.0357*J2-0.0328)/100+H7</f>
        <v>0.95914240000000006</v>
      </c>
      <c r="C2" s="1">
        <f>1-B2</f>
        <v>4.0857599999999938E-2</v>
      </c>
      <c r="D2" s="1"/>
      <c r="E2" s="1" t="s">
        <v>48</v>
      </c>
      <c r="F2" s="1">
        <v>3</v>
      </c>
      <c r="G2" s="1">
        <v>1.1599999999999999</v>
      </c>
      <c r="H2" s="1"/>
      <c r="I2" s="1" t="s">
        <v>25</v>
      </c>
      <c r="J2" s="1">
        <f>SUM(N3:N8)*1.1</f>
        <v>1707.2</v>
      </c>
      <c r="K2" s="1" t="s">
        <v>201</v>
      </c>
      <c r="L2">
        <f>O8/10/100+1</f>
        <v>1.0580000000000001</v>
      </c>
      <c r="M2" s="1"/>
      <c r="N2" s="1" t="s">
        <v>109</v>
      </c>
      <c r="O2" s="1" t="s">
        <v>110</v>
      </c>
      <c r="P2" s="1" t="s">
        <v>111</v>
      </c>
    </row>
    <row r="3" spans="1:16" x14ac:dyDescent="0.4">
      <c r="A3" s="1" t="s">
        <v>2</v>
      </c>
      <c r="B3" s="1">
        <v>2.5</v>
      </c>
      <c r="C3" s="1">
        <v>2.5</v>
      </c>
      <c r="D3" s="1">
        <f>B3*B2+C2</f>
        <v>2.4387135999999998</v>
      </c>
      <c r="E3" s="1" t="s">
        <v>14</v>
      </c>
      <c r="F3" s="1">
        <v>3</v>
      </c>
      <c r="G3" s="1">
        <v>0.98</v>
      </c>
      <c r="H3" s="1"/>
      <c r="I3" s="1" t="s">
        <v>44</v>
      </c>
      <c r="J3" s="1">
        <f>SUM(P3:P8)</f>
        <v>554</v>
      </c>
      <c r="K3" s="1" t="s">
        <v>202</v>
      </c>
      <c r="L3" s="1">
        <f>O8/14.0109/100+1</f>
        <v>1.0413963414198946</v>
      </c>
      <c r="M3" s="1" t="s">
        <v>104</v>
      </c>
      <c r="N3">
        <v>500</v>
      </c>
      <c r="O3" s="1"/>
      <c r="P3" s="1">
        <v>500</v>
      </c>
    </row>
    <row r="4" spans="1:16" x14ac:dyDescent="0.4">
      <c r="A4" s="1" t="s">
        <v>3</v>
      </c>
      <c r="B4" s="1">
        <v>1.05</v>
      </c>
      <c r="C4" s="1"/>
      <c r="D4" s="1"/>
      <c r="E4" s="1" t="s">
        <v>17</v>
      </c>
      <c r="F4" s="1">
        <v>3</v>
      </c>
      <c r="G4" s="1"/>
      <c r="H4" s="1"/>
      <c r="I4" s="1"/>
      <c r="J4" s="1" t="s">
        <v>45</v>
      </c>
      <c r="K4" s="1">
        <f>1-(0.0214*J3-0.0943)/100</f>
        <v>0.88238700000000003</v>
      </c>
      <c r="L4" s="1"/>
      <c r="M4" s="1" t="s">
        <v>105</v>
      </c>
      <c r="N4">
        <v>300</v>
      </c>
      <c r="O4" s="1"/>
      <c r="P4" s="1"/>
    </row>
    <row r="5" spans="1:16" x14ac:dyDescent="0.4">
      <c r="A5" s="1" t="s">
        <v>47</v>
      </c>
      <c r="B5" s="1"/>
      <c r="C5" s="1"/>
      <c r="D5" s="1"/>
      <c r="E5" s="1" t="s">
        <v>184</v>
      </c>
      <c r="F5" s="1">
        <v>3</v>
      </c>
      <c r="G5" s="1"/>
      <c r="H5" s="1"/>
      <c r="I5" s="1" t="s">
        <v>30</v>
      </c>
      <c r="J5" s="1">
        <v>1.21</v>
      </c>
      <c r="K5" s="1"/>
      <c r="L5" s="1"/>
      <c r="M5" s="1" t="s">
        <v>105</v>
      </c>
      <c r="N5" s="1">
        <v>300</v>
      </c>
      <c r="O5" s="1"/>
    </row>
    <row r="6" spans="1:16" x14ac:dyDescent="0.4">
      <c r="A6" s="1"/>
      <c r="B6" s="1"/>
      <c r="C6" s="1"/>
      <c r="D6" s="1"/>
      <c r="E6" s="1"/>
      <c r="F6" s="1" t="s">
        <v>192</v>
      </c>
      <c r="G6" s="1" t="s">
        <v>193</v>
      </c>
      <c r="H6" s="1">
        <f>1.3</f>
        <v>1.3</v>
      </c>
      <c r="I6" s="1" t="s">
        <v>31</v>
      </c>
      <c r="J6" s="1">
        <f>1-0.14</f>
        <v>0.86</v>
      </c>
      <c r="K6" s="1"/>
      <c r="L6" s="1"/>
      <c r="M6" s="1" t="s">
        <v>107</v>
      </c>
      <c r="N6">
        <v>200</v>
      </c>
      <c r="O6" s="1"/>
    </row>
    <row r="7" spans="1:16" x14ac:dyDescent="0.4">
      <c r="A7" s="1"/>
      <c r="B7" s="1"/>
      <c r="C7" s="1"/>
      <c r="D7" s="1"/>
      <c r="E7" s="1"/>
      <c r="F7" s="1"/>
      <c r="G7" s="1" t="s">
        <v>194</v>
      </c>
      <c r="H7" s="1">
        <v>0.35</v>
      </c>
      <c r="I7" s="1" t="s">
        <v>16</v>
      </c>
      <c r="J7" s="1">
        <f>SUM(O3:O8)/18.302/100+1</f>
        <v>1.0316905256256146</v>
      </c>
      <c r="K7" s="1">
        <f>20*K4</f>
        <v>17.647739999999999</v>
      </c>
      <c r="L7" s="1"/>
      <c r="M7" s="1" t="s">
        <v>108</v>
      </c>
      <c r="N7">
        <v>200</v>
      </c>
      <c r="O7" s="1"/>
    </row>
    <row r="8" spans="1:16" x14ac:dyDescent="0.4">
      <c r="A8" s="1">
        <v>8146</v>
      </c>
      <c r="B8" s="1">
        <v>8019</v>
      </c>
      <c r="C8" s="1">
        <v>6709</v>
      </c>
      <c r="D8" s="1"/>
      <c r="E8" s="1"/>
      <c r="F8" s="1"/>
      <c r="G8" s="1" t="s">
        <v>196</v>
      </c>
      <c r="H8" s="1">
        <f>12*0.7/100+1</f>
        <v>1.0840000000000001</v>
      </c>
      <c r="I8" s="1"/>
      <c r="J8" s="1"/>
      <c r="K8" s="1">
        <v>180</v>
      </c>
      <c r="L8" s="1">
        <v>30</v>
      </c>
      <c r="N8" s="1">
        <v>52</v>
      </c>
      <c r="O8" s="1">
        <v>58</v>
      </c>
      <c r="P8" s="1">
        <v>54</v>
      </c>
    </row>
    <row r="9" spans="1:16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6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"/>
      <c r="J10" s="1" t="s">
        <v>65</v>
      </c>
      <c r="K10" s="1" t="s">
        <v>66</v>
      </c>
      <c r="L10" s="1" t="s">
        <v>32</v>
      </c>
    </row>
    <row r="11" spans="1:16" x14ac:dyDescent="0.4">
      <c r="A11" s="2" t="s">
        <v>186</v>
      </c>
      <c r="B11" s="3">
        <v>122</v>
      </c>
      <c r="C11" s="4">
        <v>12</v>
      </c>
      <c r="D11" s="2">
        <v>58529</v>
      </c>
      <c r="E11" s="3">
        <f>7802*5</f>
        <v>39010</v>
      </c>
      <c r="F11" s="4"/>
      <c r="G11" s="3">
        <f>(D11-D12)/A8</f>
        <v>7.0478762582862755</v>
      </c>
      <c r="H11" s="3">
        <f>(E11-E12)/A8</f>
        <v>4.6986250920697277</v>
      </c>
      <c r="I11" s="4">
        <f>(F11-F12)/A8</f>
        <v>0</v>
      </c>
      <c r="J11" s="27">
        <f>G12+H12*2.56*3.024</f>
        <v>1058791.764296391</v>
      </c>
      <c r="K11" s="27">
        <f>J11*D3</f>
        <v>2582089.8751576031</v>
      </c>
      <c r="L11" s="1">
        <f>K11*J5/C12*L2</f>
        <v>208118.5476553473</v>
      </c>
    </row>
    <row r="12" spans="1:16" x14ac:dyDescent="0.4">
      <c r="A12" s="5" t="s">
        <v>36</v>
      </c>
      <c r="B12" s="6">
        <v>144</v>
      </c>
      <c r="C12" s="7">
        <f>18*K4</f>
        <v>15.882966</v>
      </c>
      <c r="D12" s="5">
        <v>1117</v>
      </c>
      <c r="E12" s="6">
        <f>147*5</f>
        <v>735</v>
      </c>
      <c r="F12" s="7"/>
      <c r="G12" s="8">
        <f>D12+G11*B1</f>
        <v>171865.89810950161</v>
      </c>
      <c r="H12" s="8">
        <f>E12+H11*B1</f>
        <v>114568.5901055733</v>
      </c>
      <c r="I12" s="11">
        <f>F12+I11*B1</f>
        <v>0</v>
      </c>
      <c r="J12" s="12"/>
      <c r="K12" s="12"/>
      <c r="L12" s="1"/>
    </row>
    <row r="13" spans="1:16" x14ac:dyDescent="0.4">
      <c r="A13" s="2" t="s">
        <v>187</v>
      </c>
      <c r="B13" s="3">
        <v>132</v>
      </c>
      <c r="C13" s="4">
        <v>11</v>
      </c>
      <c r="D13" s="2">
        <v>139294</v>
      </c>
      <c r="E13" s="3">
        <f>5424*3*5</f>
        <v>81360</v>
      </c>
      <c r="F13" s="4"/>
      <c r="G13" s="3">
        <f>(D13-D14)/A8</f>
        <v>16.7730174318684</v>
      </c>
      <c r="H13" s="3">
        <f>(E13-E14)/B8</f>
        <v>9.9476243920688372</v>
      </c>
      <c r="I13" s="4">
        <f>(F13-F14)/A8</f>
        <v>0</v>
      </c>
      <c r="J13" s="13">
        <f>G14*1.624*1.856+H14</f>
        <v>1475438.9676274236</v>
      </c>
      <c r="K13" s="13">
        <f>J13*D3</f>
        <v>3598173.0763229574</v>
      </c>
      <c r="L13" s="1">
        <f>K13*J5/C14*L2</f>
        <v>252920.65247728821</v>
      </c>
    </row>
    <row r="14" spans="1:16" x14ac:dyDescent="0.4">
      <c r="A14" s="5" t="s">
        <v>87</v>
      </c>
      <c r="B14" s="6">
        <v>444</v>
      </c>
      <c r="C14" s="7">
        <f>24*K4*J6</f>
        <v>18.21246768</v>
      </c>
      <c r="D14" s="5">
        <v>2661</v>
      </c>
      <c r="E14" s="6">
        <f>106*3*5</f>
        <v>1590</v>
      </c>
      <c r="F14" s="7"/>
      <c r="G14" s="8">
        <f>D14+G13*B1</f>
        <v>409020.89332187572</v>
      </c>
      <c r="H14" s="8">
        <f>E14+H13*B1</f>
        <v>242591.09614665172</v>
      </c>
      <c r="I14" s="11">
        <f>F14+I13*B1</f>
        <v>0</v>
      </c>
      <c r="J14" s="6"/>
      <c r="K14" s="12"/>
      <c r="L14" s="1"/>
    </row>
    <row r="15" spans="1:16" x14ac:dyDescent="0.4">
      <c r="A15" s="2" t="s">
        <v>188</v>
      </c>
      <c r="B15" s="3">
        <v>232</v>
      </c>
      <c r="C15" s="4">
        <v>12</v>
      </c>
      <c r="D15" s="2">
        <v>174287</v>
      </c>
      <c r="E15" s="3">
        <f>5423*10*5</f>
        <v>271150</v>
      </c>
      <c r="F15" s="4"/>
      <c r="G15" s="3">
        <f>(D15-D16)/A8</f>
        <v>20.976430149766756</v>
      </c>
      <c r="H15" s="3">
        <f>B35*5*10</f>
        <v>42.958700067704811</v>
      </c>
      <c r="I15" s="4"/>
      <c r="J15" s="13">
        <f>G16+H16</f>
        <v>1552513.201403599</v>
      </c>
      <c r="K15" s="13">
        <f>J15*D3</f>
        <v>3786135.0584424958</v>
      </c>
      <c r="L15" s="1">
        <f>K15*J5/C14*L2</f>
        <v>266132.76488828415</v>
      </c>
    </row>
    <row r="16" spans="1:16" x14ac:dyDescent="0.4">
      <c r="A16" s="5" t="s">
        <v>36</v>
      </c>
      <c r="B16" s="6">
        <v>145</v>
      </c>
      <c r="C16" s="7">
        <f>(20-4)*K4</f>
        <v>14.118192000000001</v>
      </c>
      <c r="D16" s="5">
        <v>3413</v>
      </c>
      <c r="E16" s="6">
        <f>130*10*5</f>
        <v>6500</v>
      </c>
      <c r="F16" s="7"/>
      <c r="G16" s="8">
        <f>D16+G15*B1</f>
        <v>511608.97323839919</v>
      </c>
      <c r="H16" s="6">
        <f>H15*B1+(B33-B38)</f>
        <v>1040904.2281651997</v>
      </c>
      <c r="I16" s="7"/>
      <c r="J16" s="12"/>
      <c r="K16" s="12"/>
      <c r="L16" s="1"/>
    </row>
    <row r="17" spans="1:12" x14ac:dyDescent="0.4">
      <c r="A17" s="2" t="s">
        <v>189</v>
      </c>
      <c r="B17" s="3">
        <v>232</v>
      </c>
      <c r="C17" s="4">
        <v>12</v>
      </c>
      <c r="D17" s="2">
        <v>140139</v>
      </c>
      <c r="E17" s="3"/>
      <c r="F17" s="4"/>
      <c r="G17" s="3">
        <f>(D17-D18)/A8</f>
        <v>16.877117603731893</v>
      </c>
      <c r="H17" s="3">
        <f>(E17-E18)/A8</f>
        <v>0</v>
      </c>
      <c r="I17" s="4"/>
      <c r="J17" s="13">
        <f>G18*1.83*2.928</f>
        <v>2205129.7048012768</v>
      </c>
      <c r="K17" s="13">
        <f>J17*C3</f>
        <v>5512824.2620031917</v>
      </c>
      <c r="L17" s="1">
        <f>K17*J5/C18*L2</f>
        <v>465005.01663361065</v>
      </c>
    </row>
    <row r="18" spans="1:12" x14ac:dyDescent="0.4">
      <c r="A18" s="5" t="s">
        <v>87</v>
      </c>
      <c r="B18" s="6">
        <v>545</v>
      </c>
      <c r="C18" s="7">
        <f>20*K4*J6</f>
        <v>15.1770564</v>
      </c>
      <c r="D18" s="5">
        <v>2658</v>
      </c>
      <c r="E18" s="6"/>
      <c r="F18" s="7"/>
      <c r="G18" s="8">
        <f>D18+G17*B1</f>
        <v>411539.92818561255</v>
      </c>
      <c r="H18" s="8">
        <f>E18+H17*B1</f>
        <v>0</v>
      </c>
      <c r="I18" s="7"/>
      <c r="J18" s="12"/>
      <c r="K18" s="12"/>
      <c r="L18" s="1"/>
    </row>
    <row r="19" spans="1:12" x14ac:dyDescent="0.4">
      <c r="A19" s="2" t="s">
        <v>190</v>
      </c>
      <c r="B19" s="3">
        <v>212</v>
      </c>
      <c r="C19" s="4">
        <v>12</v>
      </c>
      <c r="D19" s="4">
        <v>26282</v>
      </c>
      <c r="E19" s="2"/>
      <c r="G19" s="2">
        <f>(D19-D20)/A8</f>
        <v>3.1648661919960719</v>
      </c>
      <c r="H19" s="3"/>
      <c r="I19" s="4"/>
      <c r="J19" s="13">
        <f>G20*1.5*1.83</f>
        <v>211848.70532592683</v>
      </c>
      <c r="K19" s="13">
        <f>J19*D3</f>
        <v>516638.31882073014</v>
      </c>
      <c r="L19" s="1">
        <f>K19*J5/C20*L2</f>
        <v>440926.69532528153</v>
      </c>
    </row>
    <row r="20" spans="1:12" x14ac:dyDescent="0.4">
      <c r="A20" s="5" t="s">
        <v>87</v>
      </c>
      <c r="B20" s="6">
        <v>455</v>
      </c>
      <c r="C20" s="7">
        <f>1.5</f>
        <v>1.5</v>
      </c>
      <c r="D20" s="5">
        <v>501</v>
      </c>
      <c r="E20" s="6"/>
      <c r="F20" s="7"/>
      <c r="G20" s="8">
        <f>D20+G19*B1</f>
        <v>77176.21323348883</v>
      </c>
      <c r="H20" s="6"/>
      <c r="I20" s="7"/>
      <c r="J20" s="12"/>
      <c r="K20" s="12"/>
      <c r="L20" s="1"/>
    </row>
    <row r="21" spans="1:12" x14ac:dyDescent="0.4">
      <c r="A21" s="2" t="s">
        <v>191</v>
      </c>
      <c r="B21" s="3">
        <v>232</v>
      </c>
      <c r="C21" s="4">
        <v>12</v>
      </c>
      <c r="D21" s="2">
        <v>192997</v>
      </c>
      <c r="E21" s="3"/>
      <c r="F21" s="4"/>
      <c r="G21" s="3">
        <f>(D21-D22)/A8</f>
        <v>23.24134544561748</v>
      </c>
      <c r="H21" s="3">
        <f>(E21-E22)/A8</f>
        <v>0</v>
      </c>
      <c r="I21" s="4"/>
      <c r="J21" s="13">
        <f>G22*1.7*1.96+G22*0.05*6*1.7</f>
        <v>2177419.2144183647</v>
      </c>
      <c r="K21" s="13">
        <f>J21*D3</f>
        <v>5310101.8511033813</v>
      </c>
      <c r="L21" s="1">
        <f>K21*J5/C22*L2</f>
        <v>447905.44415091764</v>
      </c>
    </row>
    <row r="22" spans="1:12" x14ac:dyDescent="0.4">
      <c r="A22" s="5" t="s">
        <v>87</v>
      </c>
      <c r="B22" s="6">
        <v>155</v>
      </c>
      <c r="C22" s="7">
        <f>20*K4*J6</f>
        <v>15.1770564</v>
      </c>
      <c r="D22" s="5">
        <v>3673</v>
      </c>
      <c r="E22" s="6"/>
      <c r="F22" s="7"/>
      <c r="G22" s="8">
        <f>(D22+G21*B1)</f>
        <v>566741.07611097465</v>
      </c>
      <c r="H22" s="8">
        <f>E22+H21*B1</f>
        <v>0</v>
      </c>
      <c r="I22" s="7"/>
      <c r="J22" s="12"/>
      <c r="K22" s="12"/>
      <c r="L22" s="1"/>
    </row>
    <row r="23" spans="1:12" x14ac:dyDescent="0.4">
      <c r="A23" s="2" t="s">
        <v>195</v>
      </c>
      <c r="B23" s="3"/>
      <c r="C23" s="4"/>
      <c r="D23" s="2">
        <v>535785</v>
      </c>
      <c r="E23" s="3">
        <v>157865</v>
      </c>
      <c r="F23" s="4"/>
      <c r="G23" s="3">
        <f>(D23-D24)/A8</f>
        <v>64.345445617480976</v>
      </c>
      <c r="H23" s="3">
        <f>(E23-E24)/A8</f>
        <v>18.959366560274983</v>
      </c>
      <c r="I23" s="4"/>
      <c r="J23" s="13">
        <f>(H24+G24)*1.1*1.05</f>
        <v>2348432.2607482206</v>
      </c>
      <c r="K23" s="13">
        <f>J23*D3</f>
        <v>5727153.6929654311</v>
      </c>
      <c r="L23" s="1">
        <f>K23/C24*L3</f>
        <v>149105.92256509094</v>
      </c>
    </row>
    <row r="24" spans="1:12" x14ac:dyDescent="0.4">
      <c r="A24" s="5"/>
      <c r="B24" s="6"/>
      <c r="C24" s="7">
        <v>40</v>
      </c>
      <c r="D24" s="5">
        <v>11627</v>
      </c>
      <c r="E24" s="6">
        <v>3422</v>
      </c>
      <c r="F24" s="7"/>
      <c r="G24" s="8">
        <f>G23*B1+D24</f>
        <v>1570524.1109747116</v>
      </c>
      <c r="H24" s="8">
        <f>E24+H23*B1</f>
        <v>462750.57365578203</v>
      </c>
      <c r="I24" s="7"/>
      <c r="J24" s="12"/>
      <c r="K24" s="12"/>
      <c r="L24" s="1"/>
    </row>
    <row r="25" spans="1:12" x14ac:dyDescent="0.4">
      <c r="A25" s="2" t="s">
        <v>282</v>
      </c>
      <c r="B25" s="3"/>
      <c r="C25" s="4"/>
      <c r="D25" s="2">
        <v>10175480</v>
      </c>
      <c r="E25" s="3"/>
      <c r="F25" s="4"/>
      <c r="G25" s="3">
        <f>(D25-D26)/(36036/1.16)</f>
        <v>326.09127095127093</v>
      </c>
      <c r="H25" s="3"/>
      <c r="I25" s="4"/>
      <c r="J25" s="13"/>
      <c r="K25" s="13"/>
      <c r="L25" s="1">
        <f>G25*B1*D3/C26*L2*J7</f>
        <v>79442.767885356909</v>
      </c>
    </row>
    <row r="26" spans="1:12" x14ac:dyDescent="0.4">
      <c r="A26" s="5"/>
      <c r="B26" s="6"/>
      <c r="C26" s="7">
        <f>300*K4</f>
        <v>264.71609999999998</v>
      </c>
      <c r="D26" s="5">
        <v>45286</v>
      </c>
      <c r="E26" s="6"/>
      <c r="F26" s="7"/>
      <c r="G26" s="8"/>
      <c r="H26" s="8"/>
      <c r="I26" s="7"/>
      <c r="J26" s="12"/>
      <c r="K26" s="12"/>
      <c r="L26" s="1"/>
    </row>
    <row r="27" spans="1:12" x14ac:dyDescent="0.4">
      <c r="A27" s="2"/>
      <c r="B27" s="3"/>
      <c r="C27" s="4"/>
      <c r="D27" s="2"/>
      <c r="E27" s="3"/>
      <c r="F27" s="4"/>
      <c r="G27" s="3"/>
      <c r="H27" s="3"/>
      <c r="I27" s="4"/>
      <c r="J27" s="13"/>
      <c r="K27" s="13"/>
      <c r="L27" s="1"/>
    </row>
    <row r="28" spans="1:12" x14ac:dyDescent="0.4">
      <c r="A28" s="5"/>
      <c r="B28" s="6"/>
      <c r="C28" s="7"/>
      <c r="D28" s="5"/>
      <c r="E28" s="6"/>
      <c r="F28" s="7"/>
      <c r="G28" s="8"/>
      <c r="H28" s="8"/>
      <c r="I28" s="7"/>
      <c r="J28" s="12"/>
      <c r="K28" s="12"/>
      <c r="L28" s="1"/>
    </row>
    <row r="29" spans="1:12" x14ac:dyDescent="0.4">
      <c r="A29" s="2" t="s">
        <v>47</v>
      </c>
      <c r="B29" s="3" t="s">
        <v>47</v>
      </c>
      <c r="C29" s="4"/>
      <c r="D29" s="2"/>
      <c r="E29" s="3"/>
      <c r="F29" s="4"/>
      <c r="G29" s="3">
        <f>2.1*4*2</f>
        <v>16.8</v>
      </c>
      <c r="H29" s="3"/>
      <c r="I29" s="4"/>
      <c r="J29" s="13">
        <f>G30</f>
        <v>407013.60000000003</v>
      </c>
      <c r="K29" s="13">
        <f>J29*D3</f>
        <v>992589.60170495999</v>
      </c>
      <c r="L29" s="1">
        <f>K29/C30</f>
        <v>1985179.20340992</v>
      </c>
    </row>
    <row r="30" spans="1:12" x14ac:dyDescent="0.4">
      <c r="A30" s="5"/>
      <c r="B30" s="6"/>
      <c r="C30" s="7">
        <v>0.5</v>
      </c>
      <c r="D30" s="5"/>
      <c r="E30" s="6"/>
      <c r="F30" s="7"/>
      <c r="G30" s="8">
        <f>G29*B1</f>
        <v>407013.60000000003</v>
      </c>
      <c r="H30" s="6"/>
      <c r="I30" s="7"/>
      <c r="J30" s="12"/>
      <c r="K30" s="12"/>
      <c r="L30" s="1"/>
    </row>
    <row r="31" spans="1:12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 t="s">
        <v>204</v>
      </c>
      <c r="L32" s="1">
        <f>SUM(L11:L29)*H6*H8*G1*G2*G3</f>
        <v>8256091.9426249638</v>
      </c>
    </row>
    <row r="33" spans="1:12" x14ac:dyDescent="0.4">
      <c r="A33" s="1"/>
      <c r="B33" s="1">
        <v>5908</v>
      </c>
      <c r="C33" s="1">
        <v>6709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">
      <c r="B34">
        <v>4639</v>
      </c>
      <c r="C34">
        <v>5232</v>
      </c>
      <c r="J34" s="1"/>
      <c r="K34" s="1"/>
      <c r="L34" s="1">
        <f>(L13+L15+L19+L23+L25)*H6*H8*G1*G2*G3</f>
        <v>2284797.1926897913</v>
      </c>
    </row>
    <row r="35" spans="1:12" x14ac:dyDescent="0.4">
      <c r="B35">
        <f>(B33-B34)/(C33-C34)</f>
        <v>0.85917400135409616</v>
      </c>
      <c r="J35" s="1"/>
      <c r="K35" s="1"/>
      <c r="L35" s="1"/>
    </row>
    <row r="36" spans="1:12" x14ac:dyDescent="0.4">
      <c r="J36" s="1"/>
      <c r="K36" s="1"/>
      <c r="L36" s="1"/>
    </row>
    <row r="37" spans="1:12" x14ac:dyDescent="0.4">
      <c r="J37" s="1"/>
      <c r="K37" s="1"/>
      <c r="L37" s="1"/>
    </row>
    <row r="38" spans="1:12" x14ac:dyDescent="0.4">
      <c r="B38">
        <f>C33*B35</f>
        <v>5764.1983750846312</v>
      </c>
      <c r="J38" s="1"/>
      <c r="K38" s="1"/>
      <c r="L38" s="1"/>
    </row>
    <row r="39" spans="1:12" x14ac:dyDescent="0.4">
      <c r="J39" s="1"/>
      <c r="K39" s="1"/>
      <c r="L39" s="1"/>
    </row>
    <row r="40" spans="1:12" x14ac:dyDescent="0.4">
      <c r="J40" s="1"/>
      <c r="K40" s="1"/>
      <c r="L40" s="1"/>
    </row>
    <row r="41" spans="1:12" x14ac:dyDescent="0.4">
      <c r="J41" s="1"/>
      <c r="K41" s="1"/>
      <c r="L41" s="1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topLeftCell="C11" workbookViewId="0">
      <selection activeCell="O21" sqref="O21"/>
    </sheetView>
  </sheetViews>
  <sheetFormatPr defaultRowHeight="17.399999999999999" x14ac:dyDescent="0.4"/>
  <cols>
    <col min="1" max="1" width="8.796875" style="1"/>
    <col min="2" max="2" width="14.3984375" style="1" customWidth="1"/>
    <col min="3" max="4" width="8.796875" style="1"/>
    <col min="5" max="5" width="12.59765625" style="1" customWidth="1"/>
    <col min="6" max="6" width="14.69921875" style="1" customWidth="1"/>
    <col min="7" max="7" width="13.796875" style="1" customWidth="1"/>
    <col min="8" max="8" width="17.5" style="1" customWidth="1"/>
    <col min="9" max="9" width="15.296875" style="1" customWidth="1"/>
    <col min="10" max="10" width="17.59765625" style="1" customWidth="1"/>
    <col min="11" max="11" width="16.59765625" style="1" customWidth="1"/>
    <col min="12" max="13" width="14.796875" style="1" customWidth="1"/>
    <col min="14" max="14" width="8.796875" style="1"/>
    <col min="15" max="15" width="18" style="1" customWidth="1"/>
    <col min="16" max="16384" width="8.796875" style="1"/>
  </cols>
  <sheetData>
    <row r="1" spans="2:17" x14ac:dyDescent="0.4">
      <c r="B1" s="1" t="s">
        <v>0</v>
      </c>
      <c r="C1" s="1">
        <v>24227</v>
      </c>
      <c r="D1" s="1" t="s">
        <v>5</v>
      </c>
      <c r="F1" s="1" t="s">
        <v>13</v>
      </c>
      <c r="G1" s="1">
        <v>3</v>
      </c>
      <c r="H1" s="1">
        <v>1.2</v>
      </c>
    </row>
    <row r="2" spans="2:17" x14ac:dyDescent="0.4">
      <c r="B2" s="1" t="s">
        <v>1</v>
      </c>
      <c r="C2" s="1">
        <f>(0.0357*K2-0.0328+10)/100+0.1</f>
        <v>0.69133239999999996</v>
      </c>
      <c r="D2" s="1">
        <f>1-C2</f>
        <v>0.30866760000000004</v>
      </c>
      <c r="E2" s="1">
        <f>C2*C3+D2</f>
        <v>2.0369986</v>
      </c>
      <c r="F2" s="1" t="s">
        <v>14</v>
      </c>
      <c r="G2" s="1">
        <v>3</v>
      </c>
      <c r="H2" s="1">
        <f>0.9+0.1*0.8</f>
        <v>0.98</v>
      </c>
      <c r="J2" s="1" t="s">
        <v>25</v>
      </c>
      <c r="K2" s="1">
        <f>SUM(O3:O8)*1.1</f>
        <v>1377.2</v>
      </c>
      <c r="O2" s="1" t="s">
        <v>109</v>
      </c>
      <c r="P2" s="1" t="s">
        <v>110</v>
      </c>
      <c r="Q2" s="1" t="s">
        <v>111</v>
      </c>
    </row>
    <row r="3" spans="2:17" x14ac:dyDescent="0.4">
      <c r="B3" s="1" t="s">
        <v>2</v>
      </c>
      <c r="C3" s="1">
        <v>2.5</v>
      </c>
      <c r="D3" s="1">
        <v>2.5</v>
      </c>
      <c r="F3" s="1" t="s">
        <v>15</v>
      </c>
      <c r="G3" s="1">
        <v>3</v>
      </c>
      <c r="H3" s="1">
        <v>1.1599999999999999</v>
      </c>
      <c r="J3" s="1" t="s">
        <v>26</v>
      </c>
      <c r="K3" s="1">
        <f>SUM(P3:P8)</f>
        <v>858</v>
      </c>
      <c r="L3" s="1" t="s">
        <v>27</v>
      </c>
      <c r="M3" s="1">
        <v>0.8</v>
      </c>
      <c r="N3" s="1" t="s">
        <v>104</v>
      </c>
      <c r="O3" s="1">
        <v>500</v>
      </c>
      <c r="P3" s="1">
        <v>500</v>
      </c>
    </row>
    <row r="4" spans="2:17" x14ac:dyDescent="0.4">
      <c r="B4" s="1" t="s">
        <v>3</v>
      </c>
      <c r="C4" s="1">
        <v>1.05</v>
      </c>
      <c r="F4" s="1" t="s">
        <v>16</v>
      </c>
      <c r="G4" s="1">
        <v>3</v>
      </c>
      <c r="J4" s="1" t="s">
        <v>112</v>
      </c>
      <c r="K4" s="1">
        <f>1-(0.0214*Q8-0.0236)/100</f>
        <v>0.98868</v>
      </c>
      <c r="L4" s="1" t="s">
        <v>28</v>
      </c>
      <c r="M4" s="1">
        <f>0.03578*K3/100+1</f>
        <v>1.3069923999999999</v>
      </c>
      <c r="N4" s="1" t="s">
        <v>105</v>
      </c>
      <c r="P4" s="1">
        <v>300</v>
      </c>
    </row>
    <row r="5" spans="2:17" x14ac:dyDescent="0.4">
      <c r="B5" s="1" t="s">
        <v>4</v>
      </c>
      <c r="C5" s="1">
        <v>1.4375</v>
      </c>
      <c r="D5" s="1">
        <v>0.82</v>
      </c>
      <c r="F5" s="1" t="s">
        <v>17</v>
      </c>
      <c r="G5" s="1">
        <v>2</v>
      </c>
      <c r="J5" s="1" t="s">
        <v>30</v>
      </c>
      <c r="K5" s="1">
        <v>1.21</v>
      </c>
      <c r="N5" s="1" t="s">
        <v>106</v>
      </c>
      <c r="O5" s="1">
        <v>300</v>
      </c>
    </row>
    <row r="6" spans="2:17" x14ac:dyDescent="0.4">
      <c r="F6" s="1" t="s">
        <v>18</v>
      </c>
      <c r="G6" s="1">
        <v>1</v>
      </c>
      <c r="H6" s="1" t="s">
        <v>19</v>
      </c>
      <c r="I6" s="1">
        <v>0.15</v>
      </c>
      <c r="J6" s="1" t="s">
        <v>31</v>
      </c>
      <c r="K6" s="1">
        <f>1-0.14</f>
        <v>0.86</v>
      </c>
      <c r="N6" s="1" t="s">
        <v>107</v>
      </c>
      <c r="O6" s="1">
        <v>200</v>
      </c>
    </row>
    <row r="7" spans="2:17" x14ac:dyDescent="0.4">
      <c r="F7" s="1">
        <f>51/2.5/1.5</f>
        <v>13.6</v>
      </c>
      <c r="H7" s="1" t="s">
        <v>20</v>
      </c>
      <c r="I7" s="1">
        <v>1.1499999999999999</v>
      </c>
      <c r="K7" s="1">
        <f>K3/18.302/100+1</f>
        <v>1.4688012239099553</v>
      </c>
      <c r="N7" s="1" t="s">
        <v>108</v>
      </c>
      <c r="O7" s="1">
        <v>200</v>
      </c>
    </row>
    <row r="8" spans="2:17" x14ac:dyDescent="0.4">
      <c r="B8" s="1">
        <v>14597</v>
      </c>
      <c r="F8" s="1">
        <v>4</v>
      </c>
      <c r="O8" s="1">
        <v>52</v>
      </c>
      <c r="P8" s="1">
        <v>58</v>
      </c>
      <c r="Q8" s="1">
        <v>54</v>
      </c>
    </row>
    <row r="9" spans="2:17" x14ac:dyDescent="0.4">
      <c r="C9" s="1" t="s">
        <v>39</v>
      </c>
      <c r="D9" s="1" t="s">
        <v>41</v>
      </c>
      <c r="H9" s="1" t="s">
        <v>23</v>
      </c>
    </row>
    <row r="10" spans="2:17" x14ac:dyDescent="0.4">
      <c r="B10" s="1" t="s">
        <v>43</v>
      </c>
      <c r="C10" s="1" t="s">
        <v>40</v>
      </c>
      <c r="D10" s="1" t="s">
        <v>42</v>
      </c>
      <c r="H10" s="1" t="s">
        <v>24</v>
      </c>
      <c r="K10" s="1" t="s">
        <v>65</v>
      </c>
      <c r="L10" s="1" t="s">
        <v>29</v>
      </c>
      <c r="M10" s="1" t="s">
        <v>32</v>
      </c>
    </row>
    <row r="11" spans="2:17" x14ac:dyDescent="0.4">
      <c r="B11" s="2" t="s">
        <v>6</v>
      </c>
      <c r="C11" s="3">
        <v>212</v>
      </c>
      <c r="D11" s="4">
        <v>12</v>
      </c>
      <c r="E11" s="2">
        <v>109980</v>
      </c>
      <c r="F11" s="3">
        <v>109980</v>
      </c>
      <c r="G11" s="4">
        <v>146632</v>
      </c>
      <c r="H11" s="3">
        <f>(E11-E12)/B8</f>
        <v>7.4594779749263544</v>
      </c>
      <c r="I11" s="3">
        <f>(F11-F12)/B8</f>
        <v>7.4594779749263544</v>
      </c>
      <c r="J11" s="4">
        <f>(G11-G12)/B8</f>
        <v>9.9453312324450227</v>
      </c>
      <c r="K11" s="10">
        <f>(H12+I12+J12)*1.28*1.5*2.2</f>
        <v>2559892.2014287873</v>
      </c>
      <c r="L11" s="10">
        <f>K11*(0.1+I6+C2)*C3+K11*(D2-0.1-I6)</f>
        <v>6174456.4059971534</v>
      </c>
      <c r="M11" s="19">
        <f>L11*K5/D12</f>
        <v>207530.34031268209</v>
      </c>
    </row>
    <row r="12" spans="2:17" x14ac:dyDescent="0.4">
      <c r="B12" s="5" t="s">
        <v>36</v>
      </c>
      <c r="C12" s="6">
        <v>555</v>
      </c>
      <c r="D12" s="7">
        <v>36</v>
      </c>
      <c r="E12" s="5">
        <v>1094</v>
      </c>
      <c r="F12" s="6">
        <v>1094</v>
      </c>
      <c r="G12" s="7">
        <v>1460</v>
      </c>
      <c r="H12" s="8">
        <f>E12+H11*C1</f>
        <v>181814.7728985408</v>
      </c>
      <c r="I12" s="8">
        <f>F12+I11*C1</f>
        <v>181814.7728985408</v>
      </c>
      <c r="J12" s="11">
        <f>G12+J11*C1</f>
        <v>242405.53976844557</v>
      </c>
      <c r="K12" s="12"/>
      <c r="L12" s="12"/>
      <c r="M12" s="19"/>
    </row>
    <row r="13" spans="2:17" x14ac:dyDescent="0.4">
      <c r="B13" s="2" t="s">
        <v>7</v>
      </c>
      <c r="C13" s="3">
        <v>121</v>
      </c>
      <c r="D13" s="4">
        <v>12</v>
      </c>
      <c r="E13" s="2">
        <v>114753</v>
      </c>
      <c r="F13" s="3">
        <v>114753</v>
      </c>
      <c r="G13" s="4">
        <v>229486</v>
      </c>
      <c r="H13" s="3">
        <f>(E13-E14)/B8</f>
        <v>7.7834486538329797</v>
      </c>
      <c r="I13" s="3">
        <f>(F13-F14)/B8</f>
        <v>7.7834486538329797</v>
      </c>
      <c r="J13" s="4">
        <f>(G13-G14)/B8</f>
        <v>15.564910598068096</v>
      </c>
      <c r="K13" s="13">
        <f>(H14+I14+J14)*1.28*1.6*3.9</f>
        <v>6060617.9522880604</v>
      </c>
      <c r="L13" s="13">
        <f>K13*(C2+0.1+I6)*C3+K13*(D2-0.1-I6)</f>
        <v>14618202.016053669</v>
      </c>
      <c r="M13" s="19">
        <f>L13*K5/D14</f>
        <v>685582.34261336969</v>
      </c>
    </row>
    <row r="14" spans="2:17" x14ac:dyDescent="0.4">
      <c r="B14" s="5" t="s">
        <v>33</v>
      </c>
      <c r="C14" s="6">
        <v>555</v>
      </c>
      <c r="D14" s="7">
        <f>30*K6</f>
        <v>25.8</v>
      </c>
      <c r="E14" s="5">
        <v>1138</v>
      </c>
      <c r="F14" s="6">
        <v>1138</v>
      </c>
      <c r="G14" s="7">
        <v>2285</v>
      </c>
      <c r="H14" s="8">
        <f>E14+H13*C1</f>
        <v>189707.61053641161</v>
      </c>
      <c r="I14" s="8">
        <f>F14+I13*C1</f>
        <v>189707.61053641161</v>
      </c>
      <c r="J14" s="11">
        <f>G14+J13*C1</f>
        <v>379376.08905939577</v>
      </c>
      <c r="K14" s="6"/>
      <c r="L14" s="12"/>
      <c r="M14" s="19"/>
    </row>
    <row r="15" spans="2:17" x14ac:dyDescent="0.4">
      <c r="B15" s="2" t="s">
        <v>8</v>
      </c>
      <c r="C15" s="3">
        <v>13</v>
      </c>
      <c r="D15" s="4">
        <v>7</v>
      </c>
      <c r="E15" s="2">
        <v>274165</v>
      </c>
      <c r="F15" s="3"/>
      <c r="G15" s="4"/>
      <c r="H15" s="3">
        <f>(E15-E16)/B8</f>
        <v>18.595738850448722</v>
      </c>
      <c r="I15" s="3"/>
      <c r="J15" s="4"/>
      <c r="K15" s="13">
        <f>H16*1.8</f>
        <v>815835.53723367816</v>
      </c>
      <c r="L15" s="13">
        <f>K15*(I6+C2)*C3+K15*(D2-I6)</f>
        <v>1845418.843052828</v>
      </c>
      <c r="M15" s="19">
        <f>L15/D16</f>
        <v>80235.601871862091</v>
      </c>
    </row>
    <row r="16" spans="2:17" x14ac:dyDescent="0.4">
      <c r="B16" s="5"/>
      <c r="C16" s="6">
        <v>55</v>
      </c>
      <c r="D16" s="7">
        <f>(36-13)</f>
        <v>23</v>
      </c>
      <c r="E16" s="5">
        <v>2723</v>
      </c>
      <c r="F16" s="6"/>
      <c r="G16" s="7"/>
      <c r="H16" s="8">
        <f>E16+H15*C1</f>
        <v>453241.96512982121</v>
      </c>
      <c r="I16" s="6"/>
      <c r="J16" s="7"/>
      <c r="K16" s="12"/>
      <c r="L16" s="12"/>
      <c r="M16" s="19"/>
    </row>
    <row r="17" spans="2:15" x14ac:dyDescent="0.4">
      <c r="B17" s="2" t="s">
        <v>9</v>
      </c>
      <c r="C17" s="3">
        <v>311</v>
      </c>
      <c r="D17" s="4">
        <v>12</v>
      </c>
      <c r="E17" s="2">
        <v>599859</v>
      </c>
      <c r="F17" s="3"/>
      <c r="G17" s="4"/>
      <c r="H17" s="3">
        <f>(E17-E18)/B8</f>
        <v>40.687195999177916</v>
      </c>
      <c r="I17" s="3"/>
      <c r="J17" s="4"/>
      <c r="K17" s="13">
        <f>H18*1.6*1.35*2.02</f>
        <v>4326883.7664101943</v>
      </c>
      <c r="L17" s="13">
        <f>K17*C3</f>
        <v>10817209.416025486</v>
      </c>
      <c r="M17" s="19">
        <f>L17*K5/D18</f>
        <v>507318.73617793946</v>
      </c>
    </row>
    <row r="18" spans="2:15" x14ac:dyDescent="0.4">
      <c r="B18" s="5" t="s">
        <v>34</v>
      </c>
      <c r="C18" s="6">
        <v>555</v>
      </c>
      <c r="D18" s="7">
        <f>K6*30</f>
        <v>25.8</v>
      </c>
      <c r="E18" s="5">
        <v>5948</v>
      </c>
      <c r="F18" s="6"/>
      <c r="G18" s="7"/>
      <c r="H18" s="8">
        <f>E18+H17*C1</f>
        <v>991676.69747208338</v>
      </c>
      <c r="I18" s="6"/>
      <c r="J18" s="7"/>
      <c r="K18" s="12"/>
      <c r="L18" s="12"/>
      <c r="M18" s="19"/>
    </row>
    <row r="19" spans="2:15" x14ac:dyDescent="0.4">
      <c r="B19" s="2" t="s">
        <v>10</v>
      </c>
      <c r="C19" s="3">
        <v>111</v>
      </c>
      <c r="D19" s="4">
        <v>12</v>
      </c>
      <c r="E19" s="2">
        <v>586522</v>
      </c>
      <c r="F19" s="3"/>
      <c r="G19" s="4"/>
      <c r="H19" s="3">
        <f>(E19-E20)/B8</f>
        <v>39.780297321367406</v>
      </c>
      <c r="I19" s="3"/>
      <c r="J19" s="4"/>
      <c r="K19" s="13">
        <f>((2.5*H20/3)+H20)*2.2</f>
        <v>3910745.2615925651</v>
      </c>
      <c r="L19" s="13">
        <f>K19*E2*M4*I7</f>
        <v>11973501.166794511</v>
      </c>
      <c r="M19" s="19">
        <f>L19*K5/D20</f>
        <v>467956.60244901024</v>
      </c>
    </row>
    <row r="20" spans="2:15" x14ac:dyDescent="0.4">
      <c r="B20" s="5" t="s">
        <v>34</v>
      </c>
      <c r="C20" s="6">
        <v>155</v>
      </c>
      <c r="D20" s="7">
        <f>K6*36</f>
        <v>30.96</v>
      </c>
      <c r="E20" s="5">
        <v>5849</v>
      </c>
      <c r="F20" s="6"/>
      <c r="G20" s="7"/>
      <c r="H20" s="8">
        <f>E20+H19*C1</f>
        <v>969606.26320476818</v>
      </c>
      <c r="I20" s="6"/>
      <c r="J20" s="7"/>
      <c r="K20" s="12"/>
      <c r="L20" s="12"/>
      <c r="M20" s="19"/>
    </row>
    <row r="21" spans="2:15" x14ac:dyDescent="0.4">
      <c r="B21" s="2" t="s">
        <v>11</v>
      </c>
      <c r="C21" s="3">
        <v>232</v>
      </c>
      <c r="D21" s="4">
        <v>12</v>
      </c>
      <c r="E21" s="2">
        <v>126671</v>
      </c>
      <c r="F21" s="3">
        <v>253338</v>
      </c>
      <c r="G21" s="4"/>
      <c r="H21" s="3">
        <f>(E21-E22)/B8</f>
        <v>8.5914228951154339</v>
      </c>
      <c r="I21" s="3">
        <f>(F21-F22)/B8</f>
        <v>17.182777283003357</v>
      </c>
      <c r="J21" s="4"/>
      <c r="K21" s="13">
        <f>(H22+I22)*0.1+H22+I22*2.1*3.8</f>
        <v>3614316.8562293625</v>
      </c>
      <c r="L21" s="13">
        <f>K21*E2*M4*I7</f>
        <v>11065928.410178302</v>
      </c>
      <c r="M21" s="19">
        <f>L21*K5/D22</f>
        <v>576648.29355364968</v>
      </c>
      <c r="O21" s="1">
        <f>I22*2.1*3.8*D3*H1*H3*M4*1.4*K5*C5</f>
        <v>37016178.127185479</v>
      </c>
    </row>
    <row r="22" spans="2:15" x14ac:dyDescent="0.4">
      <c r="B22" s="5" t="s">
        <v>33</v>
      </c>
      <c r="C22" s="6">
        <v>155</v>
      </c>
      <c r="D22" s="7">
        <f>K6*27</f>
        <v>23.22</v>
      </c>
      <c r="E22" s="5">
        <v>1262</v>
      </c>
      <c r="F22" s="6">
        <v>2521</v>
      </c>
      <c r="G22" s="7"/>
      <c r="H22" s="8">
        <f>E22+H21*C1</f>
        <v>209406.40247996163</v>
      </c>
      <c r="I22" s="8">
        <f>F22+I21*C1</f>
        <v>418808.14523532236</v>
      </c>
      <c r="J22" s="7"/>
      <c r="K22" s="12"/>
      <c r="L22" s="12"/>
      <c r="M22" s="19"/>
    </row>
    <row r="23" spans="2:15" x14ac:dyDescent="0.4">
      <c r="B23" s="2" t="s">
        <v>12</v>
      </c>
      <c r="C23" s="3">
        <v>232</v>
      </c>
      <c r="D23" s="4">
        <v>12</v>
      </c>
      <c r="E23" s="2">
        <v>110243</v>
      </c>
      <c r="F23" s="3">
        <v>440941</v>
      </c>
      <c r="G23" s="4"/>
      <c r="H23" s="3">
        <f>(E23-E24)/B8</f>
        <v>7.4774953757621425</v>
      </c>
      <c r="I23" s="3">
        <f>(F23-F24)/B8</f>
        <v>29.90696718503802</v>
      </c>
      <c r="J23" s="4"/>
      <c r="K23" s="13">
        <f>(H24+I24)*(1+0.96/2)*1.8</f>
        <v>2427427.1415627869</v>
      </c>
      <c r="L23" s="13">
        <f>K23*E2*M4*I7</f>
        <v>7432036.5474213203</v>
      </c>
      <c r="M23" s="19">
        <f>L23*K5/D24</f>
        <v>348556.75280541851</v>
      </c>
    </row>
    <row r="24" spans="2:15" x14ac:dyDescent="0.4">
      <c r="B24" s="5" t="s">
        <v>34</v>
      </c>
      <c r="C24" s="6">
        <v>144</v>
      </c>
      <c r="D24" s="7">
        <f>K6*30</f>
        <v>25.8</v>
      </c>
      <c r="E24" s="5">
        <v>1094</v>
      </c>
      <c r="F24" s="6">
        <v>4389</v>
      </c>
      <c r="G24" s="7"/>
      <c r="H24" s="8">
        <f>E24+H23*C1</f>
        <v>182251.28046858942</v>
      </c>
      <c r="I24" s="8">
        <f>F24+I23*C1</f>
        <v>728945.09399191616</v>
      </c>
      <c r="J24" s="7"/>
      <c r="K24" s="12"/>
      <c r="L24" s="12"/>
      <c r="M24" s="19"/>
    </row>
    <row r="25" spans="2:15" x14ac:dyDescent="0.4">
      <c r="B25" s="2" t="s">
        <v>21</v>
      </c>
      <c r="C25" s="3">
        <v>1</v>
      </c>
      <c r="D25" s="4">
        <v>4</v>
      </c>
      <c r="E25" s="2">
        <v>218292</v>
      </c>
      <c r="F25" s="3"/>
      <c r="G25" s="4"/>
      <c r="H25" s="3">
        <f>(E25-E26)/B8</f>
        <v>14.838939508118106</v>
      </c>
      <c r="I25" s="3"/>
      <c r="J25" s="4"/>
      <c r="K25" s="13">
        <f>H26*1.05*1.6</f>
        <v>606800.858938138</v>
      </c>
      <c r="L25" s="13">
        <f>K25*(C2+0.2+0.1)*(M3+C3)+(D2-0.2-0.1)*K25</f>
        <v>1990345.9681085111</v>
      </c>
      <c r="M25" s="19">
        <f>L25/D26</f>
        <v>90470.271277659587</v>
      </c>
    </row>
    <row r="26" spans="2:15" x14ac:dyDescent="0.4">
      <c r="B26" s="5"/>
      <c r="C26" s="6">
        <v>5</v>
      </c>
      <c r="D26" s="7">
        <v>22</v>
      </c>
      <c r="E26" s="5">
        <v>1688</v>
      </c>
      <c r="F26" s="6"/>
      <c r="G26" s="7"/>
      <c r="H26" s="8">
        <f>E26+H25*C1</f>
        <v>361190.98746317736</v>
      </c>
      <c r="I26" s="8"/>
      <c r="J26" s="7"/>
      <c r="K26" s="12"/>
      <c r="L26" s="12"/>
      <c r="M26" s="19"/>
    </row>
    <row r="27" spans="2:15" x14ac:dyDescent="0.4">
      <c r="B27" s="2" t="s">
        <v>226</v>
      </c>
      <c r="C27" s="3">
        <v>2</v>
      </c>
      <c r="D27" s="4">
        <v>4</v>
      </c>
      <c r="E27" s="2">
        <v>80451</v>
      </c>
      <c r="F27" s="3"/>
      <c r="G27" s="4"/>
      <c r="H27" s="3">
        <f>(E27-E28)/B8</f>
        <v>5.4696855518257177</v>
      </c>
      <c r="I27" s="3"/>
      <c r="J27" s="4"/>
      <c r="K27" s="13">
        <f>H28</f>
        <v>133124.07186408166</v>
      </c>
      <c r="L27" s="13">
        <f>K27*(C2+0.1)*(M3+C3)+(D2-0.1)*K27</f>
        <v>375418.47182182688</v>
      </c>
      <c r="M27" s="19">
        <f>L27/D28</f>
        <v>46927.30897772836</v>
      </c>
    </row>
    <row r="28" spans="2:15" x14ac:dyDescent="0.4">
      <c r="B28" s="5"/>
      <c r="C28" s="6">
        <v>1</v>
      </c>
      <c r="D28" s="7">
        <v>8</v>
      </c>
      <c r="E28" s="5">
        <v>610</v>
      </c>
      <c r="F28" s="6"/>
      <c r="G28" s="7"/>
      <c r="H28" s="8">
        <f>E28+H27*C1</f>
        <v>133124.07186408166</v>
      </c>
      <c r="I28" s="8"/>
      <c r="J28" s="7"/>
      <c r="K28" s="12"/>
      <c r="L28" s="12"/>
      <c r="M28" s="19"/>
    </row>
    <row r="29" spans="2:15" x14ac:dyDescent="0.4">
      <c r="B29" s="2" t="s">
        <v>22</v>
      </c>
      <c r="C29" s="3">
        <v>2</v>
      </c>
      <c r="D29" s="4">
        <v>4</v>
      </c>
      <c r="E29" s="2">
        <v>156504</v>
      </c>
      <c r="F29" s="3"/>
      <c r="G29" s="4"/>
      <c r="H29" s="3">
        <f>(E29-E30)/B8</f>
        <v>10.639240939919162</v>
      </c>
      <c r="I29" s="3"/>
      <c r="J29" s="4"/>
      <c r="K29" s="13">
        <f>H30</f>
        <v>258959.89025142154</v>
      </c>
      <c r="L29" s="13">
        <f>K29*(C2+0.1)*(M3+C3)+(D2-0.1)*K29</f>
        <v>730283.59860112774</v>
      </c>
      <c r="M29" s="19">
        <f>L29/D30</f>
        <v>45642.724912570484</v>
      </c>
    </row>
    <row r="30" spans="2:15" x14ac:dyDescent="0.4">
      <c r="B30" s="5"/>
      <c r="C30" s="6">
        <v>1</v>
      </c>
      <c r="D30" s="7">
        <v>16</v>
      </c>
      <c r="E30" s="5">
        <v>1203</v>
      </c>
      <c r="F30" s="6"/>
      <c r="G30" s="7"/>
      <c r="H30" s="8">
        <f>E30+H29*C1</f>
        <v>258959.89025142154</v>
      </c>
      <c r="I30" s="6"/>
      <c r="J30" s="7"/>
      <c r="K30" s="12"/>
      <c r="L30" s="12"/>
    </row>
    <row r="31" spans="2:15" x14ac:dyDescent="0.4">
      <c r="M31" s="19">
        <f>SUM(M11:M30)</f>
        <v>3056868.9749518894</v>
      </c>
    </row>
    <row r="32" spans="2:15" x14ac:dyDescent="0.4">
      <c r="L32" s="1" t="s">
        <v>37</v>
      </c>
      <c r="M32" s="1">
        <f>M31*H1*H3</f>
        <v>4255161.61313303</v>
      </c>
    </row>
    <row r="33" spans="2:13" x14ac:dyDescent="0.4">
      <c r="D33" s="1">
        <f>41737/1.16</f>
        <v>35980.172413793109</v>
      </c>
      <c r="F33" s="19">
        <f>M27+M27+M25+M23+M21+M19+M17+M15+M13+M11</f>
        <v>3058153.5590170482</v>
      </c>
      <c r="K33" s="1" t="s">
        <v>99</v>
      </c>
      <c r="L33" s="1" t="s">
        <v>38</v>
      </c>
      <c r="M33" s="1">
        <f>M32*C5/D5/K4*H2+K34</f>
        <v>7534959.7106647389</v>
      </c>
    </row>
    <row r="34" spans="2:13" x14ac:dyDescent="0.4">
      <c r="B34" s="1" t="s">
        <v>287</v>
      </c>
      <c r="E34" s="1">
        <v>8080386</v>
      </c>
      <c r="H34" s="1">
        <f>(E34-E35)/D33</f>
        <v>223.66749407000978</v>
      </c>
      <c r="K34" s="1">
        <f>H35*E2*I7*M4*0.5/D35*H1*H2*H3*K7</f>
        <v>140943.69016492995</v>
      </c>
    </row>
    <row r="35" spans="2:13" x14ac:dyDescent="0.4">
      <c r="D35" s="1">
        <f>300*K4*0.8*0.5</f>
        <v>118.6416</v>
      </c>
      <c r="E35" s="1">
        <v>32791</v>
      </c>
      <c r="H35" s="1">
        <f>E35+H34*C1</f>
        <v>5451583.3788341265</v>
      </c>
      <c r="M35" s="19">
        <f>SUM(M19:M24)</f>
        <v>1393161.6488080784</v>
      </c>
    </row>
    <row r="36" spans="2:13" x14ac:dyDescent="0.4">
      <c r="M36" s="1">
        <f>M35*H1*H3</f>
        <v>1939281.015140845</v>
      </c>
    </row>
    <row r="37" spans="2:13" x14ac:dyDescent="0.4">
      <c r="M37" s="1">
        <f>M36*C5/D5/K4*H2+K34</f>
        <v>3510751.0436498737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M13" sqref="M13"/>
    </sheetView>
  </sheetViews>
  <sheetFormatPr defaultRowHeight="17.399999999999999" x14ac:dyDescent="0.4"/>
  <cols>
    <col min="2" max="2" width="12.5" customWidth="1"/>
    <col min="8" max="8" width="11.796875" customWidth="1"/>
    <col min="9" max="9" width="12.3984375" customWidth="1"/>
    <col min="10" max="10" width="12.09765625" customWidth="1"/>
    <col min="11" max="11" width="19.09765625" customWidth="1"/>
    <col min="12" max="12" width="16.796875" customWidth="1"/>
    <col min="13" max="13" width="17.296875" customWidth="1"/>
  </cols>
  <sheetData>
    <row r="1" spans="1:17" x14ac:dyDescent="0.4">
      <c r="A1" s="1"/>
      <c r="B1" s="1" t="s">
        <v>0</v>
      </c>
      <c r="C1" s="1">
        <v>24227</v>
      </c>
      <c r="D1" s="1" t="s">
        <v>5</v>
      </c>
      <c r="E1" s="1"/>
      <c r="F1" s="1" t="s">
        <v>13</v>
      </c>
      <c r="G1" s="1">
        <v>3</v>
      </c>
      <c r="H1" s="1">
        <v>1.2</v>
      </c>
      <c r="I1" s="1"/>
      <c r="J1" s="1"/>
      <c r="K1" s="1"/>
      <c r="L1" s="1"/>
      <c r="M1" s="1"/>
    </row>
    <row r="2" spans="1:17" x14ac:dyDescent="0.4">
      <c r="A2" s="1"/>
      <c r="B2" s="1" t="s">
        <v>1</v>
      </c>
      <c r="C2" s="1">
        <f>(0.0357*K2-0.0328)/100</f>
        <v>0.60914240000000008</v>
      </c>
      <c r="D2" s="1">
        <f>1-C2</f>
        <v>0.39085759999999992</v>
      </c>
      <c r="E2" s="1">
        <f>C2*C3+D2</f>
        <v>1.9137136000000001</v>
      </c>
      <c r="F2" s="1" t="s">
        <v>14</v>
      </c>
      <c r="G2" s="1">
        <v>3</v>
      </c>
      <c r="H2" s="1">
        <f>0.9+0.1*0.8</f>
        <v>0.98</v>
      </c>
      <c r="I2" s="1"/>
      <c r="J2" s="1" t="s">
        <v>25</v>
      </c>
      <c r="K2" s="1">
        <f>SUM(O3:O8)*1.1</f>
        <v>1707.2</v>
      </c>
      <c r="L2" s="1"/>
      <c r="M2" s="1"/>
      <c r="N2" s="1"/>
      <c r="O2" s="1" t="s">
        <v>109</v>
      </c>
      <c r="P2" s="1" t="s">
        <v>110</v>
      </c>
      <c r="Q2" s="1" t="s">
        <v>111</v>
      </c>
    </row>
    <row r="3" spans="1:17" x14ac:dyDescent="0.4">
      <c r="A3" s="1"/>
      <c r="B3" s="1" t="s">
        <v>2</v>
      </c>
      <c r="C3" s="1">
        <v>2.5</v>
      </c>
      <c r="D3" s="1">
        <v>2.5</v>
      </c>
      <c r="E3" s="1"/>
      <c r="F3" s="1" t="s">
        <v>15</v>
      </c>
      <c r="G3" s="1">
        <v>3</v>
      </c>
      <c r="H3" s="1">
        <v>1.1599999999999999</v>
      </c>
      <c r="I3" s="1"/>
      <c r="J3" s="1" t="s">
        <v>44</v>
      </c>
      <c r="K3" s="1">
        <f>Q3+Q8</f>
        <v>554</v>
      </c>
      <c r="L3" s="1"/>
      <c r="M3" s="1" t="s">
        <v>92</v>
      </c>
      <c r="N3" s="1" t="s">
        <v>104</v>
      </c>
      <c r="O3" s="1">
        <v>500</v>
      </c>
      <c r="P3" s="1"/>
      <c r="Q3" s="1">
        <v>500</v>
      </c>
    </row>
    <row r="4" spans="1:17" x14ac:dyDescent="0.4">
      <c r="A4" s="1"/>
      <c r="B4" s="1" t="s">
        <v>3</v>
      </c>
      <c r="C4" s="1">
        <v>1.05</v>
      </c>
      <c r="D4" s="1"/>
      <c r="E4" s="1"/>
      <c r="F4" s="1" t="s">
        <v>16</v>
      </c>
      <c r="G4" s="1">
        <v>3</v>
      </c>
      <c r="H4" s="1"/>
      <c r="I4" s="1"/>
      <c r="J4" s="1"/>
      <c r="K4" s="1" t="s">
        <v>45</v>
      </c>
      <c r="L4" s="1">
        <f>1-(0.0214*K3-0.0943)/100</f>
        <v>0.88238700000000003</v>
      </c>
      <c r="M4" s="1">
        <f>1-0.18</f>
        <v>0.82000000000000006</v>
      </c>
      <c r="N4" s="1" t="s">
        <v>105</v>
      </c>
      <c r="O4" s="1">
        <v>300</v>
      </c>
      <c r="P4" s="1"/>
      <c r="Q4" s="1"/>
    </row>
    <row r="5" spans="1:17" x14ac:dyDescent="0.4">
      <c r="A5" s="1"/>
      <c r="B5" s="1" t="s">
        <v>4</v>
      </c>
      <c r="C5" s="1">
        <v>1.4375</v>
      </c>
      <c r="D5" s="1"/>
      <c r="E5" s="1"/>
      <c r="F5" s="1" t="s">
        <v>91</v>
      </c>
      <c r="G5" s="1">
        <v>3</v>
      </c>
      <c r="H5" s="1">
        <v>1.3</v>
      </c>
      <c r="I5" s="1"/>
      <c r="J5" s="1" t="s">
        <v>30</v>
      </c>
      <c r="K5" s="1">
        <v>1.21</v>
      </c>
      <c r="L5" s="1"/>
      <c r="M5" s="1"/>
      <c r="N5" s="1" t="s">
        <v>106</v>
      </c>
      <c r="O5" s="1">
        <v>300</v>
      </c>
      <c r="P5" s="1"/>
      <c r="Q5" s="1"/>
    </row>
    <row r="6" spans="1:17" x14ac:dyDescent="0.4">
      <c r="A6" s="1"/>
      <c r="B6" s="1"/>
      <c r="C6" s="1"/>
      <c r="D6" s="1"/>
      <c r="E6" s="1"/>
      <c r="F6" s="1"/>
      <c r="G6" s="1"/>
      <c r="H6" s="1"/>
      <c r="I6" s="1"/>
      <c r="J6" s="1" t="s">
        <v>31</v>
      </c>
      <c r="K6" s="1">
        <f>1-0.14</f>
        <v>0.86</v>
      </c>
      <c r="L6" s="1">
        <f>SUM(P3:P8)/18.302/100+1</f>
        <v>1.0316905256256146</v>
      </c>
      <c r="M6" s="1"/>
      <c r="N6" s="1" t="s">
        <v>107</v>
      </c>
      <c r="O6" s="1">
        <v>200</v>
      </c>
      <c r="P6" s="1"/>
      <c r="Q6" s="1"/>
    </row>
    <row r="7" spans="1:17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 t="s">
        <v>108</v>
      </c>
      <c r="O7" s="1">
        <v>200</v>
      </c>
      <c r="P7" s="1"/>
      <c r="Q7" s="1"/>
    </row>
    <row r="8" spans="1:17" x14ac:dyDescent="0.4">
      <c r="A8" s="1"/>
      <c r="B8" s="1">
        <v>26629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O8" s="1">
        <v>52</v>
      </c>
      <c r="P8" s="1">
        <v>58</v>
      </c>
      <c r="Q8" s="1">
        <v>54</v>
      </c>
    </row>
    <row r="9" spans="1:17" x14ac:dyDescent="0.4">
      <c r="A9" s="1"/>
      <c r="B9" s="1"/>
      <c r="C9" s="1" t="s">
        <v>39</v>
      </c>
      <c r="D9" s="1" t="s">
        <v>41</v>
      </c>
      <c r="E9" s="1"/>
      <c r="F9" s="1"/>
      <c r="G9" s="1"/>
      <c r="H9" s="1" t="s">
        <v>23</v>
      </c>
      <c r="I9" s="1"/>
      <c r="J9" s="1"/>
      <c r="K9" s="1"/>
      <c r="L9" s="1"/>
      <c r="M9" s="1"/>
    </row>
    <row r="10" spans="1:17" x14ac:dyDescent="0.4">
      <c r="A10" s="1"/>
      <c r="B10" s="1" t="s">
        <v>43</v>
      </c>
      <c r="C10" s="1" t="s">
        <v>40</v>
      </c>
      <c r="D10" s="1" t="s">
        <v>42</v>
      </c>
      <c r="E10" s="1"/>
      <c r="F10" s="1"/>
      <c r="G10" s="1"/>
      <c r="H10" s="1" t="s">
        <v>24</v>
      </c>
      <c r="I10" s="1"/>
      <c r="J10" s="1"/>
      <c r="K10" s="1" t="s">
        <v>65</v>
      </c>
      <c r="L10" s="1" t="s">
        <v>98</v>
      </c>
      <c r="M10" s="1" t="s">
        <v>32</v>
      </c>
    </row>
    <row r="11" spans="1:17" x14ac:dyDescent="0.4">
      <c r="A11" s="1"/>
      <c r="B11" s="2" t="s">
        <v>93</v>
      </c>
      <c r="C11" s="3">
        <v>222</v>
      </c>
      <c r="D11" s="4">
        <v>12</v>
      </c>
      <c r="E11" s="2">
        <v>496968</v>
      </c>
      <c r="F11" s="3"/>
      <c r="G11" s="4"/>
      <c r="H11" s="3">
        <f>(E11-E12)/B8</f>
        <v>18.549288369822374</v>
      </c>
      <c r="I11" s="3"/>
      <c r="J11" s="4"/>
      <c r="K11" s="10">
        <f>(H12+I12+J12)*1.948*2.904</f>
        <v>2559294.5117111048</v>
      </c>
      <c r="L11" s="10">
        <f>K11*E2</f>
        <v>4897756.7134669004</v>
      </c>
      <c r="M11" s="9">
        <f>L11*K5*H5</f>
        <v>7704171.3102834346</v>
      </c>
    </row>
    <row r="12" spans="1:17" x14ac:dyDescent="0.4">
      <c r="A12" s="1"/>
      <c r="B12" s="5" t="s">
        <v>36</v>
      </c>
      <c r="C12" s="6">
        <v>155</v>
      </c>
      <c r="D12" s="7">
        <f>L4*M4*18</f>
        <v>13.024032120000001</v>
      </c>
      <c r="E12" s="5">
        <v>3019</v>
      </c>
      <c r="F12" s="6"/>
      <c r="G12" s="7"/>
      <c r="H12" s="8">
        <f>E12+H11*C1</f>
        <v>452412.60933568666</v>
      </c>
      <c r="I12" s="8"/>
      <c r="J12" s="11"/>
      <c r="K12" s="12"/>
      <c r="L12" s="12"/>
      <c r="M12" s="9"/>
    </row>
    <row r="13" spans="1:17" x14ac:dyDescent="0.4">
      <c r="A13" s="1"/>
      <c r="B13" s="2" t="s">
        <v>100</v>
      </c>
      <c r="C13" s="3">
        <v>121</v>
      </c>
      <c r="D13" s="4">
        <v>11</v>
      </c>
      <c r="E13" s="2">
        <v>71939</v>
      </c>
      <c r="F13" s="3">
        <v>108142</v>
      </c>
      <c r="G13" s="4"/>
      <c r="H13" s="3">
        <f>(E13-E14)/B8</f>
        <v>2.6838784783506702</v>
      </c>
      <c r="I13" s="3">
        <f>(F13-F14)/B8</f>
        <v>4.0358631567088512</v>
      </c>
      <c r="J13" s="4">
        <f>(G13-G14)/B8</f>
        <v>0</v>
      </c>
      <c r="K13" s="13">
        <f>(H14+I14*1.708+J14)*1.7</f>
        <v>397190.14732861164</v>
      </c>
      <c r="L13" s="13">
        <f>K13*C3</f>
        <v>992975.36832152912</v>
      </c>
      <c r="M13" s="9">
        <f>L13*K5/D14*H5</f>
        <v>269838.71353750711</v>
      </c>
    </row>
    <row r="14" spans="1:17" x14ac:dyDescent="0.4">
      <c r="A14" s="1"/>
      <c r="B14" s="5" t="s">
        <v>102</v>
      </c>
      <c r="C14" s="6">
        <v>444</v>
      </c>
      <c r="D14" s="7">
        <f>8*M4*L4</f>
        <v>5.7884587200000004</v>
      </c>
      <c r="E14" s="5">
        <v>470</v>
      </c>
      <c r="F14" s="6">
        <v>671</v>
      </c>
      <c r="G14" s="7"/>
      <c r="H14" s="8">
        <f>E14+H13*C1</f>
        <v>65492.323895001689</v>
      </c>
      <c r="I14" s="8">
        <f>F14+I13*C1</f>
        <v>98447.856697585332</v>
      </c>
      <c r="J14" s="11">
        <f>G14+J13*C1</f>
        <v>0</v>
      </c>
      <c r="K14" s="6"/>
      <c r="L14" s="12"/>
      <c r="M14" s="9"/>
    </row>
    <row r="15" spans="1:17" x14ac:dyDescent="0.4">
      <c r="A15" s="1"/>
      <c r="B15" s="2" t="s">
        <v>101</v>
      </c>
      <c r="C15" s="3">
        <v>332</v>
      </c>
      <c r="D15" s="4">
        <v>12</v>
      </c>
      <c r="E15" s="2">
        <v>65508</v>
      </c>
      <c r="F15" s="3">
        <v>262036</v>
      </c>
      <c r="G15" s="4"/>
      <c r="H15" s="3">
        <f>(E15-E16)/B8</f>
        <v>2.4449284614518008</v>
      </c>
      <c r="I15" s="3">
        <f>(F15-F16)/B8</f>
        <v>9.7806151188553834</v>
      </c>
      <c r="J15" s="4"/>
      <c r="K15" s="13">
        <f>(H16+I16)*1.952*2.9</f>
        <v>1687927.4054472339</v>
      </c>
      <c r="L15" s="13">
        <f>K15*E2</f>
        <v>3230209.631617086</v>
      </c>
      <c r="M15" s="9">
        <f>L15*K5/D16*H5</f>
        <v>355026.0247149067</v>
      </c>
      <c r="N15">
        <v>144</v>
      </c>
    </row>
    <row r="16" spans="1:17" x14ac:dyDescent="0.4">
      <c r="A16" s="1"/>
      <c r="B16" s="5" t="s">
        <v>88</v>
      </c>
      <c r="C16" s="6">
        <v>144</v>
      </c>
      <c r="D16" s="7">
        <f>23*M4*L4*K6</f>
        <v>14.311964185200004</v>
      </c>
      <c r="E16" s="5">
        <v>402</v>
      </c>
      <c r="F16" s="6">
        <v>1588</v>
      </c>
      <c r="G16" s="7"/>
      <c r="H16" s="8">
        <f>E16+H15*C1</f>
        <v>59635.281835592774</v>
      </c>
      <c r="I16" s="8">
        <f>F16+I15*C1</f>
        <v>238542.96248450936</v>
      </c>
      <c r="J16" s="7"/>
      <c r="K16" s="12"/>
      <c r="L16" s="12"/>
      <c r="M16" s="9"/>
    </row>
    <row r="17" spans="1:14" x14ac:dyDescent="0.4">
      <c r="A17" s="1"/>
      <c r="B17" s="2" t="s">
        <v>94</v>
      </c>
      <c r="C17" s="3">
        <v>321</v>
      </c>
      <c r="D17" s="4">
        <v>12</v>
      </c>
      <c r="E17" s="2">
        <v>304844</v>
      </c>
      <c r="F17" s="3"/>
      <c r="G17" s="4"/>
      <c r="H17" s="3">
        <f>(E17-E18)/B8</f>
        <v>11.378572233279508</v>
      </c>
      <c r="I17" s="3"/>
      <c r="J17" s="4"/>
      <c r="K17" s="13">
        <f>H18*1.45*1.95</f>
        <v>784667.072998986</v>
      </c>
      <c r="L17" s="13">
        <f>K17*(C2+0.3)*(C3+1.6)+K17*(D2-0.3)</f>
        <v>2996126.8014355334</v>
      </c>
      <c r="M17" s="9">
        <f>L17*K5/D18*H5</f>
        <v>420770.22702613048</v>
      </c>
      <c r="N17">
        <v>554</v>
      </c>
    </row>
    <row r="18" spans="1:14" x14ac:dyDescent="0.4">
      <c r="A18" s="1"/>
      <c r="B18" s="5" t="s">
        <v>88</v>
      </c>
      <c r="C18" s="6">
        <v>555</v>
      </c>
      <c r="D18" s="7">
        <f>L4*M4*18*K6</f>
        <v>11.200667623200001</v>
      </c>
      <c r="E18" s="5">
        <v>1844</v>
      </c>
      <c r="F18" s="6"/>
      <c r="G18" s="7"/>
      <c r="H18" s="8">
        <f>E18+H17*C1</f>
        <v>277512.66949566262</v>
      </c>
      <c r="I18" s="6"/>
      <c r="J18" s="7"/>
      <c r="K18" s="12"/>
      <c r="L18" s="12"/>
      <c r="M18" s="9"/>
    </row>
    <row r="19" spans="1:14" x14ac:dyDescent="0.4">
      <c r="A19" s="1"/>
      <c r="B19" s="2" t="s">
        <v>95</v>
      </c>
      <c r="C19" s="3">
        <v>232</v>
      </c>
      <c r="D19" s="4">
        <v>12</v>
      </c>
      <c r="E19" s="2">
        <v>150349</v>
      </c>
      <c r="F19" s="3">
        <v>150349</v>
      </c>
      <c r="G19" s="4"/>
      <c r="H19" s="3">
        <f>(E19-E20)/B8</f>
        <v>5.6057681475083552</v>
      </c>
      <c r="I19" s="3">
        <f>(F19-F20)/B8</f>
        <v>5.6204513875849633</v>
      </c>
      <c r="J19" s="4"/>
      <c r="K19" s="13">
        <f>(H20+I20)*1.586*2.45</f>
        <v>1063642.844163476</v>
      </c>
      <c r="L19" s="13">
        <f>K19*C3</f>
        <v>2659107.1104086898</v>
      </c>
      <c r="M19" s="9">
        <f>L19*K5/D20</f>
        <v>326983.69955228805</v>
      </c>
      <c r="N19">
        <v>444</v>
      </c>
    </row>
    <row r="20" spans="1:14" x14ac:dyDescent="0.4">
      <c r="A20" s="1"/>
      <c r="B20" s="5" t="s">
        <v>36</v>
      </c>
      <c r="C20" s="6">
        <v>444</v>
      </c>
      <c r="D20" s="7">
        <f>M4*12</f>
        <v>9.84</v>
      </c>
      <c r="E20" s="5">
        <v>1073</v>
      </c>
      <c r="F20" s="6">
        <v>682</v>
      </c>
      <c r="G20" s="7"/>
      <c r="H20" s="8">
        <f>E20+H19*C1</f>
        <v>136883.94490968491</v>
      </c>
      <c r="I20" s="8">
        <f>F20+I19*C1</f>
        <v>136848.6757670209</v>
      </c>
      <c r="J20" s="7"/>
      <c r="K20" s="12"/>
      <c r="L20" s="12"/>
      <c r="M20" s="9"/>
    </row>
    <row r="21" spans="1:14" x14ac:dyDescent="0.4">
      <c r="A21" s="1"/>
      <c r="B21" s="2" t="s">
        <v>96</v>
      </c>
      <c r="C21" s="3">
        <v>121</v>
      </c>
      <c r="D21" s="4">
        <v>10</v>
      </c>
      <c r="E21" s="2">
        <v>196604</v>
      </c>
      <c r="F21" s="3"/>
      <c r="G21" s="4"/>
      <c r="H21" s="3">
        <f>(E21-E22)/B8</f>
        <v>7.3327199669533218</v>
      </c>
      <c r="I21" s="3"/>
      <c r="J21" s="4"/>
      <c r="K21" s="13">
        <f>H22</f>
        <v>178990.80663937813</v>
      </c>
      <c r="L21" s="13">
        <f>K21*E2</f>
        <v>342537.14094074827</v>
      </c>
      <c r="M21" s="9">
        <f>L21*K5</f>
        <v>414469.94053830538</v>
      </c>
    </row>
    <row r="22" spans="1:14" x14ac:dyDescent="0.4">
      <c r="A22" s="1"/>
      <c r="B22" s="5" t="s">
        <v>87</v>
      </c>
      <c r="C22" s="6">
        <v>451</v>
      </c>
      <c r="D22" s="7">
        <f>L4*M4*30*K6</f>
        <v>18.667779372000002</v>
      </c>
      <c r="E22" s="5">
        <v>1341</v>
      </c>
      <c r="F22" s="6"/>
      <c r="G22" s="7"/>
      <c r="H22" s="8">
        <f>E22+H21*C1</f>
        <v>178990.80663937813</v>
      </c>
      <c r="I22" s="8"/>
      <c r="J22" s="7"/>
      <c r="K22" s="12"/>
      <c r="L22" s="12"/>
      <c r="M22" s="9"/>
    </row>
    <row r="23" spans="1:14" x14ac:dyDescent="0.4">
      <c r="A23" s="1"/>
      <c r="B23" s="2" t="s">
        <v>97</v>
      </c>
      <c r="C23" s="3">
        <v>321</v>
      </c>
      <c r="D23" s="4">
        <v>12</v>
      </c>
      <c r="E23" s="2">
        <v>438507</v>
      </c>
      <c r="F23" s="3"/>
      <c r="G23" s="4"/>
      <c r="H23" s="3">
        <f>(E23-E24)/B8</f>
        <v>16.3673814262646</v>
      </c>
      <c r="I23" s="3"/>
      <c r="J23" s="4"/>
      <c r="K23" s="13">
        <f>H24*2.45*2.2</f>
        <v>2151647.8434980665</v>
      </c>
      <c r="L23" s="13">
        <f>K23*E2</f>
        <v>4117637.7405129219</v>
      </c>
      <c r="M23" s="9">
        <f>L23*K5/D24</f>
        <v>444825.41877242079</v>
      </c>
    </row>
    <row r="24" spans="1:14" x14ac:dyDescent="0.4">
      <c r="A24" s="1"/>
      <c r="B24" s="5" t="s">
        <v>88</v>
      </c>
      <c r="C24" s="6">
        <v>555</v>
      </c>
      <c r="D24" s="7">
        <f>(27-9)*K6*L4*M4</f>
        <v>11.200667623200001</v>
      </c>
      <c r="E24" s="5">
        <v>2660</v>
      </c>
      <c r="F24" s="6"/>
      <c r="G24" s="7"/>
      <c r="H24" s="8">
        <f>E24+H23*C1</f>
        <v>399192.54981411248</v>
      </c>
      <c r="I24" s="8"/>
      <c r="J24" s="7"/>
      <c r="K24" s="12"/>
      <c r="L24" s="12"/>
      <c r="M24" s="1"/>
    </row>
    <row r="25" spans="1:14" x14ac:dyDescent="0.4">
      <c r="A25" s="1"/>
      <c r="B25" s="2" t="s">
        <v>288</v>
      </c>
      <c r="C25" s="3"/>
      <c r="D25" s="4"/>
      <c r="E25" s="2">
        <v>695350</v>
      </c>
      <c r="F25" s="3">
        <v>4866881</v>
      </c>
      <c r="G25" s="4">
        <v>1390728</v>
      </c>
      <c r="H25" s="3">
        <f>(E25-E26)/32328</f>
        <v>21.507176441474883</v>
      </c>
      <c r="I25" s="3">
        <f t="shared" ref="I25" si="0">(F25-F26)/32328</f>
        <v>150.53161346201435</v>
      </c>
      <c r="J25" s="3">
        <f>(G25-G26)/32328</f>
        <v>43.002350903241769</v>
      </c>
      <c r="K25" s="13">
        <f>SUM(H26:J26)</f>
        <v>5210910.7183246715</v>
      </c>
      <c r="L25" s="13">
        <f>K25*E2*0.5</f>
        <v>4986095.3550218465</v>
      </c>
      <c r="M25" s="9">
        <f>L25/D26*L6</f>
        <v>48581.36072609415</v>
      </c>
    </row>
    <row r="26" spans="1:14" x14ac:dyDescent="0.4">
      <c r="A26" s="1"/>
      <c r="B26" s="5"/>
      <c r="C26" s="6"/>
      <c r="D26" s="7">
        <f>300*L4*0.8*0.5</f>
        <v>105.88643999999999</v>
      </c>
      <c r="E26" s="5">
        <v>66</v>
      </c>
      <c r="F26" s="6">
        <v>495</v>
      </c>
      <c r="G26" s="7">
        <v>548</v>
      </c>
      <c r="H26" s="8">
        <f>E26+H25*C1</f>
        <v>521120.36364761199</v>
      </c>
      <c r="I26" s="8">
        <f>F26+I25*C1</f>
        <v>3647424.3993442217</v>
      </c>
      <c r="J26" s="8">
        <f>G26+J25*C1</f>
        <v>1042365.9553328383</v>
      </c>
      <c r="K26" s="12"/>
      <c r="L26" s="12"/>
      <c r="M26" s="1"/>
    </row>
    <row r="27" spans="1:14" x14ac:dyDescent="0.4">
      <c r="A27" s="1"/>
      <c r="B27" s="2" t="s">
        <v>373</v>
      </c>
      <c r="C27" s="3"/>
      <c r="D27" s="4">
        <v>12</v>
      </c>
      <c r="E27" s="2">
        <v>123010</v>
      </c>
      <c r="F27" s="3">
        <v>122955</v>
      </c>
      <c r="G27" s="4">
        <v>164059</v>
      </c>
      <c r="H27" s="3">
        <f>(E27-E28)/(38999/1.16)</f>
        <v>3.6408872022359544</v>
      </c>
      <c r="I27" s="3">
        <f t="shared" ref="I27" si="1">(F27-F28)/(38999/1.16)</f>
        <v>3.6399056386061179</v>
      </c>
      <c r="J27" s="3">
        <f>(G27-G28)/(38999/1.16)</f>
        <v>4.8558845098592265</v>
      </c>
      <c r="K27" s="13">
        <f>(H28+I28+J28)*1.6*1.83*2.89</f>
        <v>2504950.7176660029</v>
      </c>
      <c r="L27" s="13">
        <f>K27*E2</f>
        <v>4793758.2557271905</v>
      </c>
      <c r="M27" s="1">
        <f>L27*K5*H5</f>
        <v>7540581.7362588709</v>
      </c>
    </row>
    <row r="28" spans="1:14" x14ac:dyDescent="0.4">
      <c r="A28" s="1"/>
      <c r="B28" s="5"/>
      <c r="C28" s="6"/>
      <c r="D28" s="7">
        <f>16*L4</f>
        <v>14.118192000000001</v>
      </c>
      <c r="E28" s="5">
        <v>604</v>
      </c>
      <c r="F28" s="6">
        <v>582</v>
      </c>
      <c r="G28" s="7">
        <v>805</v>
      </c>
      <c r="H28" s="8">
        <f>E28+H27*C1</f>
        <v>88811.774248570466</v>
      </c>
      <c r="I28" s="8">
        <f>F28+I27*C1</f>
        <v>88765.993906510426</v>
      </c>
      <c r="J28" s="8">
        <f>G28+J27*C1</f>
        <v>118448.51402035948</v>
      </c>
      <c r="K28" s="12"/>
      <c r="L28" s="12"/>
      <c r="M28" s="1"/>
    </row>
    <row r="29" spans="1:14" x14ac:dyDescent="0.4">
      <c r="L29" s="14">
        <f>(M13+M15+M17+M19+M23)+M25</f>
        <v>1866025.4443293472</v>
      </c>
      <c r="M29">
        <f>(M11*1.16+M21)/D22</f>
        <v>500933.1037248713</v>
      </c>
    </row>
    <row r="30" spans="1:14" x14ac:dyDescent="0.4">
      <c r="K30" t="s">
        <v>103</v>
      </c>
      <c r="L30">
        <f>L29*1.12*5/D22+L29*(D22-5)/D22</f>
        <v>1926001.2585002033</v>
      </c>
    </row>
    <row r="32" spans="1:14" x14ac:dyDescent="0.4">
      <c r="M32">
        <f>(L30+M29)*H1*H3*C5*H2</f>
        <v>4759169.7456361251</v>
      </c>
    </row>
    <row r="35" spans="13:13" x14ac:dyDescent="0.4">
      <c r="M35">
        <f>(M27*1.16+M21)/D22</f>
        <v>490767.78614279599</v>
      </c>
    </row>
    <row r="37" spans="13:13" x14ac:dyDescent="0.4">
      <c r="M37">
        <f>(M35+L30)*H1*H3*H2*C5*1.05</f>
        <v>4976197.54922223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M28" sqref="M28"/>
    </sheetView>
  </sheetViews>
  <sheetFormatPr defaultRowHeight="17.399999999999999" x14ac:dyDescent="0.4"/>
  <cols>
    <col min="1" max="1" width="13.09765625" customWidth="1"/>
    <col min="4" max="4" width="14.19921875" customWidth="1"/>
    <col min="9" max="9" width="10.69921875" customWidth="1"/>
    <col min="10" max="10" width="13" customWidth="1"/>
    <col min="11" max="11" width="15.3984375" customWidth="1"/>
    <col min="12" max="12" width="16.69921875" customWidth="1"/>
    <col min="13" max="13" width="11.09765625" customWidth="1"/>
    <col min="14" max="14" width="15.796875" customWidth="1"/>
  </cols>
  <sheetData>
    <row r="1" spans="1:16" x14ac:dyDescent="0.4">
      <c r="A1" s="32" t="s">
        <v>0</v>
      </c>
      <c r="B1" s="32">
        <v>24227</v>
      </c>
      <c r="C1" s="32" t="s">
        <v>5</v>
      </c>
      <c r="D1" s="32"/>
      <c r="E1" s="32" t="s">
        <v>13</v>
      </c>
      <c r="F1" s="32">
        <v>3</v>
      </c>
      <c r="G1" s="32">
        <v>1.2</v>
      </c>
      <c r="H1" s="32"/>
      <c r="I1" s="32"/>
      <c r="J1" s="32"/>
      <c r="K1" s="32"/>
      <c r="L1" s="32"/>
    </row>
    <row r="2" spans="1:16" x14ac:dyDescent="0.4">
      <c r="A2" s="32" t="s">
        <v>1</v>
      </c>
      <c r="B2" s="32">
        <f>(0.0357*J2-0.0328)/100+B6</f>
        <v>0.80914240000000004</v>
      </c>
      <c r="C2" s="32">
        <f>1-B2</f>
        <v>0.19085759999999996</v>
      </c>
      <c r="D2" s="32"/>
      <c r="E2" s="32" t="s">
        <v>344</v>
      </c>
      <c r="F2" s="32">
        <v>3</v>
      </c>
      <c r="G2" s="32">
        <v>1.1599999999999999</v>
      </c>
      <c r="H2" s="32"/>
      <c r="I2" s="32" t="s">
        <v>25</v>
      </c>
      <c r="J2" s="32">
        <f>SUM(N3:N8)*1.1</f>
        <v>1707.2</v>
      </c>
      <c r="K2" s="32"/>
      <c r="L2" s="32"/>
      <c r="M2" s="32"/>
      <c r="N2" s="32" t="s">
        <v>109</v>
      </c>
      <c r="O2" s="32" t="s">
        <v>110</v>
      </c>
      <c r="P2" s="32" t="s">
        <v>111</v>
      </c>
    </row>
    <row r="3" spans="1:16" x14ac:dyDescent="0.4">
      <c r="A3" s="32" t="s">
        <v>2</v>
      </c>
      <c r="B3" s="32">
        <v>2.5</v>
      </c>
      <c r="C3" s="32">
        <f>B3+C6</f>
        <v>3</v>
      </c>
      <c r="D3" s="32">
        <f>B3*B2+C2</f>
        <v>2.2137136000000002</v>
      </c>
      <c r="E3" s="32" t="s">
        <v>114</v>
      </c>
      <c r="F3" s="32">
        <v>3</v>
      </c>
      <c r="G3" s="32">
        <f>0.9+0.1*0.8</f>
        <v>0.98</v>
      </c>
      <c r="H3" s="32"/>
      <c r="I3" s="32" t="s">
        <v>116</v>
      </c>
      <c r="J3" s="32">
        <f>SUM(O3:O8)</f>
        <v>58</v>
      </c>
      <c r="K3" s="32"/>
      <c r="L3" s="32"/>
      <c r="M3" s="32" t="s">
        <v>104</v>
      </c>
      <c r="N3">
        <v>500</v>
      </c>
      <c r="P3" s="32">
        <v>500</v>
      </c>
    </row>
    <row r="4" spans="1:16" x14ac:dyDescent="0.4">
      <c r="A4" s="32" t="s">
        <v>3</v>
      </c>
      <c r="B4" s="32">
        <v>1.05</v>
      </c>
      <c r="C4" s="32" t="s">
        <v>149</v>
      </c>
      <c r="D4" s="32">
        <f>((B2+0.1)*C3+C2-0.1)*D6*B4*G4</f>
        <v>4.364818584</v>
      </c>
      <c r="E4" s="32" t="s">
        <v>118</v>
      </c>
      <c r="F4" s="32">
        <v>3</v>
      </c>
      <c r="G4" s="32">
        <v>1.25</v>
      </c>
      <c r="H4" s="32"/>
      <c r="I4" s="32"/>
      <c r="J4" s="32" t="s">
        <v>45</v>
      </c>
      <c r="K4" s="32">
        <f>1-(0.0214*(P3+P8)-0.0943)/100</f>
        <v>0.88238700000000003</v>
      </c>
      <c r="L4" s="32">
        <v>1</v>
      </c>
      <c r="M4" s="32" t="s">
        <v>105</v>
      </c>
      <c r="N4" s="32">
        <v>300</v>
      </c>
      <c r="P4" s="32"/>
    </row>
    <row r="5" spans="1:16" x14ac:dyDescent="0.4">
      <c r="A5" s="32" t="s">
        <v>128</v>
      </c>
      <c r="B5" s="32" t="s">
        <v>129</v>
      </c>
      <c r="C5" s="32" t="s">
        <v>130</v>
      </c>
      <c r="D5" s="32" t="s">
        <v>131</v>
      </c>
      <c r="E5" s="32" t="s">
        <v>372</v>
      </c>
      <c r="F5" s="32">
        <v>3</v>
      </c>
      <c r="G5" s="32">
        <v>1.3</v>
      </c>
      <c r="H5" s="32"/>
      <c r="I5" s="32" t="s">
        <v>30</v>
      </c>
      <c r="J5" s="32">
        <v>1.21</v>
      </c>
      <c r="K5" s="32"/>
      <c r="L5" s="32"/>
      <c r="M5" s="32" t="s">
        <v>106</v>
      </c>
      <c r="N5" s="32">
        <v>300</v>
      </c>
      <c r="P5" s="32"/>
    </row>
    <row r="6" spans="1:16" x14ac:dyDescent="0.4">
      <c r="A6" s="32"/>
      <c r="B6" s="32">
        <v>0.2</v>
      </c>
      <c r="C6" s="32">
        <v>0.5</v>
      </c>
      <c r="D6" s="32">
        <v>1.18</v>
      </c>
      <c r="E6" s="32"/>
      <c r="F6" s="32"/>
      <c r="G6" s="32"/>
      <c r="H6" s="32"/>
      <c r="I6" s="32" t="s">
        <v>31</v>
      </c>
      <c r="J6" s="32">
        <f>1-0.14</f>
        <v>0.86</v>
      </c>
      <c r="K6" s="32">
        <f>J3/18.302/100+1</f>
        <v>1.0316905256256146</v>
      </c>
      <c r="L6" s="32"/>
      <c r="M6" s="32" t="s">
        <v>107</v>
      </c>
      <c r="N6" s="32">
        <v>200</v>
      </c>
      <c r="P6" s="32"/>
    </row>
    <row r="7" spans="1:16" x14ac:dyDescent="0.4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 t="s">
        <v>108</v>
      </c>
      <c r="N7" s="32">
        <v>200</v>
      </c>
      <c r="P7" s="32"/>
    </row>
    <row r="8" spans="1:16" x14ac:dyDescent="0.4">
      <c r="A8" s="32">
        <v>26629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32">
        <v>52</v>
      </c>
      <c r="O8" s="32">
        <v>58</v>
      </c>
      <c r="P8" s="32">
        <v>54</v>
      </c>
    </row>
    <row r="9" spans="1:16" x14ac:dyDescent="0.4">
      <c r="A9" s="32"/>
      <c r="B9" s="32" t="s">
        <v>39</v>
      </c>
      <c r="C9" s="32" t="s">
        <v>41</v>
      </c>
      <c r="D9" s="32"/>
      <c r="E9" s="32"/>
      <c r="F9" s="32"/>
      <c r="G9" s="32" t="s">
        <v>23</v>
      </c>
      <c r="H9" s="32"/>
      <c r="I9" s="32"/>
      <c r="J9" s="32"/>
      <c r="K9" s="32"/>
      <c r="L9" s="32"/>
    </row>
    <row r="10" spans="1:16" x14ac:dyDescent="0.4">
      <c r="A10" s="32" t="s">
        <v>43</v>
      </c>
      <c r="B10" s="32" t="s">
        <v>40</v>
      </c>
      <c r="C10" s="32" t="s">
        <v>42</v>
      </c>
      <c r="D10" s="32"/>
      <c r="E10" s="32"/>
      <c r="F10" s="32"/>
      <c r="G10" s="32" t="s">
        <v>24</v>
      </c>
      <c r="H10" s="32"/>
      <c r="I10" s="32"/>
      <c r="J10" s="32" t="s">
        <v>65</v>
      </c>
      <c r="K10" s="32" t="s">
        <v>98</v>
      </c>
      <c r="L10" s="32" t="s">
        <v>32</v>
      </c>
    </row>
    <row r="11" spans="1:16" x14ac:dyDescent="0.4">
      <c r="A11" s="2" t="s">
        <v>93</v>
      </c>
      <c r="B11" s="3">
        <v>222</v>
      </c>
      <c r="C11" s="4">
        <v>12</v>
      </c>
      <c r="D11" s="2">
        <v>496968</v>
      </c>
      <c r="E11" s="3"/>
      <c r="F11" s="4"/>
      <c r="G11" s="3">
        <f>(D11-D12)/A8</f>
        <v>18.549288369822374</v>
      </c>
      <c r="H11" s="3"/>
      <c r="I11" s="4"/>
      <c r="J11" s="31">
        <f>(G12+H12+I12)*1.948*2.904</f>
        <v>2559294.5117111048</v>
      </c>
      <c r="K11" s="31">
        <f>J11*D3</f>
        <v>5665545.0669802325</v>
      </c>
      <c r="L11" s="9">
        <f>K11*J5*G5</f>
        <v>8911902.3903599065</v>
      </c>
    </row>
    <row r="12" spans="1:16" x14ac:dyDescent="0.4">
      <c r="A12" s="5" t="s">
        <v>36</v>
      </c>
      <c r="B12" s="6">
        <v>155</v>
      </c>
      <c r="C12" s="7">
        <f>K4*L4*18</f>
        <v>15.882966</v>
      </c>
      <c r="D12" s="5">
        <v>3019</v>
      </c>
      <c r="E12" s="6"/>
      <c r="F12" s="7"/>
      <c r="G12" s="8">
        <f>D12+G11*B1</f>
        <v>452412.60933568666</v>
      </c>
      <c r="H12" s="8"/>
      <c r="I12" s="11"/>
      <c r="J12" s="12"/>
      <c r="K12" s="12"/>
      <c r="L12" s="9"/>
    </row>
    <row r="13" spans="1:16" x14ac:dyDescent="0.4">
      <c r="A13" s="2" t="s">
        <v>100</v>
      </c>
      <c r="B13" s="3">
        <v>121</v>
      </c>
      <c r="C13" s="4">
        <v>11</v>
      </c>
      <c r="D13" s="2">
        <v>71939</v>
      </c>
      <c r="E13" s="3">
        <v>108142</v>
      </c>
      <c r="F13" s="4"/>
      <c r="G13" s="3">
        <f>(D13-D14)/A8</f>
        <v>2.6838784783506702</v>
      </c>
      <c r="H13" s="3">
        <f>(E13-E14)/A8</f>
        <v>4.0358631567088512</v>
      </c>
      <c r="I13" s="4">
        <f>(F13-F14)/A8</f>
        <v>0</v>
      </c>
      <c r="J13" s="13">
        <f>(G14+H14*1.708+I14)*1.7</f>
        <v>397190.14732861164</v>
      </c>
      <c r="K13" s="13">
        <f>J13*C3*B4*D6*G4</f>
        <v>1845444.7220255618</v>
      </c>
      <c r="L13" s="9">
        <f>K13*J5/C14*G5</f>
        <v>411226.10426975472</v>
      </c>
    </row>
    <row r="14" spans="1:16" x14ac:dyDescent="0.4">
      <c r="A14" s="5" t="s">
        <v>102</v>
      </c>
      <c r="B14" s="6">
        <v>444</v>
      </c>
      <c r="C14" s="7">
        <f>8*L4*K4</f>
        <v>7.0590960000000003</v>
      </c>
      <c r="D14" s="5">
        <v>470</v>
      </c>
      <c r="E14" s="6">
        <v>671</v>
      </c>
      <c r="F14" s="7"/>
      <c r="G14" s="8">
        <f>D14+G13*B1</f>
        <v>65492.323895001689</v>
      </c>
      <c r="H14" s="8">
        <f>E14+H13*B1</f>
        <v>98447.856697585332</v>
      </c>
      <c r="I14" s="11">
        <f>F14+I13*B1</f>
        <v>0</v>
      </c>
      <c r="J14" s="6"/>
      <c r="K14" s="12"/>
      <c r="L14" s="9"/>
    </row>
    <row r="15" spans="1:16" x14ac:dyDescent="0.4">
      <c r="A15" s="2" t="s">
        <v>101</v>
      </c>
      <c r="B15" s="3">
        <v>332</v>
      </c>
      <c r="C15" s="4">
        <v>12</v>
      </c>
      <c r="D15" s="2">
        <v>65508</v>
      </c>
      <c r="E15" s="3">
        <v>262036</v>
      </c>
      <c r="F15" s="4"/>
      <c r="G15" s="3">
        <f>(D15-D16)/A8</f>
        <v>2.4449284614518008</v>
      </c>
      <c r="H15" s="3">
        <f>(E15-E16)/A8</f>
        <v>9.7806151188553834</v>
      </c>
      <c r="I15" s="4"/>
      <c r="J15" s="13">
        <f>(G16+H16)*1.952*2.9</f>
        <v>1687927.4054472339</v>
      </c>
      <c r="K15" s="13">
        <f>J15*D4</f>
        <v>7367496.9077389892</v>
      </c>
      <c r="L15" s="9">
        <f>K15*J5/C16*G5</f>
        <v>663992.68740787555</v>
      </c>
      <c r="M15">
        <v>144</v>
      </c>
    </row>
    <row r="16" spans="1:16" x14ac:dyDescent="0.4">
      <c r="A16" s="5" t="s">
        <v>88</v>
      </c>
      <c r="B16" s="6">
        <v>144</v>
      </c>
      <c r="C16" s="7">
        <f>23*L4*K4*J6</f>
        <v>17.453614859999998</v>
      </c>
      <c r="D16" s="5">
        <v>402</v>
      </c>
      <c r="E16" s="6">
        <v>1588</v>
      </c>
      <c r="F16" s="7"/>
      <c r="G16" s="8">
        <f>D16+G15*B1</f>
        <v>59635.281835592774</v>
      </c>
      <c r="H16" s="8">
        <f>E16+H15*B1</f>
        <v>238542.96248450936</v>
      </c>
      <c r="I16" s="7"/>
      <c r="J16" s="12"/>
      <c r="K16" s="12"/>
      <c r="L16" s="9"/>
    </row>
    <row r="17" spans="1:14" x14ac:dyDescent="0.4">
      <c r="A17" s="2" t="s">
        <v>94</v>
      </c>
      <c r="B17" s="3">
        <v>321</v>
      </c>
      <c r="C17" s="4">
        <v>12</v>
      </c>
      <c r="D17" s="2">
        <v>304844</v>
      </c>
      <c r="E17" s="3"/>
      <c r="F17" s="4"/>
      <c r="G17" s="3">
        <f>(D17-D18)/A8</f>
        <v>11.378572233279508</v>
      </c>
      <c r="H17" s="3"/>
      <c r="I17" s="4"/>
      <c r="J17" s="13">
        <f>G18*1.45*1.95</f>
        <v>784667.072998986</v>
      </c>
      <c r="K17" s="13">
        <f>J17*(C3+1.6)*B4*C6*G4</f>
        <v>2368713.7266156888</v>
      </c>
      <c r="L17" s="9">
        <f>K17*J5/C18*G5</f>
        <v>272779.19407982746</v>
      </c>
      <c r="M17">
        <v>554</v>
      </c>
    </row>
    <row r="18" spans="1:14" x14ac:dyDescent="0.4">
      <c r="A18" s="5" t="s">
        <v>88</v>
      </c>
      <c r="B18" s="6">
        <v>555</v>
      </c>
      <c r="C18" s="7">
        <f>K4*L4*18*J6</f>
        <v>13.659350759999999</v>
      </c>
      <c r="D18" s="5">
        <v>1844</v>
      </c>
      <c r="E18" s="6"/>
      <c r="F18" s="7"/>
      <c r="G18" s="8">
        <f>D18+G17*B1</f>
        <v>277512.66949566262</v>
      </c>
      <c r="H18" s="6"/>
      <c r="I18" s="7"/>
      <c r="J18" s="12"/>
      <c r="K18" s="12"/>
      <c r="L18" s="9"/>
    </row>
    <row r="19" spans="1:14" x14ac:dyDescent="0.4">
      <c r="A19" s="2" t="s">
        <v>95</v>
      </c>
      <c r="B19" s="3">
        <v>232</v>
      </c>
      <c r="C19" s="4">
        <v>12</v>
      </c>
      <c r="D19" s="2">
        <v>150349</v>
      </c>
      <c r="E19" s="3">
        <v>150349</v>
      </c>
      <c r="F19" s="4"/>
      <c r="G19" s="3">
        <f>(D19-D20)/A8</f>
        <v>5.6057681475083552</v>
      </c>
      <c r="H19" s="3">
        <f>(E19-E20)/A8</f>
        <v>5.6204513875849633</v>
      </c>
      <c r="I19" s="4"/>
      <c r="J19" s="13">
        <f>(G20+H20)*1.586*2.45</f>
        <v>1063642.844163476</v>
      </c>
      <c r="K19" s="13">
        <f>J19*C3</f>
        <v>3190928.5324904281</v>
      </c>
      <c r="L19" s="9">
        <f>K19*J5/C20</f>
        <v>321751.96035945148</v>
      </c>
      <c r="M19">
        <v>444</v>
      </c>
    </row>
    <row r="20" spans="1:14" x14ac:dyDescent="0.4">
      <c r="A20" s="5" t="s">
        <v>36</v>
      </c>
      <c r="B20" s="6">
        <v>444</v>
      </c>
      <c r="C20" s="7">
        <f>L4*12</f>
        <v>12</v>
      </c>
      <c r="D20" s="5">
        <v>1073</v>
      </c>
      <c r="E20" s="6">
        <v>682</v>
      </c>
      <c r="F20" s="7"/>
      <c r="G20" s="8">
        <f>D20+G19*B1</f>
        <v>136883.94490968491</v>
      </c>
      <c r="H20" s="8">
        <f>E20+H19*B1</f>
        <v>136848.6757670209</v>
      </c>
      <c r="I20" s="7"/>
      <c r="J20" s="12"/>
      <c r="K20" s="12"/>
      <c r="L20" s="9"/>
    </row>
    <row r="21" spans="1:14" x14ac:dyDescent="0.4">
      <c r="A21" s="2" t="s">
        <v>96</v>
      </c>
      <c r="B21" s="3">
        <v>121</v>
      </c>
      <c r="C21" s="4">
        <v>10</v>
      </c>
      <c r="D21" s="2">
        <v>196604</v>
      </c>
      <c r="E21" s="3"/>
      <c r="F21" s="4"/>
      <c r="G21" s="3">
        <f>(D21-D22)/A8</f>
        <v>7.3327199669533218</v>
      </c>
      <c r="H21" s="3"/>
      <c r="I21" s="4"/>
      <c r="J21" s="13">
        <f>G22</f>
        <v>178990.80663937813</v>
      </c>
      <c r="K21" s="13">
        <f>J21*D3</f>
        <v>396234.38293256168</v>
      </c>
      <c r="L21" s="9">
        <f>K21*J5</f>
        <v>479443.60334839963</v>
      </c>
    </row>
    <row r="22" spans="1:14" x14ac:dyDescent="0.4">
      <c r="A22" s="5" t="s">
        <v>87</v>
      </c>
      <c r="B22" s="6">
        <v>451</v>
      </c>
      <c r="C22" s="7">
        <f>K4*L4*30*J6</f>
        <v>22.7655846</v>
      </c>
      <c r="D22" s="5">
        <v>1341</v>
      </c>
      <c r="E22" s="6"/>
      <c r="F22" s="7"/>
      <c r="G22" s="8">
        <f>D22+G21*B1</f>
        <v>178990.80663937813</v>
      </c>
      <c r="H22" s="8"/>
      <c r="I22" s="7"/>
      <c r="J22" s="12"/>
      <c r="K22" s="12"/>
      <c r="L22" s="9"/>
    </row>
    <row r="23" spans="1:14" x14ac:dyDescent="0.4">
      <c r="A23" s="2" t="s">
        <v>97</v>
      </c>
      <c r="B23" s="3">
        <v>321</v>
      </c>
      <c r="C23" s="4">
        <v>12</v>
      </c>
      <c r="D23" s="2">
        <v>438507</v>
      </c>
      <c r="E23" s="3"/>
      <c r="F23" s="4"/>
      <c r="G23" s="3">
        <f>(D23-D24)/A8</f>
        <v>16.3673814262646</v>
      </c>
      <c r="H23" s="3"/>
      <c r="I23" s="4"/>
      <c r="J23" s="13">
        <f>G24*2.45*2.2</f>
        <v>2151647.8434980665</v>
      </c>
      <c r="K23" s="13">
        <f>J23*D4</f>
        <v>9391552.4935238846</v>
      </c>
      <c r="L23" s="9">
        <f>K23*J5/C24</f>
        <v>831941.33578014222</v>
      </c>
    </row>
    <row r="24" spans="1:14" x14ac:dyDescent="0.4">
      <c r="A24" s="5" t="s">
        <v>88</v>
      </c>
      <c r="B24" s="6">
        <v>555</v>
      </c>
      <c r="C24" s="7">
        <f>(27-9)*J6*K4*L4</f>
        <v>13.659350760000001</v>
      </c>
      <c r="D24" s="5">
        <v>2660</v>
      </c>
      <c r="E24" s="6"/>
      <c r="F24" s="7"/>
      <c r="G24" s="8">
        <f>D24+G23*B1</f>
        <v>399192.54981411248</v>
      </c>
      <c r="H24" s="8"/>
      <c r="I24" s="7"/>
      <c r="J24" s="12">
        <f>G24*1.948*2.2</f>
        <v>1710779.5914833606</v>
      </c>
      <c r="K24" s="12">
        <f>J24*D4</f>
        <v>7467242.5540345004</v>
      </c>
      <c r="L24" s="32">
        <f>K24*J5/C24</f>
        <v>661478.25391825172</v>
      </c>
    </row>
    <row r="25" spans="1:14" x14ac:dyDescent="0.4">
      <c r="A25" s="2" t="s">
        <v>287</v>
      </c>
      <c r="B25" s="3"/>
      <c r="C25" s="4"/>
      <c r="D25" s="2">
        <v>695350</v>
      </c>
      <c r="E25" s="3">
        <v>4866881</v>
      </c>
      <c r="F25" s="4">
        <v>1390728</v>
      </c>
      <c r="G25" s="3">
        <f>(D25-D26)/32328</f>
        <v>21.507176441474883</v>
      </c>
      <c r="H25" s="3">
        <f t="shared" ref="H25" si="0">(E25-E26)/32328</f>
        <v>150.53161346201435</v>
      </c>
      <c r="I25" s="3">
        <f>(F25-F26)/32328</f>
        <v>43.002350903241769</v>
      </c>
      <c r="J25" s="13">
        <f>SUM(G26:I26)</f>
        <v>5210910.7183246715</v>
      </c>
      <c r="K25" s="13">
        <f>J25*D3</f>
        <v>11535463.925541095</v>
      </c>
      <c r="L25" s="9">
        <f>K25/C26*K6</f>
        <v>44957.706919514181</v>
      </c>
    </row>
    <row r="26" spans="1:14" x14ac:dyDescent="0.4">
      <c r="A26" s="5"/>
      <c r="B26" s="6"/>
      <c r="C26" s="7">
        <f>300*K4</f>
        <v>264.71609999999998</v>
      </c>
      <c r="D26" s="5">
        <v>66</v>
      </c>
      <c r="E26" s="6">
        <v>495</v>
      </c>
      <c r="F26" s="7">
        <v>548</v>
      </c>
      <c r="G26" s="8">
        <f>D26+G25*B1</f>
        <v>521120.36364761199</v>
      </c>
      <c r="H26" s="8">
        <f>E26+H25*B1</f>
        <v>3647424.3993442217</v>
      </c>
      <c r="I26" s="8">
        <f>F26+I25*B1</f>
        <v>1042365.9553328383</v>
      </c>
      <c r="J26" s="12"/>
      <c r="K26" s="12"/>
      <c r="L26" s="32"/>
    </row>
    <row r="27" spans="1:14" x14ac:dyDescent="0.4">
      <c r="A27" s="2" t="s">
        <v>373</v>
      </c>
      <c r="B27" s="3"/>
      <c r="C27" s="4">
        <v>12</v>
      </c>
      <c r="D27" s="2">
        <v>123010</v>
      </c>
      <c r="E27" s="3">
        <v>122955</v>
      </c>
      <c r="F27" s="4">
        <v>164059</v>
      </c>
      <c r="G27" s="3">
        <f>(D27-D28)/(38999/1.16)</f>
        <v>3.6408872022359544</v>
      </c>
      <c r="H27" s="3">
        <f t="shared" ref="H27" si="1">(E27-E28)/(38999/1.16)</f>
        <v>3.6399056386061179</v>
      </c>
      <c r="I27" s="3">
        <f>(F27-F28)/(38999/1.16)</f>
        <v>4.8558845098592265</v>
      </c>
      <c r="J27" s="13">
        <f>(G28+H28+I28)*1.6*1.83*2.89</f>
        <v>2504950.7176660029</v>
      </c>
      <c r="K27" s="13">
        <f>J27*D4</f>
        <v>10933655.444472706</v>
      </c>
      <c r="L27" s="32">
        <f>K27*J5*G5</f>
        <v>17198640.014155567</v>
      </c>
      <c r="M27">
        <f>L27*G2*G1*G3</f>
        <v>23461696.761710454</v>
      </c>
    </row>
    <row r="28" spans="1:14" x14ac:dyDescent="0.4">
      <c r="A28" s="5"/>
      <c r="B28" s="6"/>
      <c r="C28" s="7">
        <f>16*K4</f>
        <v>14.118192000000001</v>
      </c>
      <c r="D28" s="5">
        <v>604</v>
      </c>
      <c r="E28" s="6">
        <v>582</v>
      </c>
      <c r="F28" s="7">
        <v>805</v>
      </c>
      <c r="G28" s="8">
        <f>D28+G27*B1</f>
        <v>88811.774248570466</v>
      </c>
      <c r="H28" s="8">
        <f>E28+H27*B1</f>
        <v>88765.993906510426</v>
      </c>
      <c r="I28" s="8">
        <f>F28+I27*B1</f>
        <v>118448.51402035948</v>
      </c>
      <c r="J28" s="12"/>
      <c r="K28" s="12"/>
      <c r="L28" s="32"/>
    </row>
    <row r="29" spans="1:14" x14ac:dyDescent="0.4">
      <c r="K29" s="14">
        <f>(L13+L15+L17+L19+L23)+L25</f>
        <v>2546648.9888165658</v>
      </c>
      <c r="L29">
        <f>(L11*1.16+L21)/C22</f>
        <v>475158.03201319464</v>
      </c>
      <c r="M29" s="14"/>
      <c r="N29" s="14">
        <f>(L27*1.16+L21)/C22</f>
        <v>897401.33533706202</v>
      </c>
    </row>
    <row r="30" spans="1:14" x14ac:dyDescent="0.4">
      <c r="J30" t="s">
        <v>103</v>
      </c>
      <c r="K30">
        <f>K29*1.12*5/C22+K29*(C22-5)/C22</f>
        <v>2613767.3791472907</v>
      </c>
    </row>
    <row r="32" spans="1:14" x14ac:dyDescent="0.4">
      <c r="K32" t="s">
        <v>374</v>
      </c>
      <c r="L32">
        <f>(K30+L29)*G1*G3*G2</f>
        <v>4213788.4888886875</v>
      </c>
      <c r="M32" t="s">
        <v>375</v>
      </c>
      <c r="N32">
        <f>(K30+N29)*G1*G3*G2</f>
        <v>4789795.9135509739</v>
      </c>
    </row>
    <row r="34" spans="11:14" x14ac:dyDescent="0.4">
      <c r="K34" t="s">
        <v>376</v>
      </c>
      <c r="L34" s="14">
        <f>L15+L17+L19+L24+L25</f>
        <v>1964959.8026849201</v>
      </c>
      <c r="N34">
        <f>(L27*1.16+L11*1.16+L21)/C22</f>
        <v>1351499.3501456731</v>
      </c>
    </row>
    <row r="35" spans="11:14" x14ac:dyDescent="0.4">
      <c r="L35">
        <f>L34*1.12*5/C22+K29*(C22-5)/C22</f>
        <v>2470680.368663175</v>
      </c>
    </row>
    <row r="37" spans="11:14" x14ac:dyDescent="0.4">
      <c r="L37">
        <f>(L35+N34)*G1*G3*G2</f>
        <v>5214064.6852102783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H11" workbookViewId="0">
      <selection activeCell="N26" sqref="N26"/>
    </sheetView>
  </sheetViews>
  <sheetFormatPr defaultRowHeight="17.399999999999999" x14ac:dyDescent="0.4"/>
  <cols>
    <col min="1" max="1" width="16.296875" customWidth="1"/>
    <col min="2" max="2" width="11.19921875" customWidth="1"/>
    <col min="4" max="4" width="10.8984375" customWidth="1"/>
    <col min="5" max="5" width="12.69921875" customWidth="1"/>
    <col min="6" max="6" width="13.09765625" customWidth="1"/>
    <col min="7" max="7" width="13.796875" customWidth="1"/>
    <col min="8" max="8" width="12.796875" customWidth="1"/>
    <col min="9" max="9" width="13.19921875" customWidth="1"/>
    <col min="10" max="10" width="15" customWidth="1"/>
    <col min="11" max="11" width="15.8984375" customWidth="1"/>
    <col min="12" max="12" width="23" customWidth="1"/>
    <col min="14" max="14" width="14.796875" customWidth="1"/>
  </cols>
  <sheetData>
    <row r="1" spans="1:17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/>
      <c r="J1" s="1"/>
      <c r="K1" s="1"/>
      <c r="L1" s="1"/>
    </row>
    <row r="2" spans="1:17" x14ac:dyDescent="0.4">
      <c r="A2" s="1" t="s">
        <v>1</v>
      </c>
      <c r="B2" s="1">
        <f>(0.0357*O8-0.0328)/100</f>
        <v>1.8236000000000002E-2</v>
      </c>
      <c r="C2" s="1">
        <f>1-B2</f>
        <v>0.98176399999999997</v>
      </c>
      <c r="D2" s="1">
        <f>B2*B3+C2</f>
        <v>1.0273539999999999</v>
      </c>
      <c r="E2" s="1" t="s">
        <v>14</v>
      </c>
      <c r="F2" s="1">
        <v>3</v>
      </c>
      <c r="G2" s="1">
        <f>0.9+0.1*0.8</f>
        <v>0.98</v>
      </c>
      <c r="H2" s="1"/>
      <c r="I2" s="1" t="s">
        <v>69</v>
      </c>
      <c r="J2" s="1">
        <f>SUM(P3:P8)*1.1</f>
        <v>1713.8000000000002</v>
      </c>
      <c r="K2" s="1" t="s">
        <v>45</v>
      </c>
      <c r="L2" s="1">
        <f>1-(0.0214*J3-0.0943)/100</f>
        <v>0.88238700000000003</v>
      </c>
      <c r="N2" s="1"/>
      <c r="O2" s="1" t="s">
        <v>109</v>
      </c>
      <c r="P2" s="1" t="s">
        <v>110</v>
      </c>
      <c r="Q2" s="1" t="s">
        <v>111</v>
      </c>
    </row>
    <row r="3" spans="1:17" x14ac:dyDescent="0.4">
      <c r="A3" s="1" t="s">
        <v>2</v>
      </c>
      <c r="B3" s="1">
        <v>2.5</v>
      </c>
      <c r="C3" s="1">
        <v>2.5</v>
      </c>
      <c r="D3" s="1"/>
      <c r="E3" s="1" t="s">
        <v>15</v>
      </c>
      <c r="F3" s="1">
        <v>3</v>
      </c>
      <c r="G3" s="1">
        <v>1.1599999999999999</v>
      </c>
      <c r="H3" s="1"/>
      <c r="I3" s="1" t="s">
        <v>68</v>
      </c>
      <c r="J3" s="1">
        <f>Q3+Q8</f>
        <v>554</v>
      </c>
      <c r="K3" s="1" t="s">
        <v>70</v>
      </c>
      <c r="L3" s="1">
        <f>(J2/13.7069+100)/100</f>
        <v>2.25031918230964</v>
      </c>
      <c r="N3" s="1" t="s">
        <v>104</v>
      </c>
      <c r="P3" s="1">
        <v>500</v>
      </c>
      <c r="Q3" s="1">
        <v>500</v>
      </c>
    </row>
    <row r="4" spans="1:17" x14ac:dyDescent="0.4">
      <c r="A4" s="1" t="s">
        <v>3</v>
      </c>
      <c r="B4" s="1">
        <v>1.05</v>
      </c>
      <c r="C4" s="1"/>
      <c r="D4" s="1"/>
      <c r="E4" s="1" t="s">
        <v>16</v>
      </c>
      <c r="F4" s="1">
        <v>3</v>
      </c>
      <c r="G4" s="1" t="s">
        <v>70</v>
      </c>
      <c r="H4" s="1">
        <f>1+15*L3/100</f>
        <v>1.337547877346446</v>
      </c>
      <c r="I4" s="1"/>
      <c r="J4" s="1"/>
      <c r="K4" s="1" t="s">
        <v>71</v>
      </c>
      <c r="L4" s="1">
        <f>(J2/13.7069+100)/100</f>
        <v>2.25031918230964</v>
      </c>
      <c r="N4" s="1" t="s">
        <v>105</v>
      </c>
      <c r="P4" s="1">
        <v>300</v>
      </c>
      <c r="Q4" s="1"/>
    </row>
    <row r="5" spans="1:17" x14ac:dyDescent="0.4">
      <c r="A5" s="1" t="s">
        <v>4</v>
      </c>
      <c r="B5" s="1">
        <v>1.4375</v>
      </c>
      <c r="C5" s="1">
        <f>1-0.18</f>
        <v>0.82000000000000006</v>
      </c>
      <c r="D5" s="1"/>
      <c r="E5" s="1" t="s">
        <v>72</v>
      </c>
      <c r="F5" s="1">
        <v>3</v>
      </c>
      <c r="G5" s="1" t="s">
        <v>74</v>
      </c>
      <c r="H5" s="1">
        <f>0.25*L3</f>
        <v>0.56257979557741</v>
      </c>
      <c r="I5" s="1" t="s">
        <v>30</v>
      </c>
      <c r="J5" s="1">
        <v>1.21</v>
      </c>
      <c r="K5" s="1"/>
      <c r="L5" s="1"/>
      <c r="N5" s="1" t="s">
        <v>106</v>
      </c>
      <c r="P5" s="1">
        <v>300</v>
      </c>
      <c r="Q5" s="1"/>
    </row>
    <row r="6" spans="1:17" x14ac:dyDescent="0.4">
      <c r="A6" s="1"/>
      <c r="B6" s="1"/>
      <c r="C6" s="1"/>
      <c r="D6" s="1"/>
      <c r="E6" s="1"/>
      <c r="F6" s="1"/>
      <c r="G6" s="1" t="s">
        <v>73</v>
      </c>
      <c r="H6" s="1">
        <f>1+17.5*L4/100</f>
        <v>1.3938058569041869</v>
      </c>
      <c r="I6" s="1" t="s">
        <v>31</v>
      </c>
      <c r="J6" s="1">
        <f>1-0.14</f>
        <v>0.86</v>
      </c>
      <c r="K6" s="1"/>
      <c r="L6" s="1"/>
      <c r="N6" s="1" t="s">
        <v>107</v>
      </c>
      <c r="P6" s="1">
        <v>200</v>
      </c>
      <c r="Q6" s="1"/>
    </row>
    <row r="7" spans="1:17" x14ac:dyDescent="0.4">
      <c r="A7" s="1"/>
      <c r="B7" s="1"/>
      <c r="C7" s="1"/>
      <c r="D7" s="1"/>
      <c r="E7" s="1">
        <v>178969</v>
      </c>
      <c r="F7" s="1"/>
      <c r="G7" s="1" t="s">
        <v>75</v>
      </c>
      <c r="H7" s="1">
        <f>0.438*L4</f>
        <v>0.98563980185162237</v>
      </c>
      <c r="I7" s="1"/>
      <c r="J7" s="1"/>
      <c r="K7" s="1">
        <f>J2/18.302/100+1</f>
        <v>1.9364003933996286</v>
      </c>
      <c r="L7" s="1"/>
      <c r="N7" s="1" t="s">
        <v>108</v>
      </c>
      <c r="P7" s="1">
        <v>200</v>
      </c>
      <c r="Q7" s="1"/>
    </row>
    <row r="8" spans="1:17" x14ac:dyDescent="0.4">
      <c r="A8" s="1">
        <v>14597</v>
      </c>
      <c r="B8" s="1"/>
      <c r="C8" s="1"/>
      <c r="D8" s="1"/>
      <c r="E8" s="1">
        <v>645061</v>
      </c>
      <c r="F8" s="1"/>
      <c r="G8" s="1"/>
      <c r="H8" s="1"/>
      <c r="I8" s="1"/>
      <c r="J8" s="1"/>
      <c r="K8" s="1"/>
      <c r="L8" s="1"/>
      <c r="O8" s="1">
        <v>52</v>
      </c>
      <c r="P8" s="1">
        <v>58</v>
      </c>
      <c r="Q8" s="1">
        <v>54</v>
      </c>
    </row>
    <row r="9" spans="1:17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7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"/>
      <c r="J10" s="1" t="s">
        <v>65</v>
      </c>
      <c r="K10" s="1" t="s">
        <v>84</v>
      </c>
      <c r="L10" s="1" t="s">
        <v>32</v>
      </c>
    </row>
    <row r="11" spans="1:17" x14ac:dyDescent="0.4">
      <c r="A11" s="2" t="s">
        <v>76</v>
      </c>
      <c r="B11" s="3">
        <v>132</v>
      </c>
      <c r="C11" s="4">
        <v>12</v>
      </c>
      <c r="D11" s="2">
        <f>44796*2</f>
        <v>89592</v>
      </c>
      <c r="E11" s="3">
        <v>76798</v>
      </c>
      <c r="F11" s="4">
        <v>89601</v>
      </c>
      <c r="G11" s="3">
        <f>(D11-D12)/A8</f>
        <v>6.0748098924436524</v>
      </c>
      <c r="H11" s="3">
        <f>(E11-E12)/A8</f>
        <v>5.207371377680345</v>
      </c>
      <c r="I11" s="4">
        <f>(F11-F12)/A8</f>
        <v>6.0758375008563403</v>
      </c>
      <c r="J11" s="10">
        <f>(G12+H12+I12)*1.45*1.96*1.8</f>
        <v>2164659.595943084</v>
      </c>
      <c r="K11" s="10">
        <f>J11*H4*((H5+0.18+B2)*B3+C2-0.18-H5)</f>
        <v>6199561.7174144983</v>
      </c>
      <c r="L11" s="9">
        <f>K11*J5</f>
        <v>7501469.6780715426</v>
      </c>
    </row>
    <row r="12" spans="1:17" x14ac:dyDescent="0.4">
      <c r="A12" s="5" t="s">
        <v>87</v>
      </c>
      <c r="B12" s="6">
        <v>555</v>
      </c>
      <c r="C12" s="7">
        <f>J6*18*C5*L2</f>
        <v>11.200667623200001</v>
      </c>
      <c r="D12" s="5">
        <f>459*2</f>
        <v>918</v>
      </c>
      <c r="E12" s="6">
        <v>786</v>
      </c>
      <c r="F12" s="7">
        <v>912</v>
      </c>
      <c r="G12" s="8">
        <f>D12+G11*B1</f>
        <v>148092.41926423236</v>
      </c>
      <c r="H12" s="8">
        <f>E12+H11*B1</f>
        <v>126944.98636706172</v>
      </c>
      <c r="I12" s="11">
        <f>F12+I11*B1</f>
        <v>148111.31513324656</v>
      </c>
      <c r="J12" s="12"/>
      <c r="K12" s="12"/>
      <c r="L12" s="9"/>
    </row>
    <row r="13" spans="1:17" x14ac:dyDescent="0.4">
      <c r="A13" s="2" t="s">
        <v>77</v>
      </c>
      <c r="B13" s="3">
        <v>311</v>
      </c>
      <c r="C13" s="4">
        <v>10</v>
      </c>
      <c r="D13" s="2">
        <v>205331</v>
      </c>
      <c r="E13" s="3"/>
      <c r="F13" s="4"/>
      <c r="G13" s="3">
        <f>(D13-D14)/A8</f>
        <v>13.903473316434884</v>
      </c>
      <c r="H13" s="3"/>
      <c r="I13" s="4"/>
      <c r="J13" s="13">
        <f>G14</f>
        <v>339221.44803726795</v>
      </c>
      <c r="K13" s="13">
        <f>J13*H4*((H5+B2)*B3+(C2-H5))</f>
        <v>849020.8351189848</v>
      </c>
      <c r="L13" s="9">
        <f>K13</f>
        <v>849020.8351189848</v>
      </c>
    </row>
    <row r="14" spans="1:17" x14ac:dyDescent="0.4">
      <c r="A14" s="5" t="s">
        <v>85</v>
      </c>
      <c r="B14" s="6">
        <v>511</v>
      </c>
      <c r="C14" s="7">
        <f>(24-5)*J6*C5*L2</f>
        <v>11.822926935600002</v>
      </c>
      <c r="D14" s="5">
        <v>2382</v>
      </c>
      <c r="E14" s="6"/>
      <c r="F14" s="7"/>
      <c r="G14" s="8">
        <f>D14+G13*B1</f>
        <v>339221.44803726795</v>
      </c>
      <c r="H14" s="8"/>
      <c r="I14" s="11"/>
      <c r="J14" s="6"/>
      <c r="K14" s="12"/>
      <c r="L14" s="9"/>
    </row>
    <row r="15" spans="1:17" x14ac:dyDescent="0.4">
      <c r="A15" s="2" t="s">
        <v>78</v>
      </c>
      <c r="B15" s="3">
        <v>1</v>
      </c>
      <c r="C15" s="4">
        <v>4</v>
      </c>
      <c r="D15" s="2">
        <f>54328*3</f>
        <v>162984</v>
      </c>
      <c r="E15" s="3">
        <v>69852</v>
      </c>
      <c r="F15" s="4"/>
      <c r="G15" s="3">
        <f>(D15-D16)/A8</f>
        <v>11.077413167089128</v>
      </c>
      <c r="H15" s="3">
        <f>(E15-E16)/A8</f>
        <v>4.7474823593889157</v>
      </c>
      <c r="I15" s="4"/>
      <c r="J15" s="13">
        <f>G16+H16</f>
        <v>385229.74391998356</v>
      </c>
      <c r="K15" s="13">
        <f>J15*((0.18+H5+B2)*B3+C2-0.18-H5)*H4</f>
        <v>1103293.828411493</v>
      </c>
      <c r="L15" s="9">
        <f>K15</f>
        <v>1103293.828411493</v>
      </c>
    </row>
    <row r="16" spans="1:17" x14ac:dyDescent="0.4">
      <c r="A16" s="5"/>
      <c r="B16" s="6">
        <v>1</v>
      </c>
      <c r="C16" s="7">
        <f>(20-4)*C5*L2</f>
        <v>11.576917440000001</v>
      </c>
      <c r="D16" s="5">
        <f>3*429</f>
        <v>1287</v>
      </c>
      <c r="E16" s="6">
        <v>553</v>
      </c>
      <c r="F16" s="7"/>
      <c r="G16" s="8">
        <f>D16+G15*B1</f>
        <v>269659.48879906832</v>
      </c>
      <c r="H16" s="8">
        <f>E16+H15*B1</f>
        <v>115570.25512091526</v>
      </c>
      <c r="I16" s="7"/>
      <c r="J16" s="12"/>
      <c r="K16" s="12"/>
      <c r="L16" s="9"/>
    </row>
    <row r="17" spans="1:14" x14ac:dyDescent="0.4">
      <c r="A17" s="2" t="s">
        <v>79</v>
      </c>
      <c r="B17" s="3">
        <v>312</v>
      </c>
      <c r="C17" s="4">
        <v>12</v>
      </c>
      <c r="D17" s="2">
        <v>338381</v>
      </c>
      <c r="E17" s="3"/>
      <c r="F17" s="4"/>
      <c r="G17" s="3">
        <f>(D17-D18)/A8</f>
        <v>22.944851681852434</v>
      </c>
      <c r="H17" s="3"/>
      <c r="I17" s="4"/>
      <c r="J17" s="13">
        <f>G18*1.708*1.83</f>
        <v>1748295.2328506322</v>
      </c>
      <c r="K17" s="13">
        <f>J17*H4*B3</f>
        <v>5846071.4441856835</v>
      </c>
      <c r="L17" s="9">
        <f>K17*J5</f>
        <v>7073746.4474646766</v>
      </c>
    </row>
    <row r="18" spans="1:14" x14ac:dyDescent="0.4">
      <c r="A18" s="5" t="s">
        <v>88</v>
      </c>
      <c r="B18" s="6">
        <v>155</v>
      </c>
      <c r="C18" s="7">
        <f>(24-5)*J6*L2*C5</f>
        <v>11.822926935600002</v>
      </c>
      <c r="D18" s="5">
        <v>3455</v>
      </c>
      <c r="E18" s="6"/>
      <c r="F18" s="7"/>
      <c r="G18" s="8">
        <f>D18+G17*B1</f>
        <v>559339.92169623892</v>
      </c>
      <c r="H18" s="6"/>
      <c r="I18" s="7"/>
      <c r="J18" s="12"/>
      <c r="K18" s="12"/>
      <c r="L18" s="9"/>
    </row>
    <row r="19" spans="1:14" x14ac:dyDescent="0.4">
      <c r="A19" s="2" t="s">
        <v>80</v>
      </c>
      <c r="B19" s="3">
        <v>211</v>
      </c>
      <c r="C19" s="4">
        <v>12</v>
      </c>
      <c r="D19" s="2">
        <f>14941*2</f>
        <v>29882</v>
      </c>
      <c r="E19" s="3">
        <f>64700*3</f>
        <v>194100</v>
      </c>
      <c r="F19" s="4">
        <v>74647</v>
      </c>
      <c r="G19" s="3">
        <f>(D19-D20)/A8</f>
        <v>2.0263067753648012</v>
      </c>
      <c r="H19" s="3">
        <f>(E19-E20)/A8</f>
        <v>13.161403028019457</v>
      </c>
      <c r="I19" s="4">
        <f>(F19-F20)/A8</f>
        <v>5.0615194903062273</v>
      </c>
      <c r="J19" s="13">
        <f>(G20+H20+I20)*1.83*1.45</f>
        <v>1309844.7587336781</v>
      </c>
      <c r="K19" s="13">
        <f>J19*H6*(B3+H7)</f>
        <v>6363625.5644047689</v>
      </c>
      <c r="L19" s="9">
        <f>K19*J5</f>
        <v>7699986.9329297701</v>
      </c>
    </row>
    <row r="20" spans="1:14" x14ac:dyDescent="0.4">
      <c r="A20" s="5" t="s">
        <v>329</v>
      </c>
      <c r="B20" s="6">
        <v>514</v>
      </c>
      <c r="C20" s="7">
        <f>24*L2*J6*C5</f>
        <v>14.934223497600001</v>
      </c>
      <c r="D20" s="5">
        <f>152*2</f>
        <v>304</v>
      </c>
      <c r="E20" s="6">
        <f>661*3</f>
        <v>1983</v>
      </c>
      <c r="F20" s="7">
        <v>764</v>
      </c>
      <c r="G20" s="8">
        <f>D20+G19*B1</f>
        <v>49395.334246763035</v>
      </c>
      <c r="H20" s="8">
        <f>E20+H19*B1</f>
        <v>320844.3111598274</v>
      </c>
      <c r="I20" s="11">
        <f>F20+I19*B1</f>
        <v>123389.43269164897</v>
      </c>
      <c r="J20" s="12"/>
      <c r="K20" s="12"/>
      <c r="L20" s="9"/>
    </row>
    <row r="21" spans="1:14" x14ac:dyDescent="0.4">
      <c r="A21" s="2" t="s">
        <v>81</v>
      </c>
      <c r="B21" s="3">
        <v>131</v>
      </c>
      <c r="C21" s="4">
        <v>12</v>
      </c>
      <c r="D21" s="2">
        <v>333080</v>
      </c>
      <c r="E21" s="3"/>
      <c r="F21" s="4"/>
      <c r="G21" s="3">
        <f>(D21-D22)/A8</f>
        <v>22.585599780776871</v>
      </c>
      <c r="H21" s="3"/>
      <c r="I21" s="4"/>
      <c r="J21" s="13">
        <f>G22*1.45</f>
        <v>798340.02253887779</v>
      </c>
      <c r="K21" s="13">
        <f>J21*H6*(H7+B3+0.44)</f>
        <v>4368181.0992753115</v>
      </c>
      <c r="L21" s="9">
        <f>K21*J5</f>
        <v>5285499.1301231263</v>
      </c>
    </row>
    <row r="22" spans="1:14" x14ac:dyDescent="0.4">
      <c r="A22" s="5" t="s">
        <v>327</v>
      </c>
      <c r="B22" s="6">
        <v>545</v>
      </c>
      <c r="C22" s="7">
        <f>(24-9.2)*C5*L2</f>
        <v>10.708648632000001</v>
      </c>
      <c r="D22" s="5">
        <v>3398</v>
      </c>
      <c r="E22" s="6"/>
      <c r="F22" s="7"/>
      <c r="G22" s="8">
        <f>D22+G21*B1</f>
        <v>550579.32588888123</v>
      </c>
      <c r="H22" s="8"/>
      <c r="I22" s="7"/>
      <c r="J22" s="12"/>
      <c r="K22" s="12"/>
      <c r="L22" s="9"/>
    </row>
    <row r="23" spans="1:14" x14ac:dyDescent="0.4">
      <c r="A23" s="2" t="s">
        <v>82</v>
      </c>
      <c r="B23" s="3">
        <v>122</v>
      </c>
      <c r="C23" s="4">
        <v>10</v>
      </c>
      <c r="D23" s="2">
        <f>147431*2</f>
        <v>294862</v>
      </c>
      <c r="E23" s="3"/>
      <c r="F23" s="4"/>
      <c r="G23" s="3">
        <f>(D23-D24)/A8</f>
        <v>20.082756730835104</v>
      </c>
      <c r="H23" s="3"/>
      <c r="I23" s="4"/>
      <c r="J23" s="13">
        <f>G24*1.83</f>
        <v>893513.87359183398</v>
      </c>
      <c r="K23" s="13">
        <f>J23*H6*(H7+B3)</f>
        <v>4340963.0723234583</v>
      </c>
      <c r="L23" s="9">
        <f>K23*J5</f>
        <v>5252565.3175113844</v>
      </c>
    </row>
    <row r="24" spans="1:14" x14ac:dyDescent="0.4">
      <c r="A24" s="5" t="s">
        <v>86</v>
      </c>
      <c r="B24" s="6">
        <v>115</v>
      </c>
      <c r="C24" s="7">
        <f>20*L2*C5</f>
        <v>14.4711468</v>
      </c>
      <c r="D24" s="5">
        <v>1714</v>
      </c>
      <c r="E24" s="6"/>
      <c r="F24" s="7"/>
      <c r="G24" s="8">
        <f>D24+G23*B1</f>
        <v>488258.94731794205</v>
      </c>
      <c r="H24" s="8"/>
      <c r="I24" s="7"/>
      <c r="J24" s="12"/>
      <c r="K24" s="12"/>
      <c r="L24" s="9"/>
    </row>
    <row r="25" spans="1:14" x14ac:dyDescent="0.4">
      <c r="A25" s="2" t="s">
        <v>83</v>
      </c>
      <c r="B25" s="3">
        <v>331</v>
      </c>
      <c r="C25" s="4">
        <v>12</v>
      </c>
      <c r="D25" s="2">
        <v>414065</v>
      </c>
      <c r="E25" s="3"/>
      <c r="F25" s="4"/>
      <c r="G25" s="3">
        <f>(D25-D26)/A8</f>
        <v>28.077139138179078</v>
      </c>
      <c r="H25" s="3"/>
      <c r="I25" s="4"/>
      <c r="J25" s="13">
        <f>G26*1.96</f>
        <v>1341517.7858053024</v>
      </c>
      <c r="K25" s="13">
        <f>J25*H6*(H7+B3)</f>
        <v>6517502.7956042364</v>
      </c>
      <c r="L25" s="9">
        <f>K25*J5</f>
        <v>7886178.3826811258</v>
      </c>
      <c r="N25">
        <f>J25*(C3+H7)*H6*G1*G3*B5*J5</f>
        <v>15780242.943744931</v>
      </c>
    </row>
    <row r="26" spans="1:14" x14ac:dyDescent="0.4">
      <c r="A26" s="5" t="s">
        <v>35</v>
      </c>
      <c r="B26" s="6">
        <v>415</v>
      </c>
      <c r="C26" s="7">
        <f>(24-7.2)*J6*L2*C5</f>
        <v>10.453956448320001</v>
      </c>
      <c r="D26" s="5">
        <v>4223</v>
      </c>
      <c r="E26" s="6"/>
      <c r="F26" s="7"/>
      <c r="G26" s="8">
        <f>D26+G25*B1</f>
        <v>684447.84990066453</v>
      </c>
      <c r="H26" s="8"/>
      <c r="I26" s="7"/>
      <c r="J26" s="12"/>
      <c r="K26" s="12"/>
      <c r="L26" s="9"/>
    </row>
    <row r="27" spans="1:14" x14ac:dyDescent="0.4">
      <c r="A27" s="2" t="s">
        <v>288</v>
      </c>
      <c r="B27" s="3"/>
      <c r="C27" s="4"/>
      <c r="D27" s="2">
        <v>480531</v>
      </c>
      <c r="E27" s="3">
        <v>480531</v>
      </c>
      <c r="F27" s="4">
        <f>768875*5</f>
        <v>3844375</v>
      </c>
      <c r="G27" s="3">
        <f>(D27-D28)/(28165/1.16)</f>
        <v>19.716499201136159</v>
      </c>
      <c r="H27" s="3">
        <f t="shared" ref="H27:I27" si="0">(E27-E28)/(28165/1.16)</f>
        <v>19.716499201136159</v>
      </c>
      <c r="I27" s="3">
        <f t="shared" si="0"/>
        <v>157.73775963074738</v>
      </c>
      <c r="J27" s="13"/>
      <c r="K27" s="13" t="s">
        <v>90</v>
      </c>
      <c r="L27" s="9">
        <f>SUM(L11:L25)/C20</f>
        <v>2855974.4374500918</v>
      </c>
    </row>
    <row r="28" spans="1:14" x14ac:dyDescent="0.4">
      <c r="A28" s="5"/>
      <c r="B28" s="6"/>
      <c r="C28" s="7">
        <f>300*0.8*L2*0.5</f>
        <v>105.88644000000001</v>
      </c>
      <c r="D28" s="5">
        <v>1811</v>
      </c>
      <c r="E28" s="6">
        <v>1811</v>
      </c>
      <c r="F28" s="7">
        <f>2895*5</f>
        <v>14475</v>
      </c>
      <c r="G28" s="3">
        <f>D28+G27*B1</f>
        <v>479482.62614592572</v>
      </c>
      <c r="H28" s="3">
        <f>E28+H27*B1</f>
        <v>479482.62614592572</v>
      </c>
      <c r="I28" s="3">
        <f>F28+I27*B1</f>
        <v>3835987.7025741166</v>
      </c>
      <c r="J28" s="12"/>
      <c r="K28" s="12" t="s">
        <v>89</v>
      </c>
      <c r="L28" s="9">
        <f>L27*G1*G3*B5*G2+J29</f>
        <v>5907734.7474341774</v>
      </c>
    </row>
    <row r="29" spans="1:14" x14ac:dyDescent="0.4">
      <c r="A29" s="2"/>
      <c r="B29" s="3"/>
      <c r="C29" s="4"/>
      <c r="D29" s="2">
        <f>480531*8</f>
        <v>3844248</v>
      </c>
      <c r="E29" s="3">
        <v>961042</v>
      </c>
      <c r="F29" s="4"/>
      <c r="G29" s="3">
        <f>(D29-D30)/(28165/1.16)</f>
        <v>157.73199360908927</v>
      </c>
      <c r="H29" s="3">
        <f>(E29-E30)/(28165/1.16)</f>
        <v>39.432380614237523</v>
      </c>
      <c r="I29" s="4"/>
      <c r="J29" s="13">
        <f>(G28+H28+I28+H30+G30)*D2*F1*G2*G3/C28*0.5*K7</f>
        <v>307225.99508329778</v>
      </c>
      <c r="K29" s="13"/>
      <c r="L29" s="1"/>
    </row>
    <row r="30" spans="1:14" x14ac:dyDescent="0.4">
      <c r="A30" s="5"/>
      <c r="B30" s="6"/>
      <c r="C30" s="7"/>
      <c r="D30" s="5">
        <f>1811*8</f>
        <v>14488</v>
      </c>
      <c r="E30" s="6">
        <v>3617</v>
      </c>
      <c r="F30" s="7"/>
      <c r="G30" s="8">
        <f>D30+G29*B1</f>
        <v>3835861.0091674058</v>
      </c>
      <c r="H30" s="6">
        <f>E30+H29*B1</f>
        <v>958945.28514113242</v>
      </c>
      <c r="I30" s="7"/>
      <c r="J30" s="12"/>
      <c r="K30" s="12"/>
      <c r="L30" s="1"/>
    </row>
    <row r="31" spans="1:14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4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">
      <c r="C34" s="37" t="s">
        <v>330</v>
      </c>
      <c r="D34" s="37"/>
      <c r="E34" s="37"/>
      <c r="F34" s="37"/>
      <c r="G34" s="37"/>
      <c r="H34" s="37"/>
      <c r="I34" s="37"/>
    </row>
  </sheetData>
  <mergeCells count="1">
    <mergeCell ref="C34:I34"/>
  </mergeCells>
  <phoneticPr fontId="1" type="noConversion"/>
  <pageMargins left="0.7" right="0.7" top="0.75" bottom="0.75" header="0.3" footer="0.3"/>
  <ignoredErrors>
    <ignoredError sqref="H2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B6" workbookViewId="0">
      <selection activeCell="N25" sqref="N25"/>
    </sheetView>
  </sheetViews>
  <sheetFormatPr defaultRowHeight="17.399999999999999" x14ac:dyDescent="0.4"/>
  <cols>
    <col min="1" max="1" width="16.296875" customWidth="1"/>
    <col min="2" max="2" width="11.19921875" customWidth="1"/>
    <col min="3" max="3" width="12.5" customWidth="1"/>
    <col min="4" max="4" width="10.8984375" customWidth="1"/>
    <col min="5" max="5" width="12.69921875" customWidth="1"/>
    <col min="6" max="6" width="13.09765625" customWidth="1"/>
    <col min="7" max="7" width="13.796875" customWidth="1"/>
    <col min="8" max="8" width="12.796875" customWidth="1"/>
    <col min="9" max="9" width="13.19921875" customWidth="1"/>
    <col min="10" max="10" width="15" customWidth="1"/>
    <col min="11" max="11" width="15.8984375" customWidth="1"/>
    <col min="12" max="12" width="23" customWidth="1"/>
    <col min="14" max="14" width="13.8984375" customWidth="1"/>
  </cols>
  <sheetData>
    <row r="1" spans="1:17" x14ac:dyDescent="0.4">
      <c r="A1" s="1" t="s">
        <v>0</v>
      </c>
      <c r="B1" s="1">
        <v>24227</v>
      </c>
      <c r="C1" s="1" t="s">
        <v>5</v>
      </c>
      <c r="D1" s="1"/>
      <c r="E1" s="1" t="s">
        <v>13</v>
      </c>
      <c r="F1" s="1">
        <v>3</v>
      </c>
      <c r="G1" s="1">
        <v>1.2</v>
      </c>
      <c r="H1" s="1"/>
      <c r="I1" s="1" t="s">
        <v>324</v>
      </c>
      <c r="J1" s="1">
        <f>O3+O8+O4</f>
        <v>852</v>
      </c>
      <c r="K1" s="1"/>
      <c r="L1" s="1"/>
    </row>
    <row r="2" spans="1:17" x14ac:dyDescent="0.4">
      <c r="A2" s="1" t="s">
        <v>1</v>
      </c>
      <c r="B2" s="1">
        <f>(0.0357*J1-0.0328)/100+B6</f>
        <v>0.50383599999999995</v>
      </c>
      <c r="C2" s="1">
        <f>1-B2</f>
        <v>0.49616400000000005</v>
      </c>
      <c r="D2" s="1"/>
      <c r="E2" s="1" t="s">
        <v>48</v>
      </c>
      <c r="F2" s="1">
        <v>3</v>
      </c>
      <c r="G2" s="1">
        <v>1.1599999999999999</v>
      </c>
      <c r="H2" s="1"/>
      <c r="I2" s="1" t="s">
        <v>69</v>
      </c>
      <c r="J2" s="1">
        <f>SUM(P3:P8)*1.1</f>
        <v>1383.8000000000002</v>
      </c>
      <c r="K2" s="1" t="s">
        <v>45</v>
      </c>
      <c r="L2" s="1">
        <f>1-(0.0214*J3-0.0943)/100</f>
        <v>0.98938700000000002</v>
      </c>
      <c r="N2" s="1"/>
      <c r="O2" s="1" t="s">
        <v>109</v>
      </c>
      <c r="P2" s="1" t="s">
        <v>110</v>
      </c>
      <c r="Q2" s="1" t="s">
        <v>111</v>
      </c>
    </row>
    <row r="3" spans="1:17" x14ac:dyDescent="0.4">
      <c r="A3" s="1" t="s">
        <v>2</v>
      </c>
      <c r="B3" s="1">
        <v>2.5</v>
      </c>
      <c r="C3" s="1">
        <v>3</v>
      </c>
      <c r="D3" s="1">
        <f>B3*B2+C2</f>
        <v>1.7557539999999998</v>
      </c>
      <c r="E3" s="1" t="s">
        <v>14</v>
      </c>
      <c r="F3" s="1">
        <v>3</v>
      </c>
      <c r="G3" s="1">
        <f>0.9+0.1*0.8</f>
        <v>0.98</v>
      </c>
      <c r="H3" s="1"/>
      <c r="I3" s="1" t="s">
        <v>68</v>
      </c>
      <c r="J3" s="1">
        <f>Q3+Q8</f>
        <v>54</v>
      </c>
      <c r="K3" s="1" t="s">
        <v>70</v>
      </c>
      <c r="L3" s="1">
        <f>(J2/13.7069+100)/100</f>
        <v>2.0095645258957173</v>
      </c>
      <c r="N3" s="1" t="s">
        <v>104</v>
      </c>
      <c r="O3" s="1">
        <v>500</v>
      </c>
      <c r="P3" s="1">
        <v>500</v>
      </c>
    </row>
    <row r="4" spans="1:17" x14ac:dyDescent="0.4">
      <c r="A4" s="1" t="s">
        <v>3</v>
      </c>
      <c r="B4" s="1">
        <v>1.05</v>
      </c>
      <c r="C4" s="1" t="s">
        <v>149</v>
      </c>
      <c r="D4" s="1">
        <f>((B2+0.1)*C3+C2-0.1)*D6*B4*G4</f>
        <v>3.4191320100000002</v>
      </c>
      <c r="E4" s="1" t="s">
        <v>118</v>
      </c>
      <c r="F4" s="1">
        <v>3</v>
      </c>
      <c r="G4" s="1">
        <v>1.25</v>
      </c>
      <c r="H4" s="1">
        <f>1+15*L3/100</f>
        <v>1.3014346788843576</v>
      </c>
      <c r="I4" s="1"/>
      <c r="J4" s="1"/>
      <c r="K4" s="1" t="s">
        <v>71</v>
      </c>
      <c r="L4" s="1">
        <f>(J2/13.7069+100)/100</f>
        <v>2.0095645258957173</v>
      </c>
      <c r="N4" s="1" t="s">
        <v>105</v>
      </c>
      <c r="O4" s="1">
        <v>300</v>
      </c>
      <c r="Q4" s="1"/>
    </row>
    <row r="5" spans="1:17" x14ac:dyDescent="0.4">
      <c r="A5" s="1" t="s">
        <v>128</v>
      </c>
      <c r="B5" s="1" t="s">
        <v>129</v>
      </c>
      <c r="C5" s="1" t="s">
        <v>130</v>
      </c>
      <c r="D5" s="1" t="s">
        <v>131</v>
      </c>
      <c r="E5" s="1" t="s">
        <v>325</v>
      </c>
      <c r="F5" s="1">
        <v>3</v>
      </c>
      <c r="G5" s="1"/>
      <c r="H5" s="1">
        <f>0.25*L3</f>
        <v>0.50239113147392933</v>
      </c>
      <c r="I5" s="1" t="s">
        <v>30</v>
      </c>
      <c r="J5" s="1">
        <v>1.21</v>
      </c>
      <c r="K5" s="1"/>
      <c r="L5" s="1"/>
      <c r="N5" s="1" t="s">
        <v>106</v>
      </c>
      <c r="P5" s="1">
        <v>300</v>
      </c>
      <c r="Q5" s="1"/>
    </row>
    <row r="6" spans="1:17" x14ac:dyDescent="0.4">
      <c r="A6" s="1"/>
      <c r="B6" s="1">
        <v>0.2</v>
      </c>
      <c r="C6" s="1">
        <v>0.5</v>
      </c>
      <c r="D6" s="1">
        <v>1.18</v>
      </c>
      <c r="E6" s="1"/>
      <c r="F6" s="1"/>
      <c r="G6" s="1" t="s">
        <v>73</v>
      </c>
      <c r="H6" s="1">
        <f>1+17.5*L4/100</f>
        <v>1.3516737920317505</v>
      </c>
      <c r="I6" s="1" t="s">
        <v>31</v>
      </c>
      <c r="J6" s="1">
        <f>1-0.14</f>
        <v>0.86</v>
      </c>
      <c r="K6" s="1"/>
      <c r="L6" s="1"/>
      <c r="N6" s="1" t="s">
        <v>107</v>
      </c>
      <c r="P6" s="1">
        <v>200</v>
      </c>
      <c r="Q6" s="1"/>
    </row>
    <row r="7" spans="1:17" x14ac:dyDescent="0.4">
      <c r="A7" s="1"/>
      <c r="B7" s="1"/>
      <c r="C7" s="1"/>
      <c r="D7" s="1"/>
      <c r="E7" s="1">
        <v>178969</v>
      </c>
      <c r="F7" s="1"/>
      <c r="G7" s="1" t="s">
        <v>75</v>
      </c>
      <c r="H7" s="1">
        <f>0.438*L4</f>
        <v>0.8801892623423242</v>
      </c>
      <c r="I7" s="1"/>
      <c r="J7" s="1"/>
      <c r="K7" s="1">
        <f>J2/18.302/100+1</f>
        <v>1.7560922303573381</v>
      </c>
      <c r="L7" s="1"/>
      <c r="N7" s="1" t="s">
        <v>108</v>
      </c>
      <c r="P7" s="1">
        <v>200</v>
      </c>
      <c r="Q7" s="1"/>
    </row>
    <row r="8" spans="1:17" x14ac:dyDescent="0.4">
      <c r="A8" s="1">
        <v>14597</v>
      </c>
      <c r="B8" s="1"/>
      <c r="C8" s="1"/>
      <c r="D8" s="1"/>
      <c r="E8" s="1">
        <v>645061</v>
      </c>
      <c r="F8" s="1"/>
      <c r="G8" s="1"/>
      <c r="H8" s="1"/>
      <c r="I8" s="1"/>
      <c r="J8" s="1"/>
      <c r="K8" s="1"/>
      <c r="L8" s="1"/>
      <c r="O8" s="1">
        <v>52</v>
      </c>
      <c r="P8" s="1">
        <v>58</v>
      </c>
      <c r="Q8" s="1">
        <v>54</v>
      </c>
    </row>
    <row r="9" spans="1:17" x14ac:dyDescent="0.4">
      <c r="A9" s="1"/>
      <c r="B9" s="1" t="s">
        <v>39</v>
      </c>
      <c r="C9" s="1" t="s">
        <v>41</v>
      </c>
      <c r="D9" s="1"/>
      <c r="E9" s="1"/>
      <c r="F9" s="1"/>
      <c r="G9" s="1" t="s">
        <v>23</v>
      </c>
      <c r="H9" s="1"/>
      <c r="I9" s="1"/>
      <c r="J9" s="1"/>
      <c r="K9" s="1"/>
      <c r="L9" s="1"/>
    </row>
    <row r="10" spans="1:17" x14ac:dyDescent="0.4">
      <c r="A10" s="1" t="s">
        <v>43</v>
      </c>
      <c r="B10" s="1" t="s">
        <v>40</v>
      </c>
      <c r="C10" s="1" t="s">
        <v>42</v>
      </c>
      <c r="D10" s="1"/>
      <c r="E10" s="1"/>
      <c r="F10" s="1"/>
      <c r="G10" s="1" t="s">
        <v>24</v>
      </c>
      <c r="H10" s="1"/>
      <c r="I10" s="1"/>
      <c r="J10" s="1" t="s">
        <v>65</v>
      </c>
      <c r="K10" s="1" t="s">
        <v>84</v>
      </c>
      <c r="L10" s="1" t="s">
        <v>32</v>
      </c>
    </row>
    <row r="11" spans="1:17" x14ac:dyDescent="0.4">
      <c r="A11" s="2" t="s">
        <v>76</v>
      </c>
      <c r="B11" s="3">
        <v>132</v>
      </c>
      <c r="C11" s="4">
        <v>12</v>
      </c>
      <c r="D11" s="2">
        <f>44796*2</f>
        <v>89592</v>
      </c>
      <c r="E11" s="3">
        <v>76798</v>
      </c>
      <c r="F11" s="4">
        <v>89601</v>
      </c>
      <c r="G11" s="3">
        <f>(D11-D12)/A8</f>
        <v>6.0748098924436524</v>
      </c>
      <c r="H11" s="3">
        <f>(E11-E12)/A8</f>
        <v>5.207371377680345</v>
      </c>
      <c r="I11" s="4">
        <f>(F11-F12)/A8</f>
        <v>6.0758375008563403</v>
      </c>
      <c r="J11" s="27">
        <f>(G12+H12+I12)*1.45*1.96*1.8</f>
        <v>2164659.595943084</v>
      </c>
      <c r="K11" s="27">
        <f>J11*C3*B4*D6*G4*H4</f>
        <v>13089243.896053584</v>
      </c>
      <c r="L11" s="9">
        <f>K11*J5</f>
        <v>15837985.114224836</v>
      </c>
    </row>
    <row r="12" spans="1:17" x14ac:dyDescent="0.4">
      <c r="A12" s="5" t="s">
        <v>87</v>
      </c>
      <c r="B12" s="6">
        <v>555</v>
      </c>
      <c r="C12" s="7">
        <f>J6*18</f>
        <v>15.48</v>
      </c>
      <c r="D12" s="5">
        <f>459*2</f>
        <v>918</v>
      </c>
      <c r="E12" s="6">
        <v>786</v>
      </c>
      <c r="F12" s="7">
        <v>912</v>
      </c>
      <c r="G12" s="8">
        <f>D12+G11*B1</f>
        <v>148092.41926423236</v>
      </c>
      <c r="H12" s="8">
        <f>E12+H11*B1</f>
        <v>126944.98636706172</v>
      </c>
      <c r="I12" s="11">
        <f>F12+I11*B1</f>
        <v>148111.31513324656</v>
      </c>
      <c r="J12" s="12"/>
      <c r="K12" s="12"/>
      <c r="L12" s="9"/>
    </row>
    <row r="13" spans="1:17" x14ac:dyDescent="0.4">
      <c r="A13" s="2" t="s">
        <v>77</v>
      </c>
      <c r="B13" s="3">
        <v>311</v>
      </c>
      <c r="C13" s="4">
        <v>10</v>
      </c>
      <c r="D13" s="2">
        <v>205331</v>
      </c>
      <c r="E13" s="3"/>
      <c r="F13" s="4"/>
      <c r="G13" s="3">
        <f>(D13-D14)/A8</f>
        <v>13.903473316434884</v>
      </c>
      <c r="H13" s="3"/>
      <c r="I13" s="4"/>
      <c r="J13" s="13">
        <f>G14</f>
        <v>339221.44803726795</v>
      </c>
      <c r="K13" s="13">
        <f>J13*H4*B3</f>
        <v>1103686.3907426714</v>
      </c>
      <c r="L13" s="9">
        <f>K13</f>
        <v>1103686.3907426714</v>
      </c>
    </row>
    <row r="14" spans="1:17" x14ac:dyDescent="0.4">
      <c r="A14" s="5" t="s">
        <v>85</v>
      </c>
      <c r="B14" s="6">
        <v>511</v>
      </c>
      <c r="C14" s="7">
        <f>(24-5)*J6</f>
        <v>16.34</v>
      </c>
      <c r="D14" s="5">
        <v>2382</v>
      </c>
      <c r="E14" s="6"/>
      <c r="F14" s="7"/>
      <c r="G14" s="8">
        <f>D14+G13*B1</f>
        <v>339221.44803726795</v>
      </c>
      <c r="H14" s="8"/>
      <c r="I14" s="11"/>
      <c r="J14" s="6"/>
      <c r="K14" s="12"/>
      <c r="L14" s="9"/>
    </row>
    <row r="15" spans="1:17" x14ac:dyDescent="0.4">
      <c r="A15" s="2" t="s">
        <v>78</v>
      </c>
      <c r="B15" s="3">
        <v>1</v>
      </c>
      <c r="C15" s="4">
        <v>4</v>
      </c>
      <c r="D15" s="2">
        <f>54328*3</f>
        <v>162984</v>
      </c>
      <c r="E15" s="3">
        <v>69852</v>
      </c>
      <c r="F15" s="4"/>
      <c r="G15" s="3">
        <f>(D15-D16)/A8</f>
        <v>11.077413167089128</v>
      </c>
      <c r="H15" s="3">
        <f>(E15-E16)/A8</f>
        <v>4.7474823593889157</v>
      </c>
      <c r="I15" s="4"/>
      <c r="J15" s="13">
        <f>G16+H16</f>
        <v>385229.74391998356</v>
      </c>
      <c r="K15" s="13">
        <f>J15*B3*H4</f>
        <v>1253378.3701880178</v>
      </c>
      <c r="L15" s="9">
        <f>K15</f>
        <v>1253378.3701880178</v>
      </c>
    </row>
    <row r="16" spans="1:17" x14ac:dyDescent="0.4">
      <c r="A16" s="5"/>
      <c r="B16" s="6">
        <v>1</v>
      </c>
      <c r="C16" s="7">
        <f>(20-4)</f>
        <v>16</v>
      </c>
      <c r="D16" s="5">
        <f>3*429</f>
        <v>1287</v>
      </c>
      <c r="E16" s="6">
        <v>553</v>
      </c>
      <c r="F16" s="7"/>
      <c r="G16" s="8">
        <f>D16+G15*B1</f>
        <v>269659.48879906832</v>
      </c>
      <c r="H16" s="8">
        <f>E16+H15*B1</f>
        <v>115570.25512091526</v>
      </c>
      <c r="I16" s="7"/>
      <c r="J16" s="12"/>
      <c r="K16" s="12"/>
      <c r="L16" s="9"/>
    </row>
    <row r="17" spans="1:14" x14ac:dyDescent="0.4">
      <c r="A17" s="2" t="s">
        <v>79</v>
      </c>
      <c r="B17" s="3">
        <v>312</v>
      </c>
      <c r="C17" s="4">
        <v>12</v>
      </c>
      <c r="D17" s="2">
        <v>338381</v>
      </c>
      <c r="E17" s="3"/>
      <c r="F17" s="4"/>
      <c r="G17" s="3">
        <f>(D17-D18)/A8</f>
        <v>22.944851681852434</v>
      </c>
      <c r="H17" s="3"/>
      <c r="I17" s="4"/>
      <c r="J17" s="13">
        <f>G18*1.708*1.83</f>
        <v>1748295.2328506322</v>
      </c>
      <c r="K17" s="13">
        <f>J17*C3*B4*D6*G4*H6</f>
        <v>10979668.820272677</v>
      </c>
      <c r="L17" s="9">
        <f>K17*J5</f>
        <v>13285399.272529939</v>
      </c>
    </row>
    <row r="18" spans="1:14" x14ac:dyDescent="0.4">
      <c r="A18" s="5" t="s">
        <v>87</v>
      </c>
      <c r="B18" s="6">
        <v>155</v>
      </c>
      <c r="C18" s="7">
        <f>(24-5)*J6</f>
        <v>16.34</v>
      </c>
      <c r="D18" s="5">
        <v>3455</v>
      </c>
      <c r="E18" s="6"/>
      <c r="F18" s="7"/>
      <c r="G18" s="8">
        <f>D18+G17*B1</f>
        <v>559339.92169623892</v>
      </c>
      <c r="H18" s="6"/>
      <c r="I18" s="7"/>
      <c r="J18" s="12"/>
      <c r="K18" s="12"/>
      <c r="L18" s="9"/>
    </row>
    <row r="19" spans="1:14" x14ac:dyDescent="0.4">
      <c r="A19" s="2" t="s">
        <v>80</v>
      </c>
      <c r="B19" s="3">
        <v>211</v>
      </c>
      <c r="C19" s="4">
        <v>12</v>
      </c>
      <c r="D19" s="2">
        <f>14941*2</f>
        <v>29882</v>
      </c>
      <c r="E19" s="3">
        <f>64700*3</f>
        <v>194100</v>
      </c>
      <c r="F19" s="4">
        <v>74647</v>
      </c>
      <c r="G19" s="3">
        <f>(D19-D20)/A8</f>
        <v>2.0263067753648012</v>
      </c>
      <c r="H19" s="3">
        <f>(E19-E20)/A8</f>
        <v>13.161403028019457</v>
      </c>
      <c r="I19" s="4">
        <f>(F19-F20)/A8</f>
        <v>5.0615194903062273</v>
      </c>
      <c r="J19" s="13">
        <f>(G20+H20+I20)*1.83*1.45</f>
        <v>1309844.7587336781</v>
      </c>
      <c r="K19" s="13">
        <f>J19*C3*B4*D6*G4*H6</f>
        <v>8226105.8582286183</v>
      </c>
      <c r="L19" s="9">
        <f>K19*J5</f>
        <v>9953588.088456627</v>
      </c>
    </row>
    <row r="20" spans="1:14" x14ac:dyDescent="0.4">
      <c r="A20" s="5" t="s">
        <v>328</v>
      </c>
      <c r="B20" s="6">
        <v>514</v>
      </c>
      <c r="C20" s="7">
        <f>24*J6*L2</f>
        <v>20.420947680000001</v>
      </c>
      <c r="D20" s="5">
        <f>152*2</f>
        <v>304</v>
      </c>
      <c r="E20" s="6">
        <f>661*3</f>
        <v>1983</v>
      </c>
      <c r="F20" s="7">
        <v>764</v>
      </c>
      <c r="G20" s="8">
        <f>D20+G19*B1</f>
        <v>49395.334246763035</v>
      </c>
      <c r="H20" s="8">
        <f>E20+H19*B1</f>
        <v>320844.3111598274</v>
      </c>
      <c r="I20" s="11">
        <f>F20+I19*B1</f>
        <v>123389.43269164897</v>
      </c>
      <c r="J20" s="12"/>
      <c r="K20" s="12"/>
      <c r="L20" s="9"/>
    </row>
    <row r="21" spans="1:14" x14ac:dyDescent="0.4">
      <c r="A21" s="2" t="s">
        <v>81</v>
      </c>
      <c r="B21" s="3">
        <v>132</v>
      </c>
      <c r="C21" s="4">
        <v>12</v>
      </c>
      <c r="D21" s="2">
        <v>333080</v>
      </c>
      <c r="E21" s="3"/>
      <c r="F21" s="4"/>
      <c r="G21" s="3">
        <f>(D21-D22)/A8</f>
        <v>22.585599780776871</v>
      </c>
      <c r="H21" s="3"/>
      <c r="I21" s="4"/>
      <c r="J21" s="13">
        <f>G22*1.45*2.05</f>
        <v>1636597.0462046994</v>
      </c>
      <c r="K21" s="13">
        <f>J21*((B2+0.1)*(H7+C3)+C2-0.1)*D6*B4*G4*H6</f>
        <v>9384533.4782794584</v>
      </c>
      <c r="L21" s="9">
        <f>K21*J5</f>
        <v>11355285.508718144</v>
      </c>
    </row>
    <row r="22" spans="1:14" x14ac:dyDescent="0.4">
      <c r="A22" s="5" t="s">
        <v>327</v>
      </c>
      <c r="B22" s="6">
        <v>555</v>
      </c>
      <c r="C22" s="7">
        <f>(24-10)</f>
        <v>14</v>
      </c>
      <c r="D22" s="5">
        <v>3398</v>
      </c>
      <c r="E22" s="6"/>
      <c r="F22" s="7"/>
      <c r="G22" s="8">
        <f>D22+G21*B1</f>
        <v>550579.32588888123</v>
      </c>
      <c r="H22" s="8"/>
      <c r="I22" s="7"/>
      <c r="J22" s="12"/>
      <c r="K22" s="12"/>
      <c r="L22" s="9"/>
    </row>
    <row r="23" spans="1:14" x14ac:dyDescent="0.4">
      <c r="A23" s="2" t="s">
        <v>326</v>
      </c>
      <c r="B23" s="3">
        <v>212</v>
      </c>
      <c r="C23" s="4">
        <v>12</v>
      </c>
      <c r="D23" s="2">
        <v>447258</v>
      </c>
      <c r="E23" s="3">
        <v>191715</v>
      </c>
      <c r="F23" s="4">
        <v>19573</v>
      </c>
      <c r="G23" s="3">
        <f>(D23-D24)/35574</f>
        <v>12.515629392252769</v>
      </c>
      <c r="H23" s="3">
        <f>(E23-E24)/35574</f>
        <v>5.3648732220160795</v>
      </c>
      <c r="I23" s="3">
        <f>(F23-F24)/35574</f>
        <v>0.54812503513802213</v>
      </c>
      <c r="J23" s="13">
        <f>(G24+H24)*1.8</f>
        <v>784949.28630460461</v>
      </c>
      <c r="K23" s="13">
        <f>J23*((B2+0.1)*(H7+C3)+C2-0.1)*D6*B4*G4*H6+I24*10*D3</f>
        <v>4735489.6847021999</v>
      </c>
      <c r="L23" s="9">
        <f>K23*J5</f>
        <v>5729942.5184896616</v>
      </c>
    </row>
    <row r="24" spans="1:14" x14ac:dyDescent="0.4">
      <c r="A24" s="5" t="s">
        <v>327</v>
      </c>
      <c r="B24" s="6">
        <v>455</v>
      </c>
      <c r="C24" s="7">
        <v>16</v>
      </c>
      <c r="D24" s="5">
        <v>2027</v>
      </c>
      <c r="E24" s="6">
        <v>865</v>
      </c>
      <c r="F24" s="7">
        <v>74</v>
      </c>
      <c r="G24" s="8">
        <f>G23*B1+D24</f>
        <v>305243.15328610787</v>
      </c>
      <c r="H24" s="8">
        <f>H23*B1+E24</f>
        <v>130839.78354978356</v>
      </c>
      <c r="I24" s="8">
        <f>I23*B1+F24</f>
        <v>13353.425226288862</v>
      </c>
      <c r="J24" s="12"/>
      <c r="K24" s="12"/>
      <c r="L24" s="9"/>
    </row>
    <row r="25" spans="1:14" x14ac:dyDescent="0.4">
      <c r="A25" s="2" t="s">
        <v>83</v>
      </c>
      <c r="B25" s="3">
        <v>311</v>
      </c>
      <c r="C25" s="4">
        <v>12</v>
      </c>
      <c r="D25" s="2">
        <v>414065</v>
      </c>
      <c r="E25" s="3"/>
      <c r="F25" s="4"/>
      <c r="G25" s="3">
        <f>(D25-D26)/A8</f>
        <v>28.077139138179078</v>
      </c>
      <c r="H25" s="3"/>
      <c r="I25" s="4"/>
      <c r="J25" s="13">
        <f>G26*1.7*1.96</f>
        <v>2280580.2358690142</v>
      </c>
      <c r="K25" s="13">
        <f>J25*((B2+0.1)*(H7+C3)+C2-0.1)*D6*B4*G4*H6</f>
        <v>13077245.631749919</v>
      </c>
      <c r="L25" s="9">
        <f>K25*J5</f>
        <v>15823467.214417402</v>
      </c>
      <c r="N25">
        <f>J25*(C3+H7)*G2*G1*G3*G4*D6*B4*H6*J5</f>
        <v>30577513.014278464</v>
      </c>
    </row>
    <row r="26" spans="1:14" x14ac:dyDescent="0.4">
      <c r="A26" s="5" t="s">
        <v>33</v>
      </c>
      <c r="B26" s="6">
        <v>444</v>
      </c>
      <c r="C26" s="7">
        <f>(24-7.2)*J6</f>
        <v>14.448</v>
      </c>
      <c r="D26" s="5">
        <v>4223</v>
      </c>
      <c r="E26" s="6"/>
      <c r="F26" s="7"/>
      <c r="G26" s="8">
        <f>D26+G25*B1</f>
        <v>684447.84990066453</v>
      </c>
      <c r="H26" s="8"/>
      <c r="I26" s="7"/>
      <c r="J26" s="12"/>
      <c r="K26" s="12"/>
      <c r="L26" s="9"/>
    </row>
    <row r="27" spans="1:14" x14ac:dyDescent="0.4">
      <c r="A27" s="2" t="s">
        <v>287</v>
      </c>
      <c r="B27" s="3"/>
      <c r="C27" s="4"/>
      <c r="D27" s="2">
        <v>480531</v>
      </c>
      <c r="E27" s="3">
        <v>480531</v>
      </c>
      <c r="F27" s="4">
        <f>768875*5</f>
        <v>3844375</v>
      </c>
      <c r="G27" s="3">
        <f>(D27-D28)/(28165/1.16)</f>
        <v>19.716499201136159</v>
      </c>
      <c r="H27" s="3">
        <f t="shared" ref="H27:I27" si="0">(E27-E28)/(28165/1.16)</f>
        <v>19.716499201136159</v>
      </c>
      <c r="I27" s="3">
        <f t="shared" si="0"/>
        <v>157.73775963074738</v>
      </c>
      <c r="J27" s="13"/>
      <c r="K27" s="13" t="s">
        <v>90</v>
      </c>
      <c r="L27" s="9">
        <f>SUM(L11:L25)/C20</f>
        <v>3640513.3416299555</v>
      </c>
    </row>
    <row r="28" spans="1:14" x14ac:dyDescent="0.4">
      <c r="A28" s="5"/>
      <c r="B28" s="6"/>
      <c r="C28" s="7">
        <f>300*L2</f>
        <v>296.81610000000001</v>
      </c>
      <c r="D28" s="5">
        <v>1811</v>
      </c>
      <c r="E28" s="6">
        <v>1811</v>
      </c>
      <c r="F28" s="7">
        <f>2895*5</f>
        <v>14475</v>
      </c>
      <c r="G28" s="3">
        <f>D28+G27*B1</f>
        <v>479482.62614592572</v>
      </c>
      <c r="H28" s="3">
        <f>E28+H27*B1</f>
        <v>479482.62614592572</v>
      </c>
      <c r="I28" s="3">
        <f>F28+I27*B1</f>
        <v>3835987.7025741166</v>
      </c>
      <c r="J28" s="12"/>
      <c r="K28" s="12" t="s">
        <v>89</v>
      </c>
      <c r="L28" s="9">
        <f>L27*G1*G3*G2+J29</f>
        <v>5061367.6623932179</v>
      </c>
    </row>
    <row r="29" spans="1:14" x14ac:dyDescent="0.4">
      <c r="A29" s="2"/>
      <c r="B29" s="3"/>
      <c r="C29" s="4"/>
      <c r="D29" s="2">
        <f>480531*8</f>
        <v>3844248</v>
      </c>
      <c r="E29" s="3">
        <v>961042</v>
      </c>
      <c r="F29" s="4"/>
      <c r="G29" s="3">
        <f>(D29-D30)/(28165/1.16)</f>
        <v>157.73199360908927</v>
      </c>
      <c r="H29" s="3">
        <f>(E29-E30)/(28165/1.16)</f>
        <v>39.432380614237523</v>
      </c>
      <c r="I29" s="4"/>
      <c r="J29" s="13">
        <f>(G28+H28+I28+H30+G30)*D3*G1*G2*G3/C28*0.7*K7</f>
        <v>95124.982275299262</v>
      </c>
      <c r="K29" s="13"/>
      <c r="L29" s="1"/>
    </row>
    <row r="30" spans="1:14" x14ac:dyDescent="0.4">
      <c r="A30" s="5"/>
      <c r="B30" s="6"/>
      <c r="C30" s="7"/>
      <c r="D30" s="5">
        <f>1811*8</f>
        <v>14488</v>
      </c>
      <c r="E30" s="6">
        <v>3617</v>
      </c>
      <c r="F30" s="7"/>
      <c r="G30" s="8">
        <f>D30+G29*B1</f>
        <v>3835861.0091674058</v>
      </c>
      <c r="H30" s="6">
        <f>E30+H29*B1</f>
        <v>958945.28514113242</v>
      </c>
      <c r="I30" s="7"/>
      <c r="J30" s="12"/>
      <c r="K30" s="12"/>
      <c r="L30" s="1"/>
    </row>
    <row r="31" spans="1:14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4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Sheet1</vt:lpstr>
      <vt:lpstr>기공사</vt:lpstr>
      <vt:lpstr>블래</vt:lpstr>
      <vt:lpstr>바드</vt:lpstr>
      <vt:lpstr>건슬</vt:lpstr>
      <vt:lpstr>1해방억</vt:lpstr>
      <vt:lpstr>사멸억모닉</vt:lpstr>
      <vt:lpstr>창술</vt:lpstr>
      <vt:lpstr>사멸창술</vt:lpstr>
      <vt:lpstr>매혹 호크</vt:lpstr>
      <vt:lpstr>지배호크</vt:lpstr>
      <vt:lpstr>달소리퍼</vt:lpstr>
      <vt:lpstr>디트</vt:lpstr>
      <vt:lpstr>절제창</vt:lpstr>
      <vt:lpstr>블레이드</vt:lpstr>
      <vt:lpstr>기술스카</vt:lpstr>
      <vt:lpstr>충모닉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박성찬</dc:creator>
  <cp:lastModifiedBy>박성찬</cp:lastModifiedBy>
  <dcterms:created xsi:type="dcterms:W3CDTF">2021-06-25T08:49:10Z</dcterms:created>
  <dcterms:modified xsi:type="dcterms:W3CDTF">2021-07-07T02:24:53Z</dcterms:modified>
</cp:coreProperties>
</file>