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xr:revisionPtr revIDLastSave="0" documentId="13_ncr:1_{7572541F-A1CA-451D-AFA3-02D9600C6E58}" xr6:coauthVersionLast="47" xr6:coauthVersionMax="47" xr10:uidLastSave="{00000000-0000-0000-0000-000000000000}"/>
  <bookViews>
    <workbookView xWindow="-110" yWindow="-110" windowWidth="38620" windowHeight="21360" xr2:uid="{00000000-000D-0000-FFFF-FFFF00000000}"/>
  </bookViews>
  <sheets>
    <sheet name="재련" sheetId="3" r:id="rId1"/>
    <sheet name="재료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" l="1"/>
  <c r="I3" i="3" s="1"/>
  <c r="K22" i="3" l="1"/>
  <c r="J22" i="3"/>
  <c r="I22" i="3"/>
  <c r="K21" i="3"/>
  <c r="J21" i="3"/>
  <c r="I21" i="3"/>
  <c r="F12" i="3"/>
  <c r="E11" i="3"/>
  <c r="F11" i="3"/>
  <c r="E10" i="3"/>
  <c r="F10" i="3"/>
  <c r="F13" i="3"/>
  <c r="F9" i="3"/>
  <c r="H4" i="3" l="1"/>
  <c r="J3" i="3"/>
  <c r="E9" i="3"/>
  <c r="E14" i="3" s="1"/>
  <c r="P3" i="3" l="1"/>
  <c r="Q3" i="3"/>
  <c r="O3" i="3"/>
  <c r="L3" i="3"/>
  <c r="M3" i="3" s="1"/>
  <c r="K3" i="3"/>
  <c r="I4" i="3" s="1"/>
  <c r="N3" i="3"/>
  <c r="Q4" i="3" l="1"/>
  <c r="P4" i="3"/>
  <c r="O4" i="3"/>
  <c r="L4" i="3"/>
  <c r="M4" i="3" l="1"/>
  <c r="H5" i="3"/>
  <c r="J4" i="3"/>
  <c r="K4" i="3" s="1"/>
  <c r="I5" i="3" s="1"/>
  <c r="N4" i="3"/>
  <c r="O5" i="3" l="1"/>
  <c r="P5" i="3"/>
  <c r="Q5" i="3"/>
  <c r="M5" i="3"/>
  <c r="L5" i="3" l="1"/>
  <c r="H6" i="3"/>
  <c r="N5" i="3"/>
  <c r="J5" i="3"/>
  <c r="K5" i="3" s="1"/>
  <c r="I6" i="3" s="1"/>
  <c r="P6" i="3" l="1"/>
  <c r="M6" i="3" l="1"/>
  <c r="Q6" i="3"/>
  <c r="L6" i="3"/>
  <c r="J6" i="3"/>
  <c r="K6" i="3" s="1"/>
  <c r="O6" i="3"/>
  <c r="N6" i="3"/>
  <c r="H7" i="3"/>
  <c r="I7" i="3" l="1"/>
  <c r="N7" i="3" s="1"/>
  <c r="P7" i="3" l="1"/>
  <c r="L7" i="3"/>
  <c r="J7" i="3"/>
  <c r="K7" i="3" s="1"/>
  <c r="M7" i="3"/>
  <c r="H8" i="3"/>
  <c r="O7" i="3"/>
  <c r="Q7" i="3"/>
  <c r="I8" i="3" l="1"/>
  <c r="O8" i="3" s="1"/>
  <c r="L8" i="3" l="1"/>
  <c r="J8" i="3"/>
  <c r="K8" i="3" s="1"/>
  <c r="I9" i="3" s="1"/>
  <c r="M8" i="3"/>
  <c r="H9" i="3"/>
  <c r="Q8" i="3"/>
  <c r="P8" i="3"/>
  <c r="N8" i="3"/>
  <c r="M9" i="3" l="1"/>
  <c r="H10" i="3" l="1"/>
  <c r="L9" i="3"/>
  <c r="Q9" i="3"/>
  <c r="J9" i="3"/>
  <c r="K9" i="3" s="1"/>
  <c r="O9" i="3"/>
  <c r="N9" i="3"/>
  <c r="P9" i="3"/>
  <c r="I10" i="3" l="1"/>
  <c r="L10" i="3" s="1"/>
  <c r="J10" i="3" l="1"/>
  <c r="K10" i="3" s="1"/>
  <c r="I11" i="3" s="1"/>
  <c r="H12" i="3" s="1"/>
  <c r="H11" i="3"/>
  <c r="N10" i="3"/>
  <c r="M10" i="3"/>
  <c r="Q10" i="3"/>
  <c r="P10" i="3"/>
  <c r="O10" i="3"/>
  <c r="J11" i="3" l="1"/>
  <c r="K11" i="3" s="1"/>
  <c r="M11" i="3"/>
  <c r="L11" i="3"/>
  <c r="I12" i="3"/>
  <c r="N12" i="3" s="1"/>
  <c r="P11" i="3"/>
  <c r="O11" i="3"/>
  <c r="N11" i="3"/>
  <c r="Q11" i="3"/>
  <c r="Q12" i="3" l="1"/>
  <c r="O12" i="3"/>
  <c r="M12" i="3"/>
  <c r="P12" i="3"/>
  <c r="H13" i="3"/>
  <c r="L12" i="3"/>
  <c r="J12" i="3"/>
  <c r="K12" i="3" s="1"/>
  <c r="I13" i="3" s="1"/>
  <c r="L13" i="3" l="1"/>
  <c r="I14" i="3"/>
  <c r="P13" i="3"/>
  <c r="O13" i="3"/>
  <c r="Q13" i="3"/>
  <c r="J13" i="3"/>
  <c r="K13" i="3" s="1"/>
  <c r="H14" i="3" s="1"/>
  <c r="N13" i="3"/>
  <c r="M13" i="3"/>
  <c r="I16" i="3" l="1" a="1"/>
  <c r="I16" i="3" s="1"/>
  <c r="J16" i="3" s="1"/>
  <c r="I18" i="3" a="1"/>
  <c r="I18" i="3" s="1"/>
  <c r="J18" i="3" s="1"/>
  <c r="I19" i="3" a="1"/>
  <c r="I19" i="3" s="1"/>
  <c r="J19" i="3" s="1"/>
  <c r="I17" i="3" a="1"/>
  <c r="I17" i="3" s="1"/>
  <c r="J17" i="3" s="1"/>
  <c r="Q14" i="3"/>
  <c r="L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<sst xmlns="http://schemas.openxmlformats.org/spreadsheetml/2006/main" count="54" uniqueCount="47">
  <si>
    <t>확률</t>
    <phoneticPr fontId="1" type="noConversion"/>
  </si>
  <si>
    <t>횟수</t>
    <phoneticPr fontId="1" type="noConversion"/>
  </si>
  <si>
    <t>시세</t>
    <phoneticPr fontId="1" type="noConversion"/>
  </si>
  <si>
    <t>기댓값</t>
    <phoneticPr fontId="1" type="noConversion"/>
  </si>
  <si>
    <t>변동확률</t>
    <phoneticPr fontId="1" type="noConversion"/>
  </si>
  <si>
    <t>장기</t>
    <phoneticPr fontId="1" type="noConversion"/>
  </si>
  <si>
    <t>누적장기</t>
    <phoneticPr fontId="1" type="noConversion"/>
  </si>
  <si>
    <t>파괴석</t>
    <phoneticPr fontId="1" type="noConversion"/>
  </si>
  <si>
    <t>수호석</t>
    <phoneticPr fontId="1" type="noConversion"/>
  </si>
  <si>
    <t>재료</t>
    <phoneticPr fontId="1" type="noConversion"/>
  </si>
  <si>
    <t>소모값</t>
    <phoneticPr fontId="1" type="noConversion"/>
  </si>
  <si>
    <t>단축</t>
    <phoneticPr fontId="1" type="noConversion"/>
  </si>
  <si>
    <t>직전 장기</t>
    <phoneticPr fontId="1" type="noConversion"/>
  </si>
  <si>
    <t>필요 확률</t>
    <phoneticPr fontId="1" type="noConversion"/>
  </si>
  <si>
    <t>명돌</t>
    <phoneticPr fontId="1" type="noConversion"/>
  </si>
  <si>
    <t>골드</t>
    <phoneticPr fontId="1" type="noConversion"/>
  </si>
  <si>
    <t>파편</t>
    <phoneticPr fontId="1" type="noConversion"/>
  </si>
  <si>
    <t>단계</t>
    <phoneticPr fontId="1" type="noConversion"/>
  </si>
  <si>
    <t>위명돌</t>
    <phoneticPr fontId="1" type="noConversion"/>
  </si>
  <si>
    <t>경명돌</t>
    <phoneticPr fontId="1" type="noConversion"/>
  </si>
  <si>
    <t>하급</t>
    <phoneticPr fontId="1" type="noConversion"/>
  </si>
  <si>
    <t>중급</t>
    <phoneticPr fontId="1" type="noConversion"/>
  </si>
  <si>
    <t>상급</t>
    <phoneticPr fontId="1" type="noConversion"/>
  </si>
  <si>
    <t>야금1</t>
    <phoneticPr fontId="1" type="noConversion"/>
  </si>
  <si>
    <t>재봉1</t>
    <phoneticPr fontId="1" type="noConversion"/>
  </si>
  <si>
    <t>야금2</t>
    <phoneticPr fontId="1" type="noConversion"/>
  </si>
  <si>
    <t>재봉2</t>
    <phoneticPr fontId="1" type="noConversion"/>
  </si>
  <si>
    <t>은총</t>
    <phoneticPr fontId="1" type="noConversion"/>
  </si>
  <si>
    <t>축복</t>
    <phoneticPr fontId="1" type="noConversion"/>
  </si>
  <si>
    <t>가호</t>
    <phoneticPr fontId="1" type="noConversion"/>
  </si>
  <si>
    <t>등급</t>
    <phoneticPr fontId="1" type="noConversion"/>
  </si>
  <si>
    <t>분류</t>
    <phoneticPr fontId="1" type="noConversion"/>
  </si>
  <si>
    <t>소모 재료</t>
    <phoneticPr fontId="1" type="noConversion"/>
  </si>
  <si>
    <t>최대</t>
    <phoneticPr fontId="1" type="noConversion"/>
  </si>
  <si>
    <t>Made by Airweed</t>
  </si>
  <si>
    <t>파편은 직접 계산</t>
    <phoneticPr fontId="1" type="noConversion"/>
  </si>
  <si>
    <t>1개당 가격으로</t>
    <phoneticPr fontId="1" type="noConversion"/>
  </si>
  <si>
    <t>입력할 것</t>
    <phoneticPr fontId="1" type="noConversion"/>
  </si>
  <si>
    <t>보조재료 사용하여 누적합으로</t>
    <phoneticPr fontId="1" type="noConversion"/>
  </si>
  <si>
    <t>해당 단계만큼 장기백 단축</t>
    <phoneticPr fontId="1" type="noConversion"/>
  </si>
  <si>
    <t>책</t>
    <phoneticPr fontId="1" type="noConversion"/>
  </si>
  <si>
    <t>필요 확률 이상 맞출 시</t>
    <phoneticPr fontId="1" type="noConversion"/>
  </si>
  <si>
    <t>영지</t>
    <phoneticPr fontId="1" type="noConversion"/>
  </si>
  <si>
    <t>영웅</t>
  </si>
  <si>
    <t>방어구</t>
  </si>
  <si>
    <t>`</t>
    <phoneticPr fontId="1" type="noConversion"/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</si>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</sst>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_);[Red]\(0\)"/>
    <numFmt numFmtId="178" formatCode="0.0%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0"/>
      <name val="맑은 고딕"/>
      <family val="2"/>
      <charset val="129"/>
      <scheme val="minor"/>
    </font>
    <font>
      <sz val="9"/>
      <color theme="0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u/>
      <sz val="8"/>
      <color theme="1"/>
      <name val="맑은 고딕"/>
      <family val="3"/>
      <charset val="129"/>
      <scheme val="minor"/>
    </font>
    <font>
      <b/>
      <sz val="9"/>
      <color theme="0"/>
      <name val="Vivaldi"/>
      <family val="4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" fillId="17" borderId="0" xfId="0" applyFont="1" applyFill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0" fontId="3" fillId="15" borderId="0" xfId="1" applyNumberFormat="1" applyFont="1" applyFill="1" applyAlignment="1">
      <alignment horizontal="center" vertical="center"/>
    </xf>
    <xf numFmtId="176" fontId="3" fillId="12" borderId="0" xfId="0" applyNumberFormat="1" applyFont="1" applyFill="1" applyAlignment="1">
      <alignment horizontal="center" vertical="center"/>
    </xf>
    <xf numFmtId="176" fontId="3" fillId="8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9" fontId="3" fillId="11" borderId="0" xfId="0" applyNumberFormat="1" applyFont="1" applyFill="1" applyAlignment="1">
      <alignment horizontal="center" vertical="center"/>
    </xf>
    <xf numFmtId="10" fontId="3" fillId="7" borderId="0" xfId="0" applyNumberFormat="1" applyFont="1" applyFill="1" applyAlignment="1">
      <alignment horizontal="center" vertical="center"/>
    </xf>
    <xf numFmtId="176" fontId="3" fillId="8" borderId="1" xfId="0" applyNumberFormat="1" applyFont="1" applyFill="1" applyBorder="1" applyAlignment="1">
      <alignment horizontal="center" vertical="center"/>
    </xf>
    <xf numFmtId="176" fontId="3" fillId="13" borderId="0" xfId="0" applyNumberFormat="1" applyFont="1" applyFill="1" applyAlignment="1">
      <alignment horizontal="center" vertical="center"/>
    </xf>
    <xf numFmtId="10" fontId="3" fillId="11" borderId="0" xfId="0" applyNumberFormat="1" applyFont="1" applyFill="1" applyAlignment="1">
      <alignment horizontal="center" vertical="center"/>
    </xf>
    <xf numFmtId="9" fontId="3" fillId="16" borderId="0" xfId="0" applyNumberFormat="1" applyFont="1" applyFill="1" applyAlignment="1">
      <alignment horizontal="center" vertical="center"/>
    </xf>
    <xf numFmtId="0" fontId="8" fillId="12" borderId="0" xfId="0" applyFont="1" applyFill="1" applyAlignment="1">
      <alignment vertical="center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6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horizontal="center" vertical="center"/>
      <protection locked="0"/>
    </xf>
    <xf numFmtId="0" fontId="3" fillId="9" borderId="3" xfId="0" applyFont="1" applyFill="1" applyBorder="1" applyAlignment="1" applyProtection="1">
      <alignment horizontal="center" vertical="center"/>
      <protection locked="0"/>
    </xf>
    <xf numFmtId="0" fontId="3" fillId="16" borderId="3" xfId="0" applyFont="1" applyFill="1" applyBorder="1" applyAlignment="1" applyProtection="1">
      <alignment horizontal="center" vertical="center"/>
      <protection locked="0"/>
    </xf>
    <xf numFmtId="0" fontId="3" fillId="18" borderId="3" xfId="0" applyFont="1" applyFill="1" applyBorder="1" applyAlignment="1" applyProtection="1">
      <alignment horizontal="center" vertical="center"/>
      <protection locked="0"/>
    </xf>
    <xf numFmtId="0" fontId="3" fillId="18" borderId="4" xfId="0" applyFont="1" applyFill="1" applyBorder="1" applyAlignment="1" applyProtection="1">
      <alignment horizontal="center" vertical="center"/>
      <protection locked="0"/>
    </xf>
    <xf numFmtId="0" fontId="3" fillId="12" borderId="3" xfId="0" applyFont="1" applyFill="1" applyBorder="1" applyAlignment="1" applyProtection="1">
      <alignment horizontal="center" vertical="center"/>
      <protection locked="0"/>
    </xf>
    <xf numFmtId="0" fontId="3" fillId="16" borderId="4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178" fontId="3" fillId="11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19" borderId="2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 wrapText="1"/>
    </xf>
    <xf numFmtId="0" fontId="9" fillId="12" borderId="0" xfId="0" applyFont="1" applyFill="1" applyAlignment="1">
      <alignment horizontal="center" vertical="center"/>
    </xf>
  </cellXfs>
  <cellStyles count="2">
    <cellStyle name="백분율" xfId="1" builtinId="5"/>
    <cellStyle name="표준" xfId="0" builtinId="0"/>
  </cellStyles>
  <dxfs count="9"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-0.24994659260841701"/>
        </patternFill>
      </fill>
    </dxf>
    <dxf>
      <fill>
        <patternFill>
          <bgColor rgb="FF9999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9999FF"/>
      <color rgb="FFCCCCFF"/>
      <color rgb="FFCCECFF"/>
      <color rgb="FFFF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22"/>
  <sheetViews>
    <sheetView tabSelected="1" zoomScale="265" zoomScaleNormal="265" workbookViewId="0">
      <selection activeCell="F4" sqref="F4"/>
    </sheetView>
  </sheetViews>
  <sheetFormatPr defaultColWidth="6.58203125" defaultRowHeight="12" customHeight="1" x14ac:dyDescent="0.45"/>
  <cols>
    <col min="1" max="1" width="2.58203125" style="3" customWidth="1"/>
    <col min="2" max="3" width="6.58203125" style="3"/>
    <col min="4" max="4" width="2.58203125" style="3" customWidth="1"/>
    <col min="5" max="6" width="6.58203125" style="3"/>
    <col min="7" max="7" width="2.58203125" style="3" customWidth="1"/>
    <col min="8" max="8" width="4.58203125" style="3" customWidth="1"/>
    <col min="9" max="17" width="7.58203125" style="3" customWidth="1"/>
    <col min="18" max="18" width="2.58203125" style="3" customWidth="1"/>
    <col min="19" max="16384" width="6.58203125" style="3"/>
  </cols>
  <sheetData>
    <row r="1" spans="2:17" ht="12" customHeight="1" thickBot="1" x14ac:dyDescent="0.5"/>
    <row r="2" spans="2:17" ht="12" customHeight="1" thickTop="1" thickBot="1" x14ac:dyDescent="0.5">
      <c r="B2" s="24" t="s">
        <v>9</v>
      </c>
      <c r="C2" s="24" t="s">
        <v>2</v>
      </c>
      <c r="E2" s="41" t="s">
        <v>42</v>
      </c>
      <c r="F2" s="44" t="s">
        <v>46</v>
      </c>
      <c r="H2" s="24" t="s">
        <v>1</v>
      </c>
      <c r="I2" s="24" t="s">
        <v>4</v>
      </c>
      <c r="J2" s="24" t="s">
        <v>5</v>
      </c>
      <c r="K2" s="24" t="s">
        <v>6</v>
      </c>
      <c r="L2" s="24" t="s">
        <v>10</v>
      </c>
      <c r="M2" s="24" t="s">
        <v>3</v>
      </c>
      <c r="N2" s="24" t="s">
        <v>40</v>
      </c>
      <c r="O2" s="24" t="s">
        <v>29</v>
      </c>
      <c r="P2" s="24" t="s">
        <v>28</v>
      </c>
      <c r="Q2" s="24" t="s">
        <v>27</v>
      </c>
    </row>
    <row r="3" spans="2:17" ht="12" customHeight="1" thickTop="1" x14ac:dyDescent="0.45">
      <c r="B3" s="7" t="s">
        <v>7</v>
      </c>
      <c r="C3" s="32">
        <v>14</v>
      </c>
      <c r="E3" s="24" t="s">
        <v>30</v>
      </c>
      <c r="F3" s="39" t="s">
        <v>43</v>
      </c>
      <c r="H3" s="5">
        <v>1</v>
      </c>
      <c r="I3" s="42">
        <f>F6+IF($F$5&lt;16,IF($F$2="O",0.3,0.2))</f>
        <v>0.4</v>
      </c>
      <c r="J3" s="26">
        <f>I3*0.465</f>
        <v>0.18600000000000003</v>
      </c>
      <c r="K3" s="26">
        <f>J3</f>
        <v>0.18600000000000003</v>
      </c>
      <c r="L3" s="27">
        <f>E14</f>
        <v>206.9</v>
      </c>
      <c r="M3" s="28">
        <f>L3/I3</f>
        <v>517.25</v>
      </c>
      <c r="N3" s="23">
        <f t="shared" ref="N3:N13" si="0">IF(OR(I3="",I3=1),"",IF($F$5&gt;15,"사용불가",
IF(AND($F$3="영웅",$F$4="무기"),($E$14+$C$15)/(I3+0.1),
IF(AND($F$3="영웅",$F$4="방어구"),($E$14+$C$16)/(I3+0.1),
IF(AND($F$3="전설",$F$4="무기"),($E$14+$C$17)/(I3+0.1),
IF(AND($F$3="전설",$F$4="방어구"),($E$14+$C$18)/(I3+0.1)
))))))</f>
        <v>593.79999999999995</v>
      </c>
      <c r="O3" s="23">
        <f t="shared" ref="O3:O13" si="1">IF(OR(I3="",I3=1),"",($E$14+$C$12)/(I3+$I$22))</f>
        <v>861.86627479794265</v>
      </c>
      <c r="P3" s="23">
        <f t="shared" ref="P3:P13" si="2">IF(OR(I3="",I3=1),"",($E$14+$C$13)/(I3+$J$22))</f>
        <v>717.22939424031767</v>
      </c>
      <c r="Q3" s="23">
        <f t="shared" ref="Q3:Q13" si="3">IF(OR(I3="",I3=1),"",($E$14+$C$14)/(I3+$K$22))</f>
        <v>597.65819631290481</v>
      </c>
    </row>
    <row r="4" spans="2:17" ht="12" customHeight="1" x14ac:dyDescent="0.45">
      <c r="B4" s="7" t="s">
        <v>8</v>
      </c>
      <c r="C4" s="33">
        <v>0.5</v>
      </c>
      <c r="E4" s="24" t="s">
        <v>31</v>
      </c>
      <c r="F4" s="39" t="s">
        <v>44</v>
      </c>
      <c r="H4" s="5">
        <f>IF(OR(I3=1,I3=""),"",2)</f>
        <v>2</v>
      </c>
      <c r="I4" s="42">
        <f>IF(OR(I3=1,I3=""),"",
IF(K3&gt;1,1,MIN($F$6*2+0.2,$F$6+$F$6*0.1*(H4-1))+IF($F$5&lt;16,IF($F$2="O",0.3,0.2))
))</f>
        <v>0.41000000000000003</v>
      </c>
      <c r="J4" s="26">
        <f>IF(OR(I4=1,I4=""),"",I4*0.465)</f>
        <v>0.19065000000000001</v>
      </c>
      <c r="K4" s="26">
        <f t="shared" ref="K4:K13" si="4">IF(OR(I4=1,I4=""),"",K3+J4)</f>
        <v>0.37665000000000004</v>
      </c>
      <c r="L4" s="27">
        <f t="shared" ref="L4:L13" si="5">IF(OR(I4="",I4=1),"",$E$14*H4)</f>
        <v>413.8</v>
      </c>
      <c r="M4" s="28">
        <f t="shared" ref="M4:M13" si="6">IF(OR(I4=1,I4=""),"",$E$14/I4)</f>
        <v>504.63414634146341</v>
      </c>
      <c r="N4" s="23">
        <f t="shared" si="0"/>
        <v>582.15686274509801</v>
      </c>
      <c r="O4" s="23">
        <f t="shared" si="1"/>
        <v>841.26225197226859</v>
      </c>
      <c r="P4" s="23">
        <f t="shared" si="2"/>
        <v>699.85465116279056</v>
      </c>
      <c r="Q4" s="23">
        <f t="shared" si="3"/>
        <v>583.13077297034511</v>
      </c>
    </row>
    <row r="5" spans="2:17" ht="12" customHeight="1" thickBot="1" x14ac:dyDescent="0.5">
      <c r="B5" s="8" t="s">
        <v>14</v>
      </c>
      <c r="C5" s="34">
        <v>15</v>
      </c>
      <c r="E5" s="45" t="s">
        <v>17</v>
      </c>
      <c r="F5" s="40">
        <v>15</v>
      </c>
      <c r="H5" s="5">
        <f>IF(OR(I4=1,I4=""),"",3)</f>
        <v>3</v>
      </c>
      <c r="I5" s="42">
        <f t="shared" ref="I5:I13" si="7">IF(OR(I4=1,I4=""),"",
IF(K4&gt;1,1,MIN($F$6*2+0.2,$F$6+$F$6*0.1*(H5-1))+IF($F$5&lt;16,IF($F$2="O",0.3,0.2))
))</f>
        <v>0.42</v>
      </c>
      <c r="J5" s="26">
        <f t="shared" ref="J5:J13" si="8">IF(OR(I5=1,I5=""),"",I5*0.465)</f>
        <v>0.1953</v>
      </c>
      <c r="K5" s="26">
        <f t="shared" si="4"/>
        <v>0.57195000000000007</v>
      </c>
      <c r="L5" s="27">
        <f t="shared" si="5"/>
        <v>620.70000000000005</v>
      </c>
      <c r="M5" s="28">
        <f t="shared" si="6"/>
        <v>492.61904761904765</v>
      </c>
      <c r="N5" s="23">
        <f t="shared" si="0"/>
        <v>570.96153846153845</v>
      </c>
      <c r="O5" s="23">
        <f t="shared" si="1"/>
        <v>821.62035956105535</v>
      </c>
      <c r="P5" s="23">
        <f t="shared" si="2"/>
        <v>683.3017975402081</v>
      </c>
      <c r="Q5" s="23">
        <f t="shared" si="3"/>
        <v>569.29283341243479</v>
      </c>
    </row>
    <row r="6" spans="2:17" ht="12" customHeight="1" thickTop="1" x14ac:dyDescent="0.45">
      <c r="B6" s="8" t="s">
        <v>18</v>
      </c>
      <c r="C6" s="34">
        <v>41</v>
      </c>
      <c r="E6" s="45"/>
      <c r="F6" s="30">
        <f>INDEX(재료!A21:L39,F5-6,2)</f>
        <v>0.1</v>
      </c>
      <c r="H6" s="5">
        <f>IF(OR(I5=1,I5=""),"",4)</f>
        <v>4</v>
      </c>
      <c r="I6" s="42">
        <f t="shared" si="7"/>
        <v>0.43</v>
      </c>
      <c r="J6" s="26">
        <f t="shared" si="8"/>
        <v>0.19995000000000002</v>
      </c>
      <c r="K6" s="26">
        <f t="shared" si="4"/>
        <v>0.77190000000000003</v>
      </c>
      <c r="L6" s="27">
        <f t="shared" si="5"/>
        <v>827.6</v>
      </c>
      <c r="M6" s="28">
        <f t="shared" si="6"/>
        <v>481.16279069767444</v>
      </c>
      <c r="N6" s="23">
        <f t="shared" si="0"/>
        <v>560.18867924528297</v>
      </c>
      <c r="O6" s="23">
        <f t="shared" si="1"/>
        <v>802.87474332648867</v>
      </c>
      <c r="P6" s="23">
        <f t="shared" si="2"/>
        <v>667.51386321626615</v>
      </c>
      <c r="Q6" s="23">
        <f t="shared" si="3"/>
        <v>556.09643022716739</v>
      </c>
    </row>
    <row r="7" spans="2:17" ht="12" customHeight="1" x14ac:dyDescent="0.45">
      <c r="B7" s="8" t="s">
        <v>19</v>
      </c>
      <c r="C7" s="34"/>
      <c r="H7" s="5">
        <f>IF(OR(I6=1,I6=""),"",5)</f>
        <v>5</v>
      </c>
      <c r="I7" s="42">
        <f t="shared" si="7"/>
        <v>0.44</v>
      </c>
      <c r="J7" s="26">
        <f t="shared" si="8"/>
        <v>0.2046</v>
      </c>
      <c r="K7" s="26">
        <f t="shared" si="4"/>
        <v>0.97650000000000003</v>
      </c>
      <c r="L7" s="27">
        <f t="shared" si="5"/>
        <v>1034.5</v>
      </c>
      <c r="M7" s="28">
        <f t="shared" si="6"/>
        <v>470.22727272727275</v>
      </c>
      <c r="N7" s="23">
        <f t="shared" si="0"/>
        <v>549.81481481481478</v>
      </c>
      <c r="O7" s="23">
        <f t="shared" si="1"/>
        <v>784.96542493865718</v>
      </c>
      <c r="P7" s="23">
        <f t="shared" si="2"/>
        <v>652.43902439024384</v>
      </c>
      <c r="Q7" s="23">
        <f t="shared" si="3"/>
        <v>543.49796103307654</v>
      </c>
    </row>
    <row r="8" spans="2:17" ht="12" customHeight="1" x14ac:dyDescent="0.45">
      <c r="B8" s="10" t="s">
        <v>20</v>
      </c>
      <c r="C8" s="34">
        <v>12</v>
      </c>
      <c r="E8" s="45" t="s">
        <v>32</v>
      </c>
      <c r="F8" s="45"/>
      <c r="H8" s="5">
        <f>IF(OR(I7=1,I7=""),"",6)</f>
        <v>6</v>
      </c>
      <c r="I8" s="42">
        <f t="shared" si="7"/>
        <v>0.45</v>
      </c>
      <c r="J8" s="26">
        <f t="shared" si="8"/>
        <v>0.20925000000000002</v>
      </c>
      <c r="K8" s="26">
        <f t="shared" si="4"/>
        <v>1.1857500000000001</v>
      </c>
      <c r="L8" s="27">
        <f t="shared" si="5"/>
        <v>1241.4000000000001</v>
      </c>
      <c r="M8" s="28">
        <f t="shared" si="6"/>
        <v>459.77777777777777</v>
      </c>
      <c r="N8" s="23">
        <f t="shared" si="0"/>
        <v>539.81818181818176</v>
      </c>
      <c r="O8" s="23">
        <f t="shared" si="1"/>
        <v>767.83766092079418</v>
      </c>
      <c r="P8" s="23">
        <f t="shared" si="2"/>
        <v>638.03003533568892</v>
      </c>
      <c r="Q8" s="23">
        <f t="shared" si="3"/>
        <v>531.45768719539205</v>
      </c>
    </row>
    <row r="9" spans="2:17" ht="12" customHeight="1" x14ac:dyDescent="0.45">
      <c r="B9" s="10" t="s">
        <v>21</v>
      </c>
      <c r="C9" s="34">
        <v>13</v>
      </c>
      <c r="E9" s="7" t="str">
        <f>IF(F4="무기","파괴석",IF(F4="방어구","수호석",""))</f>
        <v>수호석</v>
      </c>
      <c r="F9" s="6">
        <f>IF(AND(F3="영웅",F4="무기"),INDEX(재료!A1:L19,F5-6,3),
IF(AND(F3="영웅",F4="방어구"),INDEX(재료!A1:L19,F5-6,8),
IF(AND(F3="전설",F4="무기"),INDEX(재료!A21:L39,F5-6,3),
IF(AND(F3="전설",F4="방어구"),INDEX(재료!A21:L39,F5-6,8),
))))</f>
        <v>114</v>
      </c>
      <c r="H9" s="5">
        <f>IF(OR(I8=1,I8=""),"",7)</f>
        <v>7</v>
      </c>
      <c r="I9" s="42">
        <f t="shared" si="7"/>
        <v>1</v>
      </c>
      <c r="J9" s="26" t="str">
        <f t="shared" si="8"/>
        <v/>
      </c>
      <c r="K9" s="26" t="str">
        <f t="shared" si="4"/>
        <v/>
      </c>
      <c r="L9" s="27" t="str">
        <f t="shared" si="5"/>
        <v/>
      </c>
      <c r="M9" s="28" t="str">
        <f t="shared" si="6"/>
        <v/>
      </c>
      <c r="N9" s="23" t="str">
        <f t="shared" si="0"/>
        <v/>
      </c>
      <c r="O9" s="23" t="str">
        <f t="shared" si="1"/>
        <v/>
      </c>
      <c r="P9" s="23" t="str">
        <f t="shared" si="2"/>
        <v/>
      </c>
      <c r="Q9" s="23" t="str">
        <f t="shared" si="3"/>
        <v/>
      </c>
    </row>
    <row r="10" spans="2:17" ht="12" customHeight="1" x14ac:dyDescent="0.45">
      <c r="B10" s="10" t="s">
        <v>22</v>
      </c>
      <c r="C10" s="34"/>
      <c r="E10" s="8" t="str">
        <f>IF(F3="영웅","명돌",IF(F3="전설","위명돌",""))</f>
        <v>명돌</v>
      </c>
      <c r="F10" s="9">
        <f>IF(AND(F3="영웅",F4="무기"),INDEX(재료!A1:L19,F5-6,4),
IF(AND(F3="영웅",F4="방어구"),INDEX(재료!A1:L19,F5-6,9),
IF(AND(F3="전설",F4="무기"),INDEX(재료!A21:L39,F5-6,4),
IF(AND(F3="전설",F4="방어구"),INDEX(재료!A21:L39,F5-6,9),
))))</f>
        <v>4</v>
      </c>
      <c r="H10" s="5" t="str">
        <f>IF(OR(I9=1,I9=""),"",8)</f>
        <v/>
      </c>
      <c r="I10" s="42" t="str">
        <f t="shared" si="7"/>
        <v/>
      </c>
      <c r="J10" s="26" t="str">
        <f t="shared" si="8"/>
        <v/>
      </c>
      <c r="K10" s="26" t="str">
        <f t="shared" si="4"/>
        <v/>
      </c>
      <c r="L10" s="27" t="str">
        <f t="shared" si="5"/>
        <v/>
      </c>
      <c r="M10" s="28" t="str">
        <f t="shared" si="6"/>
        <v/>
      </c>
      <c r="N10" s="23" t="str">
        <f t="shared" si="0"/>
        <v/>
      </c>
      <c r="O10" s="23" t="str">
        <f t="shared" si="1"/>
        <v/>
      </c>
      <c r="P10" s="23" t="str">
        <f t="shared" si="2"/>
        <v/>
      </c>
      <c r="Q10" s="23" t="str">
        <f t="shared" si="3"/>
        <v/>
      </c>
    </row>
    <row r="11" spans="2:17" ht="12" customHeight="1" x14ac:dyDescent="0.45">
      <c r="B11" s="12" t="s">
        <v>16</v>
      </c>
      <c r="C11" s="35">
        <v>0.24</v>
      </c>
      <c r="E11" s="10" t="str">
        <f>IF(F3="영웅","하급",IF(F3="전설","중급",""))</f>
        <v>하급</v>
      </c>
      <c r="F11" s="9">
        <f>IF(AND(F3="영웅",F4="무기"),INDEX(재료!A1:L19,F5-6,5),
IF(AND(F3="영웅",F4="방어구"),INDEX(재료!A1:L19,F5-6,10),
IF(AND(F3="전설",F4="무기"),INDEX(재료!A21:L39,F5-6,5),
IF(AND(F3="전설",F4="방어구"),INDEX(재료!A21:L39,F5-6,10),
))))</f>
        <v>2</v>
      </c>
      <c r="H11" s="5" t="str">
        <f>IF(OR(I10=1,I10=""),"",9)</f>
        <v/>
      </c>
      <c r="I11" s="42" t="str">
        <f t="shared" si="7"/>
        <v/>
      </c>
      <c r="J11" s="26" t="str">
        <f t="shared" si="8"/>
        <v/>
      </c>
      <c r="K11" s="26" t="str">
        <f t="shared" si="4"/>
        <v/>
      </c>
      <c r="L11" s="27" t="str">
        <f t="shared" si="5"/>
        <v/>
      </c>
      <c r="M11" s="28" t="str">
        <f t="shared" si="6"/>
        <v/>
      </c>
      <c r="N11" s="23" t="str">
        <f t="shared" si="0"/>
        <v/>
      </c>
      <c r="O11" s="23" t="str">
        <f t="shared" si="1"/>
        <v/>
      </c>
      <c r="P11" s="23" t="str">
        <f t="shared" si="2"/>
        <v/>
      </c>
      <c r="Q11" s="23" t="str">
        <f t="shared" si="3"/>
        <v/>
      </c>
    </row>
    <row r="12" spans="2:17" ht="12" customHeight="1" x14ac:dyDescent="0.45">
      <c r="B12" s="14" t="s">
        <v>29</v>
      </c>
      <c r="C12" s="36">
        <v>145</v>
      </c>
      <c r="E12" s="12" t="s">
        <v>16</v>
      </c>
      <c r="F12" s="11">
        <f>IF(AND(F3="영웅",F4="무기"),INDEX(재료!A1:L19,F5-6,6),
IF(AND(F3="영웅",F4="방어구"),INDEX(재료!A1:L19,F5-6,11),
IF(AND(F3="전설",F4="무기"),INDEX(재료!A21:L39,F5-6,6),
IF(AND(F3="전설",F4="방어구"),INDEX(재료!A21:L39,F5-6,11),
))))</f>
        <v>30</v>
      </c>
      <c r="H12" s="5" t="str">
        <f>IF(OR(I11=1,I11=""),"",10)</f>
        <v/>
      </c>
      <c r="I12" s="42" t="str">
        <f t="shared" si="7"/>
        <v/>
      </c>
      <c r="J12" s="26" t="str">
        <f t="shared" si="8"/>
        <v/>
      </c>
      <c r="K12" s="26" t="str">
        <f t="shared" si="4"/>
        <v/>
      </c>
      <c r="L12" s="27" t="str">
        <f t="shared" si="5"/>
        <v/>
      </c>
      <c r="M12" s="28" t="str">
        <f t="shared" si="6"/>
        <v/>
      </c>
      <c r="N12" s="23" t="str">
        <f t="shared" si="0"/>
        <v/>
      </c>
      <c r="O12" s="23" t="str">
        <f t="shared" si="1"/>
        <v/>
      </c>
      <c r="P12" s="23" t="str">
        <f t="shared" si="2"/>
        <v/>
      </c>
      <c r="Q12" s="23" t="str">
        <f t="shared" si="3"/>
        <v/>
      </c>
    </row>
    <row r="13" spans="2:17" ht="12" customHeight="1" x14ac:dyDescent="0.45">
      <c r="B13" s="14" t="s">
        <v>28</v>
      </c>
      <c r="C13" s="36">
        <v>82</v>
      </c>
      <c r="E13" s="15" t="s">
        <v>15</v>
      </c>
      <c r="F13" s="16">
        <f>IF(AND(F3="영웅",F4="무기"),INDEX(재료!A1:L19,F5-6,7),
IF(AND(F3="영웅",F4="방어구"),INDEX(재료!A1:L19,F5-6,12),
IF(AND(F3="전설",F4="무기"),INDEX(재료!A21:L39,F5-6,7),
IF(AND(F3="전설",F4="방어구"),INDEX(재료!A21:L39,F5-6,12),
))))</f>
        <v>110</v>
      </c>
      <c r="H13" s="5" t="str">
        <f>IF(OR(I12=1,I12=""),"",11)</f>
        <v/>
      </c>
      <c r="I13" s="42" t="str">
        <f t="shared" si="7"/>
        <v/>
      </c>
      <c r="J13" s="26" t="str">
        <f t="shared" si="8"/>
        <v/>
      </c>
      <c r="K13" s="26" t="str">
        <f t="shared" si="4"/>
        <v/>
      </c>
      <c r="L13" s="27" t="str">
        <f t="shared" si="5"/>
        <v/>
      </c>
      <c r="M13" s="28" t="str">
        <f t="shared" si="6"/>
        <v/>
      </c>
      <c r="N13" s="23" t="str">
        <f t="shared" si="0"/>
        <v/>
      </c>
      <c r="O13" s="23" t="str">
        <f t="shared" si="1"/>
        <v/>
      </c>
      <c r="P13" s="23" t="str">
        <f t="shared" si="2"/>
        <v/>
      </c>
      <c r="Q13" s="23" t="str">
        <f t="shared" si="3"/>
        <v/>
      </c>
    </row>
    <row r="14" spans="2:17" ht="12" customHeight="1" x14ac:dyDescent="0.45">
      <c r="B14" s="14" t="s">
        <v>27</v>
      </c>
      <c r="C14" s="36">
        <v>33</v>
      </c>
      <c r="E14" s="46">
        <f>F9*INDEX($C$3:$C$18,MATCH(E9,$B$3:$B$18,0))*0.1+
F10*INDEX($C$3:$C$18,MATCH(E10,$B$3:$B$18,0))+
F11*INDEX($C$3:$C$18,MATCH(E11,$B$3:$B$18,0))+
F12*INDEX($C$3:$C$18,MATCH(E12,$B$3:$B$18,0))+
F13</f>
        <v>206.9</v>
      </c>
      <c r="F14" s="46"/>
      <c r="H14" s="4" t="str">
        <f>IF(K13="","",IF(K13&lt;1,_xlfn.CEILING.MATH((1-K13)/$J$13,1)+12,12))</f>
        <v/>
      </c>
      <c r="I14" s="25" t="str">
        <f>IF(OR(I13=1,I13=""),"",1)</f>
        <v/>
      </c>
      <c r="J14" s="31"/>
      <c r="K14" s="31"/>
      <c r="L14" s="27" t="str">
        <f>IF(OR(I14=""),"",$E$14*H14)</f>
        <v/>
      </c>
      <c r="M14" s="22"/>
      <c r="Q14" s="22" t="str">
        <f>IF(OR(I14="",I14=1),"",($E$14+$C$14*#REF!)/(I14+$K$22*#REF!))</f>
        <v/>
      </c>
    </row>
    <row r="15" spans="2:17" ht="12" customHeight="1" x14ac:dyDescent="0.45">
      <c r="B15" s="13" t="s">
        <v>23</v>
      </c>
      <c r="C15" s="37">
        <v>280</v>
      </c>
      <c r="H15" s="24" t="s">
        <v>11</v>
      </c>
      <c r="I15" s="24" t="s">
        <v>12</v>
      </c>
      <c r="J15" s="24" t="s">
        <v>13</v>
      </c>
      <c r="K15" s="24"/>
      <c r="L15" s="24"/>
      <c r="M15" s="24"/>
    </row>
    <row r="16" spans="2:17" ht="12" customHeight="1" x14ac:dyDescent="0.45">
      <c r="B16" s="13" t="s">
        <v>24</v>
      </c>
      <c r="C16" s="37">
        <v>90</v>
      </c>
      <c r="E16" s="48" t="s">
        <v>35</v>
      </c>
      <c r="F16" s="48"/>
      <c r="H16" s="4">
        <v>1</v>
      </c>
      <c r="I16" s="29" cm="1">
        <f t="array" ref="I16">IF(MAX($H$3:$H$14)-2&lt;1,"",
IF(MAX($H$3:$H$14)&lt;12,INDEX($K$3:$K$13,MAX($H$3:$H$14)-2),$K$13+$J$13*(MAX($H$3:$H$14)-13)))</f>
        <v>0.97650000000000003</v>
      </c>
      <c r="J16" s="26">
        <f t="shared" ref="J16:J19" si="9">IF(I16="","",(1-I16)/0.465)</f>
        <v>5.0537634408602074E-2</v>
      </c>
      <c r="K16" s="49" t="s">
        <v>38</v>
      </c>
      <c r="L16" s="49"/>
      <c r="M16" s="49"/>
    </row>
    <row r="17" spans="2:14" ht="12" customHeight="1" x14ac:dyDescent="0.45">
      <c r="B17" s="13" t="s">
        <v>25</v>
      </c>
      <c r="C17" s="37">
        <v>330</v>
      </c>
      <c r="E17" s="48" t="s">
        <v>36</v>
      </c>
      <c r="F17" s="48"/>
      <c r="H17" s="4">
        <v>2</v>
      </c>
      <c r="I17" s="29" cm="1">
        <f t="array" ref="I17">IF(MAX($H$3:$H$14)-3&lt;1,"",
IF(MAX($H$3:$H$14)&lt;12,INDEX($K$3:$K$13,MAX($H$3:$H$14)-3),$K$13+$J$13*(MAX($H$3:$H$14)-14)))</f>
        <v>0.77190000000000003</v>
      </c>
      <c r="J17" s="26">
        <f t="shared" si="9"/>
        <v>0.49053763440860204</v>
      </c>
      <c r="K17" s="49" t="s">
        <v>41</v>
      </c>
      <c r="L17" s="49"/>
      <c r="M17" s="49"/>
    </row>
    <row r="18" spans="2:14" ht="12" customHeight="1" thickBot="1" x14ac:dyDescent="0.5">
      <c r="B18" s="13" t="s">
        <v>26</v>
      </c>
      <c r="C18" s="38">
        <v>100</v>
      </c>
      <c r="E18" s="48" t="s">
        <v>37</v>
      </c>
      <c r="F18" s="48"/>
      <c r="H18" s="4">
        <v>3</v>
      </c>
      <c r="I18" s="29" cm="1">
        <f t="array" ref="I18">IF(MAX($H$3:$H$14)-4&lt;1,"",
IF(MAX($H$3:$H$14)&lt;12,INDEX($K$3:$K$13,MAX($H$3:$H$14)-4),$K$13+$J$13*(MAX($H$3:$H$14)-15)))</f>
        <v>0.57195000000000007</v>
      </c>
      <c r="J18" s="26">
        <f t="shared" si="9"/>
        <v>0.92053763440860192</v>
      </c>
      <c r="K18" s="49" t="s">
        <v>39</v>
      </c>
      <c r="L18" s="49"/>
      <c r="M18" s="49"/>
    </row>
    <row r="19" spans="2:14" ht="12" customHeight="1" thickTop="1" x14ac:dyDescent="0.45">
      <c r="B19" s="47" t="s">
        <v>34</v>
      </c>
      <c r="C19" s="47"/>
      <c r="D19" s="47"/>
      <c r="E19" s="47"/>
      <c r="F19" s="47"/>
      <c r="H19" s="4">
        <v>4</v>
      </c>
      <c r="I19" s="29" cm="1">
        <f t="array" ref="I19">IF(MAX($H$3:$H$14)-5&lt;1,"",
IF(MAX($H$3:$H$14)&lt;12,INDEX($K$3:$K$13,MAX($H$3:$H$14)-5),$K$13+$J$13*(MAX($H$3:$H$14)-16)))</f>
        <v>0.37665000000000004</v>
      </c>
      <c r="J19" s="26">
        <f t="shared" si="9"/>
        <v>1.340537634408602</v>
      </c>
    </row>
    <row r="20" spans="2:14" ht="12" customHeight="1" x14ac:dyDescent="0.45">
      <c r="H20" s="17"/>
      <c r="I20" s="24" t="s">
        <v>29</v>
      </c>
      <c r="J20" s="24" t="s">
        <v>28</v>
      </c>
      <c r="K20" s="24" t="s">
        <v>27</v>
      </c>
      <c r="L20" s="43"/>
      <c r="M20" s="43"/>
      <c r="N20" s="3" t="s">
        <v>45</v>
      </c>
    </row>
    <row r="21" spans="2:14" ht="12" customHeight="1" x14ac:dyDescent="0.45">
      <c r="H21" s="24" t="s">
        <v>33</v>
      </c>
      <c r="I21" s="14">
        <f>INDEX(재료!$M$1:$R$19,$F$5-6,1)</f>
        <v>4</v>
      </c>
      <c r="J21" s="14">
        <f>INDEX(재료!$M$1:$R$19,$F$5-6,3)</f>
        <v>12</v>
      </c>
      <c r="K21" s="14">
        <f>INDEX(재료!$M$1:$R$19,$F$5-6,5)</f>
        <v>24</v>
      </c>
    </row>
    <row r="22" spans="2:14" ht="12" customHeight="1" x14ac:dyDescent="0.45">
      <c r="H22" s="24" t="s">
        <v>0</v>
      </c>
      <c r="I22" s="21">
        <f>INDEX(재료!$M$1:$R$19,$F$5-6,2)</f>
        <v>8.3000000000000001E-3</v>
      </c>
      <c r="J22" s="21">
        <f>INDEX(재료!$M$1:$R$19,$F$5-6,4)</f>
        <v>2.8E-3</v>
      </c>
      <c r="K22" s="21">
        <f>INDEX(재료!$M$1:$R$19,$F$5-6,6)</f>
        <v>1.4E-3</v>
      </c>
    </row>
  </sheetData>
  <sheetProtection algorithmName="SHA-512" hashValue="dWZoWqeBHzyot98bRB2P17SDAUbXVTISJTIdtmA7jNi+QXbUGGRDjIwzytXcN3IBBFJZO1oAqYWr7/kodeD33Q==" saltValue="d/ZEUA+m1EmxlUshq4X+1A==" spinCount="100000" sheet="1" objects="1" scenarios="1" selectLockedCells="1"/>
  <mergeCells count="10">
    <mergeCell ref="K18:M18"/>
    <mergeCell ref="K17:M17"/>
    <mergeCell ref="K16:M16"/>
    <mergeCell ref="E5:E6"/>
    <mergeCell ref="E8:F8"/>
    <mergeCell ref="E14:F14"/>
    <mergeCell ref="B19:F19"/>
    <mergeCell ref="E17:F17"/>
    <mergeCell ref="E16:F16"/>
    <mergeCell ref="E18:F18"/>
  </mergeCells>
  <phoneticPr fontId="1" type="noConversion"/>
  <conditionalFormatting sqref="H2:Q14">
    <cfRule type="containsBlanks" dxfId="8" priority="1">
      <formula>LEN(TRIM(H2))=0</formula>
    </cfRule>
  </conditionalFormatting>
  <conditionalFormatting sqref="L3:L14">
    <cfRule type="cellIs" dxfId="7" priority="11" operator="lessThan">
      <formula>$M$3</formula>
    </cfRule>
    <cfRule type="cellIs" dxfId="6" priority="12" operator="greaterThan">
      <formula>$M$3</formula>
    </cfRule>
  </conditionalFormatting>
  <conditionalFormatting sqref="N3:Q13">
    <cfRule type="cellIs" dxfId="5" priority="13" operator="lessThan">
      <formula>$M3</formula>
    </cfRule>
    <cfRule type="cellIs" dxfId="4" priority="14" operator="greaterThan">
      <formula>$M3</formula>
    </cfRule>
  </conditionalFormatting>
  <conditionalFormatting sqref="F3">
    <cfRule type="containsText" dxfId="3" priority="4" operator="containsText" text="영웅">
      <formula>NOT(ISERROR(SEARCH("영웅",F3)))</formula>
    </cfRule>
    <cfRule type="containsText" dxfId="2" priority="10" operator="containsText" text="전설">
      <formula>NOT(ISERROR(SEARCH("전설",F3)))</formula>
    </cfRule>
  </conditionalFormatting>
  <conditionalFormatting sqref="F4">
    <cfRule type="containsText" dxfId="1" priority="2" operator="containsText" text="방어구">
      <formula>NOT(ISERROR(SEARCH("방어구",F4)))</formula>
    </cfRule>
    <cfRule type="containsText" dxfId="0" priority="3" operator="containsText" text="무기">
      <formula>NOT(ISERROR(SEARCH("무기",F4)))</formula>
    </cfRule>
  </conditionalFormatting>
  <dataValidations count="4">
    <dataValidation type="list" allowBlank="1" showInputMessage="1" showErrorMessage="1" sqref="F5" xr:uid="{00000000-0002-0000-0000-000000000000}">
      <formula1>"7,8,9,10,11,12,13,14,15,16,17,18,19,20,21,22,23,24,25"</formula1>
    </dataValidation>
    <dataValidation type="list" allowBlank="1" showInputMessage="1" showErrorMessage="1" sqref="F3" xr:uid="{00000000-0002-0000-0000-000001000000}">
      <formula1>"영웅,전설"</formula1>
    </dataValidation>
    <dataValidation type="list" allowBlank="1" showInputMessage="1" showErrorMessage="1" sqref="F4" xr:uid="{00000000-0002-0000-0000-000002000000}">
      <formula1>"무기,방어구"</formula1>
    </dataValidation>
    <dataValidation type="list" allowBlank="1" showInputMessage="1" showErrorMessage="1" sqref="F2" xr:uid="{00000000-0002-0000-0000-000004000000}">
      <formula1>"O,X"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9"/>
  <sheetViews>
    <sheetView zoomScale="85" zoomScaleNormal="85" workbookViewId="0">
      <selection activeCell="M20" sqref="M20"/>
    </sheetView>
  </sheetViews>
  <sheetFormatPr defaultColWidth="8.58203125" defaultRowHeight="17" x14ac:dyDescent="0.45"/>
  <cols>
    <col min="1" max="12" width="5.58203125" style="1" customWidth="1"/>
    <col min="13" max="13" width="8.58203125" style="20"/>
    <col min="14" max="14" width="8.58203125" style="18"/>
    <col min="15" max="15" width="8.58203125" style="20"/>
    <col min="16" max="16" width="8.58203125" style="18"/>
    <col min="17" max="17" width="8.58203125" style="20"/>
    <col min="18" max="18" width="8.58203125" style="18"/>
    <col min="19" max="16384" width="8.58203125" style="1"/>
  </cols>
  <sheetData>
    <row r="1" spans="1:18" x14ac:dyDescent="0.45">
      <c r="A1" s="1">
        <v>7</v>
      </c>
      <c r="B1" s="2">
        <v>0.6</v>
      </c>
      <c r="C1" s="1">
        <v>129</v>
      </c>
      <c r="D1" s="1">
        <v>4</v>
      </c>
      <c r="E1" s="1">
        <v>2</v>
      </c>
      <c r="F1" s="1">
        <v>30</v>
      </c>
      <c r="G1" s="1">
        <v>200</v>
      </c>
      <c r="H1" s="1">
        <v>78</v>
      </c>
      <c r="I1" s="1">
        <v>2</v>
      </c>
      <c r="J1" s="1">
        <v>1</v>
      </c>
      <c r="K1" s="1">
        <v>21</v>
      </c>
      <c r="L1" s="1">
        <v>110</v>
      </c>
      <c r="M1" s="19">
        <v>2</v>
      </c>
      <c r="N1" s="18">
        <v>0.1</v>
      </c>
      <c r="O1" s="19">
        <v>6</v>
      </c>
      <c r="P1" s="18">
        <v>3.3300000000000003E-2</v>
      </c>
      <c r="Q1" s="20">
        <v>12</v>
      </c>
      <c r="R1" s="18">
        <v>1.67E-2</v>
      </c>
    </row>
    <row r="2" spans="1:18" x14ac:dyDescent="0.45">
      <c r="A2" s="1">
        <v>8</v>
      </c>
      <c r="B2" s="2">
        <v>0.45</v>
      </c>
      <c r="C2" s="1">
        <v>129</v>
      </c>
      <c r="D2" s="1">
        <v>4</v>
      </c>
      <c r="E2" s="1">
        <v>2</v>
      </c>
      <c r="F2" s="1">
        <v>30</v>
      </c>
      <c r="G2" s="1">
        <v>200</v>
      </c>
      <c r="H2" s="1">
        <v>78</v>
      </c>
      <c r="I2" s="1">
        <v>2</v>
      </c>
      <c r="J2" s="1">
        <v>1</v>
      </c>
      <c r="K2" s="1">
        <v>21</v>
      </c>
      <c r="L2" s="1">
        <v>110</v>
      </c>
      <c r="M2" s="19">
        <v>2</v>
      </c>
      <c r="N2" s="18">
        <v>7.4999999999999997E-2</v>
      </c>
      <c r="O2" s="19">
        <v>6</v>
      </c>
      <c r="P2" s="18">
        <v>2.5000000000000001E-2</v>
      </c>
      <c r="Q2" s="20">
        <v>12</v>
      </c>
      <c r="R2" s="18">
        <v>1.2500000000000001E-2</v>
      </c>
    </row>
    <row r="3" spans="1:18" x14ac:dyDescent="0.45">
      <c r="A3" s="1">
        <v>9</v>
      </c>
      <c r="B3" s="2">
        <v>0.3</v>
      </c>
      <c r="C3" s="1">
        <v>129</v>
      </c>
      <c r="D3" s="1">
        <v>4</v>
      </c>
      <c r="E3" s="1">
        <v>2</v>
      </c>
      <c r="F3" s="1">
        <v>30</v>
      </c>
      <c r="G3" s="1">
        <v>200</v>
      </c>
      <c r="H3" s="1">
        <v>78</v>
      </c>
      <c r="I3" s="1">
        <v>2</v>
      </c>
      <c r="J3" s="1">
        <v>1</v>
      </c>
      <c r="K3" s="1">
        <v>21</v>
      </c>
      <c r="L3" s="1">
        <v>110</v>
      </c>
      <c r="M3" s="19">
        <v>2</v>
      </c>
      <c r="N3" s="18">
        <v>0.05</v>
      </c>
      <c r="O3" s="19">
        <v>6</v>
      </c>
      <c r="P3" s="18">
        <v>1.67E-2</v>
      </c>
      <c r="Q3" s="20">
        <v>12</v>
      </c>
      <c r="R3" s="18">
        <v>8.3999999999999995E-3</v>
      </c>
    </row>
    <row r="4" spans="1:18" x14ac:dyDescent="0.45">
      <c r="A4" s="1">
        <v>10</v>
      </c>
      <c r="B4" s="2">
        <v>0.3</v>
      </c>
      <c r="C4" s="1">
        <v>160</v>
      </c>
      <c r="D4" s="1">
        <v>5</v>
      </c>
      <c r="E4" s="1">
        <v>2</v>
      </c>
      <c r="F4" s="1">
        <v>37</v>
      </c>
      <c r="G4" s="1">
        <v>200</v>
      </c>
      <c r="H4" s="1">
        <v>96</v>
      </c>
      <c r="I4" s="1">
        <v>3</v>
      </c>
      <c r="J4" s="1">
        <v>2</v>
      </c>
      <c r="K4" s="1">
        <v>25</v>
      </c>
      <c r="L4" s="1">
        <v>110</v>
      </c>
      <c r="M4" s="19">
        <v>2</v>
      </c>
      <c r="N4" s="18">
        <v>0.05</v>
      </c>
      <c r="O4" s="19">
        <v>6</v>
      </c>
      <c r="P4" s="18">
        <v>1.67E-2</v>
      </c>
      <c r="Q4" s="20">
        <v>12</v>
      </c>
      <c r="R4" s="18">
        <v>8.3999999999999995E-3</v>
      </c>
    </row>
    <row r="5" spans="1:18" x14ac:dyDescent="0.45">
      <c r="A5" s="1">
        <v>11</v>
      </c>
      <c r="B5" s="2">
        <v>0.3</v>
      </c>
      <c r="C5" s="1">
        <v>160</v>
      </c>
      <c r="D5" s="1">
        <v>5</v>
      </c>
      <c r="E5" s="1">
        <v>2</v>
      </c>
      <c r="F5" s="1">
        <v>37</v>
      </c>
      <c r="G5" s="1">
        <v>200</v>
      </c>
      <c r="H5" s="1">
        <v>96</v>
      </c>
      <c r="I5" s="1">
        <v>3</v>
      </c>
      <c r="J5" s="1">
        <v>2</v>
      </c>
      <c r="K5" s="1">
        <v>25</v>
      </c>
      <c r="L5" s="1">
        <v>110</v>
      </c>
      <c r="M5" s="19">
        <v>2</v>
      </c>
      <c r="N5" s="18">
        <v>0.05</v>
      </c>
      <c r="O5" s="19">
        <v>6</v>
      </c>
      <c r="P5" s="18">
        <v>1.67E-2</v>
      </c>
      <c r="Q5" s="20">
        <v>12</v>
      </c>
      <c r="R5" s="18">
        <v>8.3999999999999995E-3</v>
      </c>
    </row>
    <row r="6" spans="1:18" x14ac:dyDescent="0.45">
      <c r="A6" s="1">
        <v>12</v>
      </c>
      <c r="B6" s="2">
        <v>0.15</v>
      </c>
      <c r="C6" s="1">
        <v>160</v>
      </c>
      <c r="D6" s="1">
        <v>5</v>
      </c>
      <c r="E6" s="1">
        <v>2</v>
      </c>
      <c r="F6" s="1">
        <v>37</v>
      </c>
      <c r="G6" s="1">
        <v>200</v>
      </c>
      <c r="H6" s="1">
        <v>96</v>
      </c>
      <c r="I6" s="1">
        <v>3</v>
      </c>
      <c r="J6" s="1">
        <v>2</v>
      </c>
      <c r="K6" s="1">
        <v>25</v>
      </c>
      <c r="L6" s="1">
        <v>110</v>
      </c>
      <c r="M6" s="19">
        <v>4</v>
      </c>
      <c r="N6" s="18">
        <v>1.2500000000000001E-2</v>
      </c>
      <c r="O6" s="19">
        <v>12</v>
      </c>
      <c r="P6" s="18">
        <v>4.1999999999999997E-3</v>
      </c>
      <c r="Q6" s="20">
        <v>24</v>
      </c>
      <c r="R6" s="18">
        <v>2.0999999999999999E-3</v>
      </c>
    </row>
    <row r="7" spans="1:18" x14ac:dyDescent="0.45">
      <c r="A7" s="1">
        <v>13</v>
      </c>
      <c r="B7" s="2">
        <v>0.15</v>
      </c>
      <c r="C7" s="1">
        <v>190</v>
      </c>
      <c r="D7" s="1">
        <v>5</v>
      </c>
      <c r="E7" s="1">
        <v>3</v>
      </c>
      <c r="F7" s="1">
        <v>44</v>
      </c>
      <c r="G7" s="1">
        <v>200</v>
      </c>
      <c r="H7" s="1">
        <v>114</v>
      </c>
      <c r="I7" s="1">
        <v>3</v>
      </c>
      <c r="J7" s="1">
        <v>2</v>
      </c>
      <c r="K7" s="1">
        <v>30</v>
      </c>
      <c r="L7" s="1">
        <v>110</v>
      </c>
      <c r="M7" s="19">
        <v>4</v>
      </c>
      <c r="N7" s="18">
        <v>1.2500000000000001E-2</v>
      </c>
      <c r="O7" s="19">
        <v>12</v>
      </c>
      <c r="P7" s="18">
        <v>4.1999999999999997E-3</v>
      </c>
      <c r="Q7" s="20">
        <v>24</v>
      </c>
      <c r="R7" s="18">
        <v>2.0999999999999999E-3</v>
      </c>
    </row>
    <row r="8" spans="1:18" x14ac:dyDescent="0.45">
      <c r="A8" s="1">
        <v>14</v>
      </c>
      <c r="B8" s="2">
        <v>0.15</v>
      </c>
      <c r="C8" s="1">
        <v>190</v>
      </c>
      <c r="D8" s="1">
        <v>6</v>
      </c>
      <c r="E8" s="1">
        <v>3</v>
      </c>
      <c r="F8" s="1">
        <v>44</v>
      </c>
      <c r="G8" s="1">
        <v>200</v>
      </c>
      <c r="H8" s="1">
        <v>114</v>
      </c>
      <c r="I8" s="1">
        <v>4</v>
      </c>
      <c r="J8" s="1">
        <v>2</v>
      </c>
      <c r="K8" s="1">
        <v>30</v>
      </c>
      <c r="L8" s="1">
        <v>110</v>
      </c>
      <c r="M8" s="19">
        <v>4</v>
      </c>
      <c r="N8" s="18">
        <v>1.2500000000000001E-2</v>
      </c>
      <c r="O8" s="19">
        <v>12</v>
      </c>
      <c r="P8" s="18">
        <v>4.1999999999999997E-3</v>
      </c>
      <c r="Q8" s="20">
        <v>24</v>
      </c>
      <c r="R8" s="18">
        <v>2.0999999999999999E-3</v>
      </c>
    </row>
    <row r="9" spans="1:18" x14ac:dyDescent="0.45">
      <c r="A9" s="1">
        <v>15</v>
      </c>
      <c r="B9" s="2">
        <v>0.1</v>
      </c>
      <c r="C9" s="1">
        <v>190</v>
      </c>
      <c r="D9" s="1">
        <v>6</v>
      </c>
      <c r="E9" s="1">
        <v>3</v>
      </c>
      <c r="F9" s="1">
        <v>44</v>
      </c>
      <c r="G9" s="1">
        <v>200</v>
      </c>
      <c r="H9" s="1">
        <v>114</v>
      </c>
      <c r="I9" s="1">
        <v>4</v>
      </c>
      <c r="J9" s="1">
        <v>2</v>
      </c>
      <c r="K9" s="1">
        <v>30</v>
      </c>
      <c r="L9" s="1">
        <v>110</v>
      </c>
      <c r="M9" s="19">
        <v>4</v>
      </c>
      <c r="N9" s="18">
        <v>8.3000000000000001E-3</v>
      </c>
      <c r="O9" s="19">
        <v>12</v>
      </c>
      <c r="P9" s="18">
        <v>2.8E-3</v>
      </c>
      <c r="Q9" s="20">
        <v>24</v>
      </c>
      <c r="R9" s="18">
        <v>1.4E-3</v>
      </c>
    </row>
    <row r="10" spans="1:18" x14ac:dyDescent="0.45">
      <c r="A10" s="1">
        <v>16</v>
      </c>
      <c r="B10" s="2">
        <v>0.1</v>
      </c>
      <c r="C10" s="1">
        <v>440</v>
      </c>
      <c r="D10" s="1">
        <v>12</v>
      </c>
      <c r="E10" s="1">
        <v>6</v>
      </c>
      <c r="F10" s="1">
        <v>120</v>
      </c>
      <c r="G10" s="1">
        <v>400</v>
      </c>
      <c r="H10" s="1">
        <v>264</v>
      </c>
      <c r="I10" s="1">
        <v>8</v>
      </c>
      <c r="J10" s="1">
        <v>4</v>
      </c>
      <c r="K10" s="1">
        <v>82</v>
      </c>
      <c r="L10" s="1">
        <v>230</v>
      </c>
      <c r="M10" s="19">
        <v>4</v>
      </c>
      <c r="N10" s="18">
        <v>8.3000000000000001E-3</v>
      </c>
      <c r="O10" s="19">
        <v>12</v>
      </c>
      <c r="P10" s="18">
        <v>2.8E-3</v>
      </c>
      <c r="Q10" s="20">
        <v>24</v>
      </c>
      <c r="R10" s="18">
        <v>1.4E-3</v>
      </c>
    </row>
    <row r="11" spans="1:18" x14ac:dyDescent="0.45">
      <c r="A11" s="1">
        <v>17</v>
      </c>
      <c r="B11" s="2">
        <v>0.1</v>
      </c>
      <c r="C11" s="1">
        <v>440</v>
      </c>
      <c r="D11" s="1">
        <v>12</v>
      </c>
      <c r="E11" s="1">
        <v>6</v>
      </c>
      <c r="F11" s="1">
        <v>164</v>
      </c>
      <c r="G11" s="1">
        <v>400</v>
      </c>
      <c r="H11" s="1">
        <v>264</v>
      </c>
      <c r="I11" s="1">
        <v>8</v>
      </c>
      <c r="J11" s="1">
        <v>4</v>
      </c>
      <c r="K11" s="1">
        <v>112</v>
      </c>
      <c r="L11" s="1">
        <v>240</v>
      </c>
      <c r="M11" s="19">
        <v>4</v>
      </c>
      <c r="N11" s="18">
        <v>8.3000000000000001E-3</v>
      </c>
      <c r="O11" s="19">
        <v>12</v>
      </c>
      <c r="P11" s="18">
        <v>2.8E-3</v>
      </c>
      <c r="Q11" s="20">
        <v>24</v>
      </c>
      <c r="R11" s="18">
        <v>1.4E-3</v>
      </c>
    </row>
    <row r="12" spans="1:18" x14ac:dyDescent="0.45">
      <c r="A12" s="1">
        <v>18</v>
      </c>
      <c r="B12" s="2">
        <v>0.05</v>
      </c>
      <c r="C12" s="1">
        <v>440</v>
      </c>
      <c r="D12" s="1">
        <v>14</v>
      </c>
      <c r="E12" s="1">
        <v>6</v>
      </c>
      <c r="F12" s="1">
        <v>222</v>
      </c>
      <c r="G12" s="1">
        <v>400</v>
      </c>
      <c r="H12" s="1">
        <v>264</v>
      </c>
      <c r="I12" s="1">
        <v>8</v>
      </c>
      <c r="J12" s="1">
        <v>4</v>
      </c>
      <c r="K12" s="1">
        <v>152</v>
      </c>
      <c r="L12" s="1">
        <v>240</v>
      </c>
      <c r="M12" s="19">
        <v>6</v>
      </c>
      <c r="N12" s="18">
        <v>2.8E-3</v>
      </c>
      <c r="O12" s="19">
        <v>18</v>
      </c>
      <c r="P12" s="18">
        <v>8.9999999999999998E-4</v>
      </c>
      <c r="Q12" s="20">
        <v>36</v>
      </c>
      <c r="R12" s="18">
        <v>5.0000000000000001E-4</v>
      </c>
    </row>
    <row r="13" spans="1:18" x14ac:dyDescent="0.45">
      <c r="A13" s="1">
        <v>19</v>
      </c>
      <c r="B13" s="2">
        <v>0.05</v>
      </c>
      <c r="C13" s="1">
        <v>500</v>
      </c>
      <c r="D13" s="1">
        <v>14</v>
      </c>
      <c r="E13" s="1">
        <v>8</v>
      </c>
      <c r="F13" s="1">
        <v>300</v>
      </c>
      <c r="G13" s="1">
        <v>400</v>
      </c>
      <c r="H13" s="1">
        <v>300</v>
      </c>
      <c r="I13" s="1">
        <v>8</v>
      </c>
      <c r="J13" s="1">
        <v>6</v>
      </c>
      <c r="K13" s="1">
        <v>206</v>
      </c>
      <c r="L13" s="1">
        <v>240</v>
      </c>
      <c r="M13" s="19">
        <v>6</v>
      </c>
      <c r="N13" s="18">
        <v>2.8E-3</v>
      </c>
      <c r="O13" s="19">
        <v>18</v>
      </c>
      <c r="P13" s="18">
        <v>8.9999999999999998E-4</v>
      </c>
      <c r="Q13" s="20">
        <v>36</v>
      </c>
      <c r="R13" s="18">
        <v>5.0000000000000001E-4</v>
      </c>
    </row>
    <row r="14" spans="1:18" x14ac:dyDescent="0.45">
      <c r="A14" s="1">
        <v>20</v>
      </c>
      <c r="B14" s="2">
        <v>0.03</v>
      </c>
      <c r="C14" s="1">
        <v>500</v>
      </c>
      <c r="D14" s="1">
        <v>16</v>
      </c>
      <c r="E14" s="1">
        <v>8</v>
      </c>
      <c r="F14" s="1">
        <v>406</v>
      </c>
      <c r="G14" s="1">
        <v>400</v>
      </c>
      <c r="H14" s="1">
        <v>300</v>
      </c>
      <c r="I14" s="1">
        <v>10</v>
      </c>
      <c r="J14" s="1">
        <v>6</v>
      </c>
      <c r="K14" s="1">
        <v>278</v>
      </c>
      <c r="L14" s="1">
        <v>240</v>
      </c>
      <c r="M14" s="19">
        <v>6</v>
      </c>
      <c r="N14" s="18">
        <v>1.6999999999999999E-3</v>
      </c>
      <c r="O14" s="19">
        <v>18</v>
      </c>
      <c r="P14" s="18">
        <v>5.9999999999999995E-4</v>
      </c>
      <c r="Q14" s="20">
        <v>36</v>
      </c>
      <c r="R14" s="18">
        <v>2.9999999999999997E-4</v>
      </c>
    </row>
    <row r="15" spans="1:18" x14ac:dyDescent="0.45">
      <c r="A15" s="1">
        <v>21</v>
      </c>
      <c r="B15" s="2">
        <v>0.03</v>
      </c>
      <c r="C15" s="1">
        <v>500</v>
      </c>
      <c r="D15" s="1">
        <v>16</v>
      </c>
      <c r="E15" s="1">
        <v>8</v>
      </c>
      <c r="F15" s="1">
        <v>552</v>
      </c>
      <c r="G15" s="1">
        <v>420</v>
      </c>
      <c r="H15" s="1">
        <v>300</v>
      </c>
      <c r="I15" s="1">
        <v>10</v>
      </c>
      <c r="J15" s="1">
        <v>6</v>
      </c>
      <c r="K15" s="1">
        <v>378</v>
      </c>
      <c r="L15" s="1">
        <v>240</v>
      </c>
      <c r="M15" s="19">
        <v>6</v>
      </c>
      <c r="N15" s="18">
        <v>1.6999999999999999E-3</v>
      </c>
      <c r="O15" s="19">
        <v>18</v>
      </c>
      <c r="P15" s="18">
        <v>5.9999999999999995E-4</v>
      </c>
      <c r="Q15" s="20">
        <v>36</v>
      </c>
      <c r="R15" s="18">
        <v>2.9999999999999997E-4</v>
      </c>
    </row>
    <row r="16" spans="1:18" x14ac:dyDescent="0.45">
      <c r="A16" s="1">
        <v>22</v>
      </c>
      <c r="B16" s="2">
        <v>0.01</v>
      </c>
      <c r="C16" s="1">
        <v>560</v>
      </c>
      <c r="D16" s="1">
        <v>18</v>
      </c>
      <c r="E16" s="1">
        <v>8</v>
      </c>
      <c r="F16" s="1">
        <v>750</v>
      </c>
      <c r="G16" s="1">
        <v>430</v>
      </c>
      <c r="H16" s="1">
        <v>336</v>
      </c>
      <c r="I16" s="1">
        <v>10</v>
      </c>
      <c r="J16" s="1">
        <v>6</v>
      </c>
      <c r="K16" s="1">
        <v>514</v>
      </c>
      <c r="L16" s="1">
        <v>240</v>
      </c>
      <c r="M16" s="19">
        <v>8</v>
      </c>
      <c r="N16" s="18">
        <v>4.0000000000000002E-4</v>
      </c>
      <c r="O16" s="19">
        <v>24</v>
      </c>
      <c r="P16" s="18">
        <v>2.0000000000000001E-4</v>
      </c>
      <c r="Q16" s="20">
        <v>48</v>
      </c>
      <c r="R16" s="18">
        <v>1E-4</v>
      </c>
    </row>
    <row r="17" spans="1:18" x14ac:dyDescent="0.45">
      <c r="A17" s="1">
        <v>23</v>
      </c>
      <c r="B17" s="2">
        <v>0.01</v>
      </c>
      <c r="C17" s="1">
        <v>560</v>
      </c>
      <c r="D17" s="1">
        <v>18</v>
      </c>
      <c r="E17" s="1">
        <v>8</v>
      </c>
      <c r="F17" s="1">
        <v>1016</v>
      </c>
      <c r="G17" s="1">
        <v>450</v>
      </c>
      <c r="H17" s="1">
        <v>336</v>
      </c>
      <c r="I17" s="1">
        <v>10</v>
      </c>
      <c r="J17" s="1">
        <v>6</v>
      </c>
      <c r="K17" s="1">
        <v>698</v>
      </c>
      <c r="L17" s="1">
        <v>240</v>
      </c>
      <c r="M17" s="19">
        <v>8</v>
      </c>
      <c r="N17" s="18">
        <v>4.0000000000000002E-4</v>
      </c>
      <c r="O17" s="19">
        <v>24</v>
      </c>
      <c r="P17" s="18">
        <v>2.0000000000000001E-4</v>
      </c>
      <c r="Q17" s="20">
        <v>48</v>
      </c>
      <c r="R17" s="18">
        <v>1E-4</v>
      </c>
    </row>
    <row r="18" spans="1:18" x14ac:dyDescent="0.45">
      <c r="A18" s="1">
        <v>24</v>
      </c>
      <c r="B18" s="2">
        <v>5.0000000000000001E-3</v>
      </c>
      <c r="C18" s="1">
        <v>560</v>
      </c>
      <c r="D18" s="1">
        <v>18</v>
      </c>
      <c r="E18" s="1">
        <v>8</v>
      </c>
      <c r="F18" s="1">
        <v>1380</v>
      </c>
      <c r="G18" s="1">
        <v>460</v>
      </c>
      <c r="H18" s="1">
        <v>336</v>
      </c>
      <c r="I18" s="1">
        <v>12</v>
      </c>
      <c r="J18" s="1">
        <v>6</v>
      </c>
      <c r="K18" s="1">
        <v>948</v>
      </c>
      <c r="L18" s="1">
        <v>240</v>
      </c>
      <c r="M18" s="19">
        <v>8</v>
      </c>
      <c r="N18" s="18">
        <v>4.0000000000000002E-4</v>
      </c>
      <c r="O18" s="19">
        <v>24</v>
      </c>
      <c r="P18" s="18">
        <v>2.0000000000000001E-4</v>
      </c>
      <c r="Q18" s="20">
        <v>48</v>
      </c>
      <c r="R18" s="18">
        <v>1E-4</v>
      </c>
    </row>
    <row r="19" spans="1:18" x14ac:dyDescent="0.45">
      <c r="A19" s="1">
        <v>25</v>
      </c>
      <c r="B19" s="2">
        <v>5.0000000000000001E-3</v>
      </c>
      <c r="C19" s="1">
        <v>622</v>
      </c>
      <c r="D19" s="1">
        <v>20</v>
      </c>
      <c r="E19" s="1">
        <v>8</v>
      </c>
      <c r="F19" s="1">
        <v>1872</v>
      </c>
      <c r="G19" s="1">
        <v>490</v>
      </c>
      <c r="H19" s="1">
        <v>372</v>
      </c>
      <c r="I19" s="1">
        <v>12</v>
      </c>
      <c r="J19" s="1">
        <v>6</v>
      </c>
      <c r="K19" s="1">
        <v>1288</v>
      </c>
      <c r="L19" s="1">
        <v>240</v>
      </c>
      <c r="M19" s="19">
        <v>8</v>
      </c>
      <c r="N19" s="18">
        <v>4.0000000000000002E-4</v>
      </c>
      <c r="O19" s="19">
        <v>24</v>
      </c>
      <c r="P19" s="18">
        <v>2.0000000000000001E-4</v>
      </c>
      <c r="Q19" s="20">
        <v>48</v>
      </c>
      <c r="R19" s="18">
        <v>1E-4</v>
      </c>
    </row>
    <row r="21" spans="1:18" x14ac:dyDescent="0.45">
      <c r="A21" s="1">
        <v>7</v>
      </c>
      <c r="B21" s="2">
        <v>0.6</v>
      </c>
      <c r="C21" s="1">
        <v>336</v>
      </c>
      <c r="D21" s="1">
        <v>6</v>
      </c>
      <c r="E21" s="1">
        <v>3</v>
      </c>
      <c r="F21" s="1">
        <v>78</v>
      </c>
      <c r="G21" s="1">
        <v>320</v>
      </c>
      <c r="H21" s="1">
        <v>202</v>
      </c>
      <c r="I21" s="1">
        <v>4</v>
      </c>
      <c r="J21" s="1">
        <v>3</v>
      </c>
      <c r="K21" s="1">
        <v>54</v>
      </c>
      <c r="L21" s="1">
        <v>165</v>
      </c>
    </row>
    <row r="22" spans="1:18" x14ac:dyDescent="0.45">
      <c r="A22" s="1">
        <v>8</v>
      </c>
      <c r="B22" s="2">
        <v>0.45</v>
      </c>
      <c r="C22" s="1">
        <v>336</v>
      </c>
      <c r="D22" s="1">
        <v>7</v>
      </c>
      <c r="E22" s="1">
        <v>3</v>
      </c>
      <c r="F22" s="1">
        <v>78</v>
      </c>
      <c r="G22" s="1">
        <v>320</v>
      </c>
      <c r="H22" s="1">
        <v>202</v>
      </c>
      <c r="I22" s="1">
        <v>5</v>
      </c>
      <c r="J22" s="1">
        <v>3</v>
      </c>
      <c r="K22" s="1">
        <v>54</v>
      </c>
      <c r="L22" s="1">
        <v>165</v>
      </c>
    </row>
    <row r="23" spans="1:18" x14ac:dyDescent="0.45">
      <c r="A23" s="1">
        <v>9</v>
      </c>
      <c r="B23" s="2">
        <v>0.3</v>
      </c>
      <c r="C23" s="1">
        <v>336</v>
      </c>
      <c r="D23" s="1">
        <v>7</v>
      </c>
      <c r="E23" s="1">
        <v>4</v>
      </c>
      <c r="F23" s="1">
        <v>78</v>
      </c>
      <c r="G23" s="1">
        <v>320</v>
      </c>
      <c r="H23" s="1">
        <v>202</v>
      </c>
      <c r="I23" s="1">
        <v>5</v>
      </c>
      <c r="J23" s="1">
        <v>3</v>
      </c>
      <c r="K23" s="1">
        <v>54</v>
      </c>
      <c r="L23" s="1">
        <v>165</v>
      </c>
    </row>
    <row r="24" spans="1:18" x14ac:dyDescent="0.45">
      <c r="A24" s="1">
        <v>10</v>
      </c>
      <c r="B24" s="2">
        <v>0.3</v>
      </c>
      <c r="C24" s="1">
        <v>415</v>
      </c>
      <c r="D24" s="1">
        <v>8</v>
      </c>
      <c r="E24" s="1">
        <v>4</v>
      </c>
      <c r="F24" s="1">
        <v>96</v>
      </c>
      <c r="G24" s="1">
        <v>320</v>
      </c>
      <c r="H24" s="1">
        <v>202</v>
      </c>
      <c r="I24" s="1">
        <v>5</v>
      </c>
      <c r="J24" s="1">
        <v>3</v>
      </c>
      <c r="K24" s="1">
        <v>54</v>
      </c>
      <c r="L24" s="1">
        <v>165</v>
      </c>
    </row>
    <row r="25" spans="1:18" x14ac:dyDescent="0.45">
      <c r="A25" s="1">
        <v>11</v>
      </c>
      <c r="B25" s="2">
        <v>0.3</v>
      </c>
      <c r="C25" s="1">
        <v>415</v>
      </c>
      <c r="D25" s="1">
        <v>8</v>
      </c>
      <c r="E25" s="1">
        <v>4</v>
      </c>
      <c r="F25" s="1">
        <v>96</v>
      </c>
      <c r="G25" s="1">
        <v>330</v>
      </c>
      <c r="H25" s="1">
        <v>202</v>
      </c>
      <c r="I25" s="1">
        <v>5</v>
      </c>
      <c r="J25" s="1">
        <v>3</v>
      </c>
      <c r="K25" s="1">
        <v>54</v>
      </c>
      <c r="L25" s="1">
        <v>165</v>
      </c>
    </row>
    <row r="26" spans="1:18" x14ac:dyDescent="0.45">
      <c r="A26" s="1">
        <v>12</v>
      </c>
      <c r="B26" s="2">
        <v>0.15</v>
      </c>
      <c r="C26" s="1">
        <v>415</v>
      </c>
      <c r="D26" s="1">
        <v>9</v>
      </c>
      <c r="E26" s="1">
        <v>4</v>
      </c>
      <c r="F26" s="1">
        <v>96</v>
      </c>
      <c r="G26" s="1">
        <v>330</v>
      </c>
      <c r="H26" s="1">
        <v>496</v>
      </c>
      <c r="I26" s="1">
        <v>6</v>
      </c>
      <c r="J26" s="1">
        <v>4</v>
      </c>
      <c r="K26" s="1">
        <v>79</v>
      </c>
      <c r="L26" s="1">
        <v>165</v>
      </c>
    </row>
    <row r="27" spans="1:18" x14ac:dyDescent="0.45">
      <c r="A27" s="1">
        <v>13</v>
      </c>
      <c r="B27" s="2">
        <v>0.15</v>
      </c>
      <c r="C27" s="1">
        <v>493</v>
      </c>
      <c r="D27" s="1">
        <v>9</v>
      </c>
      <c r="E27" s="1">
        <v>5</v>
      </c>
      <c r="F27" s="1">
        <v>114</v>
      </c>
      <c r="G27" s="1">
        <v>330</v>
      </c>
      <c r="H27" s="1">
        <v>496</v>
      </c>
      <c r="I27" s="1">
        <v>6</v>
      </c>
      <c r="J27" s="1">
        <v>4</v>
      </c>
      <c r="K27" s="1">
        <v>79</v>
      </c>
      <c r="L27" s="1">
        <v>165</v>
      </c>
    </row>
    <row r="28" spans="1:18" x14ac:dyDescent="0.45">
      <c r="A28" s="1">
        <v>14</v>
      </c>
      <c r="B28" s="2">
        <v>0.15</v>
      </c>
      <c r="C28" s="1">
        <v>493</v>
      </c>
      <c r="D28" s="1">
        <v>10</v>
      </c>
      <c r="E28" s="1">
        <v>5</v>
      </c>
      <c r="F28" s="1">
        <v>114</v>
      </c>
      <c r="G28" s="1">
        <v>330</v>
      </c>
      <c r="H28" s="1">
        <v>496</v>
      </c>
      <c r="I28" s="1">
        <v>6</v>
      </c>
      <c r="J28" s="1">
        <v>4</v>
      </c>
      <c r="K28" s="1">
        <v>79</v>
      </c>
      <c r="L28" s="1">
        <v>175</v>
      </c>
    </row>
    <row r="29" spans="1:18" x14ac:dyDescent="0.45">
      <c r="A29" s="1">
        <v>15</v>
      </c>
      <c r="B29" s="2">
        <v>0.1</v>
      </c>
      <c r="C29" s="1">
        <v>493</v>
      </c>
      <c r="D29" s="1">
        <v>10</v>
      </c>
      <c r="E29" s="1">
        <v>5</v>
      </c>
      <c r="F29" s="1">
        <v>114</v>
      </c>
      <c r="G29" s="1">
        <v>330</v>
      </c>
      <c r="H29" s="1">
        <v>496</v>
      </c>
      <c r="I29" s="1">
        <v>6</v>
      </c>
      <c r="J29" s="1">
        <v>4</v>
      </c>
      <c r="K29" s="1">
        <v>79</v>
      </c>
      <c r="L29" s="1">
        <v>175</v>
      </c>
    </row>
    <row r="30" spans="1:18" x14ac:dyDescent="0.45">
      <c r="A30" s="1">
        <v>16</v>
      </c>
      <c r="B30" s="2">
        <v>0.1</v>
      </c>
      <c r="C30" s="1">
        <v>1140</v>
      </c>
      <c r="D30" s="1">
        <v>24</v>
      </c>
      <c r="E30" s="1">
        <v>14</v>
      </c>
      <c r="F30" s="1">
        <v>442</v>
      </c>
      <c r="G30" s="1">
        <v>680</v>
      </c>
      <c r="H30" s="1">
        <v>686</v>
      </c>
      <c r="I30" s="1">
        <v>16</v>
      </c>
      <c r="J30" s="1">
        <v>10</v>
      </c>
      <c r="K30" s="1">
        <v>292</v>
      </c>
      <c r="L30" s="1">
        <v>350</v>
      </c>
    </row>
    <row r="31" spans="1:18" x14ac:dyDescent="0.45">
      <c r="A31" s="1">
        <v>17</v>
      </c>
      <c r="B31" s="2">
        <v>0.1</v>
      </c>
      <c r="C31" s="1">
        <v>1140</v>
      </c>
      <c r="D31" s="1">
        <v>28</v>
      </c>
      <c r="E31" s="1">
        <v>16</v>
      </c>
      <c r="F31" s="1">
        <v>572</v>
      </c>
      <c r="G31" s="1">
        <v>680</v>
      </c>
      <c r="H31" s="1">
        <v>686</v>
      </c>
      <c r="I31" s="1">
        <v>16</v>
      </c>
      <c r="J31" s="1">
        <v>10</v>
      </c>
      <c r="K31" s="1">
        <v>292</v>
      </c>
      <c r="L31" s="1">
        <v>350</v>
      </c>
    </row>
    <row r="32" spans="1:18" x14ac:dyDescent="0.45">
      <c r="A32" s="1">
        <v>18</v>
      </c>
      <c r="B32" s="2">
        <v>0.05</v>
      </c>
      <c r="C32" s="1">
        <v>1300</v>
      </c>
      <c r="D32" s="1">
        <v>30</v>
      </c>
      <c r="E32" s="1">
        <v>18</v>
      </c>
      <c r="F32" s="1">
        <v>776</v>
      </c>
      <c r="G32" s="1">
        <v>710</v>
      </c>
      <c r="H32" s="1">
        <v>686</v>
      </c>
      <c r="I32" s="1">
        <v>16</v>
      </c>
      <c r="J32" s="1">
        <v>12</v>
      </c>
      <c r="K32" s="1">
        <v>396</v>
      </c>
      <c r="L32" s="1">
        <v>350</v>
      </c>
    </row>
    <row r="33" spans="1:12" x14ac:dyDescent="0.45">
      <c r="A33" s="1">
        <v>19</v>
      </c>
      <c r="B33" s="2">
        <v>0.05</v>
      </c>
      <c r="C33" s="1">
        <v>1300</v>
      </c>
      <c r="D33" s="1">
        <v>32</v>
      </c>
      <c r="E33" s="1">
        <v>20</v>
      </c>
      <c r="F33" s="1">
        <v>1054</v>
      </c>
      <c r="G33" s="1">
        <v>730</v>
      </c>
      <c r="H33" s="1">
        <v>780</v>
      </c>
      <c r="I33" s="1">
        <v>18</v>
      </c>
      <c r="J33" s="1">
        <v>14</v>
      </c>
      <c r="K33" s="1">
        <v>536</v>
      </c>
      <c r="L33" s="1">
        <v>350</v>
      </c>
    </row>
    <row r="34" spans="1:12" x14ac:dyDescent="0.45">
      <c r="A34" s="1">
        <v>20</v>
      </c>
      <c r="B34" s="2">
        <v>0.03</v>
      </c>
      <c r="C34" s="1">
        <v>1300</v>
      </c>
      <c r="D34" s="1">
        <v>34</v>
      </c>
      <c r="E34" s="1">
        <v>22</v>
      </c>
      <c r="F34" s="1">
        <v>1432</v>
      </c>
      <c r="G34" s="1">
        <v>750</v>
      </c>
      <c r="H34" s="1">
        <v>780</v>
      </c>
      <c r="I34" s="1">
        <v>20</v>
      </c>
      <c r="J34" s="1">
        <v>14</v>
      </c>
      <c r="K34" s="1">
        <v>728</v>
      </c>
      <c r="L34" s="1">
        <v>350</v>
      </c>
    </row>
    <row r="35" spans="1:12" x14ac:dyDescent="0.45">
      <c r="A35" s="1">
        <v>21</v>
      </c>
      <c r="B35" s="2">
        <v>0.03</v>
      </c>
      <c r="C35" s="1">
        <v>1300</v>
      </c>
      <c r="D35" s="1">
        <v>34</v>
      </c>
      <c r="E35" s="1">
        <v>22</v>
      </c>
      <c r="F35" s="1">
        <v>1432</v>
      </c>
      <c r="G35" s="1">
        <v>750</v>
      </c>
      <c r="H35" s="1">
        <v>780</v>
      </c>
      <c r="I35" s="1">
        <v>22</v>
      </c>
      <c r="J35" s="1">
        <v>16</v>
      </c>
      <c r="K35" s="1">
        <v>988</v>
      </c>
      <c r="L35" s="1">
        <v>360</v>
      </c>
    </row>
    <row r="36" spans="1:12" x14ac:dyDescent="0.45">
      <c r="A36" s="1">
        <v>22</v>
      </c>
      <c r="B36" s="2">
        <v>0.01</v>
      </c>
      <c r="C36" s="1">
        <v>1450</v>
      </c>
      <c r="D36" s="1">
        <v>38</v>
      </c>
      <c r="E36" s="1">
        <v>26</v>
      </c>
      <c r="F36" s="1">
        <v>1944</v>
      </c>
      <c r="G36" s="1">
        <v>780</v>
      </c>
      <c r="H36" s="1">
        <v>874</v>
      </c>
      <c r="I36" s="1">
        <v>24</v>
      </c>
      <c r="J36" s="1">
        <v>18</v>
      </c>
      <c r="K36" s="1">
        <v>1340</v>
      </c>
      <c r="L36" s="1">
        <v>380</v>
      </c>
    </row>
    <row r="37" spans="1:12" x14ac:dyDescent="0.45">
      <c r="A37" s="1">
        <v>23</v>
      </c>
      <c r="B37" s="2">
        <v>0.01</v>
      </c>
      <c r="C37" s="1">
        <v>1450</v>
      </c>
      <c r="D37" s="1">
        <v>42</v>
      </c>
      <c r="E37" s="1">
        <v>28</v>
      </c>
      <c r="F37" s="1">
        <v>2640</v>
      </c>
      <c r="G37" s="1">
        <v>810</v>
      </c>
      <c r="H37" s="1">
        <v>874</v>
      </c>
      <c r="I37" s="1">
        <v>26</v>
      </c>
      <c r="J37" s="1">
        <v>20</v>
      </c>
      <c r="K37" s="1">
        <v>1818</v>
      </c>
      <c r="L37" s="1">
        <v>390</v>
      </c>
    </row>
    <row r="38" spans="1:12" x14ac:dyDescent="0.45">
      <c r="A38" s="1">
        <v>24</v>
      </c>
      <c r="B38" s="2">
        <v>5.0000000000000001E-3</v>
      </c>
      <c r="C38" s="1">
        <v>1450</v>
      </c>
      <c r="D38" s="1">
        <v>44</v>
      </c>
      <c r="E38" s="1">
        <v>32</v>
      </c>
      <c r="F38" s="1">
        <v>3586</v>
      </c>
      <c r="G38" s="1">
        <v>840</v>
      </c>
      <c r="H38" s="1">
        <v>874</v>
      </c>
      <c r="I38" s="1">
        <v>28</v>
      </c>
      <c r="J38" s="1">
        <v>22</v>
      </c>
      <c r="K38" s="1">
        <v>2466</v>
      </c>
      <c r="L38" s="1">
        <v>400</v>
      </c>
    </row>
    <row r="39" spans="1:12" x14ac:dyDescent="0.45">
      <c r="A39" s="1">
        <v>25</v>
      </c>
      <c r="B39" s="2">
        <v>5.0000000000000001E-3</v>
      </c>
      <c r="C39" s="1">
        <v>1610</v>
      </c>
      <c r="D39" s="1">
        <v>48</v>
      </c>
      <c r="E39" s="1">
        <v>36</v>
      </c>
      <c r="F39" s="1">
        <v>4868</v>
      </c>
      <c r="G39" s="1">
        <v>870</v>
      </c>
      <c r="H39" s="1">
        <v>968</v>
      </c>
      <c r="I39" s="1">
        <v>30</v>
      </c>
      <c r="J39" s="1">
        <v>24</v>
      </c>
      <c r="K39" s="1">
        <v>3346</v>
      </c>
      <c r="L39" s="1">
        <v>420</v>
      </c>
    </row>
  </sheetData>
  <sheetProtection algorithmName="SHA-512" hashValue="UlSHHb2TbYXBHZdAt3jn5kSJSG4iCnHp5vGT1S3wF9cGQg+PwymXtS6v7tgLwK+y6fw9+IMwGYwr3aAFIVkjJw==" saltValue="/pCz6v6D0GJFquyp74/ISw==" spinCount="100000" sheet="1" objects="1" scenarios="1" selectLockedCells="1" selectUnlockedCell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재련</vt:lpstr>
      <vt:lpstr>재료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 JAECHEON</dc:creator>
  <cp:lastModifiedBy>SHIN JAECHEON</cp:lastModifiedBy>
  <dcterms:created xsi:type="dcterms:W3CDTF">2021-05-17T13:26:52Z</dcterms:created>
  <dcterms:modified xsi:type="dcterms:W3CDTF">2021-07-09T23:05:42Z</dcterms:modified>
</cp:coreProperties>
</file>