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이현규\Desktop\"/>
    </mc:Choice>
  </mc:AlternateContent>
  <xr:revisionPtr revIDLastSave="0" documentId="13_ncr:20001_{B177E305-47E7-4986-AA25-619998E092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듀블" sheetId="1" r:id="rId1"/>
    <sheet name="나로" sheetId="2" r:id="rId2"/>
    <sheet name="팬텀" sheetId="3" r:id="rId3"/>
    <sheet name="섀도어" sheetId="4" r:id="rId4"/>
    <sheet name="불독" sheetId="5" r:id="rId5"/>
  </sheets>
  <definedNames>
    <definedName name="이름이지정된범위1" localSheetId="0">듀블!$C$27</definedName>
    <definedName name="이름이지정된범위1" localSheetId="4">불독!$C$27</definedName>
    <definedName name="이름이지정된범위1" localSheetId="2">팬텀!$C$27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C35" i="5"/>
  <c r="F26" i="5"/>
  <c r="F25" i="5"/>
  <c r="A11" i="5" s="1"/>
  <c r="D20" i="5"/>
  <c r="D19" i="5"/>
  <c r="D18" i="5"/>
  <c r="D17" i="5"/>
  <c r="A9" i="5" s="1"/>
  <c r="C14" i="5"/>
  <c r="D10" i="5"/>
  <c r="E33" i="4"/>
  <c r="A31" i="4"/>
  <c r="G15" i="4"/>
  <c r="C14" i="4"/>
  <c r="A15" i="4" s="1"/>
  <c r="D10" i="4"/>
  <c r="H32" i="3"/>
  <c r="F26" i="3"/>
  <c r="F25" i="3"/>
  <c r="I22" i="3"/>
  <c r="J22" i="3" s="1"/>
  <c r="G23" i="3" s="1"/>
  <c r="D19" i="3"/>
  <c r="A17" i="3"/>
  <c r="H15" i="3" s="1"/>
  <c r="C14" i="3"/>
  <c r="D10" i="3"/>
  <c r="A10" i="3"/>
  <c r="A11" i="3" s="1"/>
  <c r="E33" i="2"/>
  <c r="A31" i="2"/>
  <c r="C14" i="2"/>
  <c r="A14" i="2"/>
  <c r="H16" i="2" s="1"/>
  <c r="A12" i="2"/>
  <c r="D20" i="2" s="1"/>
  <c r="D10" i="2"/>
  <c r="E34" i="1"/>
  <c r="F26" i="1"/>
  <c r="F25" i="1"/>
  <c r="C14" i="1"/>
  <c r="A17" i="1" s="1"/>
  <c r="H16" i="1" s="1"/>
  <c r="D10" i="1"/>
  <c r="A12" i="4" l="1"/>
  <c r="D17" i="4" s="1"/>
  <c r="A10" i="1"/>
  <c r="D17" i="1" s="1"/>
  <c r="B147" i="5"/>
  <c r="B131" i="5"/>
  <c r="K7" i="5"/>
  <c r="B146" i="5"/>
  <c r="B130" i="5"/>
  <c r="B129" i="5"/>
  <c r="B123" i="5"/>
  <c r="B145" i="5"/>
  <c r="B144" i="5"/>
  <c r="B128" i="5"/>
  <c r="B143" i="5"/>
  <c r="B127" i="5"/>
  <c r="I16" i="5"/>
  <c r="L18" i="5" s="1"/>
  <c r="G17" i="5" s="1"/>
  <c r="B126" i="5"/>
  <c r="B125" i="5"/>
  <c r="B122" i="5"/>
  <c r="B142" i="5"/>
  <c r="B141" i="5"/>
  <c r="B140" i="5"/>
  <c r="B124" i="5"/>
  <c r="K13" i="5"/>
  <c r="B139" i="5"/>
  <c r="B138" i="5"/>
  <c r="B137" i="5"/>
  <c r="B136" i="5"/>
  <c r="B135" i="5"/>
  <c r="B134" i="5"/>
  <c r="B133" i="5"/>
  <c r="K10" i="5"/>
  <c r="B132" i="5"/>
  <c r="A12" i="5"/>
  <c r="G20" i="3"/>
  <c r="D17" i="3"/>
  <c r="D18" i="3"/>
  <c r="H15" i="2"/>
  <c r="D17" i="2"/>
  <c r="D18" i="2"/>
  <c r="D19" i="2"/>
  <c r="D20" i="3"/>
  <c r="D18" i="4" l="1"/>
  <c r="D20" i="4"/>
  <c r="A2" i="4" s="1"/>
  <c r="D19" i="4"/>
  <c r="D18" i="1"/>
  <c r="D19" i="1"/>
  <c r="D20" i="1"/>
  <c r="D22" i="1"/>
  <c r="D21" i="1"/>
  <c r="A8" i="2"/>
  <c r="A4" i="2"/>
  <c r="A6" i="2"/>
  <c r="A2" i="2"/>
  <c r="A10" i="2"/>
  <c r="A14" i="5"/>
  <c r="G13" i="5" s="1"/>
  <c r="A13" i="5"/>
  <c r="G7" i="5" s="1"/>
  <c r="G10" i="5"/>
  <c r="A8" i="1"/>
  <c r="I22" i="1" s="1"/>
  <c r="A9" i="1"/>
  <c r="A9" i="3"/>
  <c r="A6" i="4"/>
  <c r="A4" i="4"/>
  <c r="A10" i="4" l="1"/>
  <c r="A8" i="4"/>
  <c r="J22" i="4" s="1"/>
  <c r="B142" i="3"/>
  <c r="B126" i="3"/>
  <c r="B135" i="3"/>
  <c r="A12" i="3"/>
  <c r="B131" i="3"/>
  <c r="B141" i="3"/>
  <c r="B125" i="3"/>
  <c r="B140" i="3"/>
  <c r="B124" i="3"/>
  <c r="B137" i="3"/>
  <c r="K10" i="3"/>
  <c r="B147" i="3"/>
  <c r="B130" i="3"/>
  <c r="B139" i="3"/>
  <c r="B123" i="3"/>
  <c r="B138" i="3"/>
  <c r="B122" i="3"/>
  <c r="K13" i="3"/>
  <c r="B136" i="3"/>
  <c r="B133" i="3"/>
  <c r="B132" i="3"/>
  <c r="B129" i="3"/>
  <c r="B145" i="3"/>
  <c r="B144" i="3"/>
  <c r="B128" i="3"/>
  <c r="K7" i="3"/>
  <c r="B143" i="3"/>
  <c r="B127" i="3"/>
  <c r="B134" i="3"/>
  <c r="B146" i="3"/>
  <c r="B141" i="1"/>
  <c r="B125" i="1"/>
  <c r="B135" i="1"/>
  <c r="B140" i="1"/>
  <c r="B124" i="1"/>
  <c r="L18" i="1"/>
  <c r="B139" i="1"/>
  <c r="B123" i="1"/>
  <c r="B122" i="1"/>
  <c r="B147" i="1"/>
  <c r="B146" i="1"/>
  <c r="B138" i="1"/>
  <c r="B131" i="1"/>
  <c r="B137" i="1"/>
  <c r="B133" i="1"/>
  <c r="B132" i="1"/>
  <c r="A11" i="1"/>
  <c r="B144" i="1"/>
  <c r="B145" i="1"/>
  <c r="B128" i="1"/>
  <c r="B143" i="1"/>
  <c r="B127" i="1"/>
  <c r="B142" i="1"/>
  <c r="B126" i="1"/>
  <c r="B136" i="1"/>
  <c r="B134" i="1"/>
  <c r="B130" i="1"/>
  <c r="B129" i="1"/>
  <c r="J22" i="1"/>
  <c r="G23" i="1" s="1"/>
  <c r="A12" i="1"/>
  <c r="B133" i="4"/>
  <c r="B127" i="4"/>
  <c r="B140" i="4"/>
  <c r="B137" i="4"/>
  <c r="B132" i="4"/>
  <c r="B147" i="4"/>
  <c r="B131" i="4"/>
  <c r="B125" i="4"/>
  <c r="B138" i="4"/>
  <c r="B146" i="4"/>
  <c r="B130" i="4"/>
  <c r="B143" i="4"/>
  <c r="B139" i="4"/>
  <c r="B145" i="4"/>
  <c r="B129" i="4"/>
  <c r="B144" i="4"/>
  <c r="B128" i="4"/>
  <c r="B124" i="4"/>
  <c r="B136" i="4"/>
  <c r="B142" i="4"/>
  <c r="B126" i="4"/>
  <c r="B123" i="4"/>
  <c r="B135" i="4"/>
  <c r="B134" i="4"/>
  <c r="B141" i="4"/>
  <c r="B122" i="4"/>
  <c r="B147" i="2"/>
  <c r="B131" i="2"/>
  <c r="B126" i="2"/>
  <c r="B123" i="2"/>
  <c r="B138" i="2"/>
  <c r="B146" i="2"/>
  <c r="B130" i="2"/>
  <c r="B145" i="2"/>
  <c r="B129" i="2"/>
  <c r="B125" i="2"/>
  <c r="B136" i="2"/>
  <c r="B144" i="2"/>
  <c r="B128" i="2"/>
  <c r="B124" i="2"/>
  <c r="B143" i="2"/>
  <c r="B127" i="2"/>
  <c r="B122" i="2"/>
  <c r="B135" i="2"/>
  <c r="B134" i="2"/>
  <c r="B133" i="2"/>
  <c r="B132" i="2"/>
  <c r="B142" i="2"/>
  <c r="B141" i="2"/>
  <c r="B140" i="2"/>
  <c r="B139" i="2"/>
  <c r="B137" i="2"/>
  <c r="J22" i="2"/>
  <c r="A11" i="2" s="1"/>
  <c r="K17" i="2" s="1"/>
  <c r="A9" i="4" l="1"/>
  <c r="K12" i="4" s="1"/>
  <c r="A7" i="4"/>
  <c r="G12" i="4" s="1"/>
  <c r="A7" i="2"/>
  <c r="G12" i="2" s="1"/>
  <c r="A3" i="2"/>
  <c r="G7" i="2" s="1"/>
  <c r="K22" i="2"/>
  <c r="G23" i="2" s="1"/>
  <c r="A13" i="2"/>
  <c r="G20" i="2" s="1"/>
  <c r="A9" i="2"/>
  <c r="K12" i="2" s="1"/>
  <c r="A5" i="2"/>
  <c r="K7" i="2" s="1"/>
  <c r="A14" i="3"/>
  <c r="G13" i="3" s="1"/>
  <c r="A13" i="3"/>
  <c r="G7" i="3" s="1"/>
  <c r="G10" i="3"/>
  <c r="A11" i="4"/>
  <c r="K17" i="4" s="1"/>
  <c r="A19" i="1"/>
  <c r="K10" i="1"/>
  <c r="H10" i="1" s="1"/>
  <c r="A20" i="1"/>
  <c r="G10" i="1"/>
  <c r="K22" i="4"/>
  <c r="G23" i="4" s="1"/>
  <c r="A13" i="4"/>
  <c r="G20" i="4" s="1"/>
  <c r="A5" i="4"/>
  <c r="K7" i="4" s="1"/>
  <c r="G20" i="1"/>
  <c r="H15" i="1"/>
  <c r="A3" i="4"/>
  <c r="G7" i="4" s="1"/>
  <c r="K7" i="1" l="1"/>
  <c r="H7" i="1" s="1"/>
  <c r="G7" i="1"/>
  <c r="K13" i="1"/>
  <c r="H13" i="1" s="1"/>
  <c r="G13" i="1"/>
</calcChain>
</file>

<file path=xl/sharedStrings.xml><?xml version="1.0" encoding="utf-8"?>
<sst xmlns="http://schemas.openxmlformats.org/spreadsheetml/2006/main" count="363" uniqueCount="118">
  <si>
    <t>연두색 칸에만 입력해주세요.</t>
  </si>
  <si>
    <t xml:space="preserve">인터넷게시판, 특히 메이플 인벤에 타직업비교글 쓸 때 이거 인용하지 마세요. 경고합니다. </t>
  </si>
  <si>
    <t>재미로 보세요. 신뢰도 0%입니다. 값 입력하면 랜덤한 값 나오는 아무의미 없는 똥계산기입니다. N층이 떴는데 N층을 격파 못 하더라도 책임 못 집니다.</t>
  </si>
  <si>
    <t>저는 무릉을 칠 줄 모릅니다. 아래 소개되는 영상들은 듀블무릉의 진흥을 위해 제보해주신 것들입니다.</t>
  </si>
  <si>
    <t>* 정확도 문제로 상대적으로 시드링이 빈약한 52층 이하는 적당히 보세요.</t>
  </si>
  <si>
    <t>버프는 메이플 용사만 사용 (파이널 컷, 쓸샾, 쓸컴뱃 등 금지)</t>
  </si>
  <si>
    <t>인터넷에 엑셀(단순 스샷 포함)을 올리실</t>
  </si>
  <si>
    <t>상위 60% 손 (똥손) 아래링크 영상을 따라하세요.</t>
  </si>
  <si>
    <t>무릉치기 가장 좋은 시간대?</t>
  </si>
  <si>
    <t>때 출처(링크)를 명시해주세요.</t>
  </si>
  <si>
    <t>새벽 1시 ~ 오후 4시 사이에 채널 3~9 중에서 제일 사람이 적은 서버로 들어가세요.</t>
  </si>
  <si>
    <t>반지 한 개 비우기 !</t>
  </si>
  <si>
    <t>https://docs.google.com/spreadsheets/d/1R-WyjXvlhRoRbSwMUHKu_hCNuCHltsudia6I2VqzD5s/edit?usp=sharing</t>
  </si>
  <si>
    <t>&lt;&lt;</t>
  </si>
  <si>
    <t>상위 10% (영상 속의 실력입니다.)</t>
  </si>
  <si>
    <t>HM링을 발동하기 위한 방법 (시드링 착용 기준 MaxMP 30001 이상 추천)</t>
  </si>
  <si>
    <t>캐릭터 레벨</t>
  </si>
  <si>
    <t>1. 레투다 + 스인미</t>
  </si>
  <si>
    <t>스탯 공격력</t>
  </si>
  <si>
    <t>2. 레투다 + 쓸스킬3</t>
  </si>
  <si>
    <t>데미지</t>
  </si>
  <si>
    <t>극최소컷 (판이 좋을 때까지 여러번 시도해야 함, "가능"은 함) 아래링크 영상을 참고하세요.</t>
  </si>
  <si>
    <t>3. 레투다 + 파이널컷 + 에르다의의지</t>
  </si>
  <si>
    <t>보스 데미지</t>
  </si>
  <si>
    <t>4. 파이널컷 + 스인미</t>
  </si>
  <si>
    <t>최종 데미지</t>
  </si>
  <si>
    <t>5. 쓸스킬2 + 스인미</t>
  </si>
  <si>
    <t>크리 데미지</t>
  </si>
  <si>
    <t>수로점수</t>
  </si>
  <si>
    <t>6. 파이널컷 + 쓸스킬3</t>
  </si>
  <si>
    <t>님 팬블뎀</t>
  </si>
  <si>
    <t>리레</t>
  </si>
  <si>
    <t>아래는 필요한 도핑류 입니다. (장비명장도 거의 비슷합니다.)</t>
  </si>
  <si>
    <t>웨펖</t>
  </si>
  <si>
    <t>풀시드링 및 풀코강 기준</t>
  </si>
  <si>
    <t>HM</t>
  </si>
  <si>
    <t>상위 10% 손 (59층 이하만 참고, 정확도 낮음)</t>
  </si>
  <si>
    <t>리테</t>
  </si>
  <si>
    <t>링썸</t>
  </si>
  <si>
    <t>크리</t>
  </si>
  <si>
    <t>당신의 방무는?</t>
  </si>
  <si>
    <t>쿨뚝초</t>
  </si>
  <si>
    <t>상추뎀</t>
  </si>
  <si>
    <t>메르 레벨</t>
  </si>
  <si>
    <t>해방</t>
  </si>
  <si>
    <t>X</t>
  </si>
  <si>
    <t xml:space="preserve">60층 미만은 방무 80~84%, 그 이상은 87% 이상으로 맞추시는게 효율이 좋습니다. </t>
  </si>
  <si>
    <t>메카 레벨</t>
  </si>
  <si>
    <t>리부트</t>
  </si>
  <si>
    <t>물론 방무 100%면 더 좋겠지만 무릉의 방어율은 낮기 때문에 효율적으로 스텟을 분산하세요.</t>
  </si>
  <si>
    <t>노블포인트</t>
  </si>
  <si>
    <t>예를 들어 하이퍼스텟 찍으실 때 보공15방무0보다는 보공13방무10이 더 좋을 수도 있습니다.</t>
  </si>
  <si>
    <t>위는 추천하는 링크스킬 셋팅이며, 전투의 흐름 대신 팬텀링크 넣어도 됩니다.</t>
  </si>
  <si>
    <t>카인</t>
  </si>
  <si>
    <t>레투다</t>
  </si>
  <si>
    <t>모법</t>
  </si>
  <si>
    <t>얼닼</t>
  </si>
  <si>
    <t>모도</t>
  </si>
  <si>
    <t>메여축</t>
  </si>
  <si>
    <t>아크</t>
  </si>
  <si>
    <t>헌엣</t>
  </si>
  <si>
    <t>카데나</t>
  </si>
  <si>
    <t>엔버</t>
  </si>
  <si>
    <t>방무</t>
  </si>
  <si>
    <t>방무는 실방무 95% 만점 기준입니다.</t>
  </si>
  <si>
    <t>https://www.youtube.com/channel/UC7BqeRNnPk1NPJ5sxO3w9mQ</t>
  </si>
  <si>
    <t>제 유튜브에 듀블무릉 층별로 영상들이 있어요. 구독자 천명넘는게 제 꿈입니다.</t>
  </si>
  <si>
    <t>구독만 해주시고 알림해제해주시면 감사하겠습니다.</t>
  </si>
  <si>
    <r>
      <rPr>
        <u/>
        <sz val="10"/>
        <color rgb="FF424242"/>
        <rFont val="&quot;Nanum Gothic&quot;, Arial"/>
      </rPr>
      <t xml:space="preserve">* 50~72층 무릉빌드 정리글 : </t>
    </r>
    <r>
      <rPr>
        <u/>
        <sz val="10"/>
        <color rgb="FF424242"/>
        <rFont val="&quot;Nanum Gothic&quot;, Arial"/>
      </rPr>
      <t>http://www.inven.co.kr/board/maple/2297/133291</t>
    </r>
  </si>
  <si>
    <t>http://www.inven.co.kr/board/maple/2304/25269</t>
  </si>
  <si>
    <t>하이퍼스텟 최적분배</t>
  </si>
  <si>
    <t>https://xenogents.github.io/LegionSolver/</t>
  </si>
  <si>
    <t>유니온배치 계산기</t>
  </si>
  <si>
    <t>몬라 총 공략! 아래의 링크를 확인하세요.</t>
  </si>
  <si>
    <t>https://youtu.be/WgvcjkLJma8</t>
  </si>
  <si>
    <t>당신의 스펙은...</t>
  </si>
  <si>
    <t>기준점 : 세례니아 님 61층 스텟창</t>
  </si>
  <si>
    <t>움직이자제발 님 57, 60층 점수</t>
  </si>
  <si>
    <t>* 정확도 문제로 상대적으로 시드링이 빈약한 52층 이하는 "똥손" 결과만 나타납니다.</t>
  </si>
  <si>
    <t>소소한 제 경험</t>
  </si>
  <si>
    <t>버프는 메이플 용사만 사용 (쓸샾, 쓸컴뱃 등 금지)</t>
  </si>
  <si>
    <t>똥손</t>
  </si>
  <si>
    <t>상위 60%</t>
  </si>
  <si>
    <t>상위 20%</t>
  </si>
  <si>
    <t>상위 10%</t>
  </si>
  <si>
    <t>3. 쓸뻥 + 스인미</t>
  </si>
  <si>
    <t>4. 쓸스킬2 + 스인미</t>
  </si>
  <si>
    <t>님 쿼드뎀</t>
  </si>
  <si>
    <t>쿼드중간</t>
  </si>
  <si>
    <t>극최소</t>
  </si>
  <si>
    <t>무기</t>
  </si>
  <si>
    <t>아케인22</t>
  </si>
  <si>
    <t xml:space="preserve">60층 미만은 방무 87~88%, 그 이상은 90% 이상으로 맞추시는게 효율이 좋습니다. </t>
  </si>
  <si>
    <t>O</t>
  </si>
  <si>
    <t>방무는 실방무 93% 만점 기준입니다.</t>
  </si>
  <si>
    <t>엑셀이 도움되셨다면 구독만 하고 알림해제해주시면 감사하겠습니다. 구독자 천명 달성이 제 목표입니다.</t>
  </si>
  <si>
    <t>* 정확도 문제로 상대적으로 시드링이 빈약한 52층 이하는 "똥손" 결과만 나타납니다. (금손은 알아서 1층 더하세요.)</t>
  </si>
  <si>
    <t>상위 60% 손 (본인은 무릉에 최선을 다 했다고 생각하지만 개선여지가 있음)</t>
  </si>
  <si>
    <t>상위 10% 손 (무릉을 최소 50판을 해야 달성할 수 있음)</t>
  </si>
  <si>
    <t>극최소컷 ("가능"은 함)</t>
  </si>
  <si>
    <t>님 얼드뎀</t>
  </si>
  <si>
    <t>위는 추천하는 링크스킬 셋팅이며, 팬텀은 전투의 흐름 빼거나 제논링크 빼고 넣으심 될 듯.</t>
  </si>
  <si>
    <t>버프는 메이플 용사만 사용 (쓸샾, 쓸컴뱃 등 금지, 프리마 크리티컬 0스택)</t>
  </si>
  <si>
    <t>`</t>
  </si>
  <si>
    <t>아케인17</t>
  </si>
  <si>
    <t>1. 쓸뻥 + 스인미</t>
  </si>
  <si>
    <t>2. 쓸스킬2 + 스인미</t>
  </si>
  <si>
    <t xml:space="preserve">극최소컷 ("가능"은 함) </t>
  </si>
  <si>
    <t>쓸컴뱃</t>
  </si>
  <si>
    <t>유니온벞지</t>
  </si>
  <si>
    <t>감성 레벨</t>
  </si>
  <si>
    <t>어빌 벞지</t>
  </si>
  <si>
    <t>농장 벞지</t>
  </si>
  <si>
    <t>마약 벞지</t>
  </si>
  <si>
    <t>총 벞지(패시브 포함)</t>
  </si>
  <si>
    <t>언스</t>
  </si>
  <si>
    <t>방무는 실방무 94% 만점 기준입니다.</t>
  </si>
  <si>
    <r>
      <rPr>
        <u/>
        <sz val="10"/>
        <color rgb="FF424242"/>
        <rFont val="&quot;Nanum Gothic&quot;, Arial"/>
      </rPr>
      <t xml:space="preserve">* 50~72층 무릉빌드 정리글 : </t>
    </r>
    <r>
      <rPr>
        <u/>
        <sz val="10"/>
        <color rgb="FF424242"/>
        <rFont val="&quot;Nanum Gothic&quot;, Arial"/>
      </rPr>
      <t>http://www.inven.co.kr/board/maple/2297/133291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</si>
</sst>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9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93C47D"/>
      <name val="Arial"/>
      <family val="2"/>
    </font>
    <font>
      <b/>
      <sz val="10"/>
      <color rgb="FF9900FF"/>
      <name val="Arial"/>
      <family val="2"/>
    </font>
    <font>
      <sz val="10"/>
      <color rgb="FF000000"/>
      <name val="Arial"/>
      <family val="2"/>
    </font>
    <font>
      <u/>
      <sz val="10"/>
      <color rgb="FF1155CC"/>
      <name val="Arial"/>
      <family val="2"/>
    </font>
    <font>
      <sz val="10"/>
      <color rgb="FFFFFFFF"/>
      <name val="Arial"/>
      <family val="2"/>
    </font>
    <font>
      <sz val="11"/>
      <color rgb="FFFFFFFF"/>
      <name val="Inconsolata"/>
    </font>
    <font>
      <u/>
      <sz val="10"/>
      <color rgb="FF1155CC"/>
      <name val="Arial"/>
      <family val="2"/>
    </font>
    <font>
      <sz val="10"/>
      <color rgb="FFFFFFFF"/>
      <name val="Inconsolata"/>
    </font>
    <font>
      <sz val="10"/>
      <color rgb="FF000000"/>
      <name val="Roboto"/>
    </font>
    <font>
      <b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424242"/>
      <name val="&quot;Nanum Gothic&quot;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424242"/>
      <name val="&quot;Nanum Gothic&quot;, Arial"/>
    </font>
    <font>
      <sz val="8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93C47D"/>
        <bgColor rgb="FF93C47D"/>
      </patternFill>
    </fill>
    <fill>
      <patternFill patternType="solid">
        <fgColor rgb="FF4A86E8"/>
        <bgColor rgb="FF4A86E8"/>
      </patternFill>
    </fill>
    <fill>
      <patternFill patternType="solid">
        <fgColor rgb="FF38761D"/>
        <bgColor rgb="FF38761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1" fillId="0" borderId="1" xfId="0" applyFont="1" applyBorder="1" applyAlignment="1" applyProtection="1">
      <protection hidden="1"/>
    </xf>
    <xf numFmtId="0" fontId="0" fillId="0" borderId="0" xfId="0" applyFont="1" applyAlignment="1" applyProtection="1">
      <protection hidden="1"/>
    </xf>
    <xf numFmtId="0" fontId="2" fillId="0" borderId="1" xfId="0" applyFont="1" applyBorder="1" applyAlignment="1" applyProtection="1">
      <protection hidden="1"/>
    </xf>
    <xf numFmtId="0" fontId="3" fillId="0" borderId="1" xfId="0" applyFont="1" applyBorder="1" applyAlignment="1" applyProtection="1">
      <protection hidden="1"/>
    </xf>
    <xf numFmtId="0" fontId="1" fillId="2" borderId="0" xfId="0" applyFont="1" applyFill="1" applyAlignment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5" fillId="0" borderId="1" xfId="0" applyFont="1" applyBorder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protection hidden="1"/>
    </xf>
    <xf numFmtId="0" fontId="1" fillId="7" borderId="0" xfId="0" applyFont="1" applyFill="1" applyAlignment="1" applyProtection="1">
      <alignment horizontal="center"/>
      <protection hidden="1"/>
    </xf>
    <xf numFmtId="0" fontId="11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3" fillId="0" borderId="1" xfId="0" applyFont="1" applyBorder="1" applyAlignment="1" applyProtection="1">
      <protection hidden="1"/>
    </xf>
    <xf numFmtId="0" fontId="14" fillId="0" borderId="1" xfId="0" applyFont="1" applyBorder="1" applyAlignment="1" applyProtection="1">
      <protection hidden="1"/>
    </xf>
    <xf numFmtId="0" fontId="15" fillId="0" borderId="1" xfId="0" applyFont="1" applyBorder="1" applyAlignment="1" applyProtection="1">
      <protection hidden="1"/>
    </xf>
    <xf numFmtId="0" fontId="1" fillId="3" borderId="0" xfId="0" applyFont="1" applyFill="1" applyAlignment="1" applyProtection="1">
      <alignment horizontal="right"/>
      <protection locked="0" hidden="1"/>
    </xf>
    <xf numFmtId="3" fontId="4" fillId="3" borderId="0" xfId="0" applyNumberFormat="1" applyFont="1" applyFill="1" applyAlignment="1" applyProtection="1">
      <alignment horizontal="right"/>
      <protection locked="0" hidden="1"/>
    </xf>
    <xf numFmtId="0" fontId="1" fillId="4" borderId="0" xfId="0" applyFont="1" applyFill="1" applyAlignment="1" applyProtection="1">
      <alignment horizontal="right"/>
      <protection locked="0" hidden="1"/>
    </xf>
    <xf numFmtId="0" fontId="1" fillId="3" borderId="0" xfId="0" applyFont="1" applyFill="1" applyAlignment="1" applyProtection="1">
      <alignment horizontal="center"/>
      <protection locked="0" hidden="1"/>
    </xf>
    <xf numFmtId="0" fontId="3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0" fontId="1" fillId="8" borderId="0" xfId="0" applyFont="1" applyFill="1" applyAlignment="1" applyProtection="1">
      <protection hidden="1"/>
    </xf>
    <xf numFmtId="176" fontId="1" fillId="0" borderId="1" xfId="0" applyNumberFormat="1" applyFont="1" applyBorder="1" applyAlignment="1" applyProtection="1">
      <protection hidden="1"/>
    </xf>
    <xf numFmtId="0" fontId="1" fillId="3" borderId="0" xfId="0" applyFont="1" applyFill="1" applyAlignment="1" applyProtection="1">
      <protection hidden="1"/>
    </xf>
    <xf numFmtId="0" fontId="9" fillId="0" borderId="0" xfId="0" applyFont="1" applyAlignment="1" applyProtection="1">
      <protection hidden="1"/>
    </xf>
    <xf numFmtId="3" fontId="1" fillId="3" borderId="0" xfId="0" applyNumberFormat="1" applyFont="1" applyFill="1" applyAlignment="1" applyProtection="1">
      <alignment horizontal="right"/>
      <protection locked="0" hidden="1"/>
    </xf>
    <xf numFmtId="176" fontId="1" fillId="0" borderId="0" xfId="0" applyNumberFormat="1" applyFont="1" applyAlignment="1" applyProtection="1">
      <protection hidden="1"/>
    </xf>
    <xf numFmtId="2" fontId="1" fillId="0" borderId="0" xfId="0" applyNumberFormat="1" applyFont="1" applyAlignment="1" applyProtection="1">
      <protection hidden="1"/>
    </xf>
    <xf numFmtId="0" fontId="9" fillId="2" borderId="0" xfId="0" applyFont="1" applyFill="1" applyAlignment="1" applyProtection="1">
      <protection hidden="1"/>
    </xf>
    <xf numFmtId="0" fontId="16" fillId="0" borderId="0" xfId="0" applyFont="1" applyAlignment="1" applyProtection="1">
      <protection hidden="1"/>
    </xf>
    <xf numFmtId="0" fontId="5" fillId="0" borderId="1" xfId="0" applyFon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</cellXfs>
  <cellStyles count="1">
    <cellStyle name="표준" xfId="0" builtinId="0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5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3.png"/><Relationship Id="rId5" Type="http://schemas.openxmlformats.org/officeDocument/2006/relationships/image" Target="../media/image6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5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5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3.png"/><Relationship Id="rId5" Type="http://schemas.openxmlformats.org/officeDocument/2006/relationships/image" Target="../media/image6.png"/><Relationship Id="rId15" Type="http://schemas.openxmlformats.org/officeDocument/2006/relationships/image" Target="../media/image20.png"/><Relationship Id="rId10" Type="http://schemas.openxmlformats.org/officeDocument/2006/relationships/image" Target="../media/image12.png"/><Relationship Id="rId4" Type="http://schemas.openxmlformats.org/officeDocument/2006/relationships/image" Target="../media/image5.png"/><Relationship Id="rId9" Type="http://schemas.openxmlformats.org/officeDocument/2006/relationships/image" Target="../media/image11.png"/><Relationship Id="rId14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1</xdr:row>
      <xdr:rowOff>171450</xdr:rowOff>
    </xdr:from>
    <xdr:ext cx="2171700" cy="352425"/>
    <xdr:pic>
      <xdr:nvPicPr>
        <xdr:cNvPr id="2" name="image6.png" title="이미지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17</xdr:row>
      <xdr:rowOff>19050</xdr:rowOff>
    </xdr:from>
    <xdr:ext cx="1552575" cy="771525"/>
    <xdr:pic>
      <xdr:nvPicPr>
        <xdr:cNvPr id="3" name="image5.png" title="이미지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4</xdr:row>
      <xdr:rowOff>200025</xdr:rowOff>
    </xdr:from>
    <xdr:ext cx="1533525" cy="371475"/>
    <xdr:pic>
      <xdr:nvPicPr>
        <xdr:cNvPr id="4" name="image2.png" title="이미지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952500</xdr:colOff>
      <xdr:row>22</xdr:row>
      <xdr:rowOff>66675</xdr:rowOff>
    </xdr:from>
    <xdr:ext cx="1828800" cy="590550"/>
    <xdr:pic>
      <xdr:nvPicPr>
        <xdr:cNvPr id="5" name="image19.png" title="이미지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22</xdr:row>
      <xdr:rowOff>66675</xdr:rowOff>
    </xdr:from>
    <xdr:ext cx="295275" cy="295275"/>
    <xdr:pic>
      <xdr:nvPicPr>
        <xdr:cNvPr id="6" name="image10.png" title="이미지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952500</xdr:colOff>
      <xdr:row>17</xdr:row>
      <xdr:rowOff>66675</xdr:rowOff>
    </xdr:from>
    <xdr:ext cx="1866900" cy="723900"/>
    <xdr:pic>
      <xdr:nvPicPr>
        <xdr:cNvPr id="7" name="image8.png" title="이미지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523875</xdr:colOff>
      <xdr:row>19</xdr:row>
      <xdr:rowOff>95250</xdr:rowOff>
    </xdr:from>
    <xdr:ext cx="314325" cy="304800"/>
    <xdr:pic>
      <xdr:nvPicPr>
        <xdr:cNvPr id="8" name="image12.png" title="이미지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19</xdr:row>
      <xdr:rowOff>95250</xdr:rowOff>
    </xdr:from>
    <xdr:ext cx="304800" cy="295275"/>
    <xdr:pic>
      <xdr:nvPicPr>
        <xdr:cNvPr id="9" name="image14.png" title="이미지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17</xdr:row>
      <xdr:rowOff>66675</xdr:rowOff>
    </xdr:from>
    <xdr:ext cx="923925" cy="323850"/>
    <xdr:pic>
      <xdr:nvPicPr>
        <xdr:cNvPr id="10" name="image9.png" title="이미지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8</xdr:row>
      <xdr:rowOff>190500</xdr:rowOff>
    </xdr:from>
    <xdr:ext cx="1857375" cy="1200150"/>
    <xdr:pic>
      <xdr:nvPicPr>
        <xdr:cNvPr id="11" name="image1.png" title="이미지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17</xdr:row>
      <xdr:rowOff>19050</xdr:rowOff>
    </xdr:from>
    <xdr:ext cx="1552575" cy="771525"/>
    <xdr:pic>
      <xdr:nvPicPr>
        <xdr:cNvPr id="2" name="image4.png" title="이미지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4</xdr:row>
      <xdr:rowOff>200025</xdr:rowOff>
    </xdr:from>
    <xdr:ext cx="1533525" cy="371475"/>
    <xdr:pic>
      <xdr:nvPicPr>
        <xdr:cNvPr id="3" name="image7.png" title="이미지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952500</xdr:colOff>
      <xdr:row>19</xdr:row>
      <xdr:rowOff>114300</xdr:rowOff>
    </xdr:from>
    <xdr:ext cx="1828800" cy="590550"/>
    <xdr:pic>
      <xdr:nvPicPr>
        <xdr:cNvPr id="4" name="image21.png" title="이미지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857250</xdr:colOff>
      <xdr:row>19</xdr:row>
      <xdr:rowOff>114300</xdr:rowOff>
    </xdr:from>
    <xdr:ext cx="295275" cy="295275"/>
    <xdr:pic>
      <xdr:nvPicPr>
        <xdr:cNvPr id="5" name="image11.png" title="이미지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952500</xdr:colOff>
      <xdr:row>15</xdr:row>
      <xdr:rowOff>95250</xdr:rowOff>
    </xdr:from>
    <xdr:ext cx="1866900" cy="723900"/>
    <xdr:pic>
      <xdr:nvPicPr>
        <xdr:cNvPr id="6" name="image3.png" title="이미지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285750</xdr:colOff>
      <xdr:row>17</xdr:row>
      <xdr:rowOff>123825</xdr:rowOff>
    </xdr:from>
    <xdr:ext cx="314325" cy="304800"/>
    <xdr:pic>
      <xdr:nvPicPr>
        <xdr:cNvPr id="7" name="image16.png" title="이미지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942975</xdr:colOff>
      <xdr:row>17</xdr:row>
      <xdr:rowOff>123825</xdr:rowOff>
    </xdr:from>
    <xdr:ext cx="304800" cy="295275"/>
    <xdr:pic>
      <xdr:nvPicPr>
        <xdr:cNvPr id="8" name="image15.png" title="이미지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942975</xdr:colOff>
      <xdr:row>15</xdr:row>
      <xdr:rowOff>95250</xdr:rowOff>
    </xdr:from>
    <xdr:ext cx="923925" cy="323850"/>
    <xdr:pic>
      <xdr:nvPicPr>
        <xdr:cNvPr id="9" name="image13.png" title="이미지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4</xdr:row>
      <xdr:rowOff>85725</xdr:rowOff>
    </xdr:from>
    <xdr:ext cx="762000" cy="771525"/>
    <xdr:pic>
      <xdr:nvPicPr>
        <xdr:cNvPr id="10" name="image17.png" title="이미지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9</xdr:row>
      <xdr:rowOff>104775</xdr:rowOff>
    </xdr:from>
    <xdr:ext cx="676275" cy="685800"/>
    <xdr:pic>
      <xdr:nvPicPr>
        <xdr:cNvPr id="11" name="image18.png" title="이미지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9</xdr:row>
      <xdr:rowOff>152400</xdr:rowOff>
    </xdr:from>
    <xdr:ext cx="676275" cy="685800"/>
    <xdr:pic>
      <xdr:nvPicPr>
        <xdr:cNvPr id="12" name="image24.png" title="이미지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4</xdr:row>
      <xdr:rowOff>142875</xdr:rowOff>
    </xdr:from>
    <xdr:ext cx="676275" cy="657225"/>
    <xdr:pic>
      <xdr:nvPicPr>
        <xdr:cNvPr id="13" name="image27.png" title="이미지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14</xdr:row>
      <xdr:rowOff>142875</xdr:rowOff>
    </xdr:from>
    <xdr:ext cx="676275" cy="657225"/>
    <xdr:pic>
      <xdr:nvPicPr>
        <xdr:cNvPr id="14" name="image22.png" title="이미지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2</xdr:row>
      <xdr:rowOff>38100</xdr:rowOff>
    </xdr:from>
    <xdr:ext cx="2124075" cy="323850"/>
    <xdr:pic>
      <xdr:nvPicPr>
        <xdr:cNvPr id="15" name="image31.png" title="이미지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8</xdr:row>
      <xdr:rowOff>190500</xdr:rowOff>
    </xdr:from>
    <xdr:ext cx="1857375" cy="1200150"/>
    <xdr:pic>
      <xdr:nvPicPr>
        <xdr:cNvPr id="16" name="image23.png" title="이미지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17</xdr:row>
      <xdr:rowOff>19050</xdr:rowOff>
    </xdr:from>
    <xdr:ext cx="1552575" cy="771525"/>
    <xdr:pic>
      <xdr:nvPicPr>
        <xdr:cNvPr id="2" name="image30.png" title="이미지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4</xdr:row>
      <xdr:rowOff>200025</xdr:rowOff>
    </xdr:from>
    <xdr:ext cx="1533525" cy="371475"/>
    <xdr:pic>
      <xdr:nvPicPr>
        <xdr:cNvPr id="3" name="image29.png" title="이미지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9525</xdr:colOff>
      <xdr:row>21</xdr:row>
      <xdr:rowOff>152400</xdr:rowOff>
    </xdr:from>
    <xdr:ext cx="1828800" cy="590550"/>
    <xdr:pic>
      <xdr:nvPicPr>
        <xdr:cNvPr id="4" name="image25.png" title="이미지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895350</xdr:colOff>
      <xdr:row>21</xdr:row>
      <xdr:rowOff>152400</xdr:rowOff>
    </xdr:from>
    <xdr:ext cx="295275" cy="295275"/>
    <xdr:pic>
      <xdr:nvPicPr>
        <xdr:cNvPr id="5" name="image37.png" title="이미지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9525</xdr:colOff>
      <xdr:row>17</xdr:row>
      <xdr:rowOff>66675</xdr:rowOff>
    </xdr:from>
    <xdr:ext cx="1866900" cy="723900"/>
    <xdr:pic>
      <xdr:nvPicPr>
        <xdr:cNvPr id="6" name="image28.png" title="이미지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333375</xdr:colOff>
      <xdr:row>19</xdr:row>
      <xdr:rowOff>95250</xdr:rowOff>
    </xdr:from>
    <xdr:ext cx="314325" cy="304800"/>
    <xdr:pic>
      <xdr:nvPicPr>
        <xdr:cNvPr id="7" name="image26.png" title="이미지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19</xdr:row>
      <xdr:rowOff>95250</xdr:rowOff>
    </xdr:from>
    <xdr:ext cx="304800" cy="295275"/>
    <xdr:pic>
      <xdr:nvPicPr>
        <xdr:cNvPr id="8" name="image32.png" title="이미지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17</xdr:row>
      <xdr:rowOff>66675</xdr:rowOff>
    </xdr:from>
    <xdr:ext cx="923925" cy="323850"/>
    <xdr:pic>
      <xdr:nvPicPr>
        <xdr:cNvPr id="9" name="image20.png" title="이미지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1885950" cy="342900"/>
    <xdr:pic>
      <xdr:nvPicPr>
        <xdr:cNvPr id="10" name="image45.png" title="이미지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8</xdr:row>
      <xdr:rowOff>190500</xdr:rowOff>
    </xdr:from>
    <xdr:ext cx="1876425" cy="1219200"/>
    <xdr:pic>
      <xdr:nvPicPr>
        <xdr:cNvPr id="11" name="image39.png" title="이미지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17</xdr:row>
      <xdr:rowOff>19050</xdr:rowOff>
    </xdr:from>
    <xdr:ext cx="1552575" cy="771525"/>
    <xdr:pic>
      <xdr:nvPicPr>
        <xdr:cNvPr id="2" name="image36.png" title="이미지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4</xdr:row>
      <xdr:rowOff>200025</xdr:rowOff>
    </xdr:from>
    <xdr:ext cx="1533525" cy="371475"/>
    <xdr:pic>
      <xdr:nvPicPr>
        <xdr:cNvPr id="3" name="image38.png" title="이미지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19</xdr:row>
      <xdr:rowOff>152400</xdr:rowOff>
    </xdr:from>
    <xdr:ext cx="1828800" cy="590550"/>
    <xdr:pic>
      <xdr:nvPicPr>
        <xdr:cNvPr id="4" name="image40.png" title="이미지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904875</xdr:colOff>
      <xdr:row>19</xdr:row>
      <xdr:rowOff>152400</xdr:rowOff>
    </xdr:from>
    <xdr:ext cx="295275" cy="295275"/>
    <xdr:pic>
      <xdr:nvPicPr>
        <xdr:cNvPr id="5" name="image49.png" title="이미지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15</xdr:row>
      <xdr:rowOff>95250</xdr:rowOff>
    </xdr:from>
    <xdr:ext cx="1866900" cy="723900"/>
    <xdr:pic>
      <xdr:nvPicPr>
        <xdr:cNvPr id="6" name="image35.png" title="이미지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409575</xdr:colOff>
      <xdr:row>17</xdr:row>
      <xdr:rowOff>114300</xdr:rowOff>
    </xdr:from>
    <xdr:ext cx="304800" cy="304800"/>
    <xdr:pic>
      <xdr:nvPicPr>
        <xdr:cNvPr id="7" name="image34.png" title="이미지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17</xdr:row>
      <xdr:rowOff>123825</xdr:rowOff>
    </xdr:from>
    <xdr:ext cx="304800" cy="295275"/>
    <xdr:pic>
      <xdr:nvPicPr>
        <xdr:cNvPr id="8" name="image46.png" title="이미지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15</xdr:row>
      <xdr:rowOff>95250</xdr:rowOff>
    </xdr:from>
    <xdr:ext cx="923925" cy="323850"/>
    <xdr:pic>
      <xdr:nvPicPr>
        <xdr:cNvPr id="9" name="image43.png" title="이미지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4</xdr:row>
      <xdr:rowOff>85725</xdr:rowOff>
    </xdr:from>
    <xdr:ext cx="762000" cy="771525"/>
    <xdr:pic>
      <xdr:nvPicPr>
        <xdr:cNvPr id="10" name="image48.png" title="이미지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9</xdr:row>
      <xdr:rowOff>104775</xdr:rowOff>
    </xdr:from>
    <xdr:ext cx="676275" cy="685800"/>
    <xdr:pic>
      <xdr:nvPicPr>
        <xdr:cNvPr id="11" name="image41.png" title="이미지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9</xdr:row>
      <xdr:rowOff>152400</xdr:rowOff>
    </xdr:from>
    <xdr:ext cx="676275" cy="685800"/>
    <xdr:pic>
      <xdr:nvPicPr>
        <xdr:cNvPr id="12" name="image33.png" title="이미지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4</xdr:row>
      <xdr:rowOff>142875</xdr:rowOff>
    </xdr:from>
    <xdr:ext cx="676275" cy="657225"/>
    <xdr:pic>
      <xdr:nvPicPr>
        <xdr:cNvPr id="13" name="image44.png" title="이미지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14</xdr:row>
      <xdr:rowOff>142875</xdr:rowOff>
    </xdr:from>
    <xdr:ext cx="676275" cy="657225"/>
    <xdr:pic>
      <xdr:nvPicPr>
        <xdr:cNvPr id="14" name="image47.png" title="이미지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8</xdr:row>
      <xdr:rowOff>190500</xdr:rowOff>
    </xdr:from>
    <xdr:ext cx="1857375" cy="1200150"/>
    <xdr:pic>
      <xdr:nvPicPr>
        <xdr:cNvPr id="15" name="image42.png" title="이미지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647700" cy="371475"/>
    <xdr:pic>
      <xdr:nvPicPr>
        <xdr:cNvPr id="16" name="image50.png" title="이미지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1</xdr:row>
      <xdr:rowOff>171450</xdr:rowOff>
    </xdr:from>
    <xdr:ext cx="2171700" cy="352425"/>
    <xdr:pic>
      <xdr:nvPicPr>
        <xdr:cNvPr id="2" name="image6.png" title="이미지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17</xdr:row>
      <xdr:rowOff>19050</xdr:rowOff>
    </xdr:from>
    <xdr:ext cx="1552575" cy="771525"/>
    <xdr:pic>
      <xdr:nvPicPr>
        <xdr:cNvPr id="3" name="image5.png" title="이미지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4</xdr:row>
      <xdr:rowOff>200025</xdr:rowOff>
    </xdr:from>
    <xdr:ext cx="1533525" cy="371475"/>
    <xdr:pic>
      <xdr:nvPicPr>
        <xdr:cNvPr id="4" name="image2.png" title="이미지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952500</xdr:colOff>
      <xdr:row>17</xdr:row>
      <xdr:rowOff>66675</xdr:rowOff>
    </xdr:from>
    <xdr:ext cx="1828800" cy="590550"/>
    <xdr:pic>
      <xdr:nvPicPr>
        <xdr:cNvPr id="5" name="image19.png" title="이미지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17</xdr:row>
      <xdr:rowOff>66675</xdr:rowOff>
    </xdr:from>
    <xdr:ext cx="295275" cy="295275"/>
    <xdr:pic>
      <xdr:nvPicPr>
        <xdr:cNvPr id="6" name="image10.png" title="이미지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952500</xdr:colOff>
      <xdr:row>13</xdr:row>
      <xdr:rowOff>38100</xdr:rowOff>
    </xdr:from>
    <xdr:ext cx="1866900" cy="723900"/>
    <xdr:pic>
      <xdr:nvPicPr>
        <xdr:cNvPr id="7" name="image8.png" title="이미지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523875</xdr:colOff>
      <xdr:row>15</xdr:row>
      <xdr:rowOff>66675</xdr:rowOff>
    </xdr:from>
    <xdr:ext cx="314325" cy="304800"/>
    <xdr:pic>
      <xdr:nvPicPr>
        <xdr:cNvPr id="8" name="image12.png" title="이미지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15</xdr:row>
      <xdr:rowOff>66675</xdr:rowOff>
    </xdr:from>
    <xdr:ext cx="304800" cy="295275"/>
    <xdr:pic>
      <xdr:nvPicPr>
        <xdr:cNvPr id="9" name="image14.png" title="이미지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13</xdr:row>
      <xdr:rowOff>38100</xdr:rowOff>
    </xdr:from>
    <xdr:ext cx="923925" cy="323850"/>
    <xdr:pic>
      <xdr:nvPicPr>
        <xdr:cNvPr id="10" name="image9.png" title="이미지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8</xdr:row>
      <xdr:rowOff>190500</xdr:rowOff>
    </xdr:from>
    <xdr:ext cx="1857375" cy="1200150"/>
    <xdr:pic>
      <xdr:nvPicPr>
        <xdr:cNvPr id="11" name="image1.png" title="이미지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ven.co.kr/board/maple/2297/133291" TargetMode="External"/><Relationship Id="rId7" Type="http://schemas.openxmlformats.org/officeDocument/2006/relationships/hyperlink" Target="https://youtu.be/WgvcjkLJma8" TargetMode="External"/><Relationship Id="rId2" Type="http://schemas.openxmlformats.org/officeDocument/2006/relationships/hyperlink" Target="https://www.youtube.com/channel/UC7BqeRNnPk1NPJ5sxO3w9mQ" TargetMode="External"/><Relationship Id="rId1" Type="http://schemas.openxmlformats.org/officeDocument/2006/relationships/hyperlink" Target="https://docs.google.com/spreadsheets/d/1R-WyjXvlhRoRbSwMUHKu_hCNuCHltsudia6I2VqzD5s/edit?usp=sharing" TargetMode="External"/><Relationship Id="rId6" Type="http://schemas.openxmlformats.org/officeDocument/2006/relationships/hyperlink" Target="http://www.inven.co.kr/board/maple/2304/25269" TargetMode="External"/><Relationship Id="rId5" Type="http://schemas.openxmlformats.org/officeDocument/2006/relationships/hyperlink" Target="https://xenogents.github.io/LegionSolver/" TargetMode="External"/><Relationship Id="rId4" Type="http://schemas.openxmlformats.org/officeDocument/2006/relationships/hyperlink" Target="http://www.inven.co.kr/board/maple/2304/25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inven.co.kr/board/maple/2304/25269" TargetMode="External"/><Relationship Id="rId7" Type="http://schemas.openxmlformats.org/officeDocument/2006/relationships/hyperlink" Target="https://youtu.be/WgvcjkLJma8" TargetMode="External"/><Relationship Id="rId2" Type="http://schemas.openxmlformats.org/officeDocument/2006/relationships/hyperlink" Target="https://www.youtube.com/channel/UC7BqeRNnPk1NPJ5sxO3w9mQ" TargetMode="External"/><Relationship Id="rId1" Type="http://schemas.openxmlformats.org/officeDocument/2006/relationships/hyperlink" Target="https://docs.google.com/spreadsheets/d/1R-WyjXvlhRoRbSwMUHKu_hCNuCHltsudia6I2VqzD5s/edit?usp=sharing" TargetMode="External"/><Relationship Id="rId6" Type="http://schemas.openxmlformats.org/officeDocument/2006/relationships/hyperlink" Target="https://xenogents.github.io/LegionSolver/" TargetMode="External"/><Relationship Id="rId5" Type="http://schemas.openxmlformats.org/officeDocument/2006/relationships/hyperlink" Target="https://xenogents.github.io/LegionSolver/" TargetMode="External"/><Relationship Id="rId4" Type="http://schemas.openxmlformats.org/officeDocument/2006/relationships/hyperlink" Target="http://www.inven.co.kr/board/maple/2304/2526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www.inven.co.kr/board/maple/2304/25269" TargetMode="External"/><Relationship Id="rId7" Type="http://schemas.openxmlformats.org/officeDocument/2006/relationships/hyperlink" Target="https://youtu.be/WgvcjkLJma8" TargetMode="External"/><Relationship Id="rId2" Type="http://schemas.openxmlformats.org/officeDocument/2006/relationships/hyperlink" Target="https://www.youtube.com/channel/UC7BqeRNnPk1NPJ5sxO3w9mQ" TargetMode="External"/><Relationship Id="rId1" Type="http://schemas.openxmlformats.org/officeDocument/2006/relationships/hyperlink" Target="https://docs.google.com/spreadsheets/d/1R-WyjXvlhRoRbSwMUHKu_hCNuCHltsudia6I2VqzD5s/edit?usp=sharing" TargetMode="External"/><Relationship Id="rId6" Type="http://schemas.openxmlformats.org/officeDocument/2006/relationships/hyperlink" Target="http://www.inven.co.kr/board/maple/2304/25269" TargetMode="External"/><Relationship Id="rId5" Type="http://schemas.openxmlformats.org/officeDocument/2006/relationships/hyperlink" Target="https://xenogents.github.io/LegionSolver/" TargetMode="External"/><Relationship Id="rId4" Type="http://schemas.openxmlformats.org/officeDocument/2006/relationships/hyperlink" Target="https://www.youtube.com/channel/UC7BqeRNnPk1NPJ5sxO3w9mQ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WgvcjkLJma8" TargetMode="External"/><Relationship Id="rId3" Type="http://schemas.openxmlformats.org/officeDocument/2006/relationships/hyperlink" Target="http://www.inven.co.kr/board/maple/2304/25269" TargetMode="External"/><Relationship Id="rId7" Type="http://schemas.openxmlformats.org/officeDocument/2006/relationships/hyperlink" Target="http://www.inven.co.kr/board/maple/2304/25269" TargetMode="External"/><Relationship Id="rId2" Type="http://schemas.openxmlformats.org/officeDocument/2006/relationships/hyperlink" Target="https://www.youtube.com/channel/UC7BqeRNnPk1NPJ5sxO3w9mQ" TargetMode="External"/><Relationship Id="rId1" Type="http://schemas.openxmlformats.org/officeDocument/2006/relationships/hyperlink" Target="https://docs.google.com/spreadsheets/d/1R-WyjXvlhRoRbSwMUHKu_hCNuCHltsudia6I2VqzD5s/edit?usp=sharing" TargetMode="External"/><Relationship Id="rId6" Type="http://schemas.openxmlformats.org/officeDocument/2006/relationships/hyperlink" Target="http://www.inven.co.kr/board/maple/2304/25269" TargetMode="External"/><Relationship Id="rId5" Type="http://schemas.openxmlformats.org/officeDocument/2006/relationships/hyperlink" Target="https://xenogents.github.io/LegionSolver/" TargetMode="External"/><Relationship Id="rId4" Type="http://schemas.openxmlformats.org/officeDocument/2006/relationships/hyperlink" Target="https://www.youtube.com/channel/UC7BqeRNnPk1NPJ5sxO3w9mQ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://www.inven.co.kr/board/maple/2297/133291" TargetMode="External"/><Relationship Id="rId7" Type="http://schemas.openxmlformats.org/officeDocument/2006/relationships/hyperlink" Target="https://youtu.be/WgvcjkLJma8" TargetMode="External"/><Relationship Id="rId2" Type="http://schemas.openxmlformats.org/officeDocument/2006/relationships/hyperlink" Target="https://www.youtube.com/channel/UC7BqeRNnPk1NPJ5sxO3w9mQ" TargetMode="External"/><Relationship Id="rId1" Type="http://schemas.openxmlformats.org/officeDocument/2006/relationships/hyperlink" Target="https://docs.google.com/spreadsheets/d/1R-WyjXvlhRoRbSwMUHKu_hCNuCHltsudia6I2VqzD5s/edit?usp=sharing" TargetMode="External"/><Relationship Id="rId6" Type="http://schemas.openxmlformats.org/officeDocument/2006/relationships/hyperlink" Target="https://xenogents.github.io/LegionSolver/" TargetMode="External"/><Relationship Id="rId5" Type="http://schemas.openxmlformats.org/officeDocument/2006/relationships/hyperlink" Target="https://xenogents.github.io/LegionSolver/" TargetMode="External"/><Relationship Id="rId4" Type="http://schemas.openxmlformats.org/officeDocument/2006/relationships/hyperlink" Target="http://www.inven.co.kr/board/maple/2304/25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showGridLines="0" tabSelected="1" workbookViewId="0">
      <selection activeCell="E26" sqref="E26"/>
    </sheetView>
  </sheetViews>
  <sheetFormatPr defaultColWidth="14.42578125" defaultRowHeight="15.75" customHeight="1"/>
  <cols>
    <col min="1" max="1" width="14.42578125" style="6"/>
    <col min="2" max="2" width="11.140625" style="6" customWidth="1"/>
    <col min="3" max="3" width="12.7109375" style="6" customWidth="1"/>
    <col min="4" max="4" width="14.42578125" style="6"/>
    <col min="5" max="5" width="6.42578125" style="6" customWidth="1"/>
    <col min="6" max="6" width="14.42578125" style="6"/>
    <col min="7" max="7" width="8.85546875" style="6" customWidth="1"/>
    <col min="8" max="12" width="14.42578125" style="6"/>
    <col min="13" max="13" width="11.140625" style="6" customWidth="1"/>
    <col min="14" max="16384" width="14.42578125" style="6"/>
  </cols>
  <sheetData>
    <row r="1" spans="1:26" ht="42.75" customHeight="1">
      <c r="A1" s="1"/>
      <c r="B1" s="7" t="s">
        <v>0</v>
      </c>
      <c r="C1" s="5"/>
      <c r="D1" s="5"/>
      <c r="E1" s="5"/>
      <c r="F1" s="1"/>
      <c r="G1" s="5" t="s">
        <v>1</v>
      </c>
      <c r="H1" s="5"/>
      <c r="I1" s="5"/>
      <c r="J1" s="5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5" t="s">
        <v>2</v>
      </c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5" t="s">
        <v>3</v>
      </c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5" t="s">
        <v>4</v>
      </c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5</v>
      </c>
      <c r="C5" s="5"/>
      <c r="D5" s="5"/>
      <c r="E5" s="5"/>
      <c r="F5" s="1"/>
      <c r="G5" s="5"/>
      <c r="H5" s="5"/>
      <c r="I5" s="5"/>
      <c r="J5" s="5"/>
      <c r="K5" s="1"/>
      <c r="L5" s="1"/>
      <c r="M5" s="1"/>
      <c r="N5" s="5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"/>
      <c r="D6" s="5" t="s">
        <v>6</v>
      </c>
      <c r="E6" s="5"/>
      <c r="F6" s="1"/>
      <c r="G6" s="5" t="s">
        <v>7</v>
      </c>
      <c r="H6" s="5"/>
      <c r="I6" s="5"/>
      <c r="J6" s="1"/>
      <c r="K6" s="1"/>
      <c r="L6" s="1"/>
      <c r="M6" s="5" t="s">
        <v>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5" t="s">
        <v>9</v>
      </c>
      <c r="E7" s="5"/>
      <c r="F7" s="1"/>
      <c r="G7" s="10" t="str">
        <f>IF(A19&lt;0.43,"49층 미만",IF(A19&lt;0.64,ROUND(49+((A19-0.43)/(0.64-0.43)),3)&amp;"층",IF(A19&lt;0.78,ROUND(50+((A19-0.64)/(0.78-0.64)),3)&amp;"층",IF(A19&lt;1.006,ROUND(51+((A19-0.78)/(1.006-0.78)),3)&amp;"층",IF(A19&lt;1.19,ROUND(52+((A19-1.006)/(1.19-1.006)),3)&amp;"층",IF(A19&lt;1.35,ROUND(53+((A19-1.19)/(1.35-1.19)),3)&amp;"층",IF(A19&lt;1.53,ROUND(54+((A19-1.35)/(1.53-1.35)),3)&amp;"층",IF(A19&lt;1.77,ROUND(55+((A19-1.53)/(1.77-1.53)),3)&amp;"층",IF(A19&lt;2.1,ROUND(56+((A19-1.77)/(2.1-1.77)),3)&amp;"층",IF(A19&lt;2.36,ROUND(57+((A19-2.1)/(2.36-2.1)),3)&amp;"층",IF(A19&lt;2.75,ROUND(58+((A19-2.36)/(2.75-2.36)),3)&amp;"층",IF(A19&lt;3.45,ROUND(59+((A19-2.75)/(3.45-2.75)),3)&amp;"층",IF(A19&lt;3.75,ROUND(60+((A19-3.45)/(3.75-3.45)),3)&amp;"층",IF(A19&lt;4.28,ROUND(61+((A19-3.75)/(4.28-3.75)),3)&amp;"층",IF(A19&lt;4.58,ROUND(62+((A19-4.28)/(4.58-4.28)),3)&amp;"층",IF(A19&lt;4.85,ROUND(63+((A19-4.58)/(4.85-4.58)),3)&amp;"층",IF(A19&lt;5.52,ROUND(64+((A19-4.85)/(5.52-4.85)),3)&amp;"층",IF(A19&lt;5.9,ROUND(65+((A19-5.52)/(5.9-5.52)),3)&amp;"층",IF(A19&lt;6.5,ROUND(66+((A19-5.9)/(6.5-5.9)),3)&amp;"층",IF(A19&lt;6.97,ROUND(67+((A19-6.5)/(6.97-6.5)),3)&amp;"층",IF(A19&lt;7.53,ROUND(68+((A19-6.97)/(7.53-6.97)),3)&amp;"층",IF(A19&lt;8.55,ROUND(69+((A19-7.53)/(8.55-7.53)),3)&amp;"층",IF(A19&lt;8.95,ROUND(70+((A19-8.55)/(8.95-8.55)),3)&amp;"층",IF(A19&lt;9.48,ROUND(71+((A19-8.95)/(9.48-8.95)),3)&amp;"층",IF(A19&lt;10.15,ROUND(72+((A19-9.48)/(10.15-9.48)),3)&amp;"층",IF(A19&lt;10.9,ROUND(73+((A19-10.15)/(10.9-10.15)),3)&amp;"층",IF(A19&lt;11.75,ROUND(74+((A19-10.9)/(11.75-10.9)),3)&amp;"층",IF(A19&lt;12.73,ROUND(75+((A19-11.75)/(12.73-11.75)),3)&amp;"층",IF(A19&lt;13.8,ROUND(76+((A19-12.73)/(13.8-12.73)),3)&amp;"층",IF(A19&lt;15.1,ROUND(77+((A19-13.8)/(15.1-13.8)),3)&amp;"층",IF(A19&lt;16.6,ROUND(78+((A19-15.1)/(16.6-15.1)),3)&amp;"층",IF(A19&lt;18.8,ROUND(79+((A19-16.6)/(18.8-16.6)),3)&amp;"층","무공 격파 가능"))))))))))))))))))))))))))))))))</f>
        <v>51.99층</v>
      </c>
      <c r="H7" s="43" t="str">
        <f>IF(K7&gt;72,"72층 이상부터는 쳐본 적이 없습니다.",IF(K7&gt;71,"youtu.be/BCsGtWcBqHE",IF(K7&gt;70,"70층 추천 영상은 없습니다.",IF(K7&gt;69,"youtu.be/u8BwGLxGSSM",IF(K7&gt;68,"youtu.be/SMZRuUhs5vI",IF(K7&gt;67,"youtu.be/DMyD5nr9lSw",IF(K7&gt;66,"youtu.be/LAKUpQonKFw",IF(K7&gt;65,"youtu.be/9TqMTwGyELc",IF(K7&gt;64,"youtu.be/0fYmJCYgsq0",IF(K7&gt;63,"63층 추천 영상은 없습니다.",IF(K7&gt;62,"youtu.be/YNzvLrJY760",IF(K7&gt;61,"youtu.be/rBhPzVAGOcU",IF(K7&gt;60,"youtu.be/zlqofvs-6eo",IF(K7&gt;59,"59층 추천 영상은 없습니다.",IF(K7&gt;60,"youtu.be/2YA0fyTrwxY",IF(K7&gt;57,"youtu.be/oCkpJ3T4Wsg",IF(K7&gt;56,"youtu.be/WNbQXARPW5g",IF(K7&gt;55,"youtu.be/EWFlGHcL1pY",IF(K7&gt;54,"youtu.be/fp7-sjQbgAI",IF(K7&gt;53,"youtu.be/kLoJjavIeCg",IF(K7&gt;52,"youtu.be/raggrTt0aLc",IF(K7&gt;51,"youtu.be/I8_UMVeJqGg",IF(K7&gt;50,"youtu.be/CBQ-hgMVDuQ","49층 이하는 추천 영상이 없어요.")))))))))))))))))))))))</f>
        <v>youtu.be/I8_UMVeJqGg</v>
      </c>
      <c r="I7" s="1"/>
      <c r="J7" s="1"/>
      <c r="K7" s="4">
        <f>IF(A19&lt;0.43,"49층 미만",IF(A19&lt;0.64,ROUND(49+((A19-0.43)/(0.64-0.43)),3),IF(A19&lt;0.78,ROUND(50+((A19-0.64)/(0.78-0.64)),3),IF(A19&lt;1.006,ROUND(51+((A19-0.78)/(1.006-0.78)),3),IF(A19&lt;1.19,ROUND(52+((A19-1.006)/(1.19-1.006)),3),IF(A19&lt;1.35,ROUND(53+((A19-1.19)/(1.35-1.19)),3),IF(A19&lt;1.53,ROUND(54+((A19-1.35)/(1.53-1.35)),3),IF(A19&lt;1.77,ROUND(55+((A19-1.53)/(1.77-1.53)),3),IF(A19&lt;2.1,ROUND(56+((A19-1.77)/(2.1-1.77)),3),IF(A19&lt;2.36,ROUND(57+((A19-2.1)/(2.36-2.1)),3),IF(A19&lt;2.75,ROUND(58+((A19-2.36)/(2.75-2.36)),3),IF(A19&lt;3.45,ROUND(59+((A19-2.75)/(3.45-2.75)),3),IF(A19&lt;3.75,ROUND(60+((A19-3.45)/(3.75-3.45)),3),IF(A19&lt;4.28,ROUND(61+((A19-3.75)/(4.28-3.75)),3),IF(A19&lt;4.58,ROUND(62+((A19-4.28)/(4.58-4.28)),3),IF(A19&lt;4.85,ROUND(63+((A19-4.58)/(4.85-4.58)),3),IF(A19&lt;5.52,ROUND(64+((A19-4.85)/(5.52-4.85)),3),IF(A19&lt;5.9,ROUND(65+((A19-5.52)/(5.9-5.52)),3),IF(A19&lt;6.5,ROUND(66+((A19-5.9)/(6.5-5.9)),3),IF(A19&lt;6.97,ROUND(67+((A19-6.5)/(6.97-6.5)),3),IF(A19&lt;7.53,ROUND(68+((A19-6.97)/(7.53-6.97)),3),IF(A19&lt;8.55,ROUND(69+((A19-7.53)/(8.55-7.53)),3),IF(A19&lt;8.95,ROUND(70+((A19-8.55)/(8.95-8.55)),3),IF(A19&lt;9.48,ROUND(71+((A19-8.95)/(9.48-8.95)),3),IF(A19&lt;10.15,ROUND(72+((A19-9.48)/(10.15-9.48)),3),IF(A19&lt;10.9,ROUND(73+((A19-10.15)/(10.9-10.15)),3),IF(A19&lt;11.75,ROUND(74+((A19-10.9)/(11.75-10.9)),3),IF(A19&lt;12.73,ROUND(75+((A19-11.75)/(12.73-11.75)),3),IF(A19&lt;13.8,ROUND(76+((A19-12.73)/(13.8-12.73)),3),IF(A19&lt;15.1,ROUND(77+((A19-13.8)/(15.1-13.8)),3),IF(A19&lt;16.6,ROUND(78+((A19-15.1)/(16.6-15.1)),3),IF(A19&lt;18.8,ROUND(79+((A19-16.6)/(18.8-16.6)),3),"무공 격파 가능"))))))))))))))))))))))))))))))))</f>
        <v>51.99</v>
      </c>
      <c r="L7" s="1"/>
      <c r="M7" s="5" t="s">
        <v>10</v>
      </c>
      <c r="N7" s="5"/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>
        <f>(C11/(C12+100)*(173+C15-(IF(C27&gt;14,0,30-2*C27)))*(190+C12+C13+E24-(1-0.5*E28)*6-(5-0.166*E29-0.166*E30-0.5*E31-0.5*E32-0.5*E33)*9-(IF(C27&lt;16,60,90-2*C27)))/10000000000)*(1-0.03*(4-D17))*(1-0.02*(4-D18))*(1-0.025*(4-D19))*(1-0.005*(4-D20))*(1-0.003*(4-D21))*(1-0.003*(4-D22))*(1+0.01*(C24-2))*(1-(IF(C25&gt;199,0,0.015*C25/200)))*(1-0.03*(IF(C29&lt;16,1,0)))*(1-0.03*(IF(C30&lt;16,1,0)))*(1-0.03*(IF(C31&lt;16,1,0)))*(1-0.01*(IF(C32&lt;16,1,0)))*(IF(AND((C11/(C12+100)*(173+C15-(IF(C27&gt;14,0,30-2*C27)))*(190+C12+C13+E24-(2-0.166*E30-0.5*E28)*6-(1-0.166*E29)*4-(IF(C27&lt;16,60,90-2*C27)))/10000000000)*(1-0.03*(4-D17))*(1-0.02*(4-D18))*(1-0.025*(4-D19))*(1-0.005*(4-D20))*(1-0.003*(4-D21))*(1-0.003*(4-D22))*(1+0.01*(C24-2))*(1-(IF(C25&gt;199,0,0.015*C25/200)))*(1-0.07*(1-0.5*E31))*(1-0.03*(IF(C29&lt;16,1,0)))*(1-0.03*(IF(C30&lt;16,1,0)))*(1-0.03*(IF(C31&lt;16,1,0)))*(1-0.05*(IF(C32&lt;16,1,0)))&gt;1.621,D10&lt;250),1-0.02*(250-D10),1-0.02*(IF(D10&lt;245,245-D10,0))))*IF(E26="X", 1.2/(C14*0.01+1),1)*IF(C13+E24+C12&gt;400,(1-(1-(C13+E24+C12+170)/(570)/(C13+E24+C12)*400)*0.3),1)*(1+F25*0.09)*1.03</f>
        <v>1.1803973939808001</v>
      </c>
      <c r="B8" s="8" t="s">
        <v>11</v>
      </c>
      <c r="C8" s="1"/>
      <c r="D8" s="46" t="s">
        <v>12</v>
      </c>
      <c r="E8" s="1" t="s">
        <v>13</v>
      </c>
      <c r="F8" s="1"/>
      <c r="G8" s="5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>
        <f>(C11/(C12+100)*(173+C15-(IF(C27&gt;14,0,30-2*C27)))*(190+C12+C13+E24-(1-0.5*E28)*6-(5-0.166*E29-0.166*E30-0.5*E31-0.5*E32-0.5*E33)*9-(IF(C27&lt;16,60,90-2*C27)))/10000000000)*(1-0.03*(4-D17))*(1-0.02*(4-D18))*(1-0.025*(4-D19))*(1-0.005*(4-D20))*(1-0.003*(4-D21))*(1-0.003*(4-D22))*(1+0.01*(C24-2))*(1-(IF(C25&gt;199,0,0.015*C25/200)))*(1-0.03*(IF(C29&lt;16,1,0)))*(1-0.03*(IF(C30&lt;16,1,0)))*(1-0.03*(IF(C31&lt;16,1,0)))*(1-0.01*(IF(C32&lt;16,1,0)))*(IF(AND((C11/(C12+100)*(173+C15-(IF(C27&gt;14,0,30-2*C27)))*(190+C12+C13+E24-(2-0.166*E30-0.5*E28)*6-(1-0.166*E29)*4-(IF(C27&lt;16,60,90-2*C27)))/10000000000)*(1-0.03*(4-D17))*(1-0.02*(4-D18))*(1-0.025*(4-D19))*(1-0.005*(4-D20))*(1-0.003*(4-D21))*(1-0.003*(4-D22))*(1+0.01*(C24-2))*(1-(IF(C25&gt;199,0,0.015*C25/200)))*(1-0.07*(1-0.5*E31))*(1-0.03*(IF(C29&lt;16,1,0)))*(1-0.03*(IF(C30&lt;16,1,0)))*(1-0.03*(IF(C31&lt;16,1,0)))*(1-0.05*(IF(C32&lt;16,1,0)))&gt;1.621,D10&lt;250),1-0.02*(250-D10),1-0.02*(IF(D10&lt;245,245-D10,0))))*IF(E26="X", 1.2/(C14*0.01+1),1)*IF(C13+E24+C12&gt;400,(1-(1-(C13+E24+C12+170)/(570)/(C13+E24+C12)*400)*0.3),1)*(1+F25*0.09)</f>
        <v>1.1460168873600001</v>
      </c>
      <c r="B9" s="5"/>
      <c r="C9" s="5"/>
      <c r="D9" s="5"/>
      <c r="E9" s="5"/>
      <c r="F9" s="1"/>
      <c r="G9" s="5" t="s">
        <v>14</v>
      </c>
      <c r="H9" s="5"/>
      <c r="I9" s="5"/>
      <c r="J9" s="1"/>
      <c r="K9" s="1"/>
      <c r="L9" s="1"/>
      <c r="M9" s="5" t="s">
        <v>15</v>
      </c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">
        <f>(C11/(C12+100)*(173+C15-(IF(C27&gt;14,0,30-2*C27)))*(190+C12+C13+E24-(1-0.5*E28)*6-(5-0.166*E29-0.166*E30-0.5*E31-0.5*E32-0.5*E33)*9-(IF(C27&lt;16,60,90-2*C27)))/10000000000)*(1+F25*0.09)*IF(E26="X", 1.2/(C14*0.01+1),1)</f>
        <v>1.1668982240000001</v>
      </c>
      <c r="B10" s="12" t="s">
        <v>16</v>
      </c>
      <c r="C10" s="26">
        <v>255</v>
      </c>
      <c r="D10" s="4">
        <f>IF(E26="O",C10-5,C10)</f>
        <v>255</v>
      </c>
      <c r="E10" s="1"/>
      <c r="F10" s="1"/>
      <c r="G10" s="13" t="str">
        <f>IF(A11&lt;0.43,"49층 미만",IF(A11&lt;0.64,ROUND(49+((A11-0.43)/(0.64-0.43)),3)&amp;"층",IF(A11&lt;0.78,ROUND(50+((A11-0.64)/(0.78-0.64)),3)&amp;"층",IF(A11&lt;1.006,ROUND(51+((A11-0.78)/(1.006-0.78)),3)&amp;"층",IF(A11&lt;1.19,ROUND(52+((A11-1.006)/(1.19-1.006)),3)&amp;"층",IF(A11&lt;1.35,ROUND(53+((A11-1.19)/(1.35-1.19)),3)&amp;"층",IF(A11&lt;1.53,ROUND(54+((A11-1.35)/(1.53-1.35)),3)&amp;"층",IF(A11&lt;1.77,ROUND(55+((A11-1.53)/(1.77-1.53)),3)&amp;"층",IF(A11&lt;2.1,ROUND(56+((A11-1.77)/(2.1-1.77)),3)&amp;"층",IF(A11&lt;2.36,ROUND(57+((A11-2.1)/(2.36-2.1)),3)&amp;"층",IF(A11&lt;2.75,ROUND(58+((A11-2.36)/(2.75-2.36)),3)&amp;"층",IF(A11&lt;3.45,ROUND(59+((A11-2.75)/(3.45-2.75)),3)&amp;"층",IF(A11&lt;3.75,ROUND(60+((A11-3.45)/(3.75-3.45)),3)&amp;"층",IF(A11&lt;4.28,ROUND(61+((A11-3.75)/(4.28-3.75)),3)&amp;"층",IF(A11&lt;4.58,ROUND(62+((A11-4.28)/(4.58-4.28)),3)&amp;"층",IF(A11&lt;4.85,ROUND(63+((A11-4.58)/(4.85-4.58)),3)&amp;"층",IF(A11&lt;5.52,ROUND(64+((A11-4.85)/(5.52-4.85)),3)&amp;"층",IF(A11&lt;5.9,ROUND(65+((A11-5.52)/(5.9-5.52)),3)&amp;"층",IF(A11&lt;6.5,ROUND(66+((A11-5.9)/(6.5-5.9)),3)&amp;"층",IF(A11&lt;6.97,ROUND(67+((A11-6.5)/(6.97-6.5)),3)&amp;"층",IF(A11&lt;7.53,ROUND(68+((A11-6.97)/(7.53-6.97)),3)&amp;"층",IF(A11&lt;8.55,ROUND(69+((A11-7.53)/(8.55-7.53)),3)&amp;"층",IF(A11&lt;8.95,ROUND(70+((A11-8.55)/(8.95-8.55)),3)&amp;"층",IF(A11&lt;9.48,ROUND(71+((A11-8.95)/(9.48-8.95)),3)&amp;"층",IF(A11&lt;10.15,ROUND(72+((A11-9.48)/(10.15-9.48)),3)&amp;"층",IF(A11&lt;10.9,ROUND(73+((A11-10.15)/(10.9-10.15)),3)&amp;"층",IF(A11&lt;11.75,ROUND(74+((A11-10.9)/(11.75-10.9)),3)&amp;"층",IF(A11&lt;12.73,ROUND(75+((A11-11.75)/(12.73-11.75)),3)&amp;"층",IF(A11&lt;13.8,ROUND(76+((A11-12.73)/(13.8-12.73)),3)&amp;"층",IF(A11&lt;15.1,ROUND(77+((A11-13.8)/(15.1-13.8)),3)&amp;"층",IF(A11&lt;16.6,ROUND(78+((A11-15.1)/(16.6-15.1)),3)&amp;"층",IF(A11&lt;18.8,ROUND(79+((A11-16.6)/(18.8-16.6)),3)&amp;"층","무공 격파 가능"))))))))))))))))))))))))))))))))</f>
        <v>52.761층</v>
      </c>
      <c r="H10" s="43" t="str">
        <f>IF(K10&gt;72,"72층 이상부터는 쳐본 적이 없습니다.",IF(K10&gt;71,"youtu.be/BCsGtWcBqHE",IF(K10&gt;69,"youtu.be/u8BwGLxGSSM",IF(K10&gt;68,"youtu.be/SMZRuUhs5vI",IF(K10&gt;67,"youtu.be/DMyD5nr9lSw",IF(K10&gt;66,"youtu.be/LAKUpQonKFw",IF(K10&gt;65,"youtu.be/9TqMTwGyELc",IF(K10&gt;64,"youtu.be/0fYmJCYgsq0",IF(K10&gt;63,"63층 추천 영상은 없습니다.",IF(K10&gt;62,"youtu.be/YNzvLrJY760",IF(K10&gt;61,"youtu.be/rBhPzVAGOcU",IF(K10&gt;60,"youtu.be/zlqofvs-6eo",IF(K10&gt;59,"59층 추천 영상은 없습니다.",IF(K10&gt;60,"youtu.be/2YA0fyTrwxY",IF(K10&gt;57,"youtu.be/oCkpJ3T4Wsg",IF(K10&gt;56,"youtu.be/WNbQXARPW5g",IF(K10&gt;55,"youtu.be/EWFlGHcL1pY",IF(K10&gt;54,"youtu.be/fp7-sjQbgAI",IF(K10&gt;53,"youtu.be/kLoJjavIeCg",IF(K10&gt;52,"youtu.be/raggrTt0aLc","51층 이하는 추천 영상이 없어요."))))))))))))))))))))</f>
        <v>youtu.be/raggrTt0aLc</v>
      </c>
      <c r="I10" s="1"/>
      <c r="J10" s="1"/>
      <c r="K10" s="14">
        <f>IF(A11&lt;0.43,"49층 미만",IF(A11&lt;0.64,ROUND(49+((A11-0.43)/(0.64-0.43)),3),IF(A11&lt;0.78,ROUND(50+((A11-0.64)/(0.78-0.64)),3),IF(A11&lt;1.006,ROUND(51+((A11-0.78)/(1.006-0.78)),3),IF(A11&lt;1.19,ROUND(52+((A11-1.006)/(1.19-1.006)),3),IF(A11&lt;1.35,ROUND(53+((A11-1.19)/(1.35-1.19)),3),IF(A11&lt;1.53,ROUND(54+((A11-1.35)/(1.53-1.35)),3),IF(A11&lt;1.77,ROUND(55+((A11-1.53)/(1.77-1.53)),3),IF(A11&lt;2.1,ROUND(56+((A11-1.77)/(2.1-1.77)),3),IF(A11&lt;2.36,ROUND(57+((A11-2.1)/(2.36-2.1)),3),IF(A11&lt;2.75,ROUND(58+((A11-2.36)/(2.75-2.36)),3),IF(A11&lt;3.45,ROUND(59+((A11-2.75)/(3.45-2.75)),3),IF(A11&lt;3.75,ROUND(60+((A11-3.45)/(3.75-3.45)),3),IF(A11&lt;4.28,ROUND(61+((A11-3.75)/(4.28-3.75)),3),IF(A11&lt;4.58,ROUND(62+((A11-4.28)/(4.58-4.28)),3),IF(A11&lt;4.85,ROUND(63+((A11-4.58)/(4.85-4.58)),3),IF(A11&lt;5.52,ROUND(64+((A11-4.85)/(5.52-4.85)),3),IF(A11&lt;5.9,ROUND(65+((A11-5.52)/(5.9-5.52)),3),IF(A11&lt;6.5,ROUND(66+((A11-5.9)/(6.5-5.9)),3),IF(A11&lt;6.97,ROUND(67+((A11-6.5)/(6.97-6.5)),3),IF(A11&lt;7.53,ROUND(68+((A11-6.97)/(7.53-6.97)),3),IF(A11&lt;8.55,ROUND(69+((A11-7.53)/(8.55-7.53)),3),IF(A11&lt;8.95,ROUND(70+((A11-8.55)/(8.95-8.55)),3),IF(A11&lt;9.48,ROUND(71+((A11-8.95)/(9.48-8.95)),3),IF(A11&lt;10.15,ROUND(72+((A11-9.48)/(10.15-9.48)),3),IF(A11&lt;10.9,ROUND(73+((A11-10.15)/(10.9-10.15)),3),IF(A11&lt;11.75,ROUND(74+((A11-10.9)/(11.75-10.9)),3),IF(A11&lt;12.73,ROUND(75+((A11-11.75)/(12.73-11.75)),3),IF(A11&lt;13.8,ROUND(76+((A11-12.73)/(13.8-12.73)),3),IF(A11&lt;15.1,ROUND(77+((A11-13.8)/(15.1-13.8)),3),IF(A11&lt;16.6,ROUND(78+((A11-15.1)/(16.6-15.1)),3),IF(A11&lt;18.8,ROUND(79+((A11-16.6)/(18.8-16.6)),3),"무공 격파 가능"))))))))))))))))))))))))))))))))</f>
        <v>52.761000000000003</v>
      </c>
      <c r="L10" s="1"/>
      <c r="M10" s="5" t="s">
        <v>17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f>A9*I22</f>
        <v>1.1460168873600001</v>
      </c>
      <c r="B11" s="15" t="s">
        <v>18</v>
      </c>
      <c r="C11" s="27">
        <v>21500000</v>
      </c>
      <c r="D11" s="1"/>
      <c r="E11" s="1"/>
      <c r="F11" s="1"/>
      <c r="G11" s="5"/>
      <c r="H11" s="5"/>
      <c r="I11" s="5"/>
      <c r="J11" s="5"/>
      <c r="K11" s="1"/>
      <c r="L11" s="1"/>
      <c r="M11" s="5" t="s">
        <v>19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f>A10*I22</f>
        <v>1.1668982240000001</v>
      </c>
      <c r="B12" s="12" t="s">
        <v>20</v>
      </c>
      <c r="C12" s="26">
        <v>200</v>
      </c>
      <c r="D12" s="1"/>
      <c r="E12" s="1"/>
      <c r="F12" s="1"/>
      <c r="G12" s="5" t="s">
        <v>21</v>
      </c>
      <c r="H12" s="5"/>
      <c r="I12" s="5"/>
      <c r="J12" s="5"/>
      <c r="K12" s="5"/>
      <c r="L12" s="1"/>
      <c r="M12" s="5" t="s">
        <v>22</v>
      </c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2" t="s">
        <v>23</v>
      </c>
      <c r="C13" s="26">
        <v>300</v>
      </c>
      <c r="D13" s="1"/>
      <c r="E13" s="1"/>
      <c r="F13" s="1"/>
      <c r="G13" s="13" t="str">
        <f>IF(A20&lt;0.43,"49층 미만",IF(A20&lt;0.64,ROUND(49+((A20-0.43)/(0.64-0.43)),3)&amp;"층",IF(A20&lt;0.78,ROUND(50+((A20-0.64)/(0.78-0.64)),3)&amp;"층",IF(A20&lt;1.006,ROUND(51+((A20-0.78)/(1.006-0.78)),3)&amp;"층",IF(A20&lt;1.19,ROUND(52+((A20-1.006)/(1.19-1.006)),3)&amp;"층",IF(A20&lt;1.35,ROUND(53+((A20-1.19)/(1.35-1.19)),3)&amp;"층",IF(A20&lt;1.53,ROUND(54+((A20-1.35)/(1.53-1.35)),3)&amp;"층",IF(A20&lt;1.77,ROUND(55+((A20-1.53)/(1.77-1.53)),3)&amp;"층",IF(A20&lt;2.1,ROUND(56+((A20-1.77)/(2.1-1.77)),3)&amp;"층",IF(A20&lt;2.36,ROUND(57+((A20-2.1)/(2.36-2.1)),3)&amp;"층",IF(A20&lt;2.75,ROUND(58+((A20-2.36)/(2.75-2.36)),3)&amp;"층",IF(A20&lt;3.45,ROUND(59+((A20-2.75)/(3.45-2.75)),3)&amp;"층",IF(A20&lt;3.75,ROUND(60+((A20-3.45)/(3.75-3.45)),3)&amp;"층",IF(A20&lt;4.28,ROUND(61+((A20-3.75)/(4.28-3.75)),3)&amp;"층",IF(A20&lt;4.58,ROUND(62+((A20-4.28)/(4.58-4.28)),3)&amp;"층",IF(A20&lt;4.85,ROUND(63+((A20-4.58)/(4.85-4.58)),3)&amp;"층",IF(A20&lt;5.52,ROUND(64+((A20-4.85)/(5.52-4.85)),3)&amp;"층",IF(A20&lt;5.9,ROUND(65+((A20-5.52)/(5.9-5.52)),3)&amp;"층",IF(A20&lt;6.5,ROUND(66+((A20-5.9)/(6.5-5.9)),3)&amp;"층",IF(A20&lt;6.97,ROUND(67+((A20-6.5)/(6.97-6.5)),3)&amp;"층",IF(A20&lt;7.53,ROUND(68+((A20-6.97)/(7.53-6.97)),3)&amp;"층",IF(A20&lt;8.55,ROUND(69+((A20-7.53)/(8.55-7.53)),3)&amp;"층",IF(A20&lt;8.95,ROUND(70+((A20-8.55)/(8.95-8.55)),3)&amp;"층",IF(A20&lt;9.48,ROUND(71+((A20-8.95)/(9.48-8.95)),3)&amp;"층",IF(A20&lt;10.15,ROUND(72+((A20-9.48)/(10.15-9.48)),3)&amp;"층",IF(A20&lt;10.9,ROUND(73+((A20-10.15)/(10.9-10.15)),3)&amp;"층",IF(A20&lt;11.75,ROUND(74+((A20-10.9)/(11.75-10.9)),3)&amp;"층",IF(A20&lt;12.73,ROUND(75+((A20-11.75)/(12.73-11.75)),3)&amp;"층",IF(A20&lt;13.8,ROUND(76+((A20-12.73)/(13.8-12.73)),3)&amp;"층",IF(A20&lt;15.1,ROUND(77+((A20-13.8)/(15.1-13.8)),3)&amp;"층",IF(A20&lt;16.6,ROUND(78+((A20-15.1)/(16.6-15.1)),3)&amp;"층",IF(A20&lt;18.8,ROUND(79+((A20-16.6)/(18.8-16.6)),3)&amp;"층","무공 격파 가능"))))))))))))))))))))))))))))))))</f>
        <v>53.113층</v>
      </c>
      <c r="H13" s="43" t="str">
        <f>IF(K13&gt;72,"72층 이상부터는 쳐본 적이 없습니다.",IF(K13&gt;71,"youtu.be/BCsGtWcBqHE",IF(K13&gt;70,"70층 추천 영상은 없습니다.",IF(K13&gt;69,"youtu.be/u8BwGLxGSSM",IF(K13&gt;68,"youtu.be/SMZRuUhs5vI",IF(K13&gt;67,"youtu.be/DMyD5nr9lSw",IF(K13&gt;66,"youtu.be/LAKUpQonKFw",IF(K13&gt;65,"youtu.be/9TqMTwGyELc",IF(K13&gt;64,"youtu.be/0fYmJCYgsq0",IF(K13&gt;63,"63층 추천 영상은 없습니다.",IF(K13&gt;62,"youtu.be/YNzvLrJY760",IF(K13&gt;61,"youtu.be/rBhPzVAGOcU",IF(K13&gt;60,"youtu.be/zlqofvs-6eo",IF(K13&gt;59,"59층 추천 영상은 없습니다.",IF(K13&gt;60,"youtu.be/2YA0fyTrwxY",IF(K13&gt;57,"youtu.be/oCkpJ3T4Wsg",IF(K13&gt;56,"youtu.be/WNbQXARPW5g",IF(K13&gt;55,"youtu.be/EWFlGHcL1pY",IF(K13&gt;54,"youtu.be/fp7-sjQbgAI",IF(K13&gt;53,"youtu.be/kLoJjavIeCg",IF(K13&gt;52,"youtu.be/raggrTt0aLc","51층 이하는 추천 영상이 없어요.")))))))))))))))))))))</f>
        <v>youtu.be/kLoJjavIeCg</v>
      </c>
      <c r="I13" s="1"/>
      <c r="J13" s="1"/>
      <c r="K13" s="4">
        <f>IF(A20&lt;0.43,"49층 미만",IF(A20&lt;0.64,ROUND(49+((A20-0.43)/(0.64-0.43)),3),IF(A20&lt;0.78,ROUND(50+((A20-0.64)/(0.78-0.64)),3),IF(A20&lt;1.006,ROUND(51+((A20-0.78)/(1.006-0.78)),3),IF(A20&lt;1.19,ROUND(52+((A20-1.006)/(1.19-1.006)),3),IF(A20&lt;1.35,ROUND(53+((A20-1.19)/(1.35-1.19)),3),IF(A20&lt;1.53,ROUND(54+((A20-1.35)/(1.53-1.35)),3),IF(A20&lt;1.77,ROUND(55+((A20-1.53)/(1.77-1.53)),3),IF(A20&lt;2.1,ROUND(56+((A20-1.77)/(2.1-1.77)),3),IF(A20&lt;2.36,ROUND(57+((A20-2.1)/(2.36-2.1)),3),IF(A20&lt;2.75,ROUND(58+((A20-2.36)/(2.75-2.36)),3),IF(A20&lt;3.45,ROUND(59+((A20-2.75)/(3.45-2.75)),3),IF(A20&lt;3.75,ROUND(60+((A20-3.45)/(3.75-3.45)),3),IF(A20&lt;4.28,ROUND(61+((A20-3.75)/(4.28-3.75)),3),IF(A20&lt;4.58,ROUND(62+((A20-4.28)/(4.58-4.28)),3),IF(A20&lt;4.85,ROUND(63+((A20-4.58)/(4.85-4.58)),3),IF(A20&lt;5.52,ROUND(64+((A20-4.85)/(5.52-4.85)),3),IF(A20&lt;5.9,ROUND(65+((A20-5.52)/(5.9-5.52)),3),IF(A20&lt;6.5,ROUND(66+((A20-5.9)/(6.5-5.9)),3),IF(A20&lt;6.97,ROUND(67+((A20-6.5)/(6.97-6.5)),3),IF(A20&lt;7.53,ROUND(68+((A20-6.97)/(7.53-6.97)),3),IF(A20&lt;8.55,ROUND(69+((A20-7.53)/(8.55-7.53)),3),IF(A20&lt;8.95,ROUND(70+((A20-8.55)/(8.95-8.55)),3),IF(A20&lt;9.48,ROUND(71+((A20-8.95)/(9.48-8.95)),3),IF(A20&lt;10.15,ROUND(72+((A20-9.48)/(10.15-9.48)),3),IF(A20&lt;10.9,ROUND(73+((A20-10.15)/(10.9-10.15)),3),IF(A20&lt;11.75,ROUND(74+((A20-10.9)/(11.75-10.9)),3),IF(A20&lt;12.73,ROUND(75+((A20-11.75)/(12.73-11.75)),3),IF(A20&lt;13.8,ROUND(76+((A20-12.73)/(13.8-12.73)),3),IF(A20&lt;15.1,ROUND(77+((A20-13.8)/(15.1-13.8)),3),IF(A20&lt;16.6,ROUND(78+((A20-15.1)/(16.6-15.1)),3),IF(A20&lt;18.8,ROUND(79+((A20-16.6)/(18.8-16.6)),3),"무공 격파 가능"))))))))))))))))))))))))))))))))</f>
        <v>53.113</v>
      </c>
      <c r="L13" s="1"/>
      <c r="M13" s="5" t="s">
        <v>24</v>
      </c>
      <c r="N13" s="5"/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2" t="s">
        <v>25</v>
      </c>
      <c r="C14" s="28">
        <f>IF(AND(E26="O",C10&lt;250),92,IF(AND(E26="O",C10&lt;300),98, 20))</f>
        <v>20</v>
      </c>
      <c r="D14" s="1"/>
      <c r="E14" s="1"/>
      <c r="F14" s="1"/>
      <c r="G14" s="5"/>
      <c r="H14" s="5"/>
      <c r="I14" s="5"/>
      <c r="J14" s="5"/>
      <c r="K14" s="1"/>
      <c r="L14" s="1"/>
      <c r="M14" s="5" t="s">
        <v>26</v>
      </c>
      <c r="N14" s="5"/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2" t="s">
        <v>27</v>
      </c>
      <c r="C15" s="26">
        <v>63</v>
      </c>
      <c r="D15" s="1"/>
      <c r="E15" s="1"/>
      <c r="F15" s="1"/>
      <c r="G15" s="16" t="s">
        <v>28</v>
      </c>
      <c r="H15" s="17" t="str">
        <f>ROUND(A12*1730*(1-0.03*(4-D17))*(1-0.025*(4-D19)),0)&amp;"점"</f>
        <v>2019점</v>
      </c>
      <c r="I15" s="5"/>
      <c r="J15" s="5"/>
      <c r="K15" s="1"/>
      <c r="L15" s="1"/>
      <c r="M15" s="5" t="s">
        <v>29</v>
      </c>
      <c r="N15" s="5"/>
      <c r="O15" s="5"/>
      <c r="P15" s="5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5"/>
      <c r="C16" s="5"/>
      <c r="D16" s="5"/>
      <c r="E16" s="5"/>
      <c r="F16" s="1"/>
      <c r="G16" s="18" t="s">
        <v>30</v>
      </c>
      <c r="H16" s="19" t="str">
        <f>ROUND(1.3*A17,3)&amp;"억~"&amp;TEXT(1.44*A17,"0.000")&amp;"억"</f>
        <v>1.517억~1.680억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f>(C11/(C12+100)*(173+C15-(IF(C27&gt;14,0,30-2*C27)))*(190+C12+C13+E24-(1-0.5*E28)*6-(5-0.166*E29-0.166*E30-0.5*E31-0.5*E32-0.5*E33)*9-(IF(C27&lt;16,60,90-2*C27)))/10000000000)*IF(E26="X", 1.2/(C14*0.01+1),1)</f>
        <v>1.1668982240000001</v>
      </c>
      <c r="B17" s="12" t="s">
        <v>31</v>
      </c>
      <c r="C17" s="26">
        <v>4</v>
      </c>
      <c r="D17" s="3">
        <f>IF(AND($A$10&lt;1.7,C17&lt;4),(C17)+0.7-$A$10*0.2,C17)</f>
        <v>4</v>
      </c>
      <c r="E17" s="1"/>
      <c r="F17" s="1"/>
      <c r="G17" s="5"/>
      <c r="H17" s="5"/>
      <c r="I17" s="5"/>
      <c r="J17" s="1"/>
      <c r="K17" s="1"/>
      <c r="L17" s="1"/>
      <c r="M17" s="5" t="s">
        <v>32</v>
      </c>
      <c r="N17" s="5"/>
      <c r="O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2" t="s">
        <v>33</v>
      </c>
      <c r="C18" s="26">
        <v>4</v>
      </c>
      <c r="D18" s="3">
        <f>IF(AND(A10&lt;1.7,C18&lt;4),(C18)+1,C18)</f>
        <v>4</v>
      </c>
      <c r="E18" s="1"/>
      <c r="F18" s="1"/>
      <c r="G18" s="5" t="s">
        <v>34</v>
      </c>
      <c r="H18" s="1"/>
      <c r="I18" s="1"/>
      <c r="J18" s="1"/>
      <c r="K18" s="1"/>
      <c r="L18" s="4">
        <f>IF(A9&lt;3.4,0.5*(C34*0.01),IF(A9&lt;3.7,0.65*(C34*0.01),IF(A9&lt;4.5,0.75*(C34*0.01),IF(A9&lt;5.5,0.85*(C34*0.01),IF(A9&lt;6.5,0.92*(C34*0.01),IF(A9&lt;7.5,0.96*(C34*0.01),IF(A9&lt;8.5,1*(C34*0.01),IF(A9&lt;10,1.5*(C34*0.01),IF(A9&lt;13,1.8*(C34*0.01),2*(C34*0.01))))))))))/(IF(A9&lt;3.4,0.5*0.92,IF(A9&lt;3.7,0.65*0.92,IF(A9&lt;4.5,0.75*0.92,IF(A9&lt;5.5,0.85*0.92,IF(A9&lt;6.5,0.92*0.92,IF(A9&lt;7.5,0.96*0.92,IF(A9&lt;8.5,1*0.92,IF(A9&lt;10,1.5*0.92,IF(A9&lt;13,1.8*0.92,2*0.92))))))))))</f>
        <v>0.98913043478260865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f>A11*(0.87+IF(A8&gt;18,0.9,A8*0.005))</f>
        <v>1.0037984687396886</v>
      </c>
      <c r="B19" s="12" t="s">
        <v>35</v>
      </c>
      <c r="C19" s="26">
        <v>4</v>
      </c>
      <c r="D19" s="3">
        <f t="shared" ref="D19:D20" si="0">IF($A$10&lt;1.2,4,C19)</f>
        <v>4</v>
      </c>
      <c r="E19" s="1"/>
      <c r="F19" s="1"/>
      <c r="G19" s="5" t="s">
        <v>36</v>
      </c>
      <c r="H19" s="5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f>A11*(1.06-IF(A8&gt;6,0.03,0.005*A8))</f>
        <v>1.2080141238651114</v>
      </c>
      <c r="B20" s="12" t="s">
        <v>37</v>
      </c>
      <c r="C20" s="26">
        <v>4</v>
      </c>
      <c r="D20" s="3">
        <f t="shared" si="0"/>
        <v>4</v>
      </c>
      <c r="E20" s="1"/>
      <c r="F20" s="1"/>
      <c r="G20" s="20" t="str">
        <f>IF(A12&lt;1.006,"51층 이하",IF(A12&lt;1.19,ROUND(52+((A12-1.006)/(1.19-1.006)),3)&amp;"층",IF(A12&lt;1.33,ROUND(53+((A12-1.19)/(1.33-1.19)),3)&amp;"층",IF(A12&lt;1.55,ROUND(54+((A12-1.33)/(1.55-1.33)),3)&amp;"층",IF(A12&lt;1.77,ROUND(55+((A12-1.55)/(1.77-1.55)),3)&amp;"층",IF(A12&lt;2.1,ROUND(56+((A12-1.77)/(2.1-1.77)),3)&amp;"층",IF(A12&lt;2.38,ROUND(57+((A12-2.1)/(2.38-2.1)),3)&amp;"층",IF(A12&lt;2.85,ROUND(58+((A12-2.38)/(2.85-2.38)),3)&amp;"층",IF(A12&lt;3.4,ROUND(59+((A12-2.85)/(3.4-2.85)),3)&amp;"층",IF(A12&lt;3.75,ROUND(60+((A12-3.4)/(3.75-3.4)),3)&amp;"층",IF(A12&lt;4.23,ROUND(61+((A12-3.75)/(4.23-3.75)),3)&amp;"층",IF(A12&lt;4.66,ROUND(62+((A12-4.23)/(4.66-4.23)),3)&amp;"층",IF(A12&lt;4.85,ROUND(63+((A12-4.66)/(4.85-4.66)),3)&amp;"층",IF(A12&lt;5.38,ROUND(64+((A12-4.85)/(5.38-4.85)),3)&amp;"층",IF(A12&lt;5.7,ROUND(65+((A12-5.38)/(5.7-5.38)),3)&amp;"층",IF(A12&lt;6.25,ROUND(66+((A12-5.7)/(6.25-5.7)),3)&amp;"층",IF(A12&lt;6.97,ROUND(67+((A12-6.25)/(6.97-6.25)),3)&amp;"층",IF(A12&lt;7.9,ROUND(68+((A12-6.97)/(7.9-6.97)),3)&amp;"층",IF(A12&lt;8.55,ROUND(69+((A12-7.9)/(8.55-7.9)),3)&amp;"층",IF(A12&lt;8.95,ROUND(70+((A12-8.55)/(8.95-8.55)),3)&amp;"층",IF(A12&lt;9.48,ROUND(71+((A12-8.95)/(9.48-8.95)),3)&amp;"층",IF(A12&lt;10.15,ROUND(72+((A12-9.48)/(10.15-9.48)),3)&amp;"층",IF(A12&lt;10.9,ROUND(73+((A12-10.15)/(10.9-10.15)),3)&amp;"층",IF(A12&lt;11.75,ROUND(74+((A12-10.9)/(11.75-10.9)),3)&amp;"층",IF(A12&lt;12.73,ROUND(75+((A12-11.75)/(12.73-11.75)),3)&amp;"층",IF(A12&lt;13.8,ROUND(76+((A12-12.73)/(13.8-12.73)),3)&amp;"층",IF(A12&lt;15.1,ROUND(77+((A12-13.8)/(15.1-13.8)),3)&amp;"층",IF(A12&lt;16.6,ROUND(78+((A12-15.1)/(16.6-15.1)),3)&amp;"층",IF(A12&lt;18.8,ROUND(79+((A12-16.6)/(18.8-16.6)),3)&amp;"층","무공 격파 가능")))))))))))))))))))))))))))))</f>
        <v>52.874층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2" t="s">
        <v>38</v>
      </c>
      <c r="C21" s="26">
        <v>4</v>
      </c>
      <c r="D21" s="3">
        <f>IF($A$10&lt;1.2,4,IF(C21&lt;2,4,C21))</f>
        <v>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2" t="s">
        <v>39</v>
      </c>
      <c r="C22" s="26">
        <v>4</v>
      </c>
      <c r="D22" s="3">
        <f>IF($A$10&lt;1.2,4,C22)</f>
        <v>4</v>
      </c>
      <c r="E22" s="1"/>
      <c r="F22" s="1"/>
      <c r="G22" s="5" t="s">
        <v>40</v>
      </c>
      <c r="H22" s="1"/>
      <c r="I22" s="4">
        <f>IF(IF(A8&lt;3.4,(1-(1-0.01*E34)*0.5),IF(A8&lt;3.7,(1-(1-0.01*E34)*0.65),IF(A8&lt;4.5,(1-(1-0.01*E34)*0.75),IF(A8&lt;5.5,(1-(1-0.01*E34)*0.85),IF(A8&lt;6.5,(1-(1-0.01*E34)*0.94),IF(A8&lt;7.5,(1-(1-0.01*E34)*0.96),IF(A8&lt;8.5,(1-(1-0.01*E34)*1),IF(A8&lt;10,(1-(1-0.01*E34)*1.5),IF(A8&lt;13,(1-(1-0.01*E34)*1.8),(1-(1-0.01*E34)*2))))))))))/(IF(A8&lt;3.4,(1-(0.05)*0.5),IF(A8&lt;3.7,(1-(0.05)*0.65),IF(A8&lt;4.5,(1-(0.05)*0.75),IF(A8&lt;5.5,(1-(0.05)*0.85),IF(A8&lt;6.5,(1-(0.05)*0.94),IF(A8&lt;7.5,(1-(0.05)*0.96),IF(A8&lt;8.5,(1-(0.05)*1),IF(A8&lt;10,(1-(0.05)*1.5),IF(A8&lt;13,(1-(0.05)*1.8),(1-(0.05)*2)))))))))))&gt;1,1,IF(A8&lt;3.4,(1-(1-0.01*E34)*0.5),IF(A8&lt;3.7,(1-(1-0.01*E34)*0.65),IF(A8&lt;4.5,(1-(1-0.01*E34)*0.75),IF(A8&lt;5.5,(1-(1-0.01*E34)*0.85),IF(A8&lt;6.5,(1-(1-0.01*E34)*0.94),IF(A8&lt;7.5,(1-(1-0.01*E34)*0.96),IF(A8&lt;8.5,(1-(1-0.01*E34)*1),IF(A8&lt;10,(1-(1-0.01*E34)*1.5),IF(A8&lt;13,(1-(1-0.01*E34)*1.8),(1-(1-0.01*E34)*2))))))))))/(IF(A8&lt;3.4,(1-(0.05)*0.5),IF(A8&lt;3.7,(1-(0.05)*0.65),IF(A8&lt;4.5,(1-(0.05)*0.75),IF(A8&lt;5.5,(1-(0.05)*0.85),IF(A8&lt;6.5,(1-(0.05)*0.94),IF(A8&lt;7.5,(1-(0.05)*0.96),IF(A8&lt;8.5,(1-(0.05)*1),IF(A8&lt;10,(1-(0.05)*1.5),IF(A8&lt;13,(1-(0.05)*1.8),(1-(0.05)*2))))))))))))</f>
        <v>1</v>
      </c>
      <c r="J22" s="4">
        <f>(1-I22)*100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5"/>
      <c r="C23" s="5"/>
      <c r="D23" s="5"/>
      <c r="E23" s="5"/>
      <c r="F23" s="1"/>
      <c r="G23" s="21" t="str">
        <f>IF(J22&lt;0.1,"방무가 많이 여유있어서 유니온점령 방무 빼서 럭에 넣어도 될 정도.",IF(J22&lt;0.5,"메잘알 방무", IF(J22&lt;1.3,"양호",IF(J22&lt;2,"적정",IF(J22&lt;3,"방무를 좀 더 추가해도 괜찮음.",IF(J22&lt;5,"유니온점령 방무 좀 빼지마라.",IF(J22&lt;7,"심각하게 낮음. 방무 1줄은 추가하거나 마약 때를 기다리세요.",IF(J22&lt;10,"매우 심각하게 낮음. 방무 2줄은 추가해야함.","무릉치지 마세요."))))))))</f>
        <v>방무가 많이 여유있어서 유니온점령 방무 빼서 럭에 넣어도 될 정도.</v>
      </c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2" t="s">
        <v>41</v>
      </c>
      <c r="C24" s="26">
        <v>2</v>
      </c>
      <c r="D24" s="12" t="s">
        <v>42</v>
      </c>
      <c r="E24" s="29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2" t="s">
        <v>43</v>
      </c>
      <c r="C25" s="26">
        <v>200</v>
      </c>
      <c r="D25" s="12" t="s">
        <v>44</v>
      </c>
      <c r="E25" s="29" t="s">
        <v>45</v>
      </c>
      <c r="F25" s="4">
        <f t="shared" ref="F25:F26" si="1">IF(E25="O",1,0)</f>
        <v>0</v>
      </c>
      <c r="G25" s="5" t="s">
        <v>46</v>
      </c>
      <c r="H25" s="5"/>
      <c r="I25" s="5"/>
      <c r="J25" s="5"/>
      <c r="K25" s="5"/>
      <c r="L25" s="1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2" t="s">
        <v>47</v>
      </c>
      <c r="C26" s="26">
        <v>200</v>
      </c>
      <c r="D26" s="12" t="s">
        <v>48</v>
      </c>
      <c r="E26" s="29" t="s">
        <v>45</v>
      </c>
      <c r="F26" s="4">
        <f t="shared" si="1"/>
        <v>0</v>
      </c>
      <c r="G26" s="5" t="s">
        <v>49</v>
      </c>
      <c r="H26" s="5"/>
      <c r="I26" s="5"/>
      <c r="J26" s="5"/>
      <c r="K26" s="5"/>
      <c r="L26" s="1"/>
      <c r="M26" s="1"/>
      <c r="N26" s="1"/>
      <c r="O26" s="1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2" t="s">
        <v>50</v>
      </c>
      <c r="C27" s="26">
        <v>45</v>
      </c>
      <c r="D27" s="1"/>
      <c r="E27" s="1"/>
      <c r="F27" s="1"/>
      <c r="G27" s="5" t="s">
        <v>51</v>
      </c>
      <c r="H27" s="5"/>
      <c r="I27" s="5"/>
      <c r="J27" s="5"/>
      <c r="K27" s="5"/>
      <c r="L27" s="1"/>
      <c r="M27" s="5" t="s">
        <v>52</v>
      </c>
      <c r="N27" s="5"/>
      <c r="O27" s="5"/>
      <c r="P27" s="5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2" t="s">
        <v>53</v>
      </c>
      <c r="E28" s="29">
        <v>2</v>
      </c>
      <c r="F28" s="1"/>
      <c r="G28" s="1"/>
      <c r="H28" s="1"/>
      <c r="I28" s="1"/>
      <c r="J28" s="1"/>
      <c r="K28" s="1"/>
      <c r="L28" s="1"/>
      <c r="M28" s="1"/>
      <c r="N28" s="5"/>
      <c r="O28" s="5"/>
      <c r="P28" s="5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2" t="s">
        <v>54</v>
      </c>
      <c r="C29" s="26">
        <v>30</v>
      </c>
      <c r="D29" s="12" t="s">
        <v>55</v>
      </c>
      <c r="E29" s="29">
        <v>6</v>
      </c>
      <c r="F29" s="1"/>
      <c r="G29" s="1"/>
      <c r="H29" s="1"/>
      <c r="I29" s="1"/>
      <c r="J29" s="1"/>
      <c r="K29" s="1"/>
      <c r="L29" s="1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2" t="s">
        <v>56</v>
      </c>
      <c r="C30" s="26">
        <v>30</v>
      </c>
      <c r="D30" s="12" t="s">
        <v>57</v>
      </c>
      <c r="E30" s="29">
        <v>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2" t="s">
        <v>58</v>
      </c>
      <c r="C31" s="26">
        <v>30</v>
      </c>
      <c r="D31" s="12" t="s">
        <v>59</v>
      </c>
      <c r="E31" s="29">
        <v>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2" t="s">
        <v>60</v>
      </c>
      <c r="C32" s="26">
        <v>30</v>
      </c>
      <c r="D32" s="12" t="s">
        <v>61</v>
      </c>
      <c r="E32" s="29">
        <v>2</v>
      </c>
      <c r="F32" s="1"/>
      <c r="G32" s="1"/>
      <c r="H32" s="1"/>
      <c r="I32" s="1"/>
      <c r="J32" s="1"/>
      <c r="K32" s="1"/>
      <c r="L32" s="1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2" t="s">
        <v>62</v>
      </c>
      <c r="E33" s="29">
        <v>2</v>
      </c>
      <c r="F33" s="1"/>
      <c r="G33" s="1"/>
      <c r="H33" s="1"/>
      <c r="I33" s="1"/>
      <c r="J33" s="1"/>
      <c r="K33" s="1"/>
      <c r="L33" s="1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12" t="s">
        <v>63</v>
      </c>
      <c r="C34" s="26">
        <v>91</v>
      </c>
      <c r="D34" s="4">
        <v>91.81</v>
      </c>
      <c r="E34" s="4">
        <f>(1-((1-D34/100)*0.5))*100</f>
        <v>95.905000000000001</v>
      </c>
      <c r="F34" s="1"/>
      <c r="G34" s="1"/>
      <c r="H34" s="1"/>
      <c r="I34" s="1"/>
      <c r="J34" s="1"/>
      <c r="K34" s="1"/>
      <c r="L34" s="1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5"/>
      <c r="B35" s="5"/>
      <c r="C35" s="22" t="s">
        <v>64</v>
      </c>
      <c r="D35" s="5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1"/>
      <c r="C36" s="1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45" t="s">
        <v>65</v>
      </c>
      <c r="C37" s="5"/>
      <c r="D37" s="5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5" t="s">
        <v>66</v>
      </c>
      <c r="C38" s="5"/>
      <c r="D38" s="5"/>
      <c r="E38" s="5"/>
      <c r="F38" s="5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5" t="s">
        <v>67</v>
      </c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44" t="s">
        <v>68</v>
      </c>
      <c r="C40" s="5"/>
      <c r="D40" s="5"/>
      <c r="E40" s="5"/>
      <c r="F40" s="5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45" t="s">
        <v>69</v>
      </c>
      <c r="C42" s="5"/>
      <c r="D42" s="5"/>
      <c r="E42" s="1"/>
      <c r="F42" s="1"/>
      <c r="G42" s="1"/>
      <c r="H42" s="1"/>
      <c r="I42" s="1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5" t="s">
        <v>70</v>
      </c>
      <c r="C43" s="1"/>
      <c r="D43" s="1"/>
      <c r="E43" s="1"/>
      <c r="F43" s="1"/>
      <c r="G43" s="1"/>
      <c r="H43" s="1"/>
      <c r="I43" s="1"/>
      <c r="J43" s="5"/>
      <c r="K43" s="1"/>
      <c r="L43" s="1"/>
      <c r="M43" s="1"/>
      <c r="N43" s="9"/>
      <c r="O43" s="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45" t="s">
        <v>71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9"/>
      <c r="O45" s="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24" t="s">
        <v>72</v>
      </c>
      <c r="C46" s="1"/>
      <c r="D46" s="1"/>
      <c r="E46" s="1"/>
      <c r="F46" s="1"/>
      <c r="G46" s="1"/>
      <c r="H46" s="1"/>
      <c r="I46" s="1"/>
      <c r="J46" s="5"/>
      <c r="K46" s="1"/>
      <c r="L46" s="1"/>
      <c r="M46" s="1"/>
      <c r="N46" s="9"/>
      <c r="O46" s="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5" t="s">
        <v>73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9"/>
      <c r="O48" s="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45" t="s">
        <v>74</v>
      </c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5"/>
      <c r="C52" s="5"/>
      <c r="D52" s="5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5"/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5"/>
      <c r="C55" s="5"/>
      <c r="D55" s="5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5"/>
      <c r="F57" s="5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5"/>
      <c r="C60" s="5"/>
      <c r="D60" s="5"/>
      <c r="E60" s="5"/>
      <c r="F60" s="5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5"/>
      <c r="C62" s="5"/>
      <c r="D62" s="5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1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2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5" t="s">
        <v>75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5" t="str">
        <f>"49층 격수 "&amp;TEXT(A9/0.43,"0.000명 스펙입니다.")&amp;""</f>
        <v>49층 격수 2.665명 스펙입니다.</v>
      </c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5" t="str">
        <f>"50층 격수 "&amp;TEXT(A9/0.65,"0.000명 스펙입니다.")&amp;""</f>
        <v>50층 격수 1.763명 스펙입니다.</v>
      </c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5" t="str">
        <f>"51층 격수 "&amp;TEXT(A9/0.78,"0.000명 스펙입니다.")&amp;""</f>
        <v>51층 격수 1.469명 스펙입니다.</v>
      </c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5" t="str">
        <f>"52층 격수 "&amp;TEXT(A9/1.006,"0.000명 스펙입니다.")&amp;""</f>
        <v>52층 격수 1.139명 스펙입니다.</v>
      </c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5" t="str">
        <f>"53층 격수 "&amp;TEXT(A9/1.19,"0.000명 스펙입니다.")&amp;""</f>
        <v>53층 격수 0.963명 스펙입니다.</v>
      </c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5" t="str">
        <f>"54층 격수 "&amp;TEXT(A9/1.395,"0.000명 스펙입니다.")&amp;""</f>
        <v>54층 격수 0.822명 스펙입니다.</v>
      </c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5" t="str">
        <f>"55층 격수 "&amp;TEXT(A9/1.622,"0.000명 스펙입니다.")&amp;""</f>
        <v>55층 격수 0.707명 스펙입니다.</v>
      </c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5" t="str">
        <f>"56층 격수 "&amp;TEXT(A9/2.073,"0.000명 스펙입니다.")&amp;""</f>
        <v>56층 격수 0.553명 스펙입니다.</v>
      </c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5" t="str">
        <f>"57층 격수 "&amp;TEXT(A9/2.275,"0.000명 스펙입니다.")&amp;""</f>
        <v>57층 격수 0.504명 스펙입니다.</v>
      </c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5" t="str">
        <f>"60층 격수 "&amp;TEXT(A9/2.681,"0.000명 스펙입니다.")&amp;""</f>
        <v>60층 격수 0.427명 스펙입니다.</v>
      </c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5" t="str">
        <f>"59층 격수 "&amp;TEXT(A9/2.935,"0.000명 스펙입니다.")&amp;""</f>
        <v>59층 격수 0.390명 스펙입니다.</v>
      </c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5" t="str">
        <f>"60층 격수 "&amp;TEXT(A9/3.78,"0.000명 스펙입니다.")&amp;""</f>
        <v>60층 격수 0.303명 스펙입니다.</v>
      </c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5" t="str">
        <f>"61층 격수 "&amp;TEXT(A9/4.1,"0.000명 스펙입니다.")&amp;""</f>
        <v>61층 격수 0.280명 스펙입니다.</v>
      </c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5" t="str">
        <f>"62층 격수 "&amp;TEXT(A9/4.35,"0.000명 스펙입니다.")&amp;""</f>
        <v>62층 격수 0.263명 스펙입니다.</v>
      </c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5" t="str">
        <f>"63층 격수 "&amp;TEXT(A9/4.741,"0.000명 스펙입니다.")&amp;""</f>
        <v>63층 격수 0.242명 스펙입니다.</v>
      </c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5" t="str">
        <f>"64층 격수 "&amp;TEXT(A9/5.1,"0.000명 스펙입니다.")&amp;""</f>
        <v>64층 격수 0.225명 스펙입니다.</v>
      </c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5" t="str">
        <f>"65층 격수 "&amp;TEXT(A9/5.49,"0.000명 스펙입니다.")&amp;""</f>
        <v>65층 격수 0.209명 스펙입니다.</v>
      </c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5" t="str">
        <f>"66층 격수 "&amp;TEXT(A9/5.96,"0.000명 스펙입니다.")&amp;""</f>
        <v>66층 격수 0.192명 스펙입니다.</v>
      </c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5" t="str">
        <f>"67층 격수 "&amp;TEXT(A9/6.43,"0.000명 스펙입니다.")&amp;""</f>
        <v>67층 격수 0.178명 스펙입니다.</v>
      </c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5" t="str">
        <f>"68층 격수 "&amp;TEXT(A9/6.878,"0.000명 스펙입니다.")&amp;""</f>
        <v>68층 격수 0.167명 스펙입니다.</v>
      </c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5" t="str">
        <f>"69층 격수 "&amp;TEXT(A9/7.322,"0.000명 스펙입니다.")&amp;""</f>
        <v>69층 격수 0.157명 스펙입니다.</v>
      </c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5" t="str">
        <f>"70층 격수 "&amp;TEXT(A9/8.233,"0.000명 스펙입니다.")&amp;""</f>
        <v>70층 격수 0.139명 스펙입니다.</v>
      </c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5" t="str">
        <f>"71층 격수 "&amp;TEXT(A9/8.753,"0.000명 스펙입니다.")&amp;""</f>
        <v>71층 격수 0.131명 스펙입니다.</v>
      </c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5" t="str">
        <f>"72층 격수 "&amp;TEXT(A9/9.344,"0.000명 스펙입니다.")&amp;""</f>
        <v>72층 격수 0.123명 스펙입니다.</v>
      </c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5" t="str">
        <f>"73층 격수 "&amp;TEXT(A9/10,"0.000명 스펙입니다.")&amp;""</f>
        <v>73층 격수 0.115명 스펙입니다.</v>
      </c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5" t="str">
        <f>"74층 격수 "&amp;TEXT(A9/10.738,"0.000명 스펙입니다.")&amp;""</f>
        <v>74층 격수 0.107명 스펙입니다.</v>
      </c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sheetProtection algorithmName="SHA-512" hashValue="vsVHpaRXLh9DCxnEdno+0VrmiKo4cMVWYA6+NYCMF/xDJ2DjzA0IVPqPPzv/0Ps5E5DBnF93xk8bqB6xF2Cafw==" saltValue="OqFeVZFy+ctyYXk/LqB4WA==" spinCount="100000" sheet="1" objects="1" scenarios="1" selectLockedCells="1"/>
  <phoneticPr fontId="18" type="noConversion"/>
  <conditionalFormatting sqref="E25:E26">
    <cfRule type="notContainsBlanks" dxfId="8" priority="1">
      <formula>LEN(TRIM(E25))&gt;0</formula>
    </cfRule>
  </conditionalFormatting>
  <dataValidations count="15">
    <dataValidation type="decimal" allowBlank="1" showDropDown="1" showInputMessage="1" showErrorMessage="1" prompt="번호를 입력하세요. 사이 240 및 300" sqref="C10" xr:uid="{00000000-0002-0000-0000-000000000000}">
      <formula1>240</formula1>
      <formula2>300</formula2>
    </dataValidation>
    <dataValidation type="decimal" allowBlank="1" showDropDown="1" showInputMessage="1" showErrorMessage="1" prompt="번호를 입력하세요. 사이 0 및 100" sqref="C34" xr:uid="{00000000-0002-0000-0000-000001000000}">
      <formula1>0</formula1>
      <formula2>100</formula2>
    </dataValidation>
    <dataValidation type="decimal" allowBlank="1" showDropDown="1" showInputMessage="1" showErrorMessage="1" prompt="번호를 입력하세요. 사이 0 및 45" sqref="C27" xr:uid="{00000000-0002-0000-0000-000002000000}">
      <formula1>0</formula1>
      <formula2>45</formula2>
    </dataValidation>
    <dataValidation type="list" allowBlank="1" showErrorMessage="1" sqref="E25:E26" xr:uid="{00000000-0002-0000-0000-000003000000}">
      <formula1>"O,X"</formula1>
    </dataValidation>
    <dataValidation type="decimal" allowBlank="1" showDropDown="1" showInputMessage="1" showErrorMessage="1" prompt="번호를 입력하세요. 사이 1 및 300" sqref="C26" xr:uid="{00000000-0002-0000-0000-000004000000}">
      <formula1>1</formula1>
      <formula2>300</formula2>
    </dataValidation>
    <dataValidation type="list" allowBlank="1" showErrorMessage="1" sqref="C24" xr:uid="{00000000-0002-0000-0000-000005000000}">
      <formula1>"0,1,2,3,4,5,6,7,8,9"</formula1>
    </dataValidation>
    <dataValidation type="decimal" allowBlank="1" showDropDown="1" showErrorMessage="1" sqref="C13" xr:uid="{00000000-0002-0000-0000-000006000000}">
      <formula1>100</formula1>
      <formula2>500</formula2>
    </dataValidation>
    <dataValidation type="decimal" allowBlank="1" showDropDown="1" showInputMessage="1" showErrorMessage="1" prompt="번호를 입력하세요. 사이 30 및 250" sqref="C12" xr:uid="{00000000-0002-0000-0000-000007000000}">
      <formula1>30</formula1>
      <formula2>250</formula2>
    </dataValidation>
    <dataValidation type="list" allowBlank="1" showErrorMessage="1" sqref="E24" xr:uid="{00000000-0002-0000-0000-000008000000}">
      <formula1>"0,1,2,3,4,5,6,7,8"</formula1>
    </dataValidation>
    <dataValidation type="list" allowBlank="1" showErrorMessage="1" sqref="C17:C22" xr:uid="{00000000-0002-0000-0000-000009000000}">
      <formula1>"0,1,2,3,4"</formula1>
    </dataValidation>
    <dataValidation type="decimal" allowBlank="1" showDropDown="1" showErrorMessage="1" sqref="C15" xr:uid="{00000000-0002-0000-0000-00000A000000}">
      <formula1>20</formula1>
      <formula2>150</formula2>
    </dataValidation>
    <dataValidation type="decimal" allowBlank="1" showDropDown="1" showErrorMessage="1" sqref="C11" xr:uid="{00000000-0002-0000-0000-00000B000000}">
      <formula1>1000000</formula1>
      <formula2>999999999</formula2>
    </dataValidation>
    <dataValidation type="list" allowBlank="1" showInputMessage="1" showErrorMessage="1" prompt="클릭하여 값을 입력하세요. 항목 목록" sqref="E28 E31:E33" xr:uid="{00000000-0002-0000-0000-00000C000000}">
      <formula1>"0,1,2"</formula1>
    </dataValidation>
    <dataValidation type="decimal" allowBlank="1" showDropDown="1" showInputMessage="1" showErrorMessage="1" prompt="번호를 입력하세요. 사이 0 및 30" sqref="C29:C31" xr:uid="{00000000-0002-0000-0000-00000D000000}">
      <formula1>0</formula1>
      <formula2>30</formula2>
    </dataValidation>
    <dataValidation type="list" allowBlank="1" showInputMessage="1" showErrorMessage="1" prompt="클릭하여 값을 입력하세요. 항목 목록" sqref="E29:E30" xr:uid="{00000000-0002-0000-0000-00000E000000}">
      <formula1>"0,1,2,3,4,5,6"</formula1>
    </dataValidation>
  </dataValidations>
  <hyperlinks>
    <hyperlink ref="D8" r:id="rId1" xr:uid="{00000000-0004-0000-0000-000000000000}"/>
    <hyperlink ref="B37" r:id="rId2" xr:uid="{00000000-0004-0000-0000-000001000000}"/>
    <hyperlink ref="B40" r:id="rId3" xr:uid="{00000000-0004-0000-0000-000002000000}"/>
    <hyperlink ref="B42" r:id="rId4" xr:uid="{00000000-0004-0000-0000-000003000000}"/>
    <hyperlink ref="B45" r:id="rId5" xr:uid="{00000000-0004-0000-0000-000004000000}"/>
    <hyperlink ref="B46" r:id="rId6" xr:uid="{00000000-0004-0000-0000-000005000000}"/>
    <hyperlink ref="B49" r:id="rId7" xr:uid="{00000000-0004-0000-0000-000006000000}"/>
  </hyperlinks>
  <pageMargins left="0.7" right="0.7" top="0.75" bottom="0.75" header="0.3" footer="0.3"/>
  <ignoredErrors>
    <ignoredError sqref="C14 H7 H10 H13" unlockedFormula="1"/>
    <ignoredError sqref="D21" formula="1"/>
  </ignoredError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2"/>
  <sheetViews>
    <sheetView showGridLines="0" workbookViewId="0">
      <selection activeCell="D8" sqref="D8"/>
    </sheetView>
  </sheetViews>
  <sheetFormatPr defaultColWidth="14.42578125" defaultRowHeight="15.75" customHeight="1"/>
  <cols>
    <col min="1" max="1" width="14.42578125" style="6"/>
    <col min="2" max="2" width="11.140625" style="6" customWidth="1"/>
    <col min="3" max="3" width="12.7109375" style="6" customWidth="1"/>
    <col min="4" max="4" width="14.42578125" style="6"/>
    <col min="5" max="5" width="6.42578125" style="6" customWidth="1"/>
    <col min="6" max="6" width="14.42578125" style="6"/>
    <col min="7" max="7" width="8.85546875" style="6" customWidth="1"/>
    <col min="8" max="8" width="4.42578125" style="6" customWidth="1"/>
    <col min="9" max="9" width="8.85546875" style="6" customWidth="1"/>
    <col min="10" max="10" width="14.42578125" style="6"/>
    <col min="11" max="11" width="8.85546875" style="6" customWidth="1"/>
    <col min="12" max="16384" width="14.42578125" style="6"/>
  </cols>
  <sheetData>
    <row r="1" spans="1:26" ht="39.75" customHeight="1">
      <c r="A1" s="1"/>
      <c r="B1" s="7" t="s">
        <v>0</v>
      </c>
      <c r="C1" s="5"/>
      <c r="D1" s="5"/>
      <c r="E1" s="5"/>
      <c r="F1" s="1"/>
      <c r="G1" s="5" t="s">
        <v>1</v>
      </c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1.25/(C14*0.01+1),1)*(1+A31*0.09)*(IF(C22="파프17",0.98,IF(C22="앱솔17",0.985,IF(C22="파프22",0.99,IF(C22="앱솔22",0.99,IF(C22="아케인17",0.995,1))))))*0.79537*0.942489*0.9</f>
        <v>1.6649024592281403</v>
      </c>
      <c r="B2" s="5"/>
      <c r="C2" s="5"/>
      <c r="D2" s="5"/>
      <c r="E2" s="5"/>
      <c r="F2" s="1"/>
      <c r="G2" s="5" t="s">
        <v>2</v>
      </c>
      <c r="H2" s="5"/>
      <c r="I2" s="5"/>
      <c r="J2" s="5"/>
      <c r="K2" s="5"/>
      <c r="L2" s="5"/>
      <c r="M2" s="5"/>
      <c r="N2" s="5"/>
      <c r="O2" s="5"/>
      <c r="P2" s="5"/>
      <c r="Q2" s="1"/>
      <c r="R2" s="8" t="s">
        <v>76</v>
      </c>
      <c r="S2" s="1"/>
      <c r="T2" s="1"/>
      <c r="U2" s="1"/>
      <c r="V2" s="1"/>
      <c r="W2" s="1"/>
      <c r="X2" s="1"/>
      <c r="Y2" s="1"/>
      <c r="Z2" s="1"/>
    </row>
    <row r="3" spans="1:26">
      <c r="A3" s="4">
        <f>A2*J22</f>
        <v>1.6593470334056382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8" t="s">
        <v>77</v>
      </c>
      <c r="S3" s="1"/>
      <c r="T3" s="1"/>
      <c r="U3" s="1"/>
      <c r="V3" s="1"/>
      <c r="W3" s="1"/>
      <c r="X3" s="1"/>
      <c r="Y3" s="1"/>
      <c r="Z3" s="1"/>
    </row>
    <row r="4" spans="1:26">
      <c r="A4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1.25/(C14*0.01+1),1)*(1+A31*0.09)*(IF(C22="파프17",0.98,IF(C22="앱솔17",0.985,IF(C22="파프22",0.99,IF(C22="앱솔22",0.99,IF(C22="아케인17",0.995,1))))))*0.79537*0.942489</f>
        <v>1.8498916213646004</v>
      </c>
      <c r="B4" s="1"/>
      <c r="C4" s="1"/>
      <c r="D4" s="1"/>
      <c r="E4" s="1"/>
      <c r="F4" s="1"/>
      <c r="G4" s="5" t="s">
        <v>78</v>
      </c>
      <c r="H4" s="5"/>
      <c r="I4" s="5"/>
      <c r="J4" s="5"/>
      <c r="K4" s="5"/>
      <c r="L4" s="5"/>
      <c r="M4" s="1"/>
      <c r="N4" s="1"/>
      <c r="O4" s="1"/>
      <c r="P4" s="9"/>
      <c r="Q4" s="1"/>
      <c r="R4" s="30" t="s">
        <v>79</v>
      </c>
      <c r="S4" s="1"/>
      <c r="T4" s="1"/>
      <c r="U4" s="1"/>
      <c r="V4" s="1"/>
      <c r="W4" s="1"/>
      <c r="X4" s="1"/>
      <c r="Y4" s="1"/>
      <c r="Z4" s="1"/>
    </row>
    <row r="5" spans="1:26">
      <c r="A5" s="4">
        <f>A4*J22</f>
        <v>1.8437189260062647</v>
      </c>
      <c r="B5" s="8" t="s">
        <v>80</v>
      </c>
      <c r="C5" s="5"/>
      <c r="D5" s="5"/>
      <c r="E5" s="1"/>
      <c r="F5" s="1"/>
      <c r="G5" s="5"/>
      <c r="H5" s="5"/>
      <c r="I5" s="5"/>
      <c r="J5" s="5"/>
      <c r="K5" s="5"/>
      <c r="L5" s="1"/>
      <c r="M5" s="1"/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1.25/(C14*0.01+1),1)*(1+A31*0.09)*(IF(C22="파프17",0.98,IF(C22="앱솔17",0.985,IF(C22="파프22",0.99,IF(C22="앱솔22",0.99,IF(C22="아케인17",0.995,1))))))*0.79537</f>
        <v>1.9627726385820952</v>
      </c>
      <c r="B6" s="9"/>
      <c r="C6" s="1"/>
      <c r="D6" s="5" t="s">
        <v>6</v>
      </c>
      <c r="E6" s="5"/>
      <c r="F6" s="1"/>
      <c r="G6" s="31" t="s">
        <v>81</v>
      </c>
      <c r="H6" s="1"/>
      <c r="I6" s="1"/>
      <c r="J6" s="1"/>
      <c r="K6" s="1" t="s">
        <v>82</v>
      </c>
      <c r="L6" s="1"/>
      <c r="M6" s="5"/>
      <c r="N6" s="5" t="s">
        <v>8</v>
      </c>
      <c r="O6" s="1"/>
      <c r="P6" s="3">
        <v>30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f>A6*J22</f>
        <v>1.9562232832492101</v>
      </c>
      <c r="B7" s="1"/>
      <c r="C7" s="1"/>
      <c r="D7" s="5" t="s">
        <v>9</v>
      </c>
      <c r="E7" s="5"/>
      <c r="F7" s="1"/>
      <c r="G7" s="13" t="str">
        <f>IF(A3&lt;0.3,"48층 이하",IF(A3&lt;0.4,ROUND(48+((A3-0.3)/(0.4-0.3)),3)&amp;"층",IF(A3&lt;0.572,ROUND(49+((A3-0.4)/(0.572-0.4)),3)&amp;"층",IF(A3&lt;0.7745,ROUND(50+((A3-0.572)/(0.7745-0.572)),3)&amp;"층",IF(A3&lt;0.91,ROUND(51+((A3-0.7745)/(0.91-0.7745)),3)&amp;"층",IF(A3&lt;1.178,ROUND(52+((A3-0.91)/(1.178-0.91)),3)&amp;"층",IF(A3&lt;1.346,ROUND(53+((A3-1.178)/(1.346-1.178)),3)&amp;"층",IF(A3&lt;1.682,ROUND(54+((A3-1.346)/(1.682-1.346)),3)&amp;"층",IF(A3&lt;1.9,ROUND(55+((A3-1.682)/(1.9-1.682)),3)&amp;"층",IF(A3&lt;2.086,ROUND(56+((A3-1.9)/(2.086-1.9)),3)&amp;"층",IF(A3&lt;2.524,ROUND(57+((A3-2.086)/(2.524-2.086)),3)&amp;"층",IF(A3&lt;2.83,ROUND(58+((A3-2.524)/(2.83-2.524)),3)&amp;"층",IF(A3&lt;3.5,ROUND(59+((A3-2.83)/(3.5-2.83)),3)&amp;"층",IF(A3&lt;3.85,ROUND(60+((A3-3.5)/(3.85-3.5)),3)&amp;"층",IF(A3&lt;4.2,ROUND(61+((A3-3.85)/(4.2-3.85)),3)&amp;"층",IF(A3&lt;4.741,ROUND(62+((A3-4.2)/(4.741-4.2)),3)&amp;"층",IF(A3&lt;5.2,ROUND(63+((A3-4.741)/(5.2-4.741)),3)&amp;"층",IF(A3&lt;5.64,ROUND(64+((A3-5.2)/(5.64-5.2)),3)&amp;"층",IF(A3&lt;6.05,ROUND(65+((A3-5.64)/(6.05-5.64)),3)&amp;"층",IF(A3&lt;6.8,ROUND(66+((A3-6.05)/(6.8-6.05)),3)&amp;"층",IF(A3&lt;7.45,ROUND(67+((A3-6.8)/(7.45-6.8)),3)&amp;"층",IF(A3&lt;7.9,ROUND(68+((A3-7.45)/(7.9-7.45)),3)&amp;"층",IF(A3&lt;8.75,ROUND(69+((A3-7.9)/(8.75-7.9)),3)&amp;"층",IF(A3&lt;9.45,ROUND(70+((A3-8.75)/(9.45-8.75)),3)&amp;"층",IF(A3&lt;10.11,ROUND(71+((A3-9.45)/(10.11-9.45)),3)&amp;"층",IF(A3&lt;10.8,ROUND(72+((A3-10.11)/(10.8-10.11)),3)&amp;"층",IF(A3&lt;11.57,ROUND(73+((A3-10.8)/(11.57-10.8)),3)&amp;"층","74층 이상")))))))))))))))))))))))))))</f>
        <v>54.933층</v>
      </c>
      <c r="H7" s="1"/>
      <c r="I7" s="1"/>
      <c r="J7" s="1"/>
      <c r="K7" s="32" t="str">
        <f>IF(A5&lt;0.3,"48층 이하",IF(A5&lt;0.4,ROUND(48+((A5-0.3)/(0.4-0.3)),3)&amp;"층",IF(A5&lt;0.572,ROUND(49+((A5-0.4)/(0.572-0.4)),3)&amp;"층",IF(A5&lt;0.7745,ROUND(50+((A5-0.572)/(0.7745-0.572)),3)&amp;"층",IF(A5&lt;0.91,ROUND(51+((A5-0.7745)/(0.91-0.7745)),3)&amp;"층",IF(A5&lt;1.178,ROUND(52+((A5-0.91)/(1.178-0.91)),3)&amp;"층",IF(A5&lt;1.346,ROUND(53+((A5-1.178)/(1.346-1.178)),3)&amp;"층",IF(A5&lt;1.682,ROUND(54+((A5-1.346)/(1.682-1.346)),3)&amp;"층",IF(A5&lt;1.9,ROUND(55+((A5-1.682)/(1.9-1.682)),3)&amp;"층",IF(A5&lt;2.086,ROUND(56+((A5-1.9)/(2.086-1.9)),3)&amp;"층",IF(A5&lt;2.524,ROUND(57+((A5-2.086)/(2.524-2.086)),3)&amp;"층",IF(A5&lt;2.83,ROUND(58+((A5-2.524)/(2.83-2.524)),3)&amp;"층",IF(A5&lt;3.5,ROUND(59+((A5-2.83)/(3.5-2.83)),3)&amp;"층",IF(A5&lt;3.85,ROUND(60+((A5-3.5)/(3.85-3.5)),3)&amp;"층",IF(A5&lt;4.2,ROUND(61+((A5-3.85)/(4.2-3.85)),3)&amp;"층",IF(A5&lt;4.741,ROUND(62+((A5-4.2)/(4.741-4.2)),3)&amp;"층",IF(A5&lt;5.2,ROUND(63+((A5-4.741)/(5.2-4.741)),3)&amp;"층",IF(A5&lt;5.64,ROUND(64+((A5-5.2)/(5.64-5.2)),3)&amp;"층",IF(A5&lt;6.05,ROUND(65+((A5-5.64)/(6.05-5.64)),3)&amp;"층",IF(A5&lt;6.8,ROUND(66+((A5-6.05)/(6.8-6.05)),3)&amp;"층",IF(A5&lt;7.45,ROUND(67+((A5-6.8)/(7.45-6.8)),3)&amp;"층",IF(A5&lt;7.9,ROUND(68+((A5-7.45)/(7.9-7.45)),3)&amp;"층",IF(A5&lt;8.75,ROUND(69+((A5-7.9)/(8.75-7.9)),3)&amp;"층",IF(A5&lt;9.45,ROUND(70+((A5-8.75)/(9.45-8.75)),3)&amp;"층",IF(A5&lt;10.11,ROUND(71+((A5-9.45)/(10.11-9.45)),3)&amp;"층",IF(A5&lt;10.8,ROUND(72+((A5-10.11)/(10.8-10.11)),3)&amp;"층",IF(A5&lt;11.57,ROUND(73+((A5-10.8)/(11.57-10.8)),3)&amp;"층","74층 이상")))))))))))))))))))))))))))</f>
        <v>55.742층</v>
      </c>
      <c r="L7" s="1"/>
      <c r="M7" s="5"/>
      <c r="N7" s="5" t="s">
        <v>10</v>
      </c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1.25/(C14*0.01+1),1)*(1+A31*0.09)*(IF(C22="파프17",0.98,IF(C22="앱솔17",0.985,IF(C22="파프22",0.99,IF(C22="앱솔22",0.99,IF(C22="아케인17",0.995,1))))))*0.79537*1.062</f>
        <v>2.0844645421741852</v>
      </c>
      <c r="B8" s="8" t="s">
        <v>11</v>
      </c>
      <c r="C8" s="1"/>
      <c r="D8" s="46" t="s">
        <v>12</v>
      </c>
      <c r="E8" s="1" t="s">
        <v>13</v>
      </c>
      <c r="F8" s="1"/>
      <c r="G8" s="1"/>
      <c r="H8" s="1"/>
      <c r="I8" s="1"/>
      <c r="J8" s="1"/>
      <c r="K8" s="1"/>
      <c r="L8" s="1"/>
      <c r="M8" s="5"/>
      <c r="N8" s="1"/>
      <c r="O8" s="5"/>
      <c r="P8" s="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f>A8*J22</f>
        <v>2.0775091268106611</v>
      </c>
      <c r="B9" s="5"/>
      <c r="C9" s="5"/>
      <c r="D9" s="5"/>
      <c r="E9" s="5"/>
      <c r="F9" s="1"/>
      <c r="G9" s="5"/>
      <c r="H9" s="5"/>
      <c r="I9" s="5"/>
      <c r="J9" s="5"/>
      <c r="K9" s="5"/>
      <c r="L9" s="1"/>
      <c r="M9" s="5"/>
      <c r="N9" s="5" t="s">
        <v>15</v>
      </c>
      <c r="O9" s="5"/>
      <c r="P9" s="5"/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1.25/(C14*0.01+1),1)*(1+A31*0.09)*(IF(C22="파프17",0.98,IF(C22="앱솔17",0.985,IF(C22="파프22",0.99,IF(C22="앱솔22",0.99,IF(C22="아케인17",0.995,1))))))*0.79537*1.062*1.05</f>
        <v>2.1886877692828945</v>
      </c>
      <c r="B10" s="12" t="s">
        <v>16</v>
      </c>
      <c r="C10" s="38">
        <v>255</v>
      </c>
      <c r="D10" s="33">
        <f>IF(C31="O",C10-5,C10)</f>
        <v>250</v>
      </c>
      <c r="E10" s="1"/>
      <c r="F10" s="1"/>
      <c r="G10" s="1"/>
      <c r="H10" s="1"/>
      <c r="I10" s="1"/>
      <c r="J10" s="1"/>
      <c r="K10" s="9"/>
      <c r="L10" s="1"/>
      <c r="M10" s="9"/>
      <c r="N10" s="5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f>A10*J22</f>
        <v>2.1813845831511944</v>
      </c>
      <c r="B11" s="15" t="s">
        <v>18</v>
      </c>
      <c r="C11" s="27">
        <v>31064973</v>
      </c>
      <c r="D11" s="1"/>
      <c r="E11" s="1"/>
      <c r="F11" s="1"/>
      <c r="G11" s="1" t="s">
        <v>83</v>
      </c>
      <c r="H11" s="1"/>
      <c r="I11" s="1"/>
      <c r="J11" s="1"/>
      <c r="K11" s="1" t="s">
        <v>84</v>
      </c>
      <c r="L11" s="1"/>
      <c r="M11" s="1"/>
      <c r="N11" s="5" t="s">
        <v>19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">
        <f>(C11/(C12+100)*(173+C15-(IF(C23&gt;14,0,30-2*C23)))*(190+C12+C13+C29-(1-0.5*E24)*6-(5-0.166*E25-0.166*E26-0.5*E27-0.5*E28-0.5*E29)*9-(IF(C23&lt;16,60,90-2*C23)))/10000000000)*(1+A31*0.09)*0.79537*IF(C31="X",1.25/(C14*0.01+1),1)</f>
        <v>2.0764587554425762</v>
      </c>
      <c r="B12" s="12" t="s">
        <v>20</v>
      </c>
      <c r="C12" s="26">
        <v>67</v>
      </c>
      <c r="D12" s="1"/>
      <c r="E12" s="1"/>
      <c r="F12" s="1"/>
      <c r="G12" s="13" t="str">
        <f>IF(A7&lt;0.3,"48층 이하",IF(A7&lt;0.4,ROUND(48+((A7-0.3)/(0.4-0.3)),3)&amp;"층",IF(A7&lt;0.572,ROUND(49+((A7-0.4)/(0.572-0.4)),3)&amp;"층",IF(A7&lt;0.7745,ROUND(50+((A7-0.572)/(0.7745-0.572)),3)&amp;"층",IF(A7&lt;0.91,ROUND(51+((A7-0.7745)/(0.91-0.7745)),3)&amp;"층",IF(A7&lt;1.178,ROUND(52+((A7-0.91)/(1.178-0.91)),3)&amp;"층",IF(A7&lt;1.346,ROUND(53+((A7-1.178)/(1.346-1.178)),3)&amp;"층",IF(A7&lt;1.682,ROUND(54+((A7-1.346)/(1.682-1.346)),3)&amp;"층",IF(A7&lt;1.9,ROUND(55+((A7-1.682)/(1.9-1.682)),3)&amp;"층",IF(A7&lt;2.086,ROUND(56+((A7-1.9)/(2.086-1.9)),3)&amp;"층",IF(A7&lt;2.524,ROUND(57+((A7-2.086)/(2.524-2.086)),3)&amp;"층",IF(A7&lt;2.83,ROUND(58+((A7-2.524)/(2.83-2.524)),3)&amp;"층",IF(A7&lt;3.5,ROUND(59+((A7-2.83)/(3.5-2.83)),3)&amp;"층",IF(A7&lt;3.85,ROUND(60+((A7-3.5)/(3.85-3.5)),3)&amp;"층",IF(A7&lt;4.2,ROUND(61+((A7-3.85)/(4.2-3.85)),3)&amp;"층",IF(A7&lt;4.741,ROUND(62+((A7-4.2)/(4.741-4.2)),3)&amp;"층",IF(A7&lt;5.2,ROUND(63+((A7-4.741)/(5.2-4.741)),3)&amp;"층",IF(A7&lt;5.64,ROUND(64+((A7-5.2)/(5.64-5.2)),3)&amp;"층",IF(A7&lt;6.05,ROUND(65+((A7-5.64)/(6.05-5.64)),3)&amp;"층",IF(A7&lt;6.8,ROUND(66+((A7-6.05)/(6.8-6.05)),3)&amp;"층",IF(A7&lt;7.45,ROUND(67+((A7-6.8)/(7.45-6.8)),3)&amp;"층",IF(A7&lt;7.9,ROUND(68+((A7-7.45)/(7.9-7.45)),3)&amp;"층",IF(A7&lt;8.75,ROUND(69+((A7-7.9)/(8.75-7.9)),3)&amp;"층",IF(A7&lt;9.45,ROUND(70+((A7-8.75)/(9.45-8.75)),3)&amp;"층",IF(A7&lt;10.11,ROUND(71+((A7-9.45)/(10.11-9.45)),3)&amp;"층",IF(A7&lt;10.8,ROUND(72+((A7-10.11)/(10.8-10.11)),3)&amp;"층",IF(A7&lt;11.57,ROUND(73+((A7-10.8)/(11.57-10.8)),3)&amp;"층","74층 이상")))))))))))))))))))))))))))</f>
        <v>56.302층</v>
      </c>
      <c r="H12" s="1"/>
      <c r="I12" s="1"/>
      <c r="J12" s="1"/>
      <c r="K12" s="32" t="str">
        <f>IF(A9&lt;0.3,"48층 이하",IF(A9&lt;0.4,ROUND(48+((A9-0.3)/(0.4-0.3)),3)&amp;"층",IF(A9&lt;0.572,ROUND(49+((A9-0.4)/(0.572-0.4)),3)&amp;"층",IF(A9&lt;0.7745,ROUND(50+((A9-0.572)/(0.7745-0.572)),3)&amp;"층",IF(A9&lt;0.91,ROUND(51+((A9-0.7745)/(0.91-0.7745)),3)&amp;"층",IF(A9&lt;1.178,ROUND(52+((A9-0.91)/(1.178-0.91)),3)&amp;"층",IF(A9&lt;1.346,ROUND(53+((A9-1.178)/(1.346-1.178)),3)&amp;"층",IF(A9&lt;1.682,ROUND(54+((A9-1.346)/(1.682-1.346)),3)&amp;"층",IF(A9&lt;1.9,ROUND(55+((A9-1.682)/(1.9-1.682)),3)&amp;"층",IF(A9&lt;2.086,ROUND(56+((A9-1.9)/(2.086-1.9)),3)&amp;"층",IF(A9&lt;2.524,ROUND(57+((A9-2.086)/(2.524-2.086)),3)&amp;"층",IF(A9&lt;2.83,ROUND(58+((A9-2.524)/(2.83-2.524)),3)&amp;"층",IF(A9&lt;3.5,ROUND(59+((A9-2.83)/(3.5-2.83)),3)&amp;"층",IF(A9&lt;3.85,ROUND(60+((A9-3.5)/(3.85-3.5)),3)&amp;"층",IF(A9&lt;4.2,ROUND(61+((A9-3.85)/(4.2-3.85)),3)&amp;"층",IF(A9&lt;4.741,ROUND(62+((A9-4.2)/(4.741-4.2)),3)&amp;"층",IF(A9&lt;5.2,ROUND(63+((A9-4.741)/(5.2-4.741)),3)&amp;"층",IF(A9&lt;5.64,ROUND(64+((A9-5.2)/(5.64-5.2)),3)&amp;"층",IF(A9&lt;6.05,ROUND(65+((A9-5.64)/(6.05-5.64)),3)&amp;"층",IF(A9&lt;6.8,ROUND(66+((A9-6.05)/(6.8-6.05)),3)&amp;"층",IF(A9&lt;7.45,ROUND(67+((A9-6.8)/(7.45-6.8)),3)&amp;"층",IF(A9&lt;7.9,ROUND(68+((A9-7.45)/(7.9-7.45)),3)&amp;"층",IF(A9&lt;8.75,ROUND(69+((A9-7.9)/(8.75-7.9)),3)&amp;"층",IF(A9&lt;9.45,ROUND(70+((A9-8.75)/(9.45-8.75)),3)&amp;"층",IF(A9&lt;10.11,ROUND(71+((A9-9.45)/(10.11-9.45)),3)&amp;"층",IF(A9&lt;10.8,ROUND(72+((A9-10.11)/(10.8-10.11)),3)&amp;"층",IF(A9&lt;11.57,ROUND(73+((A9-10.8)/(11.57-10.8)),3)&amp;"층","74층 이상")))))))))))))))))))))))))))</f>
        <v>56.954층</v>
      </c>
      <c r="L12" s="1"/>
      <c r="M12" s="1"/>
      <c r="N12" s="1" t="s">
        <v>85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f>A12*J22</f>
        <v>2.0695300536886645</v>
      </c>
      <c r="B13" s="12" t="s">
        <v>23</v>
      </c>
      <c r="C13" s="26">
        <v>297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5" t="s">
        <v>86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f>(C11/(C12+100)*(173+C15-(IF(C23&gt;14,0,30-2*C23)))*(190+C12+C13+C29-(1-0.5*E24)*6-(5-0.166*E25-0.166*E26-0.5*E27-0.5*E28-0.5*E29)*9-(IF(C23&lt;16,60,90-2*C23)))/10000000000)</f>
        <v>2.6106827708394538</v>
      </c>
      <c r="B14" s="12" t="s">
        <v>25</v>
      </c>
      <c r="C14" s="28">
        <f>IF(AND(C31="O",C10&lt;250),100,IF(AND(C31="O",C10&lt;300),106.25, 25))</f>
        <v>106.25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2" t="s">
        <v>27</v>
      </c>
      <c r="C15" s="26">
        <v>79</v>
      </c>
      <c r="D15" s="1"/>
      <c r="E15" s="1"/>
      <c r="F15" s="1"/>
      <c r="G15" s="18" t="s">
        <v>87</v>
      </c>
      <c r="H15" s="19" t="str">
        <f>ROUND(1.1*A14,3)&amp;"억~"&amp;TEXT(1.3*A14,"0.000")&amp;"억"</f>
        <v>2.872억~3.394억</v>
      </c>
      <c r="I15" s="5"/>
      <c r="J15" s="1"/>
      <c r="K15" s="1"/>
      <c r="L15" s="1"/>
      <c r="M15" s="1"/>
      <c r="N15" s="5" t="s">
        <v>32</v>
      </c>
      <c r="O15" s="5"/>
      <c r="P15" s="5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5"/>
      <c r="C16" s="5"/>
      <c r="D16" s="5"/>
      <c r="E16" s="5"/>
      <c r="F16" s="1"/>
      <c r="G16" s="34" t="s">
        <v>88</v>
      </c>
      <c r="H16" s="35" t="str">
        <f>ROUND(1.2*A14,3)&amp;"억"</f>
        <v>3.133억</v>
      </c>
      <c r="I16" s="1"/>
      <c r="J16" s="1"/>
      <c r="K16" s="31" t="s">
        <v>89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2" t="s">
        <v>31</v>
      </c>
      <c r="C17" s="26">
        <v>3</v>
      </c>
      <c r="D17" s="3">
        <f>IF(AND(A12&lt;1.2,C17&lt;4),(C17)+0.4,C17)</f>
        <v>3</v>
      </c>
      <c r="E17" s="1"/>
      <c r="F17" s="1"/>
      <c r="G17" s="1"/>
      <c r="H17" s="1"/>
      <c r="I17" s="1"/>
      <c r="J17" s="1"/>
      <c r="K17" s="36" t="str">
        <f>IF(A11&lt;0.3,"48층 이하",IF(A11&lt;0.4,ROUND(48+((A11-0.3)/(0.4-0.3)),3)&amp;"층",IF(A11&lt;0.572,ROUND(49+((A11-0.4)/(0.572-0.4)),3)&amp;"층",IF(A11&lt;0.7745,ROUND(50+((A11-0.572)/(0.7745-0.572)),3)&amp;"층",IF(A11&lt;0.91,ROUND(51+((A11-0.7745)/(0.91-0.7745)),3)&amp;"층",IF(A11&lt;1.178,ROUND(52+((A11-0.91)/(1.178-0.91)),3)&amp;"층",IF(A11&lt;1.346,ROUND(53+((A11-1.178)/(1.346-1.178)),3)&amp;"층",IF(A11&lt;1.682,ROUND(54+((A11-1.346)/(1.682-1.346)),3)&amp;"층",IF(A11&lt;1.9,ROUND(55+((A11-1.682)/(1.9-1.682)),3)&amp;"층",IF(A11&lt;2.086,ROUND(56+((A11-1.9)/(2.086-1.9)),3)&amp;"층",IF(A11&lt;2.524,ROUND(57+((A11-2.086)/(2.524-2.086)),3)&amp;"층",IF(A11&lt;2.83,ROUND(58+((A11-2.524)/(2.83-2.524)),3)&amp;"층",IF(A11&lt;3.5,ROUND(59+((A11-2.83)/(3.5-2.83)),3)&amp;"층",IF(A11&lt;3.85,ROUND(60+((A11-3.5)/(3.85-3.5)),3)&amp;"층",IF(A11&lt;4.2,ROUND(61+((A11-3.85)/(4.2-3.85)),3)&amp;"층",IF(A11&lt;4.741,ROUND(62+((A11-4.2)/(4.741-4.2)),3)&amp;"층",IF(A11&lt;5.2,ROUND(63+((A11-4.741)/(5.2-4.741)),3)&amp;"층",IF(A11&lt;5.64,ROUND(64+((A11-5.2)/(5.64-5.2)),3)&amp;"층",IF(A11&lt;6.05,ROUND(65+((A11-5.64)/(6.05-5.64)),3)&amp;"층",IF(A11&lt;6.8,ROUND(66+((A11-6.05)/(6.8-6.05)),3)&amp;"층",IF(A11&lt;7.45,ROUND(67+((A11-6.8)/(7.45-6.8)),3)&amp;"층",IF(A11&lt;7.9,ROUND(68+((A11-7.45)/(7.9-7.45)),3)&amp;"층",IF(A11&lt;8.75,ROUND(69+((A11-7.9)/(8.75-7.9)),3)&amp;"층",IF(A11&lt;9.45,ROUND(70+((A11-8.75)/(9.45-8.75)),3)&amp;"층",IF(A11&lt;10.11,ROUND(71+((A11-9.45)/(10.11-9.45)),3)&amp;"층",IF(A11&lt;10.8,ROUND(72+((A11-10.11)/(10.8-10.11)),3)&amp;"층",IF(A11&lt;11.57,ROUND(73+((A11-10.8)/(11.57-10.8)),3)&amp;"층","74층 이상")))))))))))))))))))))))))))</f>
        <v>57.218층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2" t="s">
        <v>33</v>
      </c>
      <c r="C18" s="26">
        <v>4</v>
      </c>
      <c r="D18" s="3">
        <f>IF(AND(A12&lt;1.2,C18&lt;4),(C18)+1,C18)</f>
        <v>4</v>
      </c>
      <c r="E18" s="1"/>
      <c r="F18" s="1"/>
      <c r="G18" s="5" t="s">
        <v>34</v>
      </c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2" t="s">
        <v>35</v>
      </c>
      <c r="C19" s="26">
        <v>4</v>
      </c>
      <c r="D19" s="3">
        <f t="shared" ref="D19:D20" si="0">IF($A$12&lt;1.2,4,C19)</f>
        <v>4</v>
      </c>
      <c r="E19" s="1"/>
      <c r="F19" s="1"/>
      <c r="G19" s="5" t="s">
        <v>36</v>
      </c>
      <c r="H19" s="5"/>
      <c r="I19" s="5"/>
      <c r="J19" s="5"/>
      <c r="K19" s="1"/>
      <c r="L19" s="1"/>
      <c r="M19" s="1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2" t="s">
        <v>37</v>
      </c>
      <c r="C20" s="26">
        <v>3</v>
      </c>
      <c r="D20" s="3">
        <f t="shared" si="0"/>
        <v>3</v>
      </c>
      <c r="E20" s="1"/>
      <c r="F20" s="1"/>
      <c r="G20" s="20" t="str">
        <f>IF(A13&lt;0.3,"48층 이하",IF(A13&lt;0.4,ROUND(48+((A13-0.3)/(0.4-0.3)),3)&amp;"층",IF(A13&lt;0.565,ROUND(49+((A13-0.4)/(0.565-0.4)),3)&amp;"층",IF(A13&lt;0.7745,ROUND(50+((A13-0.565)/(0.7745-0.565)),3)&amp;"층",IF(A13&lt;0.94,ROUND(51+((A13-0.7745)/(0.94-0.7745)),3)&amp;"층",IF(A13&lt;1.1,ROUND(52+((A13-0.94)/(1.1-0.94)),3)&amp;"층",IF(A13&lt;1.44,ROUND(53+((A13-1.1)/(1.44-1.1)),3)&amp;"층",IF(A13&lt;1.622,ROUND(54+((A13-1.44)/(1.6-1.44)),3)&amp;"층",IF(A13&lt;1.9,ROUND(55+((A13-1.6)/(1.9-1.6)),3)&amp;"층",IF(A13&lt;2.145,ROUND(56+((A13-1.9)/(2.145-1.9)),3)&amp;"층",IF(A13&lt;2.55,ROUND(57+((A13-2.145)/(2.55-2.145)),3)&amp;"층",IF(A13&lt;2.85,ROUND(58+((A13-2.55)/(2.85-2.55)),3)&amp;"층",IF(A13&lt;3.5,ROUND(59+((A13-2.85)/(3.5-2.85)),3)&amp;"층",IF(A13&lt;3.85,ROUND(60+((A13-3.5)/(3.85-3.5)),3)&amp;"층",IF(A13&lt;4.2,ROUND(61+((A13-3.85)/(4.2-3.85)),3)&amp;"층",IF(A13&lt;4.741,ROUND(62+((A13-4.2)/(4.741-4.2)),3)&amp;"층",IF(A13&lt;5.2,ROUND(63+((A13-4.741)/(5.2-4.741)),3)&amp;"층",IF(A13&lt;5.64,ROUND(64+((A13-5.2)/(5.64-5.2)),3)&amp;"층",IF(A13&lt;6.05,ROUND(65+((A13-5.64)/(6.05-5.64)),3)&amp;"층",IF(A13&lt;6.8,ROUND(66+((A13-6.05)/(6.8-6.05)),3)&amp;"층",IF(A13&lt;7.45,ROUND(67+((A13-6.8)/(7.45-6.8)),3)&amp;"층",IF(A13&lt;7.9,ROUND(68+((A13-7.45)/(7.9-7.45)),3)&amp;"층",IF(A13&lt;8.75,ROUND(69+((A13-7.9)/(8.75-7.9)),3)&amp;"층",IF(A13&lt;9.45,ROUND(70+((A13-8.75)/(9.45-8.75)),3)&amp;"층",IF(A13&lt;10.11,ROUND(71+((A13-9.45)/(10.11-9.45)),3)&amp;"층",IF(A13&lt;10.8,ROUND(72+((A13-10.11)/(10.8-10.11)),3)&amp;"층",IF(A13&lt;11.57,ROUND(73+((A13-10.8)/(11.57-10.8)),3)&amp;"층","74층 이상")))))))))))))))))))))))))))</f>
        <v>56.692층</v>
      </c>
      <c r="H20" s="1"/>
      <c r="I20" s="1"/>
      <c r="J20" s="1"/>
      <c r="K20" s="1"/>
      <c r="L20" s="1"/>
      <c r="M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2"/>
      <c r="C21" s="1"/>
      <c r="D21" s="1"/>
      <c r="E21" s="1"/>
      <c r="F21" s="1"/>
      <c r="G21" s="1"/>
      <c r="H21" s="1"/>
      <c r="I21" s="1"/>
      <c r="J21" s="1"/>
      <c r="K21" s="1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2" t="s">
        <v>90</v>
      </c>
      <c r="C22" s="26" t="s">
        <v>91</v>
      </c>
      <c r="D22" s="1"/>
      <c r="E22" s="1"/>
      <c r="F22" s="1"/>
      <c r="G22" s="5" t="s">
        <v>40</v>
      </c>
      <c r="H22" s="5"/>
      <c r="I22" s="1"/>
      <c r="J22" s="37">
        <f>IF(IF(A8&lt;3.4,(1-(1-0.01*E33)*0.5),IF(A8&lt;3.7,(1-(1-0.01*E33)*0.65),IF(A8&lt;4.5,(1-(1-0.01*E33)*0.75),IF(A8&lt;5.5,(1-(1-0.01*E33)*0.85),IF(A8&lt;6.5,(1-(1-0.01*E33)*0.94),IF(A8&lt;7.5,(1-(1-0.01*E33)*0.96),IF(A8&lt;8.5,(1-(1-0.01*E33)*1),IF(A8&lt;10,(1-(1-0.01*E33)*1.5),IF(A8&lt;13,(1-(1-0.01*E33)*1.8),(1-(1-0.01*E33)*2))))))))))/(IF(A8&lt;3.4,(1-(0.07)*0.5),IF(A8&lt;3.7,(1-(0.07)*0.65),IF(A8&lt;4.5,(1-(0.07)*0.75),IF(A8&lt;5.5,(1-(0.07)*0.85),IF(A8&lt;6.5,(1-(0.07)*0.94),IF(A8&lt;7.5,(1-(0.07)*0.96),IF(A8&lt;8.5,(1-(0.07)*1),IF(A8&lt;10,(1-(0.07)*1.5),IF(A8&lt;13,(1-(0.07)*1.8),(1-(0.07)*2)))))))))))&gt;1,1,IF(A8&lt;3.4,(1-(1-0.01*E33)*0.5),IF(A8&lt;3.7,(1-(1-0.01*E33)*0.65),IF(A8&lt;4.5,(1-(1-0.01*E33)*0.75),IF(A8&lt;5.5,(1-(1-0.01*E33)*0.85),IF(A8&lt;6.5,(1-(1-0.01*E33)*0.94),IF(A8&lt;7.5,(1-(1-0.01*E33)*0.96),IF(A8&lt;8.5,(1-(1-0.01*E33)*1),IF(A8&lt;10,(1-(1-0.01*E33)*1.5),IF(A8&lt;13,(1-(1-0.01*E33)*1.8),(1-(1-0.01*E33)*2))))))))))/(IF(A8&lt;3.4,(1-(0.07)*0.5),IF(A8&lt;3.7,(1-(0.07)*0.65),IF(A8&lt;4.5,(1-(0.07)*0.75),IF(A8&lt;5.5,(1-(0.07)*0.85),IF(A8&lt;6.5,(1-(0.07)*0.94),IF(A8&lt;7.5,(1-(0.07)*0.96),IF(A8&lt;8.5,(1-(0.07)*1),IF(A8&lt;10,(1-(0.07)*1.5),IF(A8&lt;13,(1-(0.07)*1.8),(1-(0.07)*2))))))))))))</f>
        <v>0.99666321243523326</v>
      </c>
      <c r="K22" s="4">
        <f>(1-J22)*100</f>
        <v>0.33367875647667411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2" t="s">
        <v>50</v>
      </c>
      <c r="C23" s="26">
        <v>45</v>
      </c>
      <c r="D23" s="1"/>
      <c r="E23" s="1"/>
      <c r="F23" s="1"/>
      <c r="G23" s="21" t="str">
        <f>IF(K22&lt;0.1,"방무가 많이 여유있어서 유니온점령 방무 빼서 럭에 넣어도 될 정도.",IF(K22&lt;0.5,"메잘알 방무", IF(K22&lt;1.3,"양호",IF(K22&lt;2,"적정",IF(K22&lt;3,"방무를 좀 더 추가해도 괜찮음.",IF(K22&lt;5,"유니온점령 방무 좀 빼지마라.",IF(K22&lt;7,"심각하게 낮음. 방무 1줄은 추가하거나 마약 때를 기다리세요.",IF(K22&lt;10,"매우 심각하게 낮음. 방무 2줄은 추가해야함.","무릉치지 마세요."))))))))</f>
        <v>메잘알 방무</v>
      </c>
      <c r="H23" s="1"/>
      <c r="I23" s="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2" t="s">
        <v>53</v>
      </c>
      <c r="E24" s="29">
        <v>2</v>
      </c>
      <c r="F24" s="1"/>
      <c r="G24" s="1"/>
      <c r="H24" s="1"/>
      <c r="I24" s="1"/>
      <c r="J24" s="1"/>
      <c r="K24" s="1"/>
      <c r="L24" s="1"/>
      <c r="M24" s="1"/>
      <c r="N24" s="5" t="s">
        <v>52</v>
      </c>
      <c r="O24" s="5"/>
      <c r="P24" s="22"/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2" t="s">
        <v>54</v>
      </c>
      <c r="C25" s="26">
        <v>30</v>
      </c>
      <c r="D25" s="12" t="s">
        <v>55</v>
      </c>
      <c r="E25" s="29">
        <v>6</v>
      </c>
      <c r="F25" s="1"/>
      <c r="G25" s="5" t="s">
        <v>92</v>
      </c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2" t="s">
        <v>56</v>
      </c>
      <c r="C26" s="26">
        <v>30</v>
      </c>
      <c r="D26" s="12" t="s">
        <v>57</v>
      </c>
      <c r="E26" s="29">
        <v>6</v>
      </c>
      <c r="F26" s="1"/>
      <c r="G26" s="5" t="s">
        <v>49</v>
      </c>
      <c r="H26" s="5"/>
      <c r="I26" s="5"/>
      <c r="J26" s="5"/>
      <c r="K26" s="5"/>
      <c r="L26" s="5"/>
      <c r="M26" s="5"/>
      <c r="N26" s="1"/>
      <c r="O26" s="5"/>
      <c r="P26" s="5"/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2" t="s">
        <v>58</v>
      </c>
      <c r="C27" s="26">
        <v>30</v>
      </c>
      <c r="D27" s="12" t="s">
        <v>59</v>
      </c>
      <c r="E27" s="29">
        <v>2</v>
      </c>
      <c r="F27" s="1"/>
      <c r="G27" s="5" t="s">
        <v>51</v>
      </c>
      <c r="H27" s="5"/>
      <c r="I27" s="5"/>
      <c r="J27" s="5"/>
      <c r="K27" s="5"/>
      <c r="L27" s="5"/>
      <c r="M27" s="5"/>
      <c r="N27" s="1"/>
      <c r="O27" s="1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2" t="s">
        <v>61</v>
      </c>
      <c r="E28" s="29">
        <v>2</v>
      </c>
      <c r="F28" s="1"/>
      <c r="G28" s="1"/>
      <c r="H28" s="1"/>
      <c r="I28" s="1"/>
      <c r="J28" s="1"/>
      <c r="K28" s="1"/>
      <c r="L28" s="1"/>
      <c r="M28" s="1"/>
      <c r="N28" s="1"/>
      <c r="O28" s="1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2" t="s">
        <v>42</v>
      </c>
      <c r="C29" s="29">
        <v>3</v>
      </c>
      <c r="D29" s="12" t="s">
        <v>62</v>
      </c>
      <c r="E29" s="29">
        <v>2</v>
      </c>
      <c r="F29" s="1"/>
      <c r="G29" s="1"/>
      <c r="H29" s="1"/>
      <c r="I29" s="1"/>
      <c r="J29" s="1"/>
      <c r="K29" s="1"/>
      <c r="L29" s="1"/>
      <c r="M29" s="1"/>
      <c r="N29" s="1"/>
      <c r="O29" s="1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2" t="s">
        <v>44</v>
      </c>
      <c r="C30" s="29" t="s">
        <v>45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f>IF(C30="O",1,0)</f>
        <v>0</v>
      </c>
      <c r="B31" s="12" t="s">
        <v>48</v>
      </c>
      <c r="C31" s="29" t="s">
        <v>93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2" t="s">
        <v>63</v>
      </c>
      <c r="C33" s="26">
        <v>88</v>
      </c>
      <c r="D33" s="4">
        <v>89.08</v>
      </c>
      <c r="E33" s="4">
        <f>(1-((1-D33/100)*0.7))*100</f>
        <v>92.356000000000009</v>
      </c>
      <c r="F33" s="1"/>
      <c r="G33" s="1"/>
      <c r="H33" s="1"/>
      <c r="I33" s="1"/>
      <c r="J33" s="1"/>
      <c r="K33" s="5"/>
      <c r="L33" s="5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5"/>
      <c r="B34" s="5"/>
      <c r="C34" s="22" t="s">
        <v>94</v>
      </c>
      <c r="D34" s="1"/>
      <c r="E34" s="1"/>
      <c r="F34" s="1"/>
      <c r="G34" s="1"/>
      <c r="H34" s="1"/>
      <c r="I34" s="1"/>
      <c r="J34" s="1"/>
      <c r="K34" s="1"/>
      <c r="L34" s="1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1"/>
      <c r="C35" s="1"/>
      <c r="D35" s="5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45" t="s">
        <v>65</v>
      </c>
      <c r="C36" s="5"/>
      <c r="D36" s="5"/>
      <c r="E36" s="5"/>
      <c r="F36" s="5"/>
      <c r="G36" s="1"/>
      <c r="H36" s="5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5" t="s">
        <v>95</v>
      </c>
      <c r="C37" s="5"/>
      <c r="D37" s="5"/>
      <c r="E37" s="5"/>
      <c r="F37" s="5"/>
      <c r="G37" s="5"/>
      <c r="H37" s="5"/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45" t="s">
        <v>69</v>
      </c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24" t="s">
        <v>70</v>
      </c>
      <c r="C40" s="5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45" t="s">
        <v>71</v>
      </c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24" t="s">
        <v>72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9"/>
      <c r="O43" s="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5" t="s">
        <v>73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9"/>
      <c r="O45" s="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45" t="s">
        <v>74</v>
      </c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9"/>
      <c r="O46" s="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9"/>
      <c r="O48" s="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5" t="s">
        <v>75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5" t="str">
        <f>"49층 격수 "&amp;TEXT(A6/0.43,"0.000명 스펙입니다.")&amp;""</f>
        <v>49층 격수 4.565명 스펙입니다.</v>
      </c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5" t="str">
        <f>"50층 격수 "&amp;TEXT(A6/0.65,"0.000명 스펙입니다.")&amp;""</f>
        <v>50층 격수 3.020명 스펙입니다.</v>
      </c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5" t="str">
        <f>"51층 격수 "&amp;TEXT(A6/0.78,"0.000명 스펙입니다.")&amp;""</f>
        <v>51층 격수 2.516명 스펙입니다.</v>
      </c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5" t="str">
        <f>"52층 격수 "&amp;TEXT(A6/1.006,"0.000명 스펙입니다.")&amp;""</f>
        <v>52층 격수 1.951명 스펙입니다.</v>
      </c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5" t="str">
        <f>"53층 격수 "&amp;TEXT(A6/1.19,"0.000명 스펙입니다.")&amp;""</f>
        <v>53층 격수 1.649명 스펙입니다.</v>
      </c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5" t="str">
        <f>"54층 격수 "&amp;TEXT(A6/1.395,"0.000명 스펙입니다.")&amp;""</f>
        <v>54층 격수 1.407명 스펙입니다.</v>
      </c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5" t="str">
        <f>"55층 격수 "&amp;TEXT(A6/1.622,"0.000명 스펙입니다.")&amp;""</f>
        <v>55층 격수 1.210명 스펙입니다.</v>
      </c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5" t="str">
        <f>"56층 격수 "&amp;TEXT(A6/2.073,"0.000명 스펙입니다.")&amp;""</f>
        <v>56층 격수 0.947명 스펙입니다.</v>
      </c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5" t="str">
        <f>"57층 격수 "&amp;TEXT(A6/2.275,"0.000명 스펙입니다.")&amp;""</f>
        <v>57층 격수 0.863명 스펙입니다.</v>
      </c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5" t="str">
        <f>"60층 격수 "&amp;TEXT(A6/2.681,"0.000명 스펙입니다.")&amp;""</f>
        <v>60층 격수 0.732명 스펙입니다.</v>
      </c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5" t="str">
        <f>"59층 격수 "&amp;TEXT(A6/2.935,"0.000명 스펙입니다.")&amp;""</f>
        <v>59층 격수 0.669명 스펙입니다.</v>
      </c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5" t="str">
        <f>"60층 격수 "&amp;TEXT(A6/3.78,"0.000명 스펙입니다.")&amp;""</f>
        <v>60층 격수 0.519명 스펙입니다.</v>
      </c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5" t="str">
        <f>"61층 격수 "&amp;TEXT(A6/4.1,"0.000명 스펙입니다.")&amp;""</f>
        <v>61층 격수 0.479명 스펙입니다.</v>
      </c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5" t="str">
        <f>"62층 격수 "&amp;TEXT(A6/4.35,"0.000명 스펙입니다.")&amp;""</f>
        <v>62층 격수 0.451명 스펙입니다.</v>
      </c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5" t="str">
        <f>"63층 격수 "&amp;TEXT(A6/4.741,"0.000명 스펙입니다.")&amp;""</f>
        <v>63층 격수 0.414명 스펙입니다.</v>
      </c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5" t="str">
        <f>"64층 격수 "&amp;TEXT(A6/5.1,"0.000명 스펙입니다.")&amp;""</f>
        <v>64층 격수 0.385명 스펙입니다.</v>
      </c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5" t="str">
        <f>"65층 격수 "&amp;TEXT(A6/5.49,"0.000명 스펙입니다.")&amp;""</f>
        <v>65층 격수 0.358명 스펙입니다.</v>
      </c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5" t="str">
        <f>"66층 격수 "&amp;TEXT(A6/5.96,"0.000명 스펙입니다.")&amp;""</f>
        <v>66층 격수 0.329명 스펙입니다.</v>
      </c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5" t="str">
        <f>"67층 격수 "&amp;TEXT(A6/6.43,"0.000명 스펙입니다.")&amp;""</f>
        <v>67층 격수 0.305명 스펙입니다.</v>
      </c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5" t="str">
        <f>"68층 격수 "&amp;TEXT(A6/6.878,"0.000명 스펙입니다.")&amp;""</f>
        <v>68층 격수 0.285명 스펙입니다.</v>
      </c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5" t="str">
        <f>"69층 격수 "&amp;TEXT(A6/7.322,"0.000명 스펙입니다.")&amp;""</f>
        <v>69층 격수 0.268명 스펙입니다.</v>
      </c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5" t="str">
        <f>"70층 격수 "&amp;TEXT(A6/8.233,"0.000명 스펙입니다.")&amp;""</f>
        <v>70층 격수 0.238명 스펙입니다.</v>
      </c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5" t="str">
        <f>"71층 격수 "&amp;TEXT(A6/8.753,"0.000명 스펙입니다.")&amp;""</f>
        <v>71층 격수 0.224명 스펙입니다.</v>
      </c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5" t="str">
        <f>"72층 격수 "&amp;TEXT(A6/9.344,"0.000명 스펙입니다.")&amp;""</f>
        <v>72층 격수 0.210명 스펙입니다.</v>
      </c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5" t="str">
        <f>"73층 격수 "&amp;TEXT(A6/10,"0.000명 스펙입니다.")&amp;""</f>
        <v>73층 격수 0.196명 스펙입니다.</v>
      </c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5" t="str">
        <f>"74층 격수 "&amp;TEXT(A6/10.738,"0.000명 스펙입니다.")&amp;""</f>
        <v>74층 격수 0.183명 스펙입니다.</v>
      </c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honeticPr fontId="18" type="noConversion"/>
  <conditionalFormatting sqref="C13 C30:C31">
    <cfRule type="notContainsBlanks" dxfId="7" priority="1">
      <formula>LEN(TRIM(C13))&gt;0</formula>
    </cfRule>
  </conditionalFormatting>
  <conditionalFormatting sqref="C30:C31">
    <cfRule type="notContainsBlanks" dxfId="6" priority="2">
      <formula>LEN(TRIM(C30))&gt;0</formula>
    </cfRule>
  </conditionalFormatting>
  <conditionalFormatting sqref="C10">
    <cfRule type="notContainsBlanks" dxfId="5" priority="3">
      <formula>LEN(TRIM(C10))&gt;0</formula>
    </cfRule>
  </conditionalFormatting>
  <dataValidations count="13">
    <dataValidation type="decimal" allowBlank="1" showDropDown="1" showErrorMessage="1" sqref="C13" xr:uid="{00000000-0002-0000-0100-000000000000}">
      <formula1>0</formula1>
      <formula2>700</formula2>
    </dataValidation>
    <dataValidation type="decimal" allowBlank="1" showDropDown="1" showInputMessage="1" showErrorMessage="1" prompt="번호를 입력하세요. 사이 0 및 45" sqref="C23" xr:uid="{00000000-0002-0000-0100-000001000000}">
      <formula1>0</formula1>
      <formula2>45</formula2>
    </dataValidation>
    <dataValidation type="decimal" allowBlank="1" showDropDown="1" sqref="C33" xr:uid="{00000000-0002-0000-0100-000002000000}">
      <formula1>0</formula1>
      <formula2>100</formula2>
    </dataValidation>
    <dataValidation type="list" allowBlank="1" showErrorMessage="1" sqref="C30:C31" xr:uid="{00000000-0002-0000-0100-000003000000}">
      <formula1>"O,X"</formula1>
    </dataValidation>
    <dataValidation type="decimal" allowBlank="1" showDropDown="1" showInputMessage="1" showErrorMessage="1" prompt="번호를 입력하세요. 사이 30 및 250" sqref="C12" xr:uid="{00000000-0002-0000-0100-000004000000}">
      <formula1>30</formula1>
      <formula2>250</formula2>
    </dataValidation>
    <dataValidation type="list" allowBlank="1" showErrorMessage="1" sqref="C29" xr:uid="{00000000-0002-0000-0100-000005000000}">
      <formula1>"0,1,2,3,4,5,6,7,8"</formula1>
    </dataValidation>
    <dataValidation type="list" allowBlank="1" showErrorMessage="1" sqref="C17:C20" xr:uid="{00000000-0002-0000-0100-000006000000}">
      <formula1>"0,1,2,3,4"</formula1>
    </dataValidation>
    <dataValidation type="decimal" allowBlank="1" showDropDown="1" showErrorMessage="1" sqref="C15" xr:uid="{00000000-0002-0000-0100-000007000000}">
      <formula1>20</formula1>
      <formula2>150</formula2>
    </dataValidation>
    <dataValidation type="list" allowBlank="1" showErrorMessage="1" sqref="C22" xr:uid="{00000000-0002-0000-0100-000008000000}">
      <formula1>"파프17,파프22,앱솔17,앱솔22,아케인17,아케인22"</formula1>
    </dataValidation>
    <dataValidation type="decimal" allowBlank="1" showDropDown="1" showErrorMessage="1" sqref="C11" xr:uid="{00000000-0002-0000-0100-000009000000}">
      <formula1>1000000</formula1>
      <formula2>999999999</formula2>
    </dataValidation>
    <dataValidation type="list" allowBlank="1" showInputMessage="1" showErrorMessage="1" prompt="클릭하여 값을 입력하세요. 항목 목록" sqref="E24 E27:E29" xr:uid="{00000000-0002-0000-0100-00000A000000}">
      <formula1>"0,1,2"</formula1>
    </dataValidation>
    <dataValidation type="decimal" allowBlank="1" showDropDown="1" showInputMessage="1" showErrorMessage="1" prompt="번호를 입력하세요. 사이 0 및 30" sqref="C25:C27" xr:uid="{00000000-0002-0000-0100-00000B000000}">
      <formula1>0</formula1>
      <formula2>30</formula2>
    </dataValidation>
    <dataValidation type="list" allowBlank="1" showInputMessage="1" showErrorMessage="1" prompt="클릭하여 값을 입력하세요. 항목 목록" sqref="E25:E26" xr:uid="{00000000-0002-0000-0100-00000C000000}">
      <formula1>"0,1,2,3,4,5,6"</formula1>
    </dataValidation>
  </dataValidations>
  <hyperlinks>
    <hyperlink ref="D8" r:id="rId1" xr:uid="{00000000-0004-0000-0100-000000000000}"/>
    <hyperlink ref="B36" r:id="rId2" xr:uid="{00000000-0004-0000-0100-000001000000}"/>
    <hyperlink ref="B39" r:id="rId3" xr:uid="{00000000-0004-0000-0100-000002000000}"/>
    <hyperlink ref="B40" r:id="rId4" xr:uid="{00000000-0004-0000-0100-000003000000}"/>
    <hyperlink ref="B42" r:id="rId5" xr:uid="{00000000-0004-0000-0100-000004000000}"/>
    <hyperlink ref="B43" r:id="rId6" xr:uid="{00000000-0004-0000-0100-000005000000}"/>
    <hyperlink ref="B46" r:id="rId7" xr:uid="{00000000-0004-0000-0100-000006000000}"/>
  </hyperlinks>
  <pageMargins left="0.7" right="0.7" top="0.75" bottom="0.75" header="0.3" footer="0.3"/>
  <ignoredErrors>
    <ignoredError sqref="C14" unlockedFormula="1"/>
  </ignoredErrors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2"/>
  <sheetViews>
    <sheetView showGridLines="0" workbookViewId="0">
      <selection activeCell="D8" sqref="D8"/>
    </sheetView>
  </sheetViews>
  <sheetFormatPr defaultColWidth="14.42578125" defaultRowHeight="15.75" customHeight="1"/>
  <cols>
    <col min="1" max="1" width="14.42578125" style="6"/>
    <col min="2" max="2" width="11.140625" style="6" customWidth="1"/>
    <col min="3" max="3" width="12.7109375" style="6" customWidth="1"/>
    <col min="4" max="4" width="14.42578125" style="6"/>
    <col min="5" max="5" width="6.42578125" style="6" customWidth="1"/>
    <col min="6" max="6" width="14.42578125" style="6"/>
    <col min="7" max="7" width="8.85546875" style="6" customWidth="1"/>
    <col min="8" max="16384" width="14.42578125" style="6"/>
  </cols>
  <sheetData>
    <row r="1" spans="1:26" ht="40.5" customHeight="1">
      <c r="A1" s="1"/>
      <c r="B1" s="7" t="s">
        <v>0</v>
      </c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5" t="s">
        <v>96</v>
      </c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5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"/>
      <c r="D6" s="5" t="s">
        <v>6</v>
      </c>
      <c r="E6" s="5"/>
      <c r="F6" s="1"/>
      <c r="G6" s="5" t="s">
        <v>97</v>
      </c>
      <c r="H6" s="5"/>
      <c r="I6" s="5"/>
      <c r="J6" s="5"/>
      <c r="K6" s="1"/>
      <c r="L6" s="1"/>
      <c r="M6" s="5" t="s">
        <v>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5" t="s">
        <v>9</v>
      </c>
      <c r="E7" s="5"/>
      <c r="F7" s="1"/>
      <c r="G7" s="10" t="str">
        <f>IF(A13&lt;0.43,"49층 미만",IF(A13&lt;0.64,ROUND(49+((A13-0.43)/(0.64-0.43)),3)&amp;"층",IF(A13&lt;0.78,ROUND(50+((A13-0.64)/(0.78-0.64)),3)&amp;"층",IF(A13&lt;1.006,ROUND(51+((A13-0.78)/(1.006-0.78)),3)&amp;"층",IF(A13&lt;1.19,ROUND(52+((A13-1.006)/(1.19-1.006)),3)&amp;"층",IF(A13&lt;1.35,ROUND(53+((A13-1.19)/(1.35-1.19)),3)&amp;"층",IF(A13&lt;1.53,ROUND(54+((A13-1.35)/(1.53-1.35)),3)&amp;"층",IF(A13&lt;1.77,ROUND(55+((A13-1.53)/(1.77-1.53)),3)&amp;"층",IF(A13&lt;2.1,ROUND(56+((A13-1.77)/(2.1-1.77)),3)&amp;"층",IF(A13&lt;2.36,ROUND(57+((A13-2.1)/(2.36-2.1)),3)&amp;"층",IF(A13&lt;2.75,ROUND(58+((A13-2.36)/(2.75-2.36)),3)&amp;"층",IF(A13&lt;3.45,ROUND(59+((A13-2.75)/(3.45-2.75)),3)&amp;"층",IF(A13&lt;3.75,ROUND(60+((A13-3.45)/(3.75-3.45)),3)&amp;"층",IF(A13&lt;4.28,ROUND(61+((A13-3.75)/(4.28-3.75)),3)&amp;"층",IF(A13&lt;4.58,ROUND(62+((A13-4.28)/(4.58-4.28)),3)&amp;"층",IF(A13&lt;4.85,ROUND(63+((A13-4.58)/(4.85-4.58)),3)&amp;"층",IF(A13&lt;5.52,ROUND(64+((A13-4.85)/(5.52-4.85)),3)&amp;"층",IF(A13&lt;5.9,ROUND(65+((A13-5.52)/(5.9-5.52)),3)&amp;"층",IF(A13&lt;6.5,ROUND(66+((A13-5.9)/(6.5-5.9)),3)&amp;"층",IF(A13&lt;6.97,ROUND(67+((A13-6.5)/(6.97-6.5)),3)&amp;"층",IF(A13&lt;7.53,ROUND(68+((A13-6.97)/(7.53-6.97)),3)&amp;"층",IF(A13&lt;8.55,ROUND(69+((A13-7.53)/(8.55-7.53)),3)&amp;"층",IF(A13&lt;8.95,ROUND(70+((A13-8.55)/(8.95-8.55)),3)&amp;"층",IF(A13&lt;9.48,ROUND(71+((A13-8.95)/(9.48-8.95)),3)&amp;"층",IF(A13&lt;10.15,ROUND(72+((A13-9.48)/(10.15-9.48)),3)&amp;"층",IF(A13&lt;10.9,ROUND(73+((A13-10.15)/(10.9-10.15)),3)&amp;"층",IF(A13&lt;11.75,ROUND(74+((A13-10.9)/(11.75-10.9)),3)&amp;"층",IF(A13&lt;12.73,ROUND(75+((A13-11.75)/(12.73-11.75)),3)&amp;"층",IF(A13&lt;13.8,ROUND(76+((A13-12.73)/(13.8-12.73)),3)&amp;"층",IF(A13&lt;15.1,ROUND(77+((A13-13.8)/(15.1-13.8)),3)&amp;"층",IF(A13&lt;16.6,ROUND(78+((A13-15.1)/(16.6-15.1)),3)&amp;"층",IF(A13&lt;18.8,ROUND(79+((A13-16.6)/(18.8-16.6)),3)&amp;"층","무공 격파 가능"))))))))))))))))))))))))))))))))</f>
        <v>50.539층</v>
      </c>
      <c r="H7" s="5"/>
      <c r="I7" s="1"/>
      <c r="J7" s="1"/>
      <c r="K7" s="4">
        <f>IF(A9&lt;0.48,0,IF(A9&lt;0.72,ROUND(49+((A9-0.48)/(0.72-0.48)),3),IF(A9&lt;0.92,ROUND(50+((A9-0.72)/(0.92-0.72)),3),IF(A9&lt;1.045,ROUND(51+((A9-0.92)/(1.045-0.92)),3),IF(A9&lt;1.3,ROUND(52+((A9-1.045)/(1.3-1.045)),3),IF(A9&lt;1.533,ROUND(53+((A9-1.3)/(1.533-1.3)),3),IF(A9&lt;1.798,ROUND(54+((A9-1.533)/(1.798-1.533)),3),IF(A9&lt;2.07,ROUND(55+((A9-1.798)/(2.07-1.798)),3),IF(A9&lt;2.49,ROUND(56+((A9-2.07)/(2.49-2.07)),3),IF(A9&lt;2.906,ROUND(57+((A9-2.49)/(2.906-2.49)),3),IF(A9&lt;3.202,ROUND(60+((A9-2.906)/(3.202-2.906)),3),IF(A9&lt;3.848,ROUND(59+((A9-3.202)/(3.848-3.202)),3),IF(A9&lt;4.214,ROUND(60+((A9-3.848)/(4.214-3.848)),3),IF(A9&lt;4.8,ROUND(61+((A9-4.214)/(4.8-4.214)),3),IF(A9&lt;5.4,ROUND(62+((A9-4.8)/(5.4-4.8)),3),IF(A9&lt;5.9,ROUND(63+((A9-5.4)/(5.9-5.4)),3),IF(A9&lt;6.4,ROUND(64+((A9-5.9)/(6.4-5.9)),3),IF(A9&lt;6.9,ROUND(65+((A9-6.4)/(6.9-6.4)),3),IF(A9&lt;7.4,ROUND(66+((A9-6.9)/(7.4-6.9)),3),IF(A9&lt;8,ROUND(67+((A9-7.4)/(8-7.4)),3),IF(A9&lt;8.65,ROUND(68+((A9-8)/(8.65-8)),3),IF(A9&lt;9.95,ROUND(69+((A9-8.65)/(9.95-8.65)),3),IF(A9&lt;10.7,ROUND(70+((A9-9.95)/(10.7-9.95)),3),IF(A9&lt;11.55,ROUND(71+((A9-10.7)/(11.55-10.7)),3),IF(A9&lt;12.53,ROUND(72+((A9-11.55)/(12.53-11.55)),3),IF(A9&lt;13.66,ROUND(73+((A9-12.53)/(13.66-12.53)),3),"74층 이상"))))))))))))))))))))))))))</f>
        <v>50.512</v>
      </c>
      <c r="L7" s="1"/>
      <c r="M7" s="5" t="s">
        <v>10</v>
      </c>
      <c r="N7" s="5"/>
      <c r="O7" s="5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9"/>
      <c r="B8" s="8" t="s">
        <v>11</v>
      </c>
      <c r="C8" s="1"/>
      <c r="D8" s="46" t="s">
        <v>12</v>
      </c>
      <c r="E8" s="1" t="s">
        <v>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>
        <f>(C11/(C12+100)*(173+C15-(IF(C27&gt;14,0,30-2*C27)))*(190+C12+C13+E24-(1-0.5*E28)*6-(5-0.166*E29-0.166*E30-0.5*E31-0.5*E32-0.5*E33)*9-(IF(C27&lt;16,60,90-2*C27)))/10000000000)*(1-0.03*(4-D17))*(1-0.02*(4-D18))*(1-0.025*(4-D19))*(1-0.005*(4-D20))*(1-0.003*(4-D21))*(1-0.003*(4-D22))*(1+0.015*(C24-1))*(1-(IF(C25&gt;199,0,0.015*C25/200)))*(1-0.03*(IF(C29&lt;16,1,0)))*(1-0.03*(IF(C59&lt;16,1,0)))*(1-0.03*(IF(C30&lt;16,1,0)))*(1-0.01*(IF(C60&lt;16,1,0)))*(IF(AND((C11/(C12+100)*(173+C15-(IF(C27&gt;14,0,30-2*C27)))*(190+C12+C13+E24-(2-0.166*E30-0.5*E28)*6-(1-0.166*E29)*4-(IF(C27&lt;16,60,90-2*C27)))/10000000000)*(1-0.03*(4-D17))*(1-0.02*(4-D18))*(1-0.025*(4-D19))*(1-0.005*(4-D20))*(1-0.003*(4-D21))*(1-0.003*(4-D22))*(1+0.015*(C24-1))*(1-(IF(C25&gt;199,0,0.015*C25/200)))*(1-0.07*(1-0.5*E31))*(1-0.03*(IF(C29&lt;16,1,0)))*(1-0.03*(IF(C59&lt;16,1,0)))*(1-0.03*(IF(C30&lt;16,1,0)))*(1-0.05*(IF(C60&lt;16,1,0)))&gt;1.621,D10&lt;250),1-0.02*(250-D10),1-0.02*(IF(D10&lt;245,245-D10,0))))*IF(E26="X", 1.625/(C14*0.01+1),1)*IF(C13+E24+C12&gt;400,(1-(1-(C13+E24+C12+170)/(570)/(C13+E24+C12)*400)*0.3),1)*(1+F25*0.09)*IF(C11&lt;30000000,0.95+C11/30000000*0.05,1)</f>
        <v>0.82244332926537467</v>
      </c>
      <c r="B9" s="1"/>
      <c r="C9" s="1"/>
      <c r="D9" s="1"/>
      <c r="E9" s="1"/>
      <c r="F9" s="1"/>
      <c r="G9" s="5" t="s">
        <v>98</v>
      </c>
      <c r="H9" s="5"/>
      <c r="I9" s="5"/>
      <c r="J9" s="1"/>
      <c r="K9" s="1"/>
      <c r="L9" s="1"/>
      <c r="M9" s="5" t="s">
        <v>15</v>
      </c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">
        <f>(C11/(C12+100)*(173+C15-(IF(C27&gt;14,0,30-2*C27)))*(190+C12+C13+E24-(1-0.5*E28)*6-(5-0.166*E29-0.166*E30-0.5*E31-0.5*E32-0.5*E33)*9-(IF(C27&lt;16,60,90-2*C27)))/10000000000)*(1+F25*0.09)*IF(C11&lt;30000000,0.95+C11/30000000*0.05,1)</f>
        <v>1.0910808130924532</v>
      </c>
      <c r="B10" s="12" t="s">
        <v>16</v>
      </c>
      <c r="C10" s="26">
        <v>241</v>
      </c>
      <c r="D10" s="4">
        <f>IF(E26="O",C10-5,C10)</f>
        <v>241</v>
      </c>
      <c r="E10" s="1"/>
      <c r="F10" s="1"/>
      <c r="G10" s="13" t="str">
        <f>IF(A12&lt;0.43,"49층 미만",IF(A12&lt;0.64,ROUND(49+((A12-0.43)/(0.64-0.43)),3)&amp;"층",IF(A12&lt;0.78,ROUND(50+((A12-0.64)/(0.78-0.64)),3)&amp;"층",IF(A12&lt;1.006,ROUND(51+((A12-0.78)/(1.006-0.78)),3)&amp;"층",IF(A12&lt;1.19,ROUND(52+((A12-1.006)/(1.19-1.006)),3)&amp;"층",IF(A12&lt;1.35,ROUND(53+((A12-1.19)/(1.35-1.19)),3)&amp;"층",IF(A12&lt;1.53,ROUND(54+((A12-1.35)/(1.53-1.35)),3)&amp;"층",IF(A12&lt;1.77,ROUND(55+((A12-1.53)/(1.77-1.53)),3)&amp;"층",IF(A12&lt;2.1,ROUND(56+((A12-1.77)/(2.1-1.77)),3)&amp;"층",IF(A12&lt;2.36,ROUND(57+((A12-2.1)/(2.36-2.1)),3)&amp;"층",IF(A12&lt;2.75,ROUND(58+((A12-2.36)/(2.75-2.36)),3)&amp;"층",IF(A12&lt;3.45,ROUND(59+((A12-2.75)/(3.45-2.75)),3)&amp;"층",IF(A12&lt;3.75,ROUND(60+((A12-3.45)/(3.75-3.45)),3)&amp;"층",IF(A12&lt;4.28,ROUND(61+((A12-3.75)/(4.28-3.75)),3)&amp;"층",IF(A12&lt;4.58,ROUND(62+((A12-4.28)/(4.58-4.28)),3)&amp;"층",IF(A12&lt;4.85,ROUND(63+((A12-4.58)/(4.85-4.58)),3)&amp;"층",IF(A12&lt;5.52,ROUND(64+((A12-4.85)/(5.52-4.85)),3)&amp;"층",IF(A12&lt;5.9,ROUND(65+((A12-5.52)/(5.9-5.52)),3)&amp;"층",IF(A12&lt;6.5,ROUND(66+((A12-5.9)/(6.5-5.9)),3)&amp;"층",IF(A12&lt;6.97,ROUND(67+((A12-6.5)/(6.97-6.5)),3)&amp;"층",IF(A12&lt;7.53,ROUND(68+((A12-6.97)/(7.53-6.97)),3)&amp;"층",IF(A12&lt;8.55,ROUND(69+((A12-7.53)/(8.55-7.53)),3)&amp;"층",IF(A12&lt;8.95,ROUND(70+((A12-8.55)/(8.95-8.55)),3)&amp;"층",IF(A12&lt;9.48,ROUND(71+((A12-8.95)/(9.48-8.95)),3)&amp;"층",IF(A12&lt;10.15,ROUND(72+((A12-9.48)/(10.15-9.48)),3)&amp;"층",IF(A12&lt;10.9,ROUND(73+((A12-10.15)/(10.9-10.15)),3)&amp;"층",IF(A12&lt;11.75,ROUND(74+((A12-10.9)/(11.75-10.9)),3)&amp;"층",IF(A12&lt;12.73,ROUND(75+((A12-11.75)/(12.73-11.75)),3)&amp;"층",IF(A12&lt;13.8,ROUND(76+((A12-12.73)/(13.8-12.73)),3)&amp;"층",IF(A12&lt;15.1,ROUND(77+((A12-13.8)/(15.1-13.8)),3)&amp;"층",IF(A12&lt;16.6,ROUND(78+((A12-15.1)/(16.6-15.1)),3)&amp;"층",IF(A12&lt;18.8,ROUND(79+((A12-16.6)/(18.8-16.6)),3)&amp;"층","무공 격파 가능"))))))))))))))))))))))))))))))))</f>
        <v>51.188층</v>
      </c>
      <c r="H10" s="5"/>
      <c r="I10" s="1"/>
      <c r="J10" s="1"/>
      <c r="K10" s="14">
        <f>IF(A9&lt;1.006,0,IF(A9&lt;1.19,ROUND(52+((A9-1.006)/(1.19-1.006)),3),IF(A9&lt;1.33,ROUND(53+((A9-1.19)/(1.33-1.19)),3),IF(A9&lt;1.55,ROUND(54+((A9-1.33)/(1.55-1.33)),3),IF(A9&lt;1.77,ROUND(55+((A9-1.55)/(1.77-1.55)),3),IF(A9&lt;2.1,ROUND(56+((A9-1.77)/(2.1-1.77)),3),IF(A9&lt;2.38,ROUND(57+((A9-2.1)/(2.38-2.1)),3),IF(A9&lt;2.85,ROUND(60+((A9-2.38)/(2.85-2.38)),3),IF(A9&lt;3.4,ROUND(59+((A9-2.85)/(3.4-2.85)),3),IF(A9&lt;3.75,ROUND(60+((A9-3.4)/(3.75-3.4)),3),IF(A9&lt;4.23,ROUND(61+((A9-3.75)/(4.23-3.75)),3),IF(A9&lt;4.66,ROUND(62+((A9-4.23)/(4.66-4.23)),3),IF(A9&lt;4.85,ROUND(63+((A9-4.66)/(4.85-4.66)),3),IF(A9&lt;5.38,ROUND(64+((A9-4.85)/(5.38-4.85)),3),IF(A9&lt;5.7,ROUND(65+((A9-5.38)/(5.7-5.38)),3),IF(A9&lt;6.25,ROUND(66+((A9-5.7)/(6.25-5.7)),3),IF(A9&lt;6.97,ROUND(67+((A9-6.25)/(6.97-6.25)),3),IF(A9&lt;7.9,ROUND(68+((A9-6.97)/(7.9-6.97)),3),IF(A9&lt;8.55,ROUND(69+((A9-7.9)/(8.55-7.9)),3),IF(A9&lt;8.95,ROUND(70+((A9-8.55)/(8.95-8.55)),3),IF(A9&lt;9.48,ROUND(71+((A9-8.95)/(9.48-8.95)),3),IF(A9&lt;10.15,ROUND(72+((A9-9.48)/(10.15-9.48)),3),IF(A9&lt;10.9,ROUND(73+((A9-10.15)/(10.9-10.15)),3),IF(A9&lt;11.75,ROUND(74+((A9-10.9)/(11.75-10.9)),3),IF(A9&lt;12.73,ROUND(75+((A9-11.75)/(12.73-11.75)),3),IF(A9&lt;13.8,ROUND(76+((A9-12.73)/(13.8-12.73)),3),IF(A9&lt;15.1,ROUND(77+((A9-13.8)/(15.1-13.8)),3),IF(A9&lt;16.6,ROUND(78+((A9-15.1)/(16.6-15.1)),3),IF(A9&lt;18.8,ROUND(79+((A9-16.6)/(18.8-16.6)),3),"무공 격파 가능")))))))))))))))))))))))))))))</f>
        <v>0</v>
      </c>
      <c r="L10" s="1"/>
      <c r="M10" s="5" t="s">
        <v>17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f>A10*I22</f>
        <v>1.0910808130924532</v>
      </c>
      <c r="B11" s="15" t="s">
        <v>18</v>
      </c>
      <c r="C11" s="38">
        <v>15376406</v>
      </c>
      <c r="D11" s="1"/>
      <c r="E11" s="1"/>
      <c r="F11" s="1"/>
      <c r="G11" s="1"/>
      <c r="H11" s="1"/>
      <c r="I11" s="1"/>
      <c r="J11" s="1"/>
      <c r="K11" s="1"/>
      <c r="L11" s="1"/>
      <c r="M11" s="5" t="s">
        <v>19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f>A9*I22</f>
        <v>0.82244332926537467</v>
      </c>
      <c r="B12" s="12" t="s">
        <v>20</v>
      </c>
      <c r="C12" s="26">
        <v>103</v>
      </c>
      <c r="D12" s="1"/>
      <c r="E12" s="1"/>
      <c r="F12" s="1"/>
      <c r="G12" s="5" t="s">
        <v>99</v>
      </c>
      <c r="H12" s="5"/>
      <c r="I12" s="5"/>
      <c r="J12" s="5"/>
      <c r="K12" s="5"/>
      <c r="L12" s="5"/>
      <c r="M12" s="5" t="s">
        <v>22</v>
      </c>
      <c r="N12" s="5"/>
      <c r="O12" s="5"/>
      <c r="P12" s="5"/>
      <c r="Q12" s="5"/>
      <c r="R12" s="5"/>
      <c r="S12" s="5"/>
      <c r="T12" s="5"/>
      <c r="U12" s="1"/>
      <c r="V12" s="1"/>
      <c r="W12" s="1"/>
      <c r="X12" s="1"/>
      <c r="Y12" s="1"/>
      <c r="Z12" s="1"/>
    </row>
    <row r="13" spans="1:26">
      <c r="A13" s="4">
        <f>A12*(0.87+IF(A2&gt;18,0.9,A2*0.005))</f>
        <v>0.71552569646087594</v>
      </c>
      <c r="B13" s="12" t="s">
        <v>23</v>
      </c>
      <c r="C13" s="26">
        <v>349</v>
      </c>
      <c r="D13" s="1"/>
      <c r="E13" s="1"/>
      <c r="F13" s="1"/>
      <c r="G13" s="13" t="str">
        <f>IF(A14&lt;0.43,"49층 미만",IF(A14&lt;0.64,ROUND(49+((A14-0.43)/(0.64-0.43)),3)&amp;"층",IF(A14&lt;0.78,ROUND(50+((A14-0.64)/(0.78-0.64)),3)&amp;"층",IF(A14&lt;1.006,ROUND(51+((A14-0.78)/(1.006-0.78)),3)&amp;"층",IF(A14&lt;1.19,ROUND(52+((A14-1.006)/(1.19-1.006)),3)&amp;"층",IF(A14&lt;1.35,ROUND(53+((A14-1.19)/(1.35-1.19)),3)&amp;"층",IF(A14&lt;1.53,ROUND(54+((A14-1.35)/(1.53-1.35)),3)&amp;"층",IF(A14&lt;1.77,ROUND(55+((A14-1.53)/(1.77-1.53)),3)&amp;"층",IF(A14&lt;2.1,ROUND(56+((A14-1.77)/(2.1-1.77)),3)&amp;"층",IF(A14&lt;2.36,ROUND(57+((A14-2.1)/(2.36-2.1)),3)&amp;"층",IF(A14&lt;2.75,ROUND(58+((A14-2.36)/(2.75-2.36)),3)&amp;"층",IF(A14&lt;3.45,ROUND(59+((A14-2.75)/(3.45-2.75)),3)&amp;"층",IF(A14&lt;3.75,ROUND(60+((A14-3.45)/(3.75-3.45)),3)&amp;"층",IF(A14&lt;4.28,ROUND(61+((A14-3.75)/(4.28-3.75)),3)&amp;"층",IF(A14&lt;4.58,ROUND(62+((A14-4.28)/(4.58-4.28)),3)&amp;"층",IF(A14&lt;4.85,ROUND(63+((A14-4.58)/(4.85-4.58)),3)&amp;"층",IF(A14&lt;5.52,ROUND(64+((A14-4.85)/(5.52-4.85)),3)&amp;"층",IF(A14&lt;5.9,ROUND(65+((A14-5.52)/(5.9-5.52)),3)&amp;"층",IF(A14&lt;6.5,ROUND(66+((A14-5.9)/(6.5-5.9)),3)&amp;"층",IF(A14&lt;6.97,ROUND(67+((A14-6.5)/(6.97-6.5)),3)&amp;"층",IF(A14&lt;7.53,ROUND(68+((A14-6.97)/(7.53-6.97)),3)&amp;"층",IF(A14&lt;8.55,ROUND(69+((A14-7.53)/(8.55-7.53)),3)&amp;"층",IF(A14&lt;8.95,ROUND(70+((A14-8.55)/(8.95-8.55)),3)&amp;"층",IF(A14&lt;9.48,ROUND(71+((A14-8.95)/(9.48-8.95)),3)&amp;"층",IF(A14&lt;10.15,ROUND(72+((A14-9.48)/(10.15-9.48)),3)&amp;"층",IF(A14&lt;10.9,ROUND(73+((A14-10.15)/(10.9-10.15)),3)&amp;"층",IF(A14&lt;11.75,ROUND(74+((A14-10.9)/(11.75-10.9)),3)&amp;"층",IF(A14&lt;12.73,ROUND(75+((A14-11.75)/(12.73-11.75)),3)&amp;"층",IF(A14&lt;13.8,ROUND(76+((A14-12.73)/(13.8-12.73)),3)&amp;"층",IF(A14&lt;15.1,ROUND(77+((A14-13.8)/(15.1-13.8)),3)&amp;"층",IF(A14&lt;16.6,ROUND(78+((A14-15.1)/(16.6-15.1)),3)&amp;"층",IF(A14&lt;18.8,ROUND(79+((A14-16.6)/(18.8-16.6)),3)&amp;"층","무공 격파 가능"))))))))))))))))))))))))))))))))</f>
        <v>51.406층</v>
      </c>
      <c r="H13" s="5"/>
      <c r="I13" s="1"/>
      <c r="J13" s="1"/>
      <c r="K13" s="4">
        <f>IF(A9&lt;0.936,0,IF(A9&lt;1.14,ROUND(52+((A9-0.936)/(1.14-0.936)),3),IF(A9&lt;1.29,ROUND(53+((A9-1.14)/(1.29-1.14)),3),IF(A9&lt;1.5,ROUND(54+((A9-1.29)/(1.5-1.29)),3),IF(A9&lt;1.7,ROUND(55+((A9-1.5)/(1.7-1.5)),3),IF(A9&lt;2,ROUND(56+((A9-1.7)/(2-1.7)),3),IF(A9&lt;2.33,ROUND(57+((A9-2)/(2.33-2)),3),IF(A9&lt;2.69,ROUND(60+((A9-2.33)/(2.69-2.33)),3),IF(A9&lt;3.32,ROUND(59+((A9-2.69)/(3.32-2.69)),3),IF(A9&lt;3.6,ROUND(60+((A9-3.32)/(3.6-3.32)),3),IF(A9&lt;4.05,ROUND(61+((A9-3.6)/(4.05-3.6)),3),IF(A9&lt;4.4,ROUND(62+((A9-4.05)/(4.4-4.05)),3),IF(A9&lt;4.72,ROUND(63+((A9-4.4)/(4.72-4.4)),3),IF(A9&lt;5.3,ROUND(64+((A9-4.72)/(5.3-4.72)),3),IF(A9&lt;5.63,ROUND(65+((A9-5.3)/(5.63-5.3)),3),IF(A9&lt;6.13,ROUND(66+((A9-5.63)/(6.13-5.63)),3),IF(A9&lt;6.76,ROUND(67+((A9-6.13)/(6.76-6.13)),3),IF(A9&lt;7.25,ROUND(68+((A9-6.76)/(7.25-6.76)),3),IF(A9&lt;8.15,ROUND(69+((A9-7.25)/(8.15-7.25)),3),IF(A9&lt;8.7,ROUND(70+((A9-8.15)/(8.7-8.15)),3),IF(A9&lt;9.3,ROUND(71+((A9-8.7)/(9.3-8.7)),3),IF(A9&lt;9.8,ROUND(72+((A9-9.3)/(9.8-9.3)),3),IF(A9&lt;10.55,ROUND(73+((A9-9.8)/(10.55-9.8)),3),IF(A9&lt;11.1,ROUND(74+((A9-10.55)/(11.1-10.55)),3),IF(A9&lt;11.8,ROUND(75+((A9-11.1)/(11.8-11.1)),3),IF(A9&lt;12.7,ROUND(76+((A9-11.8)/(12.7-11.8)),3),IF(A9&lt;13.65,ROUND(77+((A9-12.7)/(13.65-12.7)),3),IF(A9&lt;14.7,ROUND(78+((A9-13.65)/(14.7-13.65)),3),IF(A9&lt;16.55,ROUND(79+((A9-14.7)/(16.55-14.7)),3),"무공 격파 가능")))))))))))))))))))))))))))))</f>
        <v>0</v>
      </c>
      <c r="L13" s="1"/>
      <c r="M13" s="5" t="s">
        <v>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f>A12*(1.06-IF(A2&gt;6,0.03,0.005*A2))</f>
        <v>0.87178992902129715</v>
      </c>
      <c r="B14" s="12" t="s">
        <v>25</v>
      </c>
      <c r="C14" s="28">
        <f>IF(AND(E26="O",C10&lt;250),160,IF(AND(E26="O",C10&lt;300),168.13, 62.5))</f>
        <v>62.5</v>
      </c>
      <c r="D14" s="1"/>
      <c r="E14" s="1"/>
      <c r="F14" s="1"/>
      <c r="G14" s="1"/>
      <c r="H14" s="1"/>
      <c r="I14" s="1"/>
      <c r="J14" s="1"/>
      <c r="K14" s="5"/>
      <c r="L14" s="5"/>
      <c r="M14" s="5" t="s">
        <v>26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2" t="s">
        <v>27</v>
      </c>
      <c r="C15" s="26">
        <v>57</v>
      </c>
      <c r="D15" s="1"/>
      <c r="E15" s="1"/>
      <c r="F15" s="1"/>
      <c r="G15" s="18" t="s">
        <v>100</v>
      </c>
      <c r="H15" s="19" t="str">
        <f>ROUND(0.7236*A17,3)&amp;"억~"&amp;TEXT(0.80352*A17,"0.000")&amp;"억"</f>
        <v>0.809억~0.899억</v>
      </c>
      <c r="I15" s="1"/>
      <c r="J15" s="1"/>
      <c r="K15" s="1"/>
      <c r="L15" s="1"/>
      <c r="M15" s="5" t="s">
        <v>29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f>(C11/(C12+100)*(173+C15-(IF(C27&gt;14,0,30-2*C27)))*(190+C12+C13+E24-(1-0.5*E28)*6-(5-0.166*E29-0.166*E30-0.5*E31-0.5*E32-0.5*E33)*9-(IF(C27&lt;16,60,90-2*C27)))/10000000000)</f>
        <v>1.1183376732397239</v>
      </c>
      <c r="B17" s="12" t="s">
        <v>31</v>
      </c>
      <c r="C17" s="26">
        <v>0</v>
      </c>
      <c r="D17" s="3">
        <f>IF(AND(A10&lt;1.75,C17&lt;4),(C17)+0.4,C17)</f>
        <v>0.4</v>
      </c>
      <c r="E17" s="1"/>
      <c r="F17" s="1"/>
      <c r="G17" s="1"/>
      <c r="H17" s="1"/>
      <c r="I17" s="1"/>
      <c r="J17" s="1"/>
      <c r="K17" s="1"/>
      <c r="L17" s="1"/>
      <c r="M17" s="5" t="s">
        <v>32</v>
      </c>
      <c r="N17" s="5"/>
      <c r="O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2" t="s">
        <v>33</v>
      </c>
      <c r="C18" s="26">
        <v>3</v>
      </c>
      <c r="D18" s="3">
        <f>IF(AND(A10&lt;1.75,C18&lt;4),(C18)+1,C18)</f>
        <v>4</v>
      </c>
      <c r="E18" s="1"/>
      <c r="F18" s="1"/>
      <c r="G18" s="5" t="s">
        <v>34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2" t="s">
        <v>35</v>
      </c>
      <c r="C19" s="26">
        <v>3</v>
      </c>
      <c r="D19" s="3">
        <f>IF(AND(C19&lt;3,$A$10&lt;1.65),C19+2,C19)</f>
        <v>3</v>
      </c>
      <c r="E19" s="1"/>
      <c r="F19" s="1"/>
      <c r="G19" s="5" t="s">
        <v>36</v>
      </c>
      <c r="H19" s="5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2" t="s">
        <v>37</v>
      </c>
      <c r="C20" s="26">
        <v>0</v>
      </c>
      <c r="D20" s="3">
        <f>IF($A$10&lt;1.75,4,C20)</f>
        <v>4</v>
      </c>
      <c r="E20" s="1"/>
      <c r="F20" s="1"/>
      <c r="G20" s="20" t="str">
        <f>IF(A10&lt;1.006,"52층 이하",IF(A10&lt;1.19,ROUND(52+((A10-1.006)/(1.19-1.006)),3)&amp;"층",IF(A10&lt;1.33,ROUND(53+((A10-1.19)/(1.33-1.19)),3)&amp;"층",IF(A10&lt;1.55,ROUND(54+((A10-1.33)/(1.55-1.33)),3)&amp;"층",IF(A10&lt;1.77,ROUND(55+((A10-1.55)/(1.77-1.55)),3)&amp;"층",IF(A10&lt;2.1,ROUND(56+((A10-1.77)/(2.1-1.77)),3)&amp;"층",IF(A10&lt;2.38,ROUND(57+((A10-2.1)/(2.38-2.1)),3)&amp;"층",IF(A10&lt;2.85,ROUND(58+((A10-2.38)/(2.85-2.38)),3)&amp;"층",IF(A10&lt;3.4,ROUND(59+((A10-2.85)/(3.4-2.85)),3)&amp;"층",IF(A10&lt;3.75,ROUND(60+((A10-3.4)/(3.75-3.4)),3)&amp;"층",IF(A10&lt;4.23,ROUND(61+((A10-3.75)/(4.23-3.75)),3)&amp;"층",IF(A10&lt;4.66,ROUND(62+((A10-4.23)/(4.66-4.23)),3)&amp;"층",IF(A10&lt;4.85,ROUND(63+((A10-4.66)/(4.85-4.66)),3)&amp;"층",IF(A10&lt;5.38,ROUND(64+((A10-4.85)/(5.38-4.85)),3)&amp;"층",IF(A10&lt;5.7,ROUND(65+((A10-5.38)/(5.7-5.38)),3)&amp;"층",IF(A10&lt;6.25,ROUND(66+((A10-5.7)/(6.25-5.7)),3)&amp;"층",IF(A10&lt;6.97,ROUND(67+((A10-6.25)/(6.97-6.25)),3)&amp;"층",IF(A10&lt;7.9,ROUND(68+((A10-6.97)/(7.9-6.97)),3)&amp;"층",IF(A10&lt;8.55,ROUND(69+((A10-7.9)/(8.55-7.9)),3)&amp;"층",IF(A10&lt;8.95,ROUND(70+((A10-8.55)/(8.95-8.55)),3)&amp;"층",IF(A10&lt;9.48,ROUND(71+((A10-8.95)/(9.48-8.95)),3)&amp;"층",IF(A10&lt;10.15,ROUND(72+((A10-9.48)/(10.15-9.48)),3)&amp;"층",IF(A10&lt;10.9,ROUND(73+((A10-10.15)/(10.9-10.15)),3)&amp;"층",IF(A10&lt;11.75,ROUND(74+((A10-10.9)/(11.75-10.9)),3)&amp;"층",IF(A10&lt;12.73,ROUND(75+((A10-11.75)/(12.73-11.75)),3)&amp;"층",IF(A10&lt;13.8,ROUND(76+((A10-12.73)/(13.8-12.73)),3)&amp;"층",IF(A10&lt;15.1,ROUND(77+((A10-13.8)/(15.1-13.8)),3)&amp;"층",IF(A10&lt;16.6,ROUND(78+((A10-15.1)/(16.6-15.1)),3)&amp;"층",IF(A10&lt;18.8,ROUND(79+((A10-16.6)/(18.8-16.6)),3)&amp;"층","무공 격파 가능")))))))))))))))))))))))))))))</f>
        <v>52.462층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2" t="s">
        <v>38</v>
      </c>
      <c r="C21" s="26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2" t="s">
        <v>39</v>
      </c>
      <c r="C22" s="26">
        <v>0</v>
      </c>
      <c r="D22" s="3">
        <v>0</v>
      </c>
      <c r="E22" s="1"/>
      <c r="F22" s="1"/>
      <c r="G22" s="5" t="s">
        <v>40</v>
      </c>
      <c r="H22" s="1"/>
      <c r="I22" s="4">
        <f>IF(IF(A8&lt;3.4,(1-(1-0.01*H32)*0.5),IF(A8&lt;3.7,(1-(1-0.01*H32)*0.65),IF(A8&lt;4.5,(1-(1-0.01*H32)*0.75),IF(A8&lt;5.5,(1-(1-0.01*H32)*0.85),IF(A8&lt;6.5,(1-(1-0.01*H32)*0.94),IF(A8&lt;7.5,(1-(1-0.01*H32)*0.96),IF(A8&lt;8.5,(1-(1-0.01*H32)*1),IF(A8&lt;10,(1-(1-0.01*H32)*1.5),IF(A8&lt;13,(1-(1-0.01*H32)*1.8),(1-(1-0.01*H32)*2))))))))))/(IF(A8&lt;3.4,(1-(0.07)*0.5),IF(A8&lt;3.7,(1-(0.07)*0.65),IF(A8&lt;4.5,(1-(0.07)*0.75),IF(A8&lt;5.5,(1-(0.07)*0.85),IF(A8&lt;6.5,(1-(0.07)*0.94),IF(A8&lt;7.5,(1-(0.07)*0.96),IF(A8&lt;8.5,(1-(0.07)*1),IF(A8&lt;10,(1-(0.07)*1.5),IF(A8&lt;13,(1-(0.07)*1.8),(1-(0.07)*2)))))))))))&gt;1,1,IF(A8&lt;3.4,(1-(1-0.01*H32)*0.5),IF(A8&lt;3.7,(1-(1-0.01*H32)*0.65),IF(A8&lt;4.5,(1-(1-0.01*H32)*0.75),IF(A8&lt;5.5,(1-(1-0.01*H32)*0.85),IF(A8&lt;6.5,(1-(1-0.01*H32)*0.94),IF(A8&lt;7.5,(1-(1-0.01*H32)*0.96),IF(A8&lt;8.5,(1-(1-0.01*H32)*1),IF(A8&lt;10,(1-(1-0.01*H32)*1.5),IF(A8&lt;13,(1-(1-0.01*H32)*1.8),(1-(1-0.01*H32)*2))))))))))/(IF(A8&lt;3.4,(1-(0.07)*0.5),IF(A8&lt;3.7,(1-(0.07)*0.65),IF(A8&lt;4.5,(1-(0.07)*0.75),IF(A8&lt;5.5,(1-(0.07)*0.85),IF(A8&lt;6.5,(1-(0.07)*0.94),IF(A8&lt;7.5,(1-(0.07)*0.96),IF(A8&lt;8.5,(1-(0.07)*1),IF(A8&lt;10,(1-(0.07)*1.5),IF(A8&lt;13,(1-(0.07)*1.8),(1-(0.07)*2))))))))))))</f>
        <v>1</v>
      </c>
      <c r="J22" s="4">
        <f>(1-I22)*100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21" t="str">
        <f>IF(J22&lt;0.1,"방무가 많이 여유있어서 유니온점령 방무 빼서 럭에 넣어도 될 정도.",IF(J22&lt;0.5,"메잘알 방무", IF(J22&lt;1.3,"양호",IF(J22&lt;2,"적정",IF(J22&lt;3,"방무를 좀 더 추가해도 괜찮음.",IF(J22&lt;5,"유니온점령 방무 좀 빼지마라.",IF(J22&lt;7,"심각하게 낮음. 방무 1줄은 추가하거나 마약 때를 기다리세요.",IF(J22&lt;10,"매우 심각하게 낮음. 방무 2줄은 추가해야함.","무릉치지 마세요."))))))))</f>
        <v>방무가 많이 여유있어서 유니온점령 방무 빼서 럭에 넣어도 될 정도.</v>
      </c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2" t="s">
        <v>41</v>
      </c>
      <c r="C24" s="26">
        <v>0</v>
      </c>
      <c r="D24" s="12" t="s">
        <v>42</v>
      </c>
      <c r="E24" s="29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2" t="s">
        <v>43</v>
      </c>
      <c r="C25" s="26">
        <v>200</v>
      </c>
      <c r="D25" s="12" t="s">
        <v>44</v>
      </c>
      <c r="E25" s="29" t="s">
        <v>45</v>
      </c>
      <c r="F25" s="4">
        <f t="shared" ref="F25:F26" si="0">IF(E25="O",1,0)</f>
        <v>0</v>
      </c>
      <c r="G25" s="5" t="s">
        <v>92</v>
      </c>
      <c r="H25" s="5"/>
      <c r="I25" s="5"/>
      <c r="J25" s="5"/>
      <c r="K25" s="5"/>
      <c r="L25" s="1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2" t="s">
        <v>47</v>
      </c>
      <c r="C26" s="26">
        <v>200</v>
      </c>
      <c r="D26" s="12" t="s">
        <v>48</v>
      </c>
      <c r="E26" s="29" t="s">
        <v>45</v>
      </c>
      <c r="F26" s="4">
        <f t="shared" si="0"/>
        <v>0</v>
      </c>
      <c r="G26" s="5" t="s">
        <v>49</v>
      </c>
      <c r="H26" s="5"/>
      <c r="I26" s="5"/>
      <c r="J26" s="5"/>
      <c r="K26" s="5"/>
      <c r="L26" s="1"/>
      <c r="M26" s="5" t="s">
        <v>101</v>
      </c>
      <c r="N26" s="5"/>
      <c r="O26" s="22"/>
      <c r="P26" s="5"/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2" t="s">
        <v>50</v>
      </c>
      <c r="C27" s="26">
        <v>45</v>
      </c>
      <c r="D27" s="1"/>
      <c r="E27" s="1"/>
      <c r="F27" s="1"/>
      <c r="G27" s="5" t="s">
        <v>51</v>
      </c>
      <c r="H27" s="5"/>
      <c r="I27" s="5"/>
      <c r="J27" s="5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2" t="s">
        <v>53</v>
      </c>
      <c r="E28" s="29">
        <v>2</v>
      </c>
      <c r="F28" s="1"/>
      <c r="G28" s="1"/>
      <c r="H28" s="1"/>
      <c r="I28" s="1"/>
      <c r="J28" s="1"/>
      <c r="K28" s="1"/>
      <c r="L28" s="1"/>
      <c r="M28" s="1"/>
      <c r="N28" s="5"/>
      <c r="O28" s="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2" t="s">
        <v>54</v>
      </c>
      <c r="C29" s="26">
        <v>30</v>
      </c>
      <c r="D29" s="12" t="s">
        <v>55</v>
      </c>
      <c r="E29" s="29">
        <v>6</v>
      </c>
      <c r="F29" s="1"/>
      <c r="G29" s="1"/>
      <c r="H29" s="1"/>
      <c r="I29" s="1"/>
      <c r="J29" s="1"/>
      <c r="K29" s="1"/>
      <c r="L29" s="1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2" t="s">
        <v>58</v>
      </c>
      <c r="C30" s="26">
        <v>30</v>
      </c>
      <c r="D30" s="12" t="s">
        <v>57</v>
      </c>
      <c r="E30" s="29">
        <v>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2" t="s">
        <v>59</v>
      </c>
      <c r="E31" s="29">
        <v>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2" t="s">
        <v>63</v>
      </c>
      <c r="C32" s="26">
        <v>92</v>
      </c>
      <c r="D32" s="12" t="s">
        <v>61</v>
      </c>
      <c r="E32" s="29">
        <v>2</v>
      </c>
      <c r="F32" s="1"/>
      <c r="G32" s="4">
        <v>92.72</v>
      </c>
      <c r="H32" s="4">
        <f>(1-((1-G32/100)*0.92))*100</f>
        <v>93.302400000000006</v>
      </c>
      <c r="I32" s="1"/>
      <c r="J32" s="1"/>
      <c r="K32" s="1"/>
      <c r="L32" s="1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5"/>
      <c r="B33" s="5"/>
      <c r="C33" s="22" t="s">
        <v>94</v>
      </c>
      <c r="D33" s="12" t="s">
        <v>62</v>
      </c>
      <c r="E33" s="29">
        <v>2</v>
      </c>
      <c r="F33" s="1"/>
      <c r="G33" s="1"/>
      <c r="H33" s="1"/>
      <c r="I33" s="1"/>
      <c r="J33" s="5"/>
      <c r="K33" s="5"/>
      <c r="L33" s="1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45" t="s">
        <v>65</v>
      </c>
      <c r="C35" s="5"/>
      <c r="D35" s="5"/>
      <c r="E35" s="5"/>
      <c r="F35" s="1"/>
      <c r="G35" s="1"/>
      <c r="H35" s="1"/>
      <c r="I35" s="5"/>
      <c r="J35" s="5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5" t="s">
        <v>95</v>
      </c>
      <c r="C36" s="5"/>
      <c r="D36" s="5"/>
      <c r="E36" s="5"/>
      <c r="F36" s="5"/>
      <c r="G36" s="5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"/>
      <c r="C37" s="1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45" t="s">
        <v>69</v>
      </c>
      <c r="C38" s="5"/>
      <c r="D38" s="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24" t="s">
        <v>70</v>
      </c>
      <c r="C39" s="1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5"/>
      <c r="L40" s="5"/>
      <c r="M40" s="5"/>
      <c r="N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45" t="s">
        <v>71</v>
      </c>
      <c r="C41" s="5"/>
      <c r="D41" s="1"/>
      <c r="E41" s="1"/>
      <c r="F41" s="1"/>
      <c r="G41" s="1"/>
      <c r="H41" s="1"/>
      <c r="I41" s="1"/>
      <c r="J41" s="1"/>
      <c r="K41" s="5"/>
      <c r="L41" s="5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24" t="s">
        <v>72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1"/>
      <c r="I43" s="5"/>
      <c r="J43" s="5"/>
      <c r="K43" s="5"/>
      <c r="L43" s="5"/>
      <c r="M43" s="5"/>
      <c r="N43" s="9"/>
      <c r="O43" s="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5" t="s">
        <v>73</v>
      </c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45" t="s">
        <v>74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9"/>
      <c r="O45" s="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9"/>
      <c r="O46" s="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5"/>
      <c r="L48" s="5"/>
      <c r="M48" s="5"/>
      <c r="N48" s="9"/>
      <c r="O48" s="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4" t="s">
        <v>60</v>
      </c>
      <c r="C58" s="4">
        <v>30</v>
      </c>
      <c r="D58" s="1"/>
      <c r="E58" s="1"/>
      <c r="F58" s="1"/>
      <c r="G58" s="1"/>
      <c r="H58" s="1"/>
      <c r="I58" s="1"/>
      <c r="J58" s="1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4" t="s">
        <v>56</v>
      </c>
      <c r="C59" s="4">
        <v>30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5" t="s">
        <v>75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5" t="str">
        <f>"49층 격수 "&amp;TEXT(A9/0.43,"0.000명 스펙입니다.")&amp;""</f>
        <v>49층 격수 1.913명 스펙입니다.</v>
      </c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5" t="str">
        <f>"50층 격수 "&amp;TEXT(A9/0.65,"0.000명 스펙입니다.")&amp;""</f>
        <v>50층 격수 1.265명 스펙입니다.</v>
      </c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5" t="str">
        <f>"51층 격수 "&amp;TEXT(A9/0.78,"0.000명 스펙입니다.")&amp;""</f>
        <v>51층 격수 1.054명 스펙입니다.</v>
      </c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5" t="str">
        <f>"52층 격수 "&amp;TEXT(A9/1.006,"0.000명 스펙입니다.")&amp;""</f>
        <v>52층 격수 0.818명 스펙입니다.</v>
      </c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5" t="str">
        <f>"53층 격수 "&amp;TEXT(A9/1.19,"0.000명 스펙입니다.")&amp;""</f>
        <v>53층 격수 0.691명 스펙입니다.</v>
      </c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5" t="str">
        <f>"54층 격수 "&amp;TEXT(A9/1.395,"0.000명 스펙입니다.")&amp;""</f>
        <v>54층 격수 0.590명 스펙입니다.</v>
      </c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5" t="str">
        <f>"55층 격수 "&amp;TEXT(A9/1.622,"0.000명 스펙입니다.")&amp;""</f>
        <v>55층 격수 0.507명 스펙입니다.</v>
      </c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5" t="str">
        <f>"56층 격수 "&amp;TEXT(A9/2.073,"0.000명 스펙입니다.")&amp;""</f>
        <v>56층 격수 0.397명 스펙입니다.</v>
      </c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5" t="str">
        <f>"57층 격수 "&amp;TEXT(A9/2.275,"0.000명 스펙입니다.")&amp;""</f>
        <v>57층 격수 0.362명 스펙입니다.</v>
      </c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5" t="str">
        <f>"60층 격수 "&amp;TEXT(A9/2.681,"0.000명 스펙입니다.")&amp;""</f>
        <v>60층 격수 0.307명 스펙입니다.</v>
      </c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5" t="str">
        <f>"59층 격수 "&amp;TEXT(A9/2.935,"0.000명 스펙입니다.")&amp;""</f>
        <v>59층 격수 0.280명 스펙입니다.</v>
      </c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5" t="str">
        <f>"60층 격수 "&amp;TEXT(A9/3.78,"0.000명 스펙입니다.")&amp;""</f>
        <v>60층 격수 0.218명 스펙입니다.</v>
      </c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5" t="str">
        <f>"61층 격수 "&amp;TEXT(A9/4.1,"0.000명 스펙입니다.")&amp;""</f>
        <v>61층 격수 0.201명 스펙입니다.</v>
      </c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5" t="str">
        <f>"62층 격수 "&amp;TEXT(A9/4.35,"0.000명 스펙입니다.")&amp;""</f>
        <v>62층 격수 0.189명 스펙입니다.</v>
      </c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5" t="str">
        <f>"63층 격수 "&amp;TEXT(A9/4.741,"0.000명 스펙입니다.")&amp;""</f>
        <v>63층 격수 0.173명 스펙입니다.</v>
      </c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5" t="str">
        <f>"64층 격수 "&amp;TEXT(A9/5.1,"0.000명 스펙입니다.")&amp;""</f>
        <v>64층 격수 0.161명 스펙입니다.</v>
      </c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5" t="str">
        <f>"65층 격수 "&amp;TEXT(A9/5.49,"0.000명 스펙입니다.")&amp;""</f>
        <v>65층 격수 0.150명 스펙입니다.</v>
      </c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5" t="str">
        <f>"66층 격수 "&amp;TEXT(A9/5.96,"0.000명 스펙입니다.")&amp;""</f>
        <v>66층 격수 0.138명 스펙입니다.</v>
      </c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5" t="str">
        <f>"67층 격수 "&amp;TEXT(A9/6.43,"0.000명 스펙입니다.")&amp;""</f>
        <v>67층 격수 0.128명 스펙입니다.</v>
      </c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5" t="str">
        <f>"68층 격수 "&amp;TEXT(A9/6.878,"0.000명 스펙입니다.")&amp;""</f>
        <v>68층 격수 0.120명 스펙입니다.</v>
      </c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5" t="str">
        <f>"69층 격수 "&amp;TEXT(A9/7.322,"0.000명 스펙입니다.")&amp;""</f>
        <v>69층 격수 0.112명 스펙입니다.</v>
      </c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5" t="str">
        <f>"70층 격수 "&amp;TEXT(A9/8.233,"0.000명 스펙입니다.")&amp;""</f>
        <v>70층 격수 0.100명 스펙입니다.</v>
      </c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5" t="str">
        <f>"71층 격수 "&amp;TEXT(A9/8.753,"0.000명 스펙입니다.")&amp;""</f>
        <v>71층 격수 0.094명 스펙입니다.</v>
      </c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5" t="str">
        <f>"72층 격수 "&amp;TEXT(A9/9.344,"0.000명 스펙입니다.")&amp;""</f>
        <v>72층 격수 0.088명 스펙입니다.</v>
      </c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5" t="str">
        <f>"73층 격수 "&amp;TEXT(A9/10,"0.000명 스펙입니다.")&amp;""</f>
        <v>73층 격수 0.082명 스펙입니다.</v>
      </c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5" t="str">
        <f>"74층 격수 "&amp;TEXT(A9/10.738,"0.000명 스펙입니다.")&amp;""</f>
        <v>74층 격수 0.077명 스펙입니다.</v>
      </c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honeticPr fontId="18" type="noConversion"/>
  <conditionalFormatting sqref="G7 E25:E26">
    <cfRule type="notContainsBlanks" dxfId="4" priority="1">
      <formula>LEN(TRIM(G7))&gt;0</formula>
    </cfRule>
  </conditionalFormatting>
  <conditionalFormatting sqref="E25">
    <cfRule type="notContainsBlanks" dxfId="3" priority="2">
      <formula>LEN(TRIM(E25))&gt;0</formula>
    </cfRule>
  </conditionalFormatting>
  <dataValidations count="12">
    <dataValidation type="list" allowBlank="1" showErrorMessage="1" sqref="E24" xr:uid="{00000000-0002-0000-0200-000000000000}">
      <formula1>"0,1,2,3,4,5,6,7,8"</formula1>
    </dataValidation>
    <dataValidation type="list" allowBlank="1" showErrorMessage="1" sqref="C17:C22" xr:uid="{00000000-0002-0000-0200-000001000000}">
      <formula1>"0,1,2,3,4"</formula1>
    </dataValidation>
    <dataValidation type="decimal" allowBlank="1" showDropDown="1" showErrorMessage="1" sqref="C15" xr:uid="{00000000-0002-0000-0200-000002000000}">
      <formula1>20</formula1>
      <formula2>150</formula2>
    </dataValidation>
    <dataValidation type="decimal" allowBlank="1" showDropDown="1" sqref="C32" xr:uid="{00000000-0002-0000-0200-000003000000}">
      <formula1>0</formula1>
      <formula2>100</formula2>
    </dataValidation>
    <dataValidation type="list" allowBlank="1" showErrorMessage="1" sqref="E25:E26" xr:uid="{00000000-0002-0000-0200-000004000000}">
      <formula1>"O,X"</formula1>
    </dataValidation>
    <dataValidation type="decimal" allowBlank="1" showDropDown="1" showInputMessage="1" showErrorMessage="1" prompt="번호를 입력하세요. 사이 1 및 300" sqref="C26" xr:uid="{00000000-0002-0000-0200-000005000000}">
      <formula1>1</formula1>
      <formula2>300</formula2>
    </dataValidation>
    <dataValidation type="list" allowBlank="1" showErrorMessage="1" sqref="C24" xr:uid="{00000000-0002-0000-0200-000006000000}">
      <formula1>"0,1,2,3,4,5,6,7,8,9"</formula1>
    </dataValidation>
    <dataValidation type="decimal" allowBlank="1" showDropDown="1" showErrorMessage="1" sqref="C27" xr:uid="{00000000-0002-0000-0200-000007000000}">
      <formula1>0</formula1>
      <formula2>45</formula2>
    </dataValidation>
    <dataValidation type="list" allowBlank="1" showInputMessage="1" showErrorMessage="1" prompt="클릭하여 값을 입력하세요. 항목 목록" sqref="E28 E31:E33" xr:uid="{00000000-0002-0000-0200-000008000000}">
      <formula1>"0,1,2"</formula1>
    </dataValidation>
    <dataValidation type="decimal" allowBlank="1" showDropDown="1" showInputMessage="1" showErrorMessage="1" prompt="번호를 입력하세요. 사이 0 및 30" sqref="C29:C30" xr:uid="{00000000-0002-0000-0200-000009000000}">
      <formula1>0</formula1>
      <formula2>30</formula2>
    </dataValidation>
    <dataValidation type="list" allowBlank="1" showInputMessage="1" showErrorMessage="1" prompt="클릭하여 값을 입력하세요. 항목 목록" sqref="E29:E30" xr:uid="{00000000-0002-0000-0200-00000A000000}">
      <formula1>"0,1,2,3,4,5,6"</formula1>
    </dataValidation>
    <dataValidation type="decimal" allowBlank="1" showDropDown="1" showInputMessage="1" showErrorMessage="1" prompt="번호를 입력하세요. 사이 30 및 250" sqref="C12" xr:uid="{00000000-0002-0000-0200-00000B000000}">
      <formula1>30</formula1>
      <formula2>250</formula2>
    </dataValidation>
  </dataValidations>
  <hyperlinks>
    <hyperlink ref="D8" r:id="rId1" xr:uid="{00000000-0004-0000-0200-000000000000}"/>
    <hyperlink ref="B35" r:id="rId2" xr:uid="{00000000-0004-0000-0200-000001000000}"/>
    <hyperlink ref="B38" r:id="rId3" xr:uid="{00000000-0004-0000-0200-000002000000}"/>
    <hyperlink ref="B39" r:id="rId4" xr:uid="{00000000-0004-0000-0200-000003000000}"/>
    <hyperlink ref="B41" r:id="rId5" xr:uid="{00000000-0004-0000-0200-000004000000}"/>
    <hyperlink ref="B42" r:id="rId6" xr:uid="{00000000-0004-0000-0200-000005000000}"/>
    <hyperlink ref="B45" r:id="rId7" xr:uid="{00000000-0004-0000-0200-000006000000}"/>
  </hyperlinks>
  <pageMargins left="0.7" right="0.7" top="0.75" bottom="0.75" header="0.3" footer="0.3"/>
  <ignoredErrors>
    <ignoredError sqref="C14" unlockedFormula="1"/>
  </ignoredError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2"/>
  <sheetViews>
    <sheetView showGridLines="0" topLeftCell="A5" zoomScaleNormal="100" workbookViewId="0">
      <selection activeCell="C31" sqref="C31"/>
    </sheetView>
  </sheetViews>
  <sheetFormatPr defaultColWidth="14.42578125" defaultRowHeight="15.75" customHeight="1"/>
  <cols>
    <col min="1" max="1" width="14.42578125" style="6"/>
    <col min="2" max="2" width="11.140625" style="6" customWidth="1"/>
    <col min="3" max="3" width="12.7109375" style="6" customWidth="1"/>
    <col min="4" max="4" width="14.42578125" style="6"/>
    <col min="5" max="5" width="6.42578125" style="6" customWidth="1"/>
    <col min="6" max="6" width="14.42578125" style="6"/>
    <col min="7" max="7" width="8.85546875" style="6" customWidth="1"/>
    <col min="8" max="8" width="4.42578125" style="6" customWidth="1"/>
    <col min="9" max="9" width="8.85546875" style="6" customWidth="1"/>
    <col min="10" max="10" width="14.42578125" style="6"/>
    <col min="11" max="11" width="8.85546875" style="6" customWidth="1"/>
    <col min="12" max="16384" width="14.42578125" style="6"/>
  </cols>
  <sheetData>
    <row r="1" spans="1:26" ht="33" customHeight="1">
      <c r="A1" s="1"/>
      <c r="B1" s="7" t="s">
        <v>0</v>
      </c>
      <c r="C1" s="5"/>
      <c r="D1" s="5"/>
      <c r="E1" s="5"/>
      <c r="F1" s="1"/>
      <c r="G1" s="5" t="s">
        <v>1</v>
      </c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 1.25/(C14*0.01+1),1)*(1+A31*0.09)*(IF(C22="파프17",0.98,IF(C22="앱솔17",0.985,IF(C22="파프22",0.99,IF(C22="앱솔22",0.99,IF(C22="아케인17",0.995,1))))))*1.03*0.942489*0.9*0.95</f>
        <v>0.70708837724201568</v>
      </c>
      <c r="B2" s="5"/>
      <c r="C2" s="5"/>
      <c r="D2" s="5"/>
      <c r="E2" s="5"/>
      <c r="F2" s="1"/>
      <c r="G2" s="5" t="s">
        <v>2</v>
      </c>
      <c r="H2" s="5"/>
      <c r="I2" s="5"/>
      <c r="J2" s="5"/>
      <c r="K2" s="5"/>
      <c r="L2" s="5"/>
      <c r="M2" s="5"/>
      <c r="N2" s="5"/>
      <c r="O2" s="5"/>
      <c r="P2" s="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">
        <f>A2*J22</f>
        <v>0.70542037389057299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 1.25/(C14*0.01+1),1)*(1+A31*0.09)*(IF(C22="파프17",0.98,IF(C22="앱솔17",0.985,IF(C22="파프22",0.99,IF(C22="앱솔22",0.99,IF(C22="아케인17",0.995,1))))))*1.03*0.942489*1.02</f>
        <v>0.84354402899047487</v>
      </c>
      <c r="B4" s="1"/>
      <c r="C4" s="1"/>
      <c r="D4" s="1"/>
      <c r="E4" s="1"/>
      <c r="F4" s="1"/>
      <c r="G4" s="5" t="s">
        <v>78</v>
      </c>
      <c r="H4" s="5"/>
      <c r="I4" s="5"/>
      <c r="J4" s="5"/>
      <c r="K4" s="5"/>
      <c r="L4" s="5"/>
      <c r="M4" s="1"/>
      <c r="N4" s="1"/>
      <c r="O4" s="1"/>
      <c r="P4" s="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f>A4*J22</f>
        <v>0.84155413025542047</v>
      </c>
      <c r="B5" s="8" t="s">
        <v>102</v>
      </c>
      <c r="C5" s="5"/>
      <c r="D5" s="5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 1.25/(C14*0.01+1),1)*(1+A31*0.09)*(IF(C22="파프17",0.98,IF(C22="앱솔17",0.985,IF(C22="파프22",0.99,IF(C22="앱솔22",0.99,IF(C22="아케인17",0.995,1))))))*1.03*1.02</f>
        <v>0.89501737313695418</v>
      </c>
      <c r="B6" s="9"/>
      <c r="C6" s="1"/>
      <c r="D6" s="5" t="s">
        <v>6</v>
      </c>
      <c r="E6" s="5"/>
      <c r="F6" s="1"/>
      <c r="G6" s="31" t="s">
        <v>81</v>
      </c>
      <c r="H6" s="1"/>
      <c r="I6" s="1"/>
      <c r="J6" s="1"/>
      <c r="K6" s="1" t="s">
        <v>82</v>
      </c>
      <c r="L6" s="1"/>
      <c r="M6" s="5"/>
      <c r="N6" s="5" t="s">
        <v>8</v>
      </c>
      <c r="O6" s="1"/>
      <c r="P6" s="3">
        <v>30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f>A6*J22</f>
        <v>0.89290605010288759</v>
      </c>
      <c r="B7" s="1"/>
      <c r="C7" s="1"/>
      <c r="D7" s="5" t="s">
        <v>9</v>
      </c>
      <c r="E7" s="5"/>
      <c r="F7" s="1"/>
      <c r="G7" s="13" t="str">
        <f>IF(A3&lt;0.43,"49층 미만",IF(A3&lt;0.64,ROUND(49+((A3-0.43)/(0.64-0.43)),3)&amp;"층",IF(A3&lt;0.78,ROUND(50+((A3-0.64)/(0.78-0.64)),3)&amp;"층",IF(A3&lt;1.006,ROUND(51+((A3-0.78)/(1.006-0.78)),3)&amp;"층",IF(A3&lt;1.19,ROUND(52+((A3-1.006)/(1.19-1.006)),3)&amp;"층",IF(A3&lt;1.35,ROUND(53+((A3-1.19)/(1.35-1.19)),3)&amp;"층",IF(A3&lt;1.53,ROUND(54+((A3-1.35)/(1.53-1.35)),3)&amp;"층",IF(A3&lt;1.77,ROUND(55+((A3-1.53)/(1.77-1.53)),3)&amp;"층",IF(A3&lt;2.1,ROUND(56+((A3-1.77)/(2.1-1.77)),3)&amp;"층",IF(A3&lt;2.36,ROUND(57+((A3-2.1)/(2.36-2.1)),3)&amp;"층",IF(A3&lt;2.75,ROUND(58+((A3-2.36)/(2.75-2.36)),3)&amp;"층",IF(A3&lt;3.45,ROUND(59+((A3-2.75)/(3.45-2.75)),3)&amp;"층",IF(A3&lt;3.75,ROUND(60+((A3-3.45)/(3.75-3.45)),3)&amp;"층",IF(A3&lt;4.28,ROUND(61+((A3-3.75)/(4.28-3.75)),3)&amp;"층",IF(A3&lt;4.58,ROUND(62+((A3-4.28)/(4.58-4.28)),3)&amp;"층",IF(A3&lt;4.85,ROUND(63+((A3-4.58)/(4.85-4.58)),3)&amp;"층",IF(A3&lt;5.52,ROUND(64+((A3-4.85)/(5.52-4.85)),3)&amp;"층",IF(A3&lt;5.9,ROUND(65+((A3-5.52)/(5.9-5.52)),3)&amp;"층",IF(A3&lt;6.5,ROUND(66+((A3-5.9)/(6.5-5.9)),3)&amp;"층",IF(A3&lt;6.97,ROUND(67+((A3-6.5)/(6.97-6.5)),3)&amp;"층",IF(A3&lt;7.53,ROUND(68+((A3-6.97)/(7.53-6.97)),3)&amp;"층",IF(A3&lt;8.55,ROUND(69+((A3-7.53)/(8.55-7.53)),3)&amp;"층",IF(A3&lt;8.95,ROUND(70+((A3-8.55)/(8.95-8.55)),3)&amp;"층",IF(A3&lt;9.48,ROUND(71+((A3-8.95)/(9.48-8.95)),3)&amp;"층",IF(A3&lt;10.15,ROUND(72+((A3-9.48)/(10.15-9.48)),3)&amp;"층",IF(A3&lt;10.9,ROUND(73+((A3-10.15)/(10.9-10.15)),3)&amp;"층",IF(A3&lt;11.75,ROUND(74+((A3-10.9)/(11.75-10.9)),3)&amp;"층",IF(A3&lt;12.73,ROUND(75+((A3-11.75)/(12.73-11.75)),3)&amp;"층",IF(A3&lt;13.8,ROUND(76+((A3-12.73)/(13.8-12.73)),3)&amp;"층",IF(A3&lt;15.1,ROUND(77+((A3-13.8)/(15.1-13.8)),3)&amp;"층",IF(A3&lt;16.6,ROUND(78+((A3-15.1)/(16.6-15.1)),3)&amp;"층",IF(A3&lt;18.8,ROUND(79+((A3-16.6)/(18.8-16.6)),3)&amp;"층","무공 격파 가능"))))))))))))))))))))))))))))))))</f>
        <v>50.467층</v>
      </c>
      <c r="H7" s="1"/>
      <c r="I7" s="1"/>
      <c r="J7" s="1"/>
      <c r="K7" s="32" t="str">
        <f>IF(A5&lt;0.43,"49층 미만",IF(A5&lt;0.64,ROUND(49+((A5-0.43)/(0.64-0.43)),3)&amp;"층",IF(A5&lt;0.78,ROUND(50+((A5-0.64)/(0.78-0.64)),3)&amp;"층",IF(A5&lt;1.006,ROUND(51+((A5-0.78)/(1.006-0.78)),3)&amp;"층",IF(A5&lt;1.19,ROUND(52+((A5-1.006)/(1.19-1.006)),3)&amp;"층",IF(A5&lt;1.35,ROUND(53+((A5-1.19)/(1.35-1.19)),3)&amp;"층",IF(A5&lt;1.53,ROUND(54+((A5-1.35)/(1.53-1.35)),3)&amp;"층",IF(A5&lt;1.77,ROUND(55+((A5-1.53)/(1.77-1.53)),3)&amp;"층",IF(A5&lt;2.1,ROUND(56+((A5-1.77)/(2.1-1.77)),3)&amp;"층",IF(A5&lt;2.36,ROUND(57+((A5-2.1)/(2.36-2.1)),3)&amp;"층",IF(A5&lt;2.75,ROUND(58+((A5-2.36)/(2.75-2.36)),3)&amp;"층",IF(A5&lt;3.45,ROUND(59+((A5-2.75)/(3.45-2.75)),3)&amp;"층",IF(A5&lt;3.75,ROUND(60+((A5-3.45)/(3.75-3.45)),3)&amp;"층",IF(A5&lt;4.28,ROUND(61+((A5-3.75)/(4.28-3.75)),3)&amp;"층",IF(A5&lt;4.58,ROUND(62+((A5-4.28)/(4.58-4.28)),3)&amp;"층",IF(A5&lt;4.85,ROUND(63+((A5-4.58)/(4.85-4.58)),3)&amp;"층",IF(A5&lt;5.52,ROUND(64+((A5-4.85)/(5.52-4.85)),3)&amp;"층",IF(A5&lt;5.9,ROUND(65+((A5-5.52)/(5.9-5.52)),3)&amp;"층",IF(A5&lt;6.5,ROUND(66+((A5-5.9)/(6.5-5.9)),3)&amp;"층",IF(A5&lt;6.97,ROUND(67+((A5-6.5)/(6.97-6.5)),3)&amp;"층",IF(A5&lt;7.53,ROUND(68+((A5-6.97)/(7.53-6.97)),3)&amp;"층",IF(A5&lt;8.55,ROUND(69+((A5-7.53)/(8.55-7.53)),3)&amp;"층",IF(A5&lt;8.95,ROUND(70+((A5-8.55)/(8.95-8.55)),3)&amp;"층",IF(A5&lt;9.48,ROUND(71+((A5-8.95)/(9.48-8.95)),3)&amp;"층",IF(A5&lt;10.15,ROUND(72+((A5-9.48)/(10.15-9.48)),3)&amp;"층",IF(A5&lt;10.9,ROUND(73+((A5-10.15)/(10.9-10.15)),3)&amp;"층",IF(A5&lt;11.75,ROUND(74+((A5-10.9)/(11.75-10.9)),3)&amp;"층",IF(A5&lt;12.73,ROUND(75+((A5-11.75)/(12.73-11.75)),3)&amp;"층",IF(A5&lt;13.8,ROUND(76+((A5-12.73)/(13.8-12.73)),3)&amp;"층",IF(A5&lt;15.1,ROUND(77+((A5-13.8)/(15.1-13.8)),3)&amp;"층",IF(A5&lt;16.6,ROUND(78+((A5-15.1)/(16.6-15.1)),3)&amp;"층",IF(A5&lt;18.8,ROUND(79+((A5-16.6)/(18.8-16.6)),3)&amp;"층","무공 격파 가능"))))))))))))))))))))))))))))))))</f>
        <v>51.272층</v>
      </c>
      <c r="L7" s="1"/>
      <c r="M7" s="5"/>
      <c r="N7" s="5" t="s">
        <v>10</v>
      </c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 1.25/(C14*0.01+1),1)*(1+A31*0.09)*(IF(C22="파프17",0.98,IF(C22="앱솔17",0.985,IF(C22="파프22",0.99,IF(C22="앱솔22",0.99,IF(C22="아케인17",0.995,1))))))*1.03*1.062*1.02</f>
        <v>0.95050845027144537</v>
      </c>
      <c r="B8" s="8" t="s">
        <v>11</v>
      </c>
      <c r="C8" s="1"/>
      <c r="D8" s="46" t="s">
        <v>12</v>
      </c>
      <c r="E8" s="1" t="s">
        <v>13</v>
      </c>
      <c r="F8" s="1"/>
      <c r="G8" s="1"/>
      <c r="H8" s="1"/>
      <c r="I8" s="1"/>
      <c r="J8" s="1"/>
      <c r="K8" s="1"/>
      <c r="L8" s="1"/>
      <c r="M8" s="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f>A8*J22</f>
        <v>0.94826622520926662</v>
      </c>
      <c r="B9" s="5"/>
      <c r="C9" s="5"/>
      <c r="D9" s="5"/>
      <c r="E9" s="5"/>
      <c r="F9" s="1"/>
      <c r="G9" s="1"/>
      <c r="H9" s="1"/>
      <c r="I9" s="1"/>
      <c r="J9" s="1"/>
      <c r="K9" s="1"/>
      <c r="L9" s="1"/>
      <c r="M9" s="5"/>
      <c r="N9" s="5" t="s">
        <v>15</v>
      </c>
      <c r="O9" s="5"/>
      <c r="P9" s="5"/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f>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*(IF(AND((C11/(C12+100)*(173+C15-(IF(C23&gt;14,0,30-2*C23)))*(190+C12+C13+C29-(1-0.5*E24)*6-(5-0.166*E25-0.166*E26-0.5*E27-0.5*E28-0.5*E29)*9-(IF(C23&lt;16,60,90-2*C23)))/10000000000)*(1-0.05*(4-D17))*(1-(IF(C22="파프17",0.013,IF(C22="앱솔17",0.014,IF(C22="파프22",0.015,IF(C22="앱솔22",0.0175,IF(C22="아케인17",0.0175,0.02))))))*(4-D18))*(1-0.03*(4-D19))*(1-0.005*(4-D20))*(1-0.03*(IF(C25&lt;16,1,0)))*(1-0.03*(IF(C26&lt;16,1,0)))*(1-0.03*(IF(C27&lt;16,1,0)))*(1-0.01*(IF(P6&lt;16,1,0)))&gt;1.621,D10&lt;250),1-0.02*(250-D10),1-0.02*(IF(D10&lt;245,245-D10,0))))*IF(C31="X", 1.25/(C14*0.01+1),1)*(1+A31*0.09)*(IF(C22="파프17",0.98,IF(C22="앱솔17",0.985,IF(C22="파프22",0.99,IF(C22="앱솔22",0.99,IF(C22="아케인17",0.995,1))))))*1.03*1.062*1.05*1.02</f>
        <v>0.99803387278501765</v>
      </c>
      <c r="B10" s="12" t="s">
        <v>16</v>
      </c>
      <c r="C10" s="26">
        <v>240</v>
      </c>
      <c r="D10" s="4">
        <f>IF(C31="O",C10-5,C10)</f>
        <v>240</v>
      </c>
      <c r="E10" s="1"/>
      <c r="F10" s="1"/>
      <c r="G10" s="1"/>
      <c r="H10" s="1"/>
      <c r="I10" s="1"/>
      <c r="J10" s="1"/>
      <c r="K10" s="9"/>
      <c r="L10" s="1"/>
      <c r="M10" s="9"/>
      <c r="N10" s="5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f>A10*J22</f>
        <v>0.99567953646973006</v>
      </c>
      <c r="B11" s="15" t="s">
        <v>18</v>
      </c>
      <c r="C11" s="27">
        <v>19275732</v>
      </c>
      <c r="D11" s="1"/>
      <c r="E11" s="1"/>
      <c r="F11" s="1"/>
      <c r="G11" s="1" t="s">
        <v>83</v>
      </c>
      <c r="H11" s="1"/>
      <c r="I11" s="1"/>
      <c r="J11" s="1"/>
      <c r="K11" s="1" t="s">
        <v>84</v>
      </c>
      <c r="L11" s="1"/>
      <c r="M11" s="5"/>
      <c r="N11" s="5" t="s">
        <v>19</v>
      </c>
      <c r="O11" s="5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">
        <f>(C11/(C12+100)*(173+C15-(IF(C23&gt;14,0,30-2*C23)))*(190+C12+C13+C29-(1-0.5*E24)*6-(5-0.166*E25-0.166*E26-0.5*E27-0.5*E28-0.5*E29)*9-(IF(C23&lt;16,60,90-2*C23)))/10000000000)*(1+A31*0.09)*1.03*1.062*1.02*IF(C31="X", 1.25/(C14*0.01+1),1)</f>
        <v>1.393076898485841</v>
      </c>
      <c r="B12" s="12" t="s">
        <v>20</v>
      </c>
      <c r="C12" s="26">
        <v>51</v>
      </c>
      <c r="D12" s="1"/>
      <c r="E12" s="1"/>
      <c r="F12" s="1"/>
      <c r="G12" s="13" t="str">
        <f>IF(A7&lt;0.43,"49층 미만",IF(A7&lt;0.64,ROUND(49+((A7-0.43)/(0.64-0.43)),3)&amp;"층",IF(A7&lt;0.78,ROUND(50+((A7-0.64)/(0.78-0.64)),3)&amp;"층",IF(A7&lt;1.006,ROUND(51+((A7-0.78)/(1.006-0.78)),3)&amp;"층",IF(A7&lt;1.19,ROUND(52+((A7-1.006)/(1.19-1.006)),3)&amp;"층",IF(A7&lt;1.35,ROUND(53+((A7-1.19)/(1.35-1.19)),3)&amp;"층",IF(A7&lt;1.53,ROUND(54+((A7-1.35)/(1.53-1.35)),3)&amp;"층",IF(A7&lt;1.77,ROUND(55+((A7-1.53)/(1.77-1.53)),3)&amp;"층",IF(A7&lt;2.1,ROUND(56+((A7-1.77)/(2.1-1.77)),3)&amp;"층",IF(A7&lt;2.36,ROUND(57+((A7-2.1)/(2.36-2.1)),3)&amp;"층",IF(A7&lt;2.75,ROUND(58+((A7-2.36)/(2.75-2.36)),3)&amp;"층",IF(A7&lt;3.45,ROUND(59+((A7-2.75)/(3.45-2.75)),3)&amp;"층",IF(A7&lt;3.75,ROUND(60+((A7-3.45)/(3.75-3.45)),3)&amp;"층",IF(A7&lt;4.28,ROUND(61+((A7-3.75)/(4.28-3.75)),3)&amp;"층",IF(A7&lt;4.58,ROUND(62+((A7-4.28)/(4.58-4.28)),3)&amp;"층",IF(A7&lt;4.85,ROUND(63+((A7-4.58)/(4.85-4.58)),3)&amp;"층",IF(A7&lt;5.52,ROUND(64+((A7-4.85)/(5.52-4.85)),3)&amp;"층",IF(A7&lt;5.9,ROUND(65+((A7-5.52)/(5.9-5.52)),3)&amp;"층",IF(A7&lt;6.5,ROUND(66+((A7-5.9)/(6.5-5.9)),3)&amp;"층",IF(A7&lt;6.97,ROUND(67+((A7-6.5)/(6.97-6.5)),3)&amp;"층",IF(A7&lt;7.53,ROUND(68+((A7-6.97)/(7.53-6.97)),3)&amp;"층",IF(A7&lt;8.55,ROUND(69+((A7-7.53)/(8.55-7.53)),3)&amp;"층",IF(A7&lt;8.95,ROUND(70+((A7-8.55)/(8.95-8.55)),3)&amp;"층",IF(A7&lt;9.48,ROUND(71+((A7-8.95)/(9.48-8.95)),3)&amp;"층",IF(A7&lt;10.15,ROUND(72+((A7-9.48)/(10.15-9.48)),3)&amp;"층",IF(A7&lt;10.9,ROUND(73+((A7-10.15)/(10.9-10.15)),3)&amp;"층",IF(A7&lt;11.75,ROUND(74+((A7-10.9)/(11.75-10.9)),3)&amp;"층",IF(A7&lt;12.73,ROUND(75+((A7-11.75)/(12.73-11.75)),3)&amp;"층",IF(A7&lt;13.8,ROUND(76+((A7-12.73)/(13.8-12.73)),3)&amp;"층",IF(A7&lt;15.1,ROUND(77+((A7-13.8)/(15.1-13.8)),3)&amp;"층",IF(A7&lt;16.6,ROUND(78+((A7-15.1)/(16.6-15.1)),3)&amp;"층",IF(A7&lt;18.8,ROUND(79+((A7-16.6)/(18.8-16.6)),3)&amp;"층","무공 격파 가능"))))))))))))))))))))))))))))))))</f>
        <v>51.5층</v>
      </c>
      <c r="H12" s="1"/>
      <c r="I12" s="1"/>
      <c r="J12" s="1"/>
      <c r="K12" s="32" t="str">
        <f>IF(A9&lt;0.43,"49층 미만",IF(A9&lt;0.64,ROUND(49+((A9-0.43)/(0.64-0.43)),3)&amp;"층",IF(A9&lt;0.78,ROUND(50+((A9-0.64)/(0.78-0.64)),3)&amp;"층",IF(A9&lt;1.006,ROUND(51+((A9-0.78)/(1.006-0.78)),3)&amp;"층",IF(A9&lt;1.19,ROUND(52+((A9-1.006)/(1.19-1.006)),3)&amp;"층",IF(A9&lt;1.35,ROUND(53+((A9-1.19)/(1.35-1.19)),3)&amp;"층",IF(A9&lt;1.53,ROUND(54+((A9-1.35)/(1.53-1.35)),3)&amp;"층",IF(A9&lt;1.77,ROUND(55+((A9-1.53)/(1.77-1.53)),3)&amp;"층",IF(A9&lt;2.1,ROUND(56+((A9-1.77)/(2.1-1.77)),3)&amp;"층",IF(A9&lt;2.36,ROUND(57+((A9-2.1)/(2.36-2.1)),3)&amp;"층",IF(A9&lt;2.75,ROUND(58+((A9-2.36)/(2.75-2.36)),3)&amp;"층",IF(A9&lt;3.45,ROUND(59+((A9-2.75)/(3.45-2.75)),3)&amp;"층",IF(A9&lt;3.75,ROUND(60+((A9-3.45)/(3.75-3.45)),3)&amp;"층",IF(A9&lt;4.28,ROUND(61+((A9-3.75)/(4.28-3.75)),3)&amp;"층",IF(A9&lt;4.58,ROUND(62+((A9-4.28)/(4.58-4.28)),3)&amp;"층",IF(A9&lt;4.85,ROUND(63+((A9-4.58)/(4.85-4.58)),3)&amp;"층",IF(A9&lt;5.52,ROUND(64+((A9-4.85)/(5.52-4.85)),3)&amp;"층",IF(A9&lt;5.9,ROUND(65+((A9-5.52)/(5.9-5.52)),3)&amp;"층",IF(A9&lt;6.5,ROUND(66+((A9-5.9)/(6.5-5.9)),3)&amp;"층",IF(A9&lt;6.97,ROUND(67+((A9-6.5)/(6.97-6.5)),3)&amp;"층",IF(A9&lt;7.53,ROUND(68+((A9-6.97)/(7.53-6.97)),3)&amp;"층",IF(A9&lt;8.55,ROUND(69+((A9-7.53)/(8.55-7.53)),3)&amp;"층",IF(A9&lt;8.95,ROUND(70+((A9-8.55)/(8.95-8.55)),3)&amp;"층",IF(A9&lt;9.48,ROUND(71+((A9-8.95)/(9.48-8.95)),3)&amp;"층",IF(A9&lt;10.15,ROUND(72+((A9-9.48)/(10.15-9.48)),3)&amp;"층",IF(A9&lt;10.9,ROUND(73+((A9-10.15)/(10.9-10.15)),3)&amp;"층",IF(A9&lt;11.75,ROUND(74+((A9-10.9)/(11.75-10.9)),3)&amp;"층",IF(A9&lt;12.73,ROUND(75+((A9-11.75)/(12.73-11.75)),3)&amp;"층",IF(A9&lt;13.8,ROUND(76+((A9-12.73)/(13.8-12.73)),3)&amp;"층",IF(A9&lt;15.1,ROUND(77+((A9-13.8)/(15.1-13.8)),3)&amp;"층",IF(A9&lt;16.6,ROUND(78+((A9-15.1)/(16.6-15.1)),3)&amp;"층",IF(A9&lt;18.8,ROUND(79+((A9-16.6)/(18.8-16.6)),3)&amp;"층","무공 격파 가능"))))))))))))))))))))))))))))))))</f>
        <v>51.745층</v>
      </c>
      <c r="L12" s="1"/>
      <c r="M12" s="1"/>
      <c r="N12" s="1" t="s">
        <v>85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f>A12*J22</f>
        <v>1.3897906658022336</v>
      </c>
      <c r="B13" s="12" t="s">
        <v>23</v>
      </c>
      <c r="C13" s="26">
        <v>122</v>
      </c>
      <c r="D13" s="1"/>
      <c r="E13" s="1"/>
      <c r="F13" s="1"/>
      <c r="G13" s="1"/>
      <c r="H13" s="1"/>
      <c r="I13" s="1"/>
      <c r="J13" s="1"/>
      <c r="K13" s="1"/>
      <c r="L13" s="1"/>
      <c r="M13" s="5"/>
      <c r="N13" s="5" t="s">
        <v>86</v>
      </c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2" t="s">
        <v>25</v>
      </c>
      <c r="C14" s="28">
        <f>IF(AND(C31="O",C10&lt;250),100,IF(AND(C31="O",C10&lt;300),106.25, 25))</f>
        <v>25</v>
      </c>
      <c r="D14" s="1"/>
      <c r="E14" s="1"/>
      <c r="F14" s="1"/>
      <c r="G14" s="5" t="s">
        <v>40</v>
      </c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f>(C11/(C12+100)*(173+C15-(IF(C23&gt;14,0,30-2*C23)))*(190+C12+C13+C29-(1-0.5*E24)*6-(5-0.166*E25-0.166*E26-0.5*E27-0.5*E28-0.5*E29)*9-(IF(C23&lt;16,60,90-2*C23)))/10000000000)*IF(C31="X", 1.25/(C14*0.01+1),1)</f>
        <v>1.2485708090452132</v>
      </c>
      <c r="B15" s="12" t="s">
        <v>27</v>
      </c>
      <c r="C15" s="26">
        <v>96.5</v>
      </c>
      <c r="D15" s="1"/>
      <c r="E15" s="1"/>
      <c r="F15" s="1"/>
      <c r="G15" s="21" t="str">
        <f>IF(L16&lt;0.2,"방무가 많이 여유있어서 유니온점령 방무 빼서 럭에 넣어도 될 정도.",IF(L16&lt;1.3,"메잘알 방무", IF(L16&lt;2,"양호",IF(L16&lt;3,"적정",IF(L16&lt;5,"방무를 좀 더 추가해도 괜찮음.",IF(L16&lt;7,"유니온점령 방무 좀 빼지마라.",IF(L16&lt;10,"심각하게 낮음. 방무 1줄은 추가하거나 마약 때를 기다리세요.",IF(L16&lt;15,"매우 심각하게 낮음. 방무 2줄은 추가해야함.","무릉치지 마세요."))))))))</f>
        <v>방무가 많이 여유있어서 유니온점령 방무 빼서 럭에 넣어도 될 정도.</v>
      </c>
      <c r="H15" s="19"/>
      <c r="I15" s="5"/>
      <c r="J15" s="5"/>
      <c r="K15" s="5"/>
      <c r="L15" s="1"/>
      <c r="M15" s="1"/>
      <c r="N15" s="5" t="s">
        <v>32</v>
      </c>
      <c r="O15" s="5"/>
      <c r="P15" s="5"/>
      <c r="Q15" s="5"/>
      <c r="R15" s="5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5"/>
      <c r="C16" s="5"/>
      <c r="D16" s="5"/>
      <c r="E16" s="5"/>
      <c r="F16" s="1"/>
      <c r="G16" s="1"/>
      <c r="H16" s="39"/>
      <c r="I16" s="1"/>
      <c r="J16" s="1"/>
      <c r="K16" s="31" t="s">
        <v>89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2" t="s">
        <v>31</v>
      </c>
      <c r="C17" s="26">
        <v>3</v>
      </c>
      <c r="D17" s="3">
        <f>IF(AND(A12&lt;1.2,C17&lt;4),(C17)+0.4,C17)</f>
        <v>3</v>
      </c>
      <c r="E17" s="1"/>
      <c r="F17" s="1"/>
      <c r="G17" s="1"/>
      <c r="H17" s="1"/>
      <c r="I17" s="1"/>
      <c r="J17" s="1"/>
      <c r="K17" s="36" t="str">
        <f>IF(A11&lt;0.43,"49층 미만",IF(A11&lt;0.64,ROUND(49+((A11-0.43)/(0.64-0.43)),3)&amp;"층",IF(A11&lt;0.78,ROUND(50+((A11-0.64)/(0.78-0.64)),3)&amp;"층",IF(A11&lt;1.006,ROUND(51+((A11-0.78)/(1.006-0.78)),3)&amp;"층",IF(A11&lt;1.19,ROUND(52+((A11-1.006)/(1.19-1.006)),3)&amp;"층",IF(A11&lt;1.35,ROUND(53+((A11-1.19)/(1.35-1.19)),3)&amp;"층",IF(A11&lt;1.53,ROUND(54+((A11-1.35)/(1.53-1.35)),3)&amp;"층",IF(A11&lt;1.77,ROUND(55+((A11-1.53)/(1.77-1.53)),3)&amp;"층",IF(A11&lt;2.1,ROUND(56+((A11-1.77)/(2.1-1.77)),3)&amp;"층",IF(A11&lt;2.36,ROUND(57+((A11-2.1)/(2.36-2.1)),3)&amp;"층",IF(A11&lt;2.75,ROUND(58+((A11-2.36)/(2.75-2.36)),3)&amp;"층",IF(A11&lt;3.45,ROUND(59+((A11-2.75)/(3.45-2.75)),3)&amp;"층",IF(A11&lt;3.75,ROUND(60+((A11-3.45)/(3.75-3.45)),3)&amp;"층",IF(A11&lt;4.28,ROUND(61+((A11-3.75)/(4.28-3.75)),3)&amp;"층",IF(A11&lt;4.58,ROUND(62+((A11-4.28)/(4.58-4.28)),3)&amp;"층",IF(A11&lt;4.85,ROUND(63+((A11-4.58)/(4.85-4.58)),3)&amp;"층",IF(A11&lt;5.52,ROUND(64+((A11-4.85)/(5.52-4.85)),3)&amp;"층",IF(A11&lt;5.9,ROUND(65+((A11-5.52)/(5.9-5.52)),3)&amp;"층",IF(A11&lt;6.5,ROUND(66+((A11-5.9)/(6.5-5.9)),3)&amp;"층",IF(A11&lt;6.97,ROUND(67+((A11-6.5)/(6.97-6.5)),3)&amp;"층",IF(A11&lt;7.53,ROUND(68+((A11-6.97)/(7.53-6.97)),3)&amp;"층",IF(A11&lt;8.55,ROUND(69+((A11-7.53)/(8.55-7.53)),3)&amp;"층",IF(A11&lt;8.95,ROUND(70+((A11-8.55)/(8.95-8.55)),3)&amp;"층",IF(A11&lt;9.48,ROUND(71+((A11-8.95)/(9.48-8.95)),3)&amp;"층",IF(A11&lt;10.15,ROUND(72+((A11-9.48)/(10.15-9.48)),3)&amp;"층",IF(A11&lt;10.9,ROUND(73+((A11-10.15)/(10.9-10.15)),3)&amp;"층",IF(A11&lt;11.75,ROUND(74+((A11-10.9)/(11.75-10.9)),3)&amp;"층",IF(A11&lt;12.73,ROUND(75+((A11-11.75)/(12.73-11.75)),3)&amp;"층",IF(A11&lt;13.8,ROUND(76+((A11-12.73)/(13.8-12.73)),3)&amp;"층",IF(A11&lt;15.1,ROUND(77+((A11-13.8)/(15.1-13.8)),3)&amp;"층",IF(A11&lt;16.6,ROUND(78+((A11-15.1)/(16.6-15.1)),3)&amp;"층",IF(A11&lt;18.8,ROUND(79+((A11-16.6)/(18.8-16.6)),3)&amp;"층","무공 격파 가능"))))))))))))))))))))))))))))))))</f>
        <v>51.954층</v>
      </c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103</v>
      </c>
      <c r="B18" s="12" t="s">
        <v>33</v>
      </c>
      <c r="C18" s="26">
        <v>0</v>
      </c>
      <c r="D18" s="3">
        <f>IF(AND(A12&lt;1.2,C18&lt;4),(C18)+1,C18)</f>
        <v>0</v>
      </c>
      <c r="E18" s="1"/>
      <c r="F18" s="1"/>
      <c r="G18" s="5" t="s">
        <v>34</v>
      </c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2" t="s">
        <v>35</v>
      </c>
      <c r="C19" s="26">
        <v>0</v>
      </c>
      <c r="D19" s="3">
        <f t="shared" ref="D19:D20" si="0">IF($A$12&lt;1.2,4,C19)</f>
        <v>0</v>
      </c>
      <c r="E19" s="1"/>
      <c r="F19" s="1"/>
      <c r="G19" s="5" t="s">
        <v>36</v>
      </c>
      <c r="H19" s="5"/>
      <c r="I19" s="5"/>
      <c r="J19" s="5"/>
      <c r="K19" s="1"/>
      <c r="L19" s="1"/>
      <c r="M19" s="1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2" t="s">
        <v>37</v>
      </c>
      <c r="C20" s="26">
        <v>0</v>
      </c>
      <c r="D20" s="3">
        <f t="shared" si="0"/>
        <v>0</v>
      </c>
      <c r="E20" s="1"/>
      <c r="F20" s="1"/>
      <c r="G20" s="20" t="str">
        <f>IF(A13&lt;0.3,"48층 이하",IF(A13&lt;0.4,ROUND(48+((A13-0.3)/(0.4-0.3)),3)&amp;"층",IF(A13&lt;0.565,ROUND(49+((A13-0.4)/(0.565-0.4)),3)&amp;"층",IF(A13&lt;0.7745,ROUND(50+((A13-0.565)/(0.7745-0.565)),3)&amp;"층",IF(A13&lt;0.94,ROUND(51+((A13-0.7745)/(0.94-0.7745)),3)&amp;"층",IF(A13&lt;1.1,ROUND(52+((A13-0.94)/(1.1-0.94)),3)&amp;"층",IF(A13&lt;1.44,ROUND(53+((A13-1.1)/(1.44-1.1)),3)&amp;"층",IF(A13&lt;1.622,ROUND(54+((A13-1.44)/(1.6-1.44)),3)&amp;"층",IF(A13&lt;1.9,ROUND(55+((A13-1.6)/(1.9-1.6)),3)&amp;"층",IF(A13&lt;2.145,ROUND(56+((A13-1.9)/(2.145-1.9)),3)&amp;"층",IF(A13&lt;2.55,ROUND(57+((A13-2.145)/(2.55-2.145)),3)&amp;"층",IF(A13&lt;2.85,ROUND(58+((A13-2.55)/(2.85-2.55)),3)&amp;"층",IF(A13&lt;3.5,ROUND(59+((A13-2.85)/(3.5-2.85)),3)&amp;"층",IF(A13&lt;3.85,ROUND(60+((A13-3.5)/(3.85-3.5)),3)&amp;"층",IF(A13&lt;4.2,ROUND(61+((A13-3.85)/(4.2-3.85)),3)&amp;"층",IF(A13&lt;4.741,ROUND(62+((A13-4.2)/(4.741-4.2)),3)&amp;"층",IF(A13&lt;5.2,ROUND(63+((A13-4.741)/(5.2-4.741)),3)&amp;"층",IF(A13&lt;5.64,ROUND(64+((A13-5.2)/(5.64-5.2)),3)&amp;"층",IF(A13&lt;6.05,ROUND(65+((A13-5.64)/(6.05-5.64)),3)&amp;"층",IF(A13&lt;6.8,ROUND(66+((A13-6.05)/(6.8-6.05)),3)&amp;"층",IF(A13&lt;7.45,ROUND(67+((A13-6.8)/(7.45-6.8)),3)&amp;"층",IF(A13&lt;7.9,ROUND(68+((A13-7.45)/(7.9-7.45)),3)&amp;"층",IF(A13&lt;8.75,ROUND(69+((A13-7.9)/(8.75-7.9)),3)&amp;"층",IF(A13&lt;9.45,ROUND(70+((A13-8.75)/(9.45-8.75)),3)&amp;"층",IF(A13&lt;10.11,ROUND(71+((A13-9.45)/(10.11-9.45)),3)&amp;"층",IF(A13&lt;10.8,ROUND(72+((A13-10.11)/(10.8-10.11)),3)&amp;"층",IF(A13&lt;11.57,ROUND(73+((A13-10.8)/(11.57-10.8)),3)&amp;"층","74층 이상")))))))))))))))))))))))))))</f>
        <v>53.852층</v>
      </c>
      <c r="H20" s="1"/>
      <c r="I20" s="1"/>
      <c r="J20" s="1"/>
      <c r="K20" s="1"/>
      <c r="L20" s="1"/>
      <c r="M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2"/>
      <c r="C21" s="1"/>
      <c r="D21" s="1"/>
      <c r="E21" s="1"/>
      <c r="F21" s="1"/>
      <c r="G21" s="1"/>
      <c r="H21" s="5"/>
      <c r="I21" s="5"/>
      <c r="J21" s="5"/>
      <c r="K21" s="5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2" t="s">
        <v>90</v>
      </c>
      <c r="C22" s="26" t="s">
        <v>104</v>
      </c>
      <c r="D22" s="1"/>
      <c r="E22" s="1"/>
      <c r="F22" s="1"/>
      <c r="G22" s="5" t="s">
        <v>40</v>
      </c>
      <c r="H22" s="5"/>
      <c r="I22" s="1"/>
      <c r="J22" s="4">
        <f>IF(IF(A8&lt;3.4,(1-(1-0.01*E33)*0.5),IF(A8&lt;3.7,(1-(1-0.01*E33)*0.65),IF(A8&lt;4.5,(1-(1-0.01*E33)*0.75),IF(A8&lt;5.5,(1-(1-0.01*E33)*0.85),IF(A8&lt;6.5,(1-(1-0.01*E33)*0.94),IF(A8&lt;7.5,(1-(1-0.01*E33)*0.96),IF(A8&lt;8.5,(1-(1-0.01*E33)*1),IF(A8&lt;10,(1-(1-0.01*E33)*1.5),IF(A8&lt;13,(1-(1-0.01*E33)*1.8),(1-(1-0.01*E33)*2))))))))))/(IF(A8&lt;3.4,(1-(0.05)*0.5),IF(A8&lt;3.7,(1-(0.05)*0.65),IF(A8&lt;4.5,(1-(0.05)*0.75),IF(A8&lt;5.5,(1-(0.05)*0.85),IF(A8&lt;6.5,(1-(0.05)*0.94),IF(A8&lt;7.5,(1-(0.05)*0.96),IF(A8&lt;8.5,(1-(0.05)*1),IF(A8&lt;10,(1-(0.05)*1.5),IF(A8&lt;13,(1-(0.05)*1.8),(1-(0.05)*2)))))))))))&gt;1,1,IF(A8&lt;3.4,(1-(1-0.01*E33)*0.5),IF(A8&lt;3.7,(1-(1-0.01*E33)*0.65),IF(A8&lt;4.5,(1-(1-0.01*E33)*0.75),IF(A8&lt;5.5,(1-(1-0.01*E33)*0.85),IF(A8&lt;6.5,(1-(1-0.01*E33)*0.94),IF(A8&lt;7.5,(1-(1-0.01*E33)*0.96),IF(A8&lt;8.5,(1-(1-0.01*E33)*1),IF(A8&lt;10,(1-(1-0.01*E33)*1.5),IF(A8&lt;13,(1-(1-0.01*E33)*1.8),(1-(1-0.01*E33)*2))))))))))/(IF(A8&lt;3.4,(1-(0.05)*0.5),IF(A8&lt;3.7,(1-(0.05)*0.65),IF(A8&lt;4.5,(1-(0.05)*0.75),IF(A8&lt;5.5,(1-(0.05)*0.85),IF(A8&lt;6.5,(1-(0.05)*0.94),IF(A8&lt;7.5,(1-(0.05)*0.96),IF(A8&lt;8.5,(1-(0.05)*1),IF(A8&lt;10,(1-(0.05)*1.5),IF(A8&lt;13,(1-(0.05)*1.8),(1-(0.05)*2))))))))))))</f>
        <v>0.99764102564102575</v>
      </c>
      <c r="K22" s="4">
        <f>(1-J22)*100</f>
        <v>0.23589743589742529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2" t="s">
        <v>50</v>
      </c>
      <c r="C23" s="26">
        <v>45</v>
      </c>
      <c r="D23" s="1"/>
      <c r="E23" s="1"/>
      <c r="F23" s="1"/>
      <c r="G23" s="21" t="str">
        <f>IF(K22&lt;0.1,"방무가 많이 여유있어서 유니온점령 방무 빼서 럭에 넣어도 될 정도.",IF(K22&lt;0.5,"메잘알 방무", IF(K22&lt;1.3,"양호",IF(K22&lt;2,"적정",IF(K22&lt;3,"방무를 좀 더 추가해도 괜찮음.",IF(K22&lt;5,"유니온점령 방무 좀 빼지마라.",IF(K22&lt;7,"심각하게 낮음. 방무 1줄은 추가하거나 마약 때를 기다리세요.",IF(K22&lt;10,"매우 심각하게 낮음. 방무 2줄은 추가해야함.","무릉치지 마세요."))))))))</f>
        <v>메잘알 방무</v>
      </c>
      <c r="H23" s="1"/>
      <c r="I23" s="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2" t="s">
        <v>53</v>
      </c>
      <c r="E24" s="29">
        <v>2</v>
      </c>
      <c r="F24" s="1"/>
      <c r="G24" s="1"/>
      <c r="H24" s="1"/>
      <c r="I24" s="1"/>
      <c r="J24" s="1"/>
      <c r="K24" s="1"/>
      <c r="L24" s="1"/>
      <c r="M24" s="1"/>
      <c r="N24" s="5" t="s">
        <v>52</v>
      </c>
      <c r="O24" s="5"/>
      <c r="P24" s="22"/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2" t="s">
        <v>54</v>
      </c>
      <c r="C25" s="26">
        <v>30</v>
      </c>
      <c r="D25" s="12" t="s">
        <v>55</v>
      </c>
      <c r="E25" s="29">
        <v>6</v>
      </c>
      <c r="F25" s="1"/>
      <c r="G25" s="5" t="s">
        <v>46</v>
      </c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2" t="s">
        <v>56</v>
      </c>
      <c r="C26" s="26">
        <v>30</v>
      </c>
      <c r="D26" s="12" t="s">
        <v>57</v>
      </c>
      <c r="E26" s="29">
        <v>6</v>
      </c>
      <c r="F26" s="1"/>
      <c r="G26" s="5" t="s">
        <v>49</v>
      </c>
      <c r="H26" s="5"/>
      <c r="I26" s="5"/>
      <c r="J26" s="5"/>
      <c r="K26" s="5"/>
      <c r="L26" s="5"/>
      <c r="M26" s="5"/>
      <c r="N26" s="1"/>
      <c r="O26" s="5"/>
      <c r="P26" s="5"/>
      <c r="Q26" s="5"/>
      <c r="R26" s="5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2" t="s">
        <v>58</v>
      </c>
      <c r="C27" s="26">
        <v>30</v>
      </c>
      <c r="D27" s="12" t="s">
        <v>59</v>
      </c>
      <c r="E27" s="29">
        <v>2</v>
      </c>
      <c r="F27" s="1"/>
      <c r="G27" s="5" t="s">
        <v>51</v>
      </c>
      <c r="H27" s="5"/>
      <c r="I27" s="5"/>
      <c r="J27" s="5"/>
      <c r="K27" s="5"/>
      <c r="L27" s="5"/>
      <c r="M27" s="5"/>
      <c r="N27" s="1"/>
      <c r="O27" s="1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2" t="s">
        <v>61</v>
      </c>
      <c r="E28" s="29">
        <v>2</v>
      </c>
      <c r="F28" s="1"/>
      <c r="G28" s="1"/>
      <c r="H28" s="1"/>
      <c r="I28" s="1"/>
      <c r="J28" s="1"/>
      <c r="K28" s="1"/>
      <c r="L28" s="1"/>
      <c r="M28" s="1"/>
      <c r="N28" s="1"/>
      <c r="O28" s="1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2" t="s">
        <v>42</v>
      </c>
      <c r="C29" s="29">
        <v>0</v>
      </c>
      <c r="D29" s="12" t="s">
        <v>62</v>
      </c>
      <c r="E29" s="29">
        <v>2</v>
      </c>
      <c r="F29" s="1"/>
      <c r="G29" s="1"/>
      <c r="H29" s="1"/>
      <c r="I29" s="1"/>
      <c r="J29" s="1"/>
      <c r="K29" s="1"/>
      <c r="L29" s="1"/>
      <c r="M29" s="1"/>
      <c r="N29" s="1"/>
      <c r="O29" s="1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2" t="s">
        <v>44</v>
      </c>
      <c r="C30" s="29" t="s">
        <v>45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f>IF(C30="O",1,0)</f>
        <v>0</v>
      </c>
      <c r="B31" s="12" t="s">
        <v>48</v>
      </c>
      <c r="C31" s="29" t="s">
        <v>45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2" t="s">
        <v>63</v>
      </c>
      <c r="C33" s="26">
        <v>88</v>
      </c>
      <c r="D33" s="3">
        <v>89.08</v>
      </c>
      <c r="E33" s="3">
        <f>(1-((1-D33/100)*0.5))*100</f>
        <v>94.54</v>
      </c>
      <c r="F33" s="1"/>
      <c r="G33" s="1"/>
      <c r="H33" s="1"/>
      <c r="I33" s="1"/>
      <c r="J33" s="1"/>
      <c r="K33" s="1"/>
      <c r="L33" s="5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5"/>
      <c r="B34" s="5"/>
      <c r="C34" s="22" t="s">
        <v>64</v>
      </c>
      <c r="D34" s="1"/>
      <c r="E34" s="1"/>
      <c r="F34" s="1"/>
      <c r="G34" s="1"/>
      <c r="H34" s="1"/>
      <c r="I34" s="1"/>
      <c r="J34" s="1"/>
      <c r="K34" s="1"/>
      <c r="L34" s="1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45" t="s">
        <v>65</v>
      </c>
      <c r="C36" s="5"/>
      <c r="D36" s="5"/>
      <c r="E36" s="5"/>
      <c r="F36" s="5"/>
      <c r="G36" s="1"/>
      <c r="H36" s="5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5" t="s">
        <v>95</v>
      </c>
      <c r="C37" s="5"/>
      <c r="D37" s="5"/>
      <c r="E37" s="5"/>
      <c r="F37" s="5"/>
      <c r="G37" s="5"/>
      <c r="H37" s="5"/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45" t="s">
        <v>69</v>
      </c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24" t="s">
        <v>70</v>
      </c>
      <c r="C40" s="1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45" t="s">
        <v>71</v>
      </c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24" t="s">
        <v>72</v>
      </c>
      <c r="C43" s="1"/>
      <c r="D43" s="5"/>
      <c r="E43" s="1"/>
      <c r="F43" s="1"/>
      <c r="G43" s="1"/>
      <c r="H43" s="1"/>
      <c r="I43" s="1"/>
      <c r="J43" s="1"/>
      <c r="K43" s="1"/>
      <c r="L43" s="1"/>
      <c r="M43" s="1"/>
      <c r="N43" s="9"/>
      <c r="O43" s="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24" t="s">
        <v>73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9"/>
      <c r="O45" s="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45" t="s">
        <v>74</v>
      </c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9"/>
      <c r="O46" s="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9"/>
      <c r="O48" s="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5" t="s">
        <v>75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5" t="str">
        <f>"49층 격수 "&amp;TEXT(A6/0.43,"0.000명 스펙입니다.")&amp;""</f>
        <v>49층 격수 2.081명 스펙입니다.</v>
      </c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5" t="str">
        <f>"50층 격수 "&amp;TEXT(A6/0.65,"0.000명 스펙입니다.")&amp;""</f>
        <v>50층 격수 1.377명 스펙입니다.</v>
      </c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5" t="str">
        <f>"51층 격수 "&amp;TEXT(A6/0.78,"0.000명 스펙입니다.")&amp;""</f>
        <v>51층 격수 1.147명 스펙입니다.</v>
      </c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5" t="str">
        <f>"52층 격수 "&amp;TEXT(A6/1.006,"0.000명 스펙입니다.")&amp;""</f>
        <v>52층 격수 0.890명 스펙입니다.</v>
      </c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5" t="str">
        <f>"53층 격수 "&amp;TEXT(A6/1.19,"0.000명 스펙입니다.")&amp;""</f>
        <v>53층 격수 0.752명 스펙입니다.</v>
      </c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5" t="str">
        <f>"54층 격수 "&amp;TEXT(A6/1.395,"0.000명 스펙입니다.")&amp;""</f>
        <v>54층 격수 0.642명 스펙입니다.</v>
      </c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5" t="str">
        <f>"55층 격수 "&amp;TEXT(A6/1.622,"0.000명 스펙입니다.")&amp;""</f>
        <v>55층 격수 0.552명 스펙입니다.</v>
      </c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5" t="str">
        <f>"56층 격수 "&amp;TEXT(A6/2.073,"0.000명 스펙입니다.")&amp;""</f>
        <v>56층 격수 0.432명 스펙입니다.</v>
      </c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5" t="str">
        <f>"57층 격수 "&amp;TEXT(A6/2.275,"0.000명 스펙입니다.")&amp;""</f>
        <v>57층 격수 0.393명 스펙입니다.</v>
      </c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5" t="str">
        <f>"60층 격수 "&amp;TEXT(A6/2.681,"0.000명 스펙입니다.")&amp;""</f>
        <v>60층 격수 0.334명 스펙입니다.</v>
      </c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5" t="str">
        <f>"59층 격수 "&amp;TEXT(A6/2.935,"0.000명 스펙입니다.")&amp;""</f>
        <v>59층 격수 0.305명 스펙입니다.</v>
      </c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5" t="str">
        <f>"60층 격수 "&amp;TEXT(A6/3.78,"0.000명 스펙입니다.")&amp;""</f>
        <v>60층 격수 0.237명 스펙입니다.</v>
      </c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5" t="str">
        <f>"61층 격수 "&amp;TEXT(A6/4.1,"0.000명 스펙입니다.")&amp;""</f>
        <v>61층 격수 0.218명 스펙입니다.</v>
      </c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5" t="str">
        <f>"62층 격수 "&amp;TEXT(A6/4.35,"0.000명 스펙입니다.")&amp;""</f>
        <v>62층 격수 0.206명 스펙입니다.</v>
      </c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5" t="str">
        <f>"63층 격수 "&amp;TEXT(A6/4.741,"0.000명 스펙입니다.")&amp;""</f>
        <v>63층 격수 0.189명 스펙입니다.</v>
      </c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5" t="str">
        <f>"64층 격수 "&amp;TEXT(A6/5.1,"0.000명 스펙입니다.")&amp;""</f>
        <v>64층 격수 0.175명 스펙입니다.</v>
      </c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5" t="str">
        <f>"65층 격수 "&amp;TEXT(A6/5.49,"0.000명 스펙입니다.")&amp;""</f>
        <v>65층 격수 0.163명 스펙입니다.</v>
      </c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5" t="str">
        <f>"66층 격수 "&amp;TEXT(A6/5.96,"0.000명 스펙입니다.")&amp;""</f>
        <v>66층 격수 0.150명 스펙입니다.</v>
      </c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5" t="str">
        <f>"67층 격수 "&amp;TEXT(A6/6.43,"0.000명 스펙입니다.")&amp;""</f>
        <v>67층 격수 0.139명 스펙입니다.</v>
      </c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5" t="str">
        <f>"68층 격수 "&amp;TEXT(A6/6.878,"0.000명 스펙입니다.")&amp;""</f>
        <v>68층 격수 0.130명 스펙입니다.</v>
      </c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5" t="str">
        <f>"69층 격수 "&amp;TEXT(A6/7.322,"0.000명 스펙입니다.")&amp;""</f>
        <v>69층 격수 0.122명 스펙입니다.</v>
      </c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5" t="str">
        <f>"70층 격수 "&amp;TEXT(A6/8.233,"0.000명 스펙입니다.")&amp;""</f>
        <v>70층 격수 0.109명 스펙입니다.</v>
      </c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5" t="str">
        <f>"71층 격수 "&amp;TEXT(A6/8.753,"0.000명 스펙입니다.")&amp;""</f>
        <v>71층 격수 0.102명 스펙입니다.</v>
      </c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5" t="str">
        <f>"72층 격수 "&amp;TEXT(A6/9.344,"0.000명 스펙입니다.")&amp;""</f>
        <v>72층 격수 0.096명 스펙입니다.</v>
      </c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5" t="str">
        <f>"73층 격수 "&amp;TEXT(A6/10,"0.000명 스펙입니다.")&amp;""</f>
        <v>73층 격수 0.090명 스펙입니다.</v>
      </c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5" t="str">
        <f>"74층 격수 "&amp;TEXT(A6/10.738,"0.000명 스펙입니다.")&amp;""</f>
        <v>74층 격수 0.083명 스펙입니다.</v>
      </c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honeticPr fontId="18" type="noConversion"/>
  <conditionalFormatting sqref="C30:C31">
    <cfRule type="notContainsBlanks" dxfId="2" priority="1">
      <formula>LEN(TRIM(C30))&gt;0</formula>
    </cfRule>
  </conditionalFormatting>
  <dataValidations count="15">
    <dataValidation type="decimal" allowBlank="1" showDropDown="1" showInputMessage="1" showErrorMessage="1" prompt="번호를 입력하세요. 사이 240 및 300" sqref="C10" xr:uid="{00000000-0002-0000-0300-000000000000}">
      <formula1>240</formula1>
      <formula2>300</formula2>
    </dataValidation>
    <dataValidation type="decimal" allowBlank="1" showDropDown="1" showInputMessage="1" showErrorMessage="1" prompt="번호를 입력하세요. 사이 0 및 45" sqref="C23" xr:uid="{00000000-0002-0000-0300-000001000000}">
      <formula1>0</formula1>
      <formula2>45</formula2>
    </dataValidation>
    <dataValidation type="decimal" allowBlank="1" showDropDown="1" sqref="C33" xr:uid="{00000000-0002-0000-0300-000002000000}">
      <formula1>0</formula1>
      <formula2>100</formula2>
    </dataValidation>
    <dataValidation type="list" allowBlank="1" showErrorMessage="1" sqref="C30:C31" xr:uid="{00000000-0002-0000-0300-000003000000}">
      <formula1>"O,X"</formula1>
    </dataValidation>
    <dataValidation type="decimal" allowBlank="1" showDropDown="1" showErrorMessage="1" sqref="C13" xr:uid="{00000000-0002-0000-0300-000004000000}">
      <formula1>100</formula1>
      <formula2>500</formula2>
    </dataValidation>
    <dataValidation type="list" allowBlank="1" sqref="C18" xr:uid="{00000000-0002-0000-0300-000005000000}">
      <formula1>"0,1,2,3,4"</formula1>
    </dataValidation>
    <dataValidation type="decimal" allowBlank="1" showDropDown="1" showInputMessage="1" showErrorMessage="1" prompt="번호를 입력하세요. 사이 30 및 250" sqref="C12" xr:uid="{00000000-0002-0000-0300-000006000000}">
      <formula1>30</formula1>
      <formula2>250</formula2>
    </dataValidation>
    <dataValidation type="list" allowBlank="1" showErrorMessage="1" sqref="C29" xr:uid="{00000000-0002-0000-0300-000007000000}">
      <formula1>"0,1,2,3,4,5,6,7,8"</formula1>
    </dataValidation>
    <dataValidation type="list" allowBlank="1" showErrorMessage="1" sqref="C17 C19:C20" xr:uid="{00000000-0002-0000-0300-000008000000}">
      <formula1>"0,1,2,3,4"</formula1>
    </dataValidation>
    <dataValidation type="decimal" allowBlank="1" showDropDown="1" showErrorMessage="1" sqref="C15" xr:uid="{00000000-0002-0000-0300-000009000000}">
      <formula1>20</formula1>
      <formula2>150</formula2>
    </dataValidation>
    <dataValidation type="list" allowBlank="1" showErrorMessage="1" sqref="C22" xr:uid="{00000000-0002-0000-0300-00000A000000}">
      <formula1>"파프17,파프22,앱솔17,앱솔22,아케인17,아케인22"</formula1>
    </dataValidation>
    <dataValidation type="decimal" allowBlank="1" showDropDown="1" showErrorMessage="1" sqref="C11" xr:uid="{00000000-0002-0000-0300-00000B000000}">
      <formula1>1000000</formula1>
      <formula2>999999999</formula2>
    </dataValidation>
    <dataValidation type="list" allowBlank="1" showInputMessage="1" showErrorMessage="1" prompt="클릭하여 값을 입력하세요. 항목 목록" sqref="E24 E27:E29" xr:uid="{00000000-0002-0000-0300-00000C000000}">
      <formula1>"0,1,2"</formula1>
    </dataValidation>
    <dataValidation type="decimal" allowBlank="1" showDropDown="1" showInputMessage="1" showErrorMessage="1" prompt="번호를 입력하세요. 사이 0 및 30" sqref="C25 C27" xr:uid="{00000000-0002-0000-0300-00000D000000}">
      <formula1>0</formula1>
      <formula2>30</formula2>
    </dataValidation>
    <dataValidation type="list" allowBlank="1" showInputMessage="1" showErrorMessage="1" prompt="클릭하여 값을 입력하세요. 항목 목록" sqref="E25:E26" xr:uid="{00000000-0002-0000-0300-00000E000000}">
      <formula1>"0,1,2,3,4,5,6"</formula1>
    </dataValidation>
  </dataValidations>
  <hyperlinks>
    <hyperlink ref="D8" r:id="rId1" xr:uid="{00000000-0004-0000-0300-000000000000}"/>
    <hyperlink ref="B36" r:id="rId2" xr:uid="{00000000-0004-0000-0300-000001000000}"/>
    <hyperlink ref="B39" r:id="rId3" xr:uid="{00000000-0004-0000-0300-000002000000}"/>
    <hyperlink ref="B40" r:id="rId4" xr:uid="{00000000-0004-0000-0300-000003000000}"/>
    <hyperlink ref="B42" r:id="rId5" xr:uid="{00000000-0004-0000-0300-000004000000}"/>
    <hyperlink ref="B43" r:id="rId6" xr:uid="{00000000-0004-0000-0300-000005000000}"/>
    <hyperlink ref="B45" r:id="rId7" xr:uid="{00000000-0004-0000-0300-000006000000}"/>
    <hyperlink ref="B46" r:id="rId8" xr:uid="{00000000-0004-0000-0300-000007000000}"/>
  </hyperlinks>
  <pageMargins left="0.7" right="0.7" top="0.75" bottom="0.75" header="0.3" footer="0.3"/>
  <ignoredErrors>
    <ignoredError sqref="C14" unlockedFormula="1"/>
  </ignoredError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2"/>
  <sheetViews>
    <sheetView showGridLines="0" topLeftCell="A7" workbookViewId="0">
      <selection activeCell="D8" sqref="D8"/>
    </sheetView>
  </sheetViews>
  <sheetFormatPr defaultColWidth="14.42578125" defaultRowHeight="15.75" customHeight="1"/>
  <cols>
    <col min="1" max="1" width="14.42578125" style="6"/>
    <col min="2" max="2" width="11.140625" style="6" customWidth="1"/>
    <col min="3" max="3" width="12.7109375" style="6" customWidth="1"/>
    <col min="4" max="4" width="14.42578125" style="6"/>
    <col min="5" max="5" width="6.42578125" style="6" customWidth="1"/>
    <col min="6" max="6" width="14.42578125" style="6"/>
    <col min="7" max="7" width="8.85546875" style="6" customWidth="1"/>
    <col min="8" max="12" width="14.42578125" style="6"/>
    <col min="13" max="13" width="11.140625" style="6" customWidth="1"/>
    <col min="14" max="16384" width="14.42578125" style="6"/>
  </cols>
  <sheetData>
    <row r="1" spans="1:26" ht="41.25" customHeight="1">
      <c r="A1" s="1"/>
      <c r="B1" s="7" t="s">
        <v>0</v>
      </c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5" t="s">
        <v>78</v>
      </c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5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"/>
      <c r="D6" s="5" t="s">
        <v>6</v>
      </c>
      <c r="E6" s="5"/>
      <c r="F6" s="1"/>
      <c r="G6" s="5" t="s">
        <v>97</v>
      </c>
      <c r="H6" s="5"/>
      <c r="I6" s="5"/>
      <c r="J6" s="5"/>
      <c r="K6" s="1"/>
      <c r="L6" s="1"/>
      <c r="M6" s="5" t="s">
        <v>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5" t="s">
        <v>9</v>
      </c>
      <c r="E7" s="5"/>
      <c r="F7" s="1"/>
      <c r="G7" s="10" t="str">
        <f>IF(A13&lt;0.43,"49층 미만",IF(A13&lt;0.64,ROUND(49+((A13-0.43)/(0.64-0.43)),3)&amp;"층",IF(A13&lt;0.78,ROUND(50+((A13-0.64)/(0.78-0.64)),3)&amp;"층",IF(A13&lt;1.006,ROUND(51+((A13-0.78)/(1.006-0.78)),3)&amp;"층",IF(A13&lt;1.19,ROUND(52+((A13-1.006)/(1.19-1.006)),3)&amp;"층",IF(A13&lt;1.35,ROUND(53+((A13-1.19)/(1.35-1.19)),3)&amp;"층",IF(A13&lt;1.53,ROUND(54+((A13-1.35)/(1.53-1.35)),3)&amp;"층",IF(A13&lt;1.77,ROUND(55+((A13-1.53)/(1.77-1.53)),3)&amp;"층",IF(A13&lt;2.1,ROUND(56+((A13-1.77)/(2.1-1.77)),3)&amp;"층",IF(A13&lt;2.36,ROUND(57+((A13-2.1)/(2.36-2.1)),3)&amp;"층",IF(A13&lt;2.75,ROUND(58+((A13-2.36)/(2.75-2.36)),3)&amp;"층",IF(A13&lt;3.45,ROUND(59+((A13-2.75)/(3.45-2.75)),3)&amp;"층",IF(A13&lt;3.75,ROUND(60+((A13-3.45)/(3.75-3.45)),3)&amp;"층",IF(A13&lt;4.28,ROUND(61+((A13-3.75)/(4.28-3.75)),3)&amp;"층",IF(A13&lt;4.58,ROUND(62+((A13-4.28)/(4.58-4.28)),3)&amp;"층",IF(A13&lt;4.85,ROUND(63+((A13-4.58)/(4.85-4.58)),3)&amp;"층",IF(A13&lt;5.52,ROUND(64+((A13-4.85)/(5.52-4.85)),3)&amp;"층",IF(A13&lt;5.9,ROUND(65+((A13-5.52)/(5.9-5.52)),3)&amp;"층",IF(A13&lt;6.5,ROUND(66+((A13-5.9)/(6.5-5.9)),3)&amp;"층",IF(A13&lt;6.97,ROUND(67+((A13-6.5)/(6.97-6.5)),3)&amp;"층",IF(A13&lt;7.53,ROUND(68+((A13-6.97)/(7.53-6.97)),3)&amp;"층",IF(A13&lt;8.55,ROUND(69+((A13-7.53)/(8.55-7.53)),3)&amp;"층",IF(A13&lt;8.95,ROUND(70+((A13-8.55)/(8.95-8.55)),3)&amp;"층",IF(A13&lt;9.48,ROUND(71+((A13-8.95)/(9.48-8.95)),3)&amp;"층",IF(A13&lt;10.15,ROUND(72+((A13-9.48)/(10.15-9.48)),3)&amp;"층",IF(A13&lt;10.9,ROUND(73+((A13-10.15)/(10.9-10.15)),3)&amp;"층",IF(A13&lt;11.75,ROUND(74+((A13-10.9)/(11.75-10.9)),3)&amp;"층",IF(A13&lt;12.73,ROUND(75+((A13-11.75)/(12.73-11.75)),3)&amp;"층",IF(A13&lt;13.8,ROUND(76+((A13-12.73)/(13.8-12.73)),3)&amp;"층",IF(A13&lt;15.1,ROUND(77+((A13-13.8)/(15.1-13.8)),3)&amp;"층",IF(A13&lt;16.6,ROUND(78+((A13-15.1)/(16.6-15.1)),3)&amp;"층",IF(A13&lt;18.8,ROUND(79+((A13-16.6)/(18.8-16.6)),3)&amp;"층","무공 격파 가능"))))))))))))))))))))))))))))))))</f>
        <v>60.846층</v>
      </c>
      <c r="H7" s="1"/>
      <c r="I7" s="1"/>
      <c r="J7" s="1"/>
      <c r="K7" s="4">
        <f>IF(A9&lt;0.48,0,IF(A9&lt;0.72,ROUND(49+((A9-0.48)/(0.72-0.48)),3),IF(A9&lt;0.92,ROUND(50+((A9-0.72)/(0.92-0.72)),3),IF(A9&lt;1.045,ROUND(51+((A9-0.92)/(1.045-0.92)),3),IF(A9&lt;1.3,ROUND(52+((A9-1.045)/(1.3-1.045)),3),IF(A9&lt;1.533,ROUND(53+((A9-1.3)/(1.533-1.3)),3),IF(A9&lt;1.798,ROUND(54+((A9-1.533)/(1.798-1.533)),3),IF(A9&lt;2.07,ROUND(55+((A9-1.798)/(2.07-1.798)),3),IF(A9&lt;2.49,ROUND(56+((A9-2.07)/(2.49-2.07)),3),IF(A9&lt;2.906,ROUND(57+((A9-2.49)/(2.906-2.49)),3),IF(A9&lt;3.202,ROUND(60+((A9-2.906)/(3.202-2.906)),3),IF(A9&lt;3.848,ROUND(59+((A9-3.202)/(3.848-3.202)),3),IF(A9&lt;4.214,ROUND(60+((A9-3.848)/(4.214-3.848)),3),IF(A9&lt;4.8,ROUND(61+((A9-4.214)/(4.8-4.214)),3),IF(A9&lt;5.4,ROUND(62+((A9-4.8)/(5.4-4.8)),3),IF(A9&lt;5.9,ROUND(63+((A9-5.4)/(5.9-5.4)),3),IF(A9&lt;6.4,ROUND(64+((A9-5.9)/(6.4-5.9)),3),IF(A9&lt;6.9,ROUND(65+((A9-6.4)/(6.9-6.4)),3),IF(A9&lt;7.4,ROUND(66+((A9-6.9)/(7.4-6.9)),3),IF(A9&lt;8,ROUND(67+((A9-7.4)/(8-7.4)),3),IF(A9&lt;8.65,ROUND(68+((A9-8)/(8.65-8)),3),IF(A9&lt;9.95,ROUND(69+((A9-8.65)/(9.95-8.65)),3),IF(A9&lt;10.7,ROUND(70+((A9-9.95)/(10.7-9.95)),3),IF(A9&lt;11.55,ROUND(71+((A9-10.7)/(11.55-10.7)),3),IF(A9&lt;12.53,ROUND(72+((A9-11.55)/(12.53-11.55)),3),IF(A9&lt;13.66,ROUND(73+((A9-12.53)/(13.66-12.53)),3),"74층 이상"))))))))))))))))))))))))))</f>
        <v>61.073999999999998</v>
      </c>
      <c r="L7" s="1"/>
      <c r="M7" s="5" t="s">
        <v>10</v>
      </c>
      <c r="N7" s="5"/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>
      <c r="A8" s="9"/>
      <c r="B8" s="8" t="s">
        <v>11</v>
      </c>
      <c r="C8" s="1"/>
      <c r="D8" s="46" t="s">
        <v>12</v>
      </c>
      <c r="E8" s="1" t="s">
        <v>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>
        <f>(C11/(C12+100)*(173+C15-(IF(C27&gt;14,0,30-2*C27)))*(190+C12+C13+E24-(1-0.5*E28)*6-(5-0.166*E29-0.166*E30-0.5*E31-0.5*E32-0.5*E33)*9-(IF(C27&lt;16,60,90-2*C27)))/10000000000)*(1-0.03*(4-D17))*(1-0.02*(4-D18))*(1-0.025*(4-D19))*(1-0.005*(4-D20))*(1-0.003*(4-D21))*(1-0.003*(4-D22))*(1+0.0135*(C24-2))*(1-(IF(C25&gt;199,0,0.015*C25/200)))*(1-0.03*(IF(E35&lt;16,1,0)))*(IF(AND((C11/(C12+100)*(173+C15-(IF(C27&gt;14,0,30-2*C27)))*(190+C12+C13+E24-(2-0.166*E30-0.5*E28)*6-(1-0.166*E29)*4-(IF(C27&lt;16,60,90-2*C27)))/10000000000)*(1-0.03*(4-D17))*(1-0.02*(4-D18))*(1-0.025*(4-D19))*(1-0.005*(4-D20))*(1-0.003*(4-D21))*(1-0.003*(4-D22))*(1+0.0135*(C24-2))*(1-(IF(C25&gt;199,0,0.015*C25/200)))*(1-0.07*(1-0.5*E31))*(1-0.03*(IF(E35&lt;16,1,0)))*(1-0.02*(IF(E36&lt;16,1,0)))&gt;1.621,D10&lt;250),1-0.02*(250-D10),1-0.02*(IF(D10&lt;245,245-D10,0))))*IF(E26="X", 1.4/(C14*0.01+1),1)*IF(C13+E24+C12&gt;400,(1-(1-(C13+E24+C12+170)/(570)/(C13+E24+C12)*400)*0.3),1)*(1+F25*0.09)*IF(C35&gt;175,1+(C35-175)*0.01*0.5,(C35-75)*0.01)</f>
        <v>4.2572849328777984</v>
      </c>
      <c r="B9" s="1"/>
      <c r="C9" s="1"/>
      <c r="D9" s="1"/>
      <c r="E9" s="1"/>
      <c r="F9" s="1"/>
      <c r="G9" s="5" t="s">
        <v>98</v>
      </c>
      <c r="H9" s="5"/>
      <c r="I9" s="5"/>
      <c r="J9" s="1"/>
      <c r="K9" s="1"/>
      <c r="L9" s="1"/>
      <c r="M9" s="5" t="s">
        <v>15</v>
      </c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"/>
      <c r="B10" s="12" t="s">
        <v>16</v>
      </c>
      <c r="C10" s="26">
        <v>273</v>
      </c>
      <c r="D10" s="4">
        <f>IF(E26="O",C10-5,C10)</f>
        <v>273</v>
      </c>
      <c r="E10" s="1"/>
      <c r="F10" s="1"/>
      <c r="G10" s="36" t="str">
        <f>IF(A12&lt;0.43,"49층 미만",IF(A12&lt;0.64,ROUND(49+((A12-0.43)/(0.64-0.43)),3)&amp;"층",IF(A12&lt;0.78,ROUND(50+((A12-0.64)/(0.78-0.64)),3)&amp;"층",IF(A12&lt;1.006,ROUND(51+((A12-0.78)/(1.006-0.78)),3)&amp;"층",IF(A12&lt;1.19,ROUND(52+((A12-1.006)/(1.19-1.006)),3)&amp;"층",IF(A12&lt;1.35,ROUND(53+((A12-1.19)/(1.35-1.19)),3)&amp;"층",IF(A12&lt;1.53,ROUND(54+((A12-1.35)/(1.53-1.35)),3)&amp;"층",IF(A12&lt;1.77,ROUND(55+((A12-1.53)/(1.77-1.53)),3)&amp;"층",IF(A12&lt;2.1,ROUND(56+((A12-1.77)/(2.1-1.77)),3)&amp;"층",IF(A12&lt;2.36,ROUND(57+((A12-2.1)/(2.36-2.1)),3)&amp;"층",IF(A12&lt;2.75,ROUND(58+((A12-2.36)/(2.75-2.36)),3)&amp;"층",IF(A12&lt;3.45,ROUND(59+((A12-2.75)/(3.45-2.75)),3)&amp;"층",IF(A12&lt;3.75,ROUND(60+((A12-3.45)/(3.75-3.45)),3)&amp;"층",IF(A12&lt;4.28,ROUND(61+((A12-3.75)/(4.28-3.75)),3)&amp;"층",IF(A12&lt;4.58,ROUND(62+((A12-4.28)/(4.58-4.28)),3)&amp;"층",IF(A12&lt;4.85,ROUND(63+((A12-4.58)/(4.85-4.58)),3)&amp;"층",IF(A12&lt;5.52,ROUND(64+((A12-4.85)/(5.52-4.85)),3)&amp;"층",IF(A12&lt;5.9,ROUND(65+((A12-5.52)/(5.9-5.52)),3)&amp;"층",IF(A12&lt;6.5,ROUND(66+((A12-5.9)/(6.5-5.9)),3)&amp;"층",IF(A12&lt;6.97,ROUND(67+((A12-6.5)/(6.97-6.5)),3)&amp;"층",IF(A12&lt;7.53,ROUND(68+((A12-6.97)/(7.53-6.97)),3)&amp;"층",IF(A12&lt;8.55,ROUND(69+((A12-7.53)/(8.55-7.53)),3)&amp;"층",IF(A12&lt;8.95,ROUND(70+((A12-8.55)/(8.95-8.55)),3)&amp;"층",IF(A12&lt;9.48,ROUND(71+((A12-8.95)/(9.48-8.95)),3)&amp;"층",IF(A12&lt;10.15,ROUND(72+((A12-9.48)/(10.15-9.48)),3)&amp;"층",IF(A12&lt;10.9,ROUND(73+((A12-10.15)/(10.9-10.15)),3)&amp;"층",IF(A12&lt;11.75,ROUND(74+((A12-10.9)/(11.75-10.9)),3)&amp;"층",IF(A12&lt;12.73,ROUND(75+((A12-11.75)/(12.73-11.75)),3)&amp;"층",IF(A12&lt;13.8,ROUND(76+((A12-12.73)/(13.8-12.73)),3)&amp;"층",IF(A12&lt;15.1,ROUND(77+((A12-13.8)/(15.1-13.8)),3)&amp;"층",IF(A12&lt;16.6,ROUND(78+((A12-15.1)/(16.6-15.1)),3)&amp;"층",IF(A12&lt;18.8,ROUND(79+((A12-16.6)/(18.8-16.6)),3)&amp;"층","무공 격파 가능"))))))))))))))))))))))))))))))))</f>
        <v>61.957층</v>
      </c>
      <c r="H10" s="1"/>
      <c r="I10" s="1"/>
      <c r="J10" s="1"/>
      <c r="K10" s="14">
        <f>IF(A9&lt;1.006,0,IF(A9&lt;1.19,ROUND(52+((A9-1.006)/(1.19-1.006)),3),IF(A9&lt;1.33,ROUND(53+((A9-1.19)/(1.33-1.19)),3),IF(A9&lt;1.55,ROUND(54+((A9-1.33)/(1.55-1.33)),3),IF(A9&lt;1.77,ROUND(55+((A9-1.55)/(1.77-1.55)),3),IF(A9&lt;2.1,ROUND(56+((A9-1.77)/(2.1-1.77)),3),IF(A9&lt;2.38,ROUND(57+((A9-2.1)/(2.38-2.1)),3),IF(A9&lt;2.85,ROUND(60+((A9-2.38)/(2.85-2.38)),3),IF(A9&lt;3.4,ROUND(59+((A9-2.85)/(3.4-2.85)),3),IF(A9&lt;3.75,ROUND(60+((A9-3.4)/(3.75-3.4)),3),IF(A9&lt;4.23,ROUND(61+((A9-3.75)/(4.23-3.75)),3),IF(A9&lt;4.66,ROUND(62+((A9-4.23)/(4.66-4.23)),3),IF(A9&lt;4.85,ROUND(63+((A9-4.66)/(4.85-4.66)),3),IF(A9&lt;5.38,ROUND(64+((A9-4.85)/(5.38-4.85)),3),IF(A9&lt;5.7,ROUND(65+((A9-5.38)/(5.7-5.38)),3),IF(A9&lt;6.25,ROUND(66+((A9-5.7)/(6.25-5.7)),3),IF(A9&lt;6.97,ROUND(67+((A9-6.25)/(6.97-6.25)),3),IF(A9&lt;7.9,ROUND(68+((A9-6.97)/(7.9-6.97)),3),IF(A9&lt;8.55,ROUND(69+((A9-7.9)/(8.55-7.9)),3),IF(A9&lt;8.95,ROUND(70+((A9-8.55)/(8.95-8.55)),3),IF(A9&lt;9.48,ROUND(71+((A9-8.95)/(9.48-8.95)),3),IF(A9&lt;10.15,ROUND(72+((A9-9.48)/(10.15-9.48)),3),IF(A9&lt;10.9,ROUND(73+((A9-10.15)/(10.9-10.15)),3),IF(A9&lt;11.75,ROUND(74+((A9-10.9)/(11.75-10.9)),3),IF(A9&lt;12.73,ROUND(75+((A9-11.75)/(12.73-11.75)),3),IF(A9&lt;13.8,ROUND(76+((A9-12.73)/(13.8-12.73)),3),IF(A9&lt;15.1,ROUND(77+((A9-13.8)/(15.1-13.8)),3),IF(A9&lt;16.6,ROUND(78+((A9-15.1)/(16.6-15.1)),3),IF(A9&lt;18.8,ROUND(79+((A9-16.6)/(18.8-16.6)),3),"무공 격파 가능")))))))))))))))))))))))))))))</f>
        <v>62.063000000000002</v>
      </c>
      <c r="L10" s="1"/>
      <c r="M10" s="5" t="s">
        <v>105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f>(C11/(C12+100)*(173+C15-(IF(C27&gt;14,0,30-2*C27)))*(190+C12+C13+E24-(1-0.5*E28)*6-(5-0.166*E29-0.166*E30-0.5*E31-0.5*E32-0.5*E33)*9-(IF(C27&lt;16,60,90-2*C27)))/10000000000)*(1-0.03*(4-D17))*(1-0.02*(4-D18))*(1-0.025*(4-D19))*(1-0.005*(4-D20))*(1-0.003*(4-D21))*(1-0.003*(4-D22))*(1+0.0135*(C24-2))*(1-(IF(C25&gt;199,0,0.015*C25/200)))*(1-0.03*(IF(E35&lt;16,1,0)))*(IF(AND((C11/(C12+100)*(173+C15-(IF(C27&gt;14,0,30-2*C27)))*(190+C12+C13+E24-(2-0.166*E30-0.5*E28)*6-(1-0.166*E29)*4-(IF(C27&lt;16,60,90-2*C27)))/10000000000)*(1-0.03*(4-D17))*(1-0.02*(4-D18))*(1-0.025*(4-D19))*(1-0.005*(4-D20))*(1-0.003*(4-D21))*(1-0.003*(4-D22))*(1+0.0135*(C24-2))*(1-(IF(C25&gt;199,0,0.015*C25/200)))*(1-0.07*(1-0.5*E31))*(1-0.03*(IF(E35&lt;16,1,0)))*(1-0.02*(IF(E36&lt;16,1,0)))&gt;1.621,D10&lt;250),1-0.02*(250-D10),1-0.02*(IF(D10&lt;245,245-D10,0))))*IF(E26="X", 1.4/(C14*0.01+1),1)*IF(C13+E24+C12&gt;400,(1-(1-(C13+E24+C12+170)/(570)/(C13+E24+C12)*400)*0.3),1)*(1+F25*0.09)*IF(C35&gt;175,1+(C35-175)*0.01*0.5,(C35-75)*0.01)</f>
        <v>4.2572849328777984</v>
      </c>
      <c r="B11" s="15" t="s">
        <v>18</v>
      </c>
      <c r="C11" s="27">
        <v>48800000</v>
      </c>
      <c r="D11" s="1"/>
      <c r="E11" s="1"/>
      <c r="F11" s="1"/>
      <c r="G11" s="1"/>
      <c r="H11" s="1"/>
      <c r="I11" s="1"/>
      <c r="J11" s="1"/>
      <c r="K11" s="1"/>
      <c r="L11" s="1"/>
      <c r="M11" s="5" t="s">
        <v>106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f>A11*I16</f>
        <v>4.2572849328777984</v>
      </c>
      <c r="B12" s="12" t="s">
        <v>20</v>
      </c>
      <c r="C12" s="26">
        <v>126</v>
      </c>
      <c r="D12" s="1"/>
      <c r="E12" s="1"/>
      <c r="F12" s="1"/>
      <c r="G12" s="5" t="s">
        <v>107</v>
      </c>
      <c r="H12" s="5"/>
      <c r="I12" s="5"/>
      <c r="J12" s="5"/>
      <c r="K12" s="5"/>
      <c r="L12" s="5"/>
      <c r="M12" s="1"/>
      <c r="N12" s="5"/>
      <c r="O12" s="5"/>
      <c r="P12" s="5"/>
      <c r="Q12" s="5"/>
      <c r="R12" s="5"/>
      <c r="S12" s="5"/>
      <c r="T12" s="5"/>
      <c r="U12" s="1"/>
      <c r="V12" s="1"/>
      <c r="W12" s="1"/>
      <c r="X12" s="1"/>
      <c r="Y12" s="1"/>
      <c r="Z12" s="1"/>
    </row>
    <row r="13" spans="1:26">
      <c r="A13" s="4">
        <f>A12*(0.87+IF(A2&gt;18,0.9,A2*0.005))</f>
        <v>3.7038378916036847</v>
      </c>
      <c r="B13" s="12" t="s">
        <v>23</v>
      </c>
      <c r="C13" s="26">
        <v>380</v>
      </c>
      <c r="D13" s="1"/>
      <c r="E13" s="1"/>
      <c r="F13" s="1"/>
      <c r="G13" s="32" t="str">
        <f>IF(A14&lt;0.43,"49층 미만",IF(A14&lt;0.64,ROUND(49+((A14-0.43)/(0.64-0.43)),3)&amp;"층",IF(A14&lt;0.78,ROUND(50+((A14-0.64)/(0.78-0.64)),3)&amp;"층",IF(A14&lt;1.006,ROUND(51+((A14-0.78)/(1.006-0.78)),3)&amp;"층",IF(A14&lt;1.19,ROUND(52+((A14-1.006)/(1.19-1.006)),3)&amp;"층",IF(A14&lt;1.35,ROUND(53+((A14-1.19)/(1.35-1.19)),3)&amp;"층",IF(A14&lt;1.53,ROUND(54+((A14-1.35)/(1.53-1.35)),3)&amp;"층",IF(A14&lt;1.77,ROUND(55+((A14-1.53)/(1.77-1.53)),3)&amp;"층",IF(A14&lt;2.1,ROUND(56+((A14-1.77)/(2.1-1.77)),3)&amp;"층",IF(A14&lt;2.36,ROUND(57+((A14-2.1)/(2.36-2.1)),3)&amp;"층",IF(A14&lt;2.75,ROUND(58+((A14-2.36)/(2.75-2.36)),3)&amp;"층",IF(A14&lt;3.45,ROUND(59+((A14-2.75)/(3.45-2.75)),3)&amp;"층",IF(A14&lt;3.75,ROUND(60+((A14-3.45)/(3.75-3.45)),3)&amp;"층",IF(A14&lt;4.28,ROUND(61+((A14-3.75)/(4.28-3.75)),3)&amp;"층",IF(A14&lt;4.58,ROUND(62+((A14-4.28)/(4.58-4.28)),3)&amp;"층",IF(A14&lt;4.85,ROUND(63+((A14-4.58)/(4.85-4.58)),3)&amp;"층",IF(A14&lt;5.52,ROUND(64+((A14-4.85)/(5.52-4.85)),3)&amp;"층",IF(A14&lt;5.9,ROUND(65+((A14-5.52)/(5.9-5.52)),3)&amp;"층",IF(A14&lt;6.5,ROUND(66+((A14-5.9)/(6.5-5.9)),3)&amp;"층",IF(A14&lt;6.97,ROUND(67+((A14-6.5)/(6.97-6.5)),3)&amp;"층",IF(A14&lt;7.53,ROUND(68+((A14-6.97)/(7.53-6.97)),3)&amp;"층",IF(A14&lt;8.55,ROUND(69+((A14-7.53)/(8.55-7.53)),3)&amp;"층",IF(A14&lt;8.95,ROUND(70+((A14-8.55)/(8.95-8.55)),3)&amp;"층",IF(A14&lt;9.48,ROUND(71+((A14-8.95)/(9.48-8.95)),3)&amp;"층",IF(A14&lt;10.15,ROUND(72+((A14-9.48)/(10.15-9.48)),3)&amp;"층",IF(A14&lt;10.9,ROUND(73+((A14-10.15)/(10.9-10.15)),3)&amp;"층",IF(A14&lt;11.75,ROUND(74+((A14-10.9)/(11.75-10.9)),3)&amp;"층",IF(A14&lt;12.73,ROUND(75+((A14-11.75)/(12.73-11.75)),3)&amp;"층",IF(A14&lt;13.8,ROUND(76+((A14-12.73)/(13.8-12.73)),3)&amp;"층",IF(A14&lt;15.1,ROUND(77+((A14-13.8)/(15.1-13.8)),3)&amp;"층",IF(A14&lt;16.6,ROUND(78+((A14-15.1)/(16.6-15.1)),3)&amp;"층",IF(A14&lt;18.8,ROUND(79+((A14-16.6)/(18.8-16.6)),3)&amp;"층","무공 격파 가능"))))))))))))))))))))))))))))))))</f>
        <v>62.776층</v>
      </c>
      <c r="H13" s="1"/>
      <c r="I13" s="1"/>
      <c r="J13" s="1"/>
      <c r="K13" s="4">
        <f>IF(A9&lt;0.936,0,IF(A9&lt;1.14,ROUND(52+((A9-0.936)/(1.14-0.936)),3),IF(A9&lt;1.29,ROUND(53+((A9-1.14)/(1.29-1.14)),3),IF(A9&lt;1.5,ROUND(54+((A9-1.29)/(1.5-1.29)),3),IF(A9&lt;1.7,ROUND(55+((A9-1.5)/(1.7-1.5)),3),IF(A9&lt;2,ROUND(56+((A9-1.7)/(2-1.7)),3),IF(A9&lt;2.33,ROUND(57+((A9-2)/(2.33-2)),3),IF(A9&lt;2.69,ROUND(60+((A9-2.33)/(2.69-2.33)),3),IF(A9&lt;3.32,ROUND(59+((A9-2.69)/(3.32-2.69)),3),IF(A9&lt;3.6,ROUND(60+((A9-3.32)/(3.6-3.32)),3),IF(A9&lt;4.05,ROUND(61+((A9-3.6)/(4.05-3.6)),3),IF(A9&lt;4.4,ROUND(62+((A9-4.05)/(4.4-4.05)),3),IF(A9&lt;4.72,ROUND(63+((A9-4.4)/(4.72-4.4)),3),IF(A9&lt;5.3,ROUND(64+((A9-4.72)/(5.3-4.72)),3),IF(A9&lt;5.63,ROUND(65+((A9-5.3)/(5.63-5.3)),3),IF(A9&lt;6.13,ROUND(66+((A9-5.63)/(6.13-5.63)),3),IF(A9&lt;6.76,ROUND(67+((A9-6.13)/(6.76-6.13)),3),IF(A9&lt;7.25,ROUND(68+((A9-6.76)/(7.25-6.76)),3),IF(A9&lt;8.15,ROUND(69+((A9-7.25)/(8.15-7.25)),3),IF(A9&lt;8.7,ROUND(70+((A9-8.15)/(8.7-8.15)),3),IF(A9&lt;9.3,ROUND(71+((A9-8.7)/(9.3-8.7)),3),IF(A9&lt;9.8,ROUND(72+((A9-9.3)/(9.8-9.3)),3),IF(A9&lt;10.55,ROUND(73+((A9-9.8)/(10.55-9.8)),3),IF(A9&lt;11.1,ROUND(74+((A9-10.55)/(11.1-10.55)),3),IF(A9&lt;11.8,ROUND(75+((A9-11.1)/(11.8-11.1)),3),IF(A9&lt;12.7,ROUND(76+((A9-11.8)/(12.7-11.8)),3),IF(A9&lt;13.65,ROUND(77+((A9-12.7)/(13.65-12.7)),3),IF(A9&lt;14.7,ROUND(78+((A9-13.65)/(14.7-13.65)),3),IF(A9&lt;16.55,ROUND(79+((A9-14.7)/(16.55-14.7)),3),"무공 격파 가능")))))))))))))))))))))))))))))</f>
        <v>62.591999999999999</v>
      </c>
      <c r="L13" s="1"/>
      <c r="M13" s="5" t="s">
        <v>32</v>
      </c>
      <c r="N13" s="5"/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f>A12*(1.06-IF(A2&gt;6,0.03,0.005*A2))</f>
        <v>4.5127220288504661</v>
      </c>
      <c r="B14" s="12" t="s">
        <v>25</v>
      </c>
      <c r="C14" s="28">
        <f>IF(AND(E26="O",C10&lt;250),124,IF(AND(E26="O",C10&lt;300),131, 40))</f>
        <v>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2" t="s">
        <v>27</v>
      </c>
      <c r="C15" s="26">
        <v>84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5" t="s">
        <v>40</v>
      </c>
      <c r="H16" s="40"/>
      <c r="I16" s="41">
        <f>IF(IF(A9&lt;3.4,(1-(1-0.01*E37)*0.5),IF(A9&lt;3.7,(1-(1-0.01*E37)*0.65),IF(A9&lt;4.5,(1-(1-0.01*E37)*0.75),IF(A9&lt;5.5,(1-(1-0.01*E37)*0.85),IF(A9&lt;6.5,(1-(1-0.01*E37)*0.94),IF(A9&lt;7.5,(1-(1-0.01*E37)*0.96),IF(A9&lt;8.5,(1-(1-0.01*E37)*1),IF(A9&lt;10,(1-(1-0.01*E37)*1.5),IF(A9&lt;13,(1-(1-0.01*E37)*1.8),(1-(1-0.01*E37)*2))))))))))/(IF(A9&lt;3.4,(1-(0.06)*0.5),IF(A9&lt;3.7,(1-(0.06)*0.65),IF(A9&lt;4.5,(1-(0.06)*0.75),IF(A9&lt;5.5,(1-(0.06)*0.85),IF(A9&lt;6.5,(1-(0.06)*0.94),IF(A9&lt;7.5,(1-(0.06)*0.96),IF(A9&lt;8.5,(1-(0.06)*1),IF(A9&lt;10,(1-(0.06)*1.5),IF(A9&lt;13,(1-(0.06)*1.8),(1-(0.06)*2)))))))))))&gt;1,1,IF(A9&lt;3.4,(1-(1-0.01*E37)*0.5),IF(A9&lt;3.7,(1-(1-0.01*E37)*0.65),IF(A9&lt;4.5,(1-(1-0.01*E37)*0.75),IF(A9&lt;5.5,(1-(1-0.01*E37)*0.85),IF(A9&lt;6.5,(1-(1-0.01*E37)*0.94),IF(A9&lt;7.5,(1-(1-0.01*E37)*0.96),IF(A9&lt;8.5,(1-(1-0.01*E37)*1),IF(A9&lt;10,(1-(1-0.01*E37)*1.5),IF(A9&lt;13,(1-(1-0.01*E37)*1.8),(1-(1-0.01*E37)*2))))))))))/(IF(A9&lt;3.4,(1-(0.06)*0.5),IF(A9&lt;3.7,(1-(0.06)*0.65),IF(A9&lt;4.5,(1-(0.06)*0.75),IF(A9&lt;5.5,(1-(0.06)*0.85),IF(A9&lt;6.5,(1-(0.06)*0.94),IF(A9&lt;7.5,(1-(0.06)*0.96),IF(A9&lt;8.5,(1-(0.06)*1),IF(A9&lt;10,(1-(0.06)*1.5),IF(A9&lt;13,(1-(0.06)*1.8),(1-(0.06)*2))))))))))))</f>
        <v>1</v>
      </c>
      <c r="J16" s="1"/>
      <c r="K16" s="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2" t="s">
        <v>31</v>
      </c>
      <c r="C17" s="26">
        <v>3</v>
      </c>
      <c r="D17" s="3">
        <f>IF(AND(A10&lt;1.2,C17&lt;4),(C17)+0.4,C17)</f>
        <v>3.4</v>
      </c>
      <c r="E17" s="1"/>
      <c r="F17" s="1"/>
      <c r="G17" s="21" t="str">
        <f>IF(L18&lt;0.1,"방무가 많이 여유있어서 유니온점령 방무 빼서 인트에 넣어도 될 정도.",IF(L18&lt;0.5,"메잘알 방무", IF(L18&lt;1.3,"양호",IF(L18&lt;2,"적정",IF(L18&lt;3,"방무를 좀 더 추가해도 괜찮음.",IF(L18&lt;5,"유니온점령 방무 좀 빼지마라.",IF(L18&lt;7,"심각하게 낮음. 방무 1줄은 추가하거나 마약 때를 기다리세요.",IF(L18&lt;10,"매우 심각하게 낮음. 방무 2줄은 추가해야함.","무릉치지 마세요."))))))))</f>
        <v>방무가 많이 여유있어서 유니온점령 방무 빼서 인트에 넣어도 될 정도.</v>
      </c>
      <c r="H17" s="5"/>
      <c r="I17" s="5"/>
      <c r="J17" s="5"/>
      <c r="K17" s="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2" t="s">
        <v>33</v>
      </c>
      <c r="C18" s="26">
        <v>4</v>
      </c>
      <c r="D18" s="3">
        <f>IF(AND(A10&lt;1.2,C18&lt;4),(C18)+1,C18)</f>
        <v>4</v>
      </c>
      <c r="E18" s="1"/>
      <c r="F18" s="1"/>
      <c r="G18" s="5"/>
      <c r="H18" s="1"/>
      <c r="I18" s="1"/>
      <c r="J18" s="1"/>
      <c r="K18" s="1"/>
      <c r="L18" s="4">
        <f>(1-I16)*100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2" t="s">
        <v>35</v>
      </c>
      <c r="C19" s="26">
        <v>4</v>
      </c>
      <c r="D19" s="3">
        <f t="shared" ref="D19:D20" si="0">IF($A$10&lt;1.2,4,C19)</f>
        <v>4</v>
      </c>
      <c r="E19" s="1"/>
      <c r="F19" s="1"/>
      <c r="G19" s="5" t="s">
        <v>92</v>
      </c>
      <c r="H19" s="5"/>
      <c r="I19" s="5"/>
      <c r="J19" s="5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2" t="s">
        <v>37</v>
      </c>
      <c r="C20" s="26">
        <v>3</v>
      </c>
      <c r="D20" s="3">
        <f t="shared" si="0"/>
        <v>4</v>
      </c>
      <c r="E20" s="1"/>
      <c r="F20" s="1"/>
      <c r="G20" s="5" t="s">
        <v>49</v>
      </c>
      <c r="H20" s="5"/>
      <c r="I20" s="5"/>
      <c r="J20" s="5"/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2" t="s">
        <v>38</v>
      </c>
      <c r="C21" s="26">
        <v>3</v>
      </c>
      <c r="D21" s="3"/>
      <c r="E21" s="1"/>
      <c r="F21" s="1"/>
      <c r="G21" s="5" t="s">
        <v>51</v>
      </c>
      <c r="H21" s="5"/>
      <c r="I21" s="5"/>
      <c r="J21" s="5"/>
      <c r="K21" s="5"/>
      <c r="L21" s="1"/>
      <c r="M21" s="1"/>
      <c r="N21" s="1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2" t="s">
        <v>39</v>
      </c>
      <c r="C22" s="26">
        <v>4</v>
      </c>
      <c r="D22" s="3"/>
      <c r="E22" s="1"/>
      <c r="F22" s="1"/>
      <c r="G22" s="1"/>
      <c r="H22" s="1"/>
      <c r="I22" s="1"/>
      <c r="J22" s="1"/>
      <c r="K22" s="1"/>
      <c r="L22" s="1"/>
      <c r="M22" s="5" t="s">
        <v>52</v>
      </c>
      <c r="N22" s="5"/>
      <c r="O22" s="22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2" t="s">
        <v>41</v>
      </c>
      <c r="C24" s="26">
        <v>3</v>
      </c>
      <c r="D24" s="12" t="s">
        <v>42</v>
      </c>
      <c r="E24" s="29">
        <v>8</v>
      </c>
      <c r="F24" s="1"/>
      <c r="G24" s="1"/>
      <c r="H24" s="1"/>
      <c r="I24" s="1"/>
      <c r="J24" s="1"/>
      <c r="K24" s="1"/>
      <c r="L24" s="1"/>
      <c r="M24" s="1"/>
      <c r="N24" s="5"/>
      <c r="O24" s="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2" t="s">
        <v>43</v>
      </c>
      <c r="C25" s="26">
        <v>200</v>
      </c>
      <c r="D25" s="12" t="s">
        <v>44</v>
      </c>
      <c r="E25" s="29" t="s">
        <v>93</v>
      </c>
      <c r="F25" s="4">
        <f t="shared" ref="F25:F26" si="1">IF(E25="O",1,0)</f>
        <v>1</v>
      </c>
      <c r="G25" s="1"/>
      <c r="H25" s="1"/>
      <c r="I25" s="1"/>
      <c r="J25" s="1"/>
      <c r="K25" s="1"/>
      <c r="L25" s="1"/>
      <c r="M25" s="1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2" t="s">
        <v>47</v>
      </c>
      <c r="C26" s="26">
        <v>200</v>
      </c>
      <c r="D26" s="12" t="s">
        <v>48</v>
      </c>
      <c r="E26" s="29" t="s">
        <v>45</v>
      </c>
      <c r="F26" s="4">
        <f t="shared" si="1"/>
        <v>0</v>
      </c>
      <c r="G26" s="1"/>
      <c r="H26" s="1"/>
      <c r="I26" s="1"/>
      <c r="J26" s="1"/>
      <c r="K26" s="1"/>
      <c r="L26" s="1"/>
      <c r="M26" s="1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2" t="s">
        <v>50</v>
      </c>
      <c r="C27" s="26">
        <v>45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2" t="s">
        <v>53</v>
      </c>
      <c r="E28" s="29">
        <v>2</v>
      </c>
      <c r="F28" s="1"/>
      <c r="G28" s="1"/>
      <c r="H28" s="1"/>
      <c r="I28" s="1"/>
      <c r="J28" s="1"/>
      <c r="K28" s="1"/>
      <c r="L28" s="1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2" t="s">
        <v>108</v>
      </c>
      <c r="C29" s="26" t="s">
        <v>93</v>
      </c>
      <c r="D29" s="12" t="s">
        <v>55</v>
      </c>
      <c r="E29" s="29">
        <v>6</v>
      </c>
      <c r="F29" s="1"/>
      <c r="G29" s="1"/>
      <c r="H29" s="1"/>
      <c r="I29" s="1"/>
      <c r="J29" s="1"/>
      <c r="K29" s="1"/>
      <c r="L29" s="1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2" t="s">
        <v>109</v>
      </c>
      <c r="C30" s="26">
        <v>40</v>
      </c>
      <c r="D30" s="12" t="s">
        <v>57</v>
      </c>
      <c r="E30" s="29">
        <v>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2" t="s">
        <v>110</v>
      </c>
      <c r="C31" s="26">
        <v>100</v>
      </c>
      <c r="D31" s="12" t="s">
        <v>59</v>
      </c>
      <c r="E31" s="29">
        <v>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2" t="s">
        <v>111</v>
      </c>
      <c r="C32" s="26">
        <v>50</v>
      </c>
      <c r="D32" s="12" t="s">
        <v>61</v>
      </c>
      <c r="E32" s="29">
        <v>2</v>
      </c>
      <c r="F32" s="1"/>
      <c r="G32" s="1"/>
      <c r="H32" s="1"/>
      <c r="I32" s="1"/>
      <c r="J32" s="1"/>
      <c r="K32" s="1"/>
      <c r="L32" s="1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2" t="s">
        <v>112</v>
      </c>
      <c r="C33" s="26">
        <v>10</v>
      </c>
      <c r="D33" s="12" t="s">
        <v>62</v>
      </c>
      <c r="E33" s="29">
        <v>2</v>
      </c>
      <c r="F33" s="1"/>
      <c r="G33" s="1"/>
      <c r="H33" s="1"/>
      <c r="I33" s="1"/>
      <c r="J33" s="5"/>
      <c r="K33" s="1"/>
      <c r="L33" s="1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12" t="s">
        <v>113</v>
      </c>
      <c r="C34" s="26">
        <v>0</v>
      </c>
      <c r="D34" s="1"/>
      <c r="E34" s="1"/>
      <c r="F34" s="1"/>
      <c r="G34" s="1"/>
      <c r="H34" s="1"/>
      <c r="I34" s="1"/>
      <c r="J34" s="1"/>
      <c r="K34" s="1"/>
      <c r="L34" s="1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5"/>
      <c r="B35" s="12" t="s">
        <v>114</v>
      </c>
      <c r="C35" s="26">
        <f>C30+IF(C29="O",5,0)+ 50+(ROUNDDOWN(C31/5,0)/2)+C32+C33+C34+IF(C26&lt;100,0,IF(C26&lt;140,10,IF(C26&lt;200,15,IF(C26&lt;250,20,25))))</f>
        <v>185</v>
      </c>
      <c r="D35" s="12" t="s">
        <v>58</v>
      </c>
      <c r="E35" s="26">
        <v>30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1"/>
      <c r="C36" s="1"/>
      <c r="D36" s="12" t="s">
        <v>115</v>
      </c>
      <c r="E36" s="26">
        <v>30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2" t="s">
        <v>63</v>
      </c>
      <c r="C37" s="26">
        <v>92</v>
      </c>
      <c r="D37" s="4">
        <v>92.72</v>
      </c>
      <c r="E37" s="4">
        <f>(1-((1-D37/100)*0.8*0.9))*100</f>
        <v>94.758399999999995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5"/>
      <c r="B38" s="5"/>
      <c r="C38" s="22" t="s">
        <v>116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45" t="s">
        <v>65</v>
      </c>
      <c r="C40" s="5"/>
      <c r="D40" s="5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5" t="s">
        <v>66</v>
      </c>
      <c r="C41" s="5"/>
      <c r="D41" s="5"/>
      <c r="E41" s="5"/>
      <c r="F41" s="5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5" t="s">
        <v>67</v>
      </c>
      <c r="C42" s="5"/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23" t="s">
        <v>117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9"/>
      <c r="O43" s="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45" t="s">
        <v>69</v>
      </c>
      <c r="C45" s="5"/>
      <c r="D45" s="5"/>
      <c r="E45" s="1"/>
      <c r="F45" s="1"/>
      <c r="G45" s="1"/>
      <c r="H45" s="1"/>
      <c r="I45" s="1"/>
      <c r="J45" s="1"/>
      <c r="K45" s="1"/>
      <c r="L45" s="1"/>
      <c r="M45" s="1"/>
      <c r="N45" s="9"/>
      <c r="O45" s="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24" t="s">
        <v>70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9"/>
      <c r="O46" s="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45" t="s">
        <v>71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9"/>
      <c r="O48" s="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5" t="s">
        <v>72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5" t="s">
        <v>73</v>
      </c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45" t="s">
        <v>74</v>
      </c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4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5" t="s">
        <v>75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5" t="str">
        <f>"49층 격수 "&amp;TEXT(A9/0.43,"0.000명 스펙입니다.")&amp;""</f>
        <v>49층 격수 9.901명 스펙입니다.</v>
      </c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5" t="str">
        <f>"50층 격수 "&amp;TEXT(A9/0.65,"0.000명 스펙입니다.")&amp;""</f>
        <v>50층 격수 6.550명 스펙입니다.</v>
      </c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5" t="str">
        <f>"51층 격수 "&amp;TEXT(A9/0.78,"0.000명 스펙입니다.")&amp;""</f>
        <v>51층 격수 5.458명 스펙입니다.</v>
      </c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5" t="str">
        <f>"52층 격수 "&amp;TEXT(A9/1.006,"0.000명 스펙입니다.")&amp;""</f>
        <v>52층 격수 4.232명 스펙입니다.</v>
      </c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5" t="str">
        <f>"53층 격수 "&amp;TEXT(A9/1.19,"0.000명 스펙입니다.")&amp;""</f>
        <v>53층 격수 3.578명 스펙입니다.</v>
      </c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5" t="str">
        <f>"54층 격수 "&amp;TEXT(A9/1.395,"0.000명 스펙입니다.")&amp;""</f>
        <v>54층 격수 3.052명 스펙입니다.</v>
      </c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5" t="str">
        <f>"55층 격수 "&amp;TEXT(A9/1.622,"0.000명 스펙입니다.")&amp;""</f>
        <v>55층 격수 2.625명 스펙입니다.</v>
      </c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5" t="str">
        <f>"56층 격수 "&amp;TEXT(A9/2.073,"0.000명 스펙입니다.")&amp;""</f>
        <v>56층 격수 2.054명 스펙입니다.</v>
      </c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5" t="str">
        <f>"57층 격수 "&amp;TEXT(A9/2.275,"0.000명 스펙입니다.")&amp;""</f>
        <v>57층 격수 1.871명 스펙입니다.</v>
      </c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5" t="str">
        <f>"60층 격수 "&amp;TEXT(A9/2.681,"0.000명 스펙입니다.")&amp;""</f>
        <v>60층 격수 1.588명 스펙입니다.</v>
      </c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5" t="str">
        <f>"59층 격수 "&amp;TEXT(A9/2.935,"0.000명 스펙입니다.")&amp;""</f>
        <v>59층 격수 1.451명 스펙입니다.</v>
      </c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5" t="str">
        <f>"60층 격수 "&amp;TEXT(A9/3.78,"0.000명 스펙입니다.")&amp;""</f>
        <v>60층 격수 1.126명 스펙입니다.</v>
      </c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5" t="str">
        <f>"61층 격수 "&amp;TEXT(A9/4.1,"0.000명 스펙입니다.")&amp;""</f>
        <v>61층 격수 1.038명 스펙입니다.</v>
      </c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5" t="str">
        <f>"62층 격수 "&amp;TEXT(A9/4.35,"0.000명 스펙입니다.")&amp;""</f>
        <v>62층 격수 0.979명 스펙입니다.</v>
      </c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5" t="str">
        <f>"63층 격수 "&amp;TEXT(A9/4.741,"0.000명 스펙입니다.")&amp;""</f>
        <v>63층 격수 0.898명 스펙입니다.</v>
      </c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5" t="str">
        <f>"64층 격수 "&amp;TEXT(A9/5.1,"0.000명 스펙입니다.")&amp;""</f>
        <v>64층 격수 0.835명 스펙입니다.</v>
      </c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5" t="str">
        <f>"65층 격수 "&amp;TEXT(A9/5.49,"0.000명 스펙입니다.")&amp;""</f>
        <v>65층 격수 0.775명 스펙입니다.</v>
      </c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5" t="str">
        <f>"66층 격수 "&amp;TEXT(A9/5.96,"0.000명 스펙입니다.")&amp;""</f>
        <v>66층 격수 0.714명 스펙입니다.</v>
      </c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5" t="str">
        <f>"67층 격수 "&amp;TEXT(A9/6.43,"0.000명 스펙입니다.")&amp;""</f>
        <v>67층 격수 0.662명 스펙입니다.</v>
      </c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5" t="str">
        <f>"68층 격수 "&amp;TEXT(A9/6.878,"0.000명 스펙입니다.")&amp;""</f>
        <v>68층 격수 0.619명 스펙입니다.</v>
      </c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5" t="str">
        <f>"69층 격수 "&amp;TEXT(A9/7.322,"0.000명 스펙입니다.")&amp;""</f>
        <v>69층 격수 0.581명 스펙입니다.</v>
      </c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5" t="str">
        <f>"70층 격수 "&amp;TEXT(A9/8.233,"0.000명 스펙입니다.")&amp;""</f>
        <v>70층 격수 0.517명 스펙입니다.</v>
      </c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5" t="str">
        <f>"71층 격수 "&amp;TEXT(A9/8.753,"0.000명 스펙입니다.")&amp;""</f>
        <v>71층 격수 0.486명 스펙입니다.</v>
      </c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5" t="str">
        <f>"72층 격수 "&amp;TEXT(A9/9.344,"0.000명 스펙입니다.")&amp;""</f>
        <v>72층 격수 0.456명 스펙입니다.</v>
      </c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5" t="str">
        <f>"73층 격수 "&amp;TEXT(A9/10,"0.000명 스펙입니다.")&amp;""</f>
        <v>73층 격수 0.426명 스펙입니다.</v>
      </c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5" t="str">
        <f>"74층 격수 "&amp;TEXT(A9/10.738,"0.000명 스펙입니다.")&amp;""</f>
        <v>74층 격수 0.396명 스펙입니다.</v>
      </c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honeticPr fontId="18" type="noConversion"/>
  <conditionalFormatting sqref="G7">
    <cfRule type="notContainsBlanks" dxfId="1" priority="1">
      <formula>LEN(TRIM(G7))&gt;0</formula>
    </cfRule>
  </conditionalFormatting>
  <conditionalFormatting sqref="E25:E26">
    <cfRule type="notContainsBlanks" dxfId="0" priority="2">
      <formula>LEN(TRIM(E25))&gt;0</formula>
    </cfRule>
  </conditionalFormatting>
  <dataValidations count="21">
    <dataValidation type="decimal" allowBlank="1" showDropDown="1" showInputMessage="1" showErrorMessage="1" prompt="번호를 입력하세요. 사이 240 및 300" sqref="C10" xr:uid="{00000000-0002-0000-0400-000000000000}">
      <formula1>240</formula1>
      <formula2>300</formula2>
    </dataValidation>
    <dataValidation type="decimal" allowBlank="1" showDropDown="1" showInputMessage="1" showErrorMessage="1" prompt="번호를 입력하세요. 사이 0 및 100" sqref="C31" xr:uid="{00000000-0002-0000-0400-000001000000}">
      <formula1>0</formula1>
      <formula2>100</formula2>
    </dataValidation>
    <dataValidation type="decimal" allowBlank="1" showDropDown="1" sqref="C34" xr:uid="{00000000-0002-0000-0400-000002000000}">
      <formula1>0</formula1>
      <formula2>50</formula2>
    </dataValidation>
    <dataValidation type="decimal" allowBlank="1" showDropDown="1" showInputMessage="1" showErrorMessage="1" prompt="번호를 입력하세요. 사이 0 및 45" sqref="C27" xr:uid="{00000000-0002-0000-0400-000003000000}">
      <formula1>0</formula1>
      <formula2>45</formula2>
    </dataValidation>
    <dataValidation type="decimal" allowBlank="1" showDropDown="1" sqref="C37" xr:uid="{00000000-0002-0000-0400-000004000000}">
      <formula1>0</formula1>
      <formula2>100</formula2>
    </dataValidation>
    <dataValidation type="decimal" allowBlank="1" showDropDown="1" showInputMessage="1" showErrorMessage="1" prompt="번호를 입력하세요. 사이 0 및 40" sqref="C30" xr:uid="{00000000-0002-0000-0400-000005000000}">
      <formula1>0</formula1>
      <formula2>40</formula2>
    </dataValidation>
    <dataValidation type="list" allowBlank="1" showErrorMessage="1" sqref="E25:E26" xr:uid="{00000000-0002-0000-0400-000006000000}">
      <formula1>"O,X"</formula1>
    </dataValidation>
    <dataValidation type="decimal" allowBlank="1" showDropDown="1" showInputMessage="1" showErrorMessage="1" prompt="번호를 입력하세요. 사이 1 및 300" sqref="C26" xr:uid="{00000000-0002-0000-0400-000007000000}">
      <formula1>1</formula1>
      <formula2>300</formula2>
    </dataValidation>
    <dataValidation type="list" allowBlank="1" showErrorMessage="1" sqref="C24" xr:uid="{00000000-0002-0000-0400-000008000000}">
      <formula1>"0,1,2,3,4,5,6,7,8,9"</formula1>
    </dataValidation>
    <dataValidation type="decimal" allowBlank="1" showDropDown="1" showErrorMessage="1" sqref="C13" xr:uid="{00000000-0002-0000-0400-000009000000}">
      <formula1>100</formula1>
      <formula2>500</formula2>
    </dataValidation>
    <dataValidation type="decimal" allowBlank="1" showDropDown="1" showInputMessage="1" showErrorMessage="1" prompt="번호를 입력하세요. 사이 30 및 250" sqref="C12" xr:uid="{00000000-0002-0000-0400-00000A000000}">
      <formula1>30</formula1>
      <formula2>250</formula2>
    </dataValidation>
    <dataValidation type="list" allowBlank="1" showErrorMessage="1" sqref="E24" xr:uid="{00000000-0002-0000-0400-00000B000000}">
      <formula1>"0,1,2,3,4,5,6,7,8"</formula1>
    </dataValidation>
    <dataValidation type="decimal" allowBlank="1" showDropDown="1" sqref="C33" xr:uid="{00000000-0002-0000-0400-00000C000000}">
      <formula1>0</formula1>
      <formula2>16</formula2>
    </dataValidation>
    <dataValidation type="list" allowBlank="1" showInputMessage="1" showErrorMessage="1" prompt="클릭하여 값을 입력하세요. 항목 목록" sqref="C29" xr:uid="{00000000-0002-0000-0400-00000D000000}">
      <formula1>"O,X"</formula1>
    </dataValidation>
    <dataValidation type="list" allowBlank="1" showErrorMessage="1" sqref="C17:C22" xr:uid="{00000000-0002-0000-0400-00000E000000}">
      <formula1>"0,1,2,3,4"</formula1>
    </dataValidation>
    <dataValidation type="decimal" allowBlank="1" showDropDown="1" showErrorMessage="1" sqref="C15" xr:uid="{00000000-0002-0000-0400-00000F000000}">
      <formula1>20</formula1>
      <formula2>150</formula2>
    </dataValidation>
    <dataValidation type="decimal" allowBlank="1" showDropDown="1" showInputMessage="1" showErrorMessage="1" prompt="번호를 입력하세요. 사이 0 및 50" sqref="C32" xr:uid="{00000000-0002-0000-0400-000010000000}">
      <formula1>0</formula1>
      <formula2>50</formula2>
    </dataValidation>
    <dataValidation type="decimal" allowBlank="1" showDropDown="1" showErrorMessage="1" sqref="C11" xr:uid="{00000000-0002-0000-0400-000011000000}">
      <formula1>1000000</formula1>
      <formula2>999999999</formula2>
    </dataValidation>
    <dataValidation type="list" allowBlank="1" showInputMessage="1" showErrorMessage="1" prompt="클릭하여 값을 입력하세요. 항목 목록" sqref="E28 E31:E33" xr:uid="{00000000-0002-0000-0400-000012000000}">
      <formula1>"0,1,2"</formula1>
    </dataValidation>
    <dataValidation type="list" allowBlank="1" showInputMessage="1" showErrorMessage="1" prompt="클릭하여 값을 입력하세요. 항목 목록" sqref="E29:E30" xr:uid="{00000000-0002-0000-0400-000013000000}">
      <formula1>"0,1,2,3,4,5,6"</formula1>
    </dataValidation>
    <dataValidation type="decimal" allowBlank="1" showDropDown="1" showInputMessage="1" showErrorMessage="1" prompt="번호를 입력하세요. 사이 0 및 30" sqref="E35:E36" xr:uid="{00000000-0002-0000-0400-000014000000}">
      <formula1>0</formula1>
      <formula2>30</formula2>
    </dataValidation>
  </dataValidations>
  <hyperlinks>
    <hyperlink ref="D8" r:id="rId1" xr:uid="{00000000-0004-0000-0400-000000000000}"/>
    <hyperlink ref="B40" r:id="rId2" xr:uid="{00000000-0004-0000-0400-000001000000}"/>
    <hyperlink ref="B43" r:id="rId3" xr:uid="{00000000-0004-0000-0400-000002000000}"/>
    <hyperlink ref="B45" r:id="rId4" xr:uid="{00000000-0004-0000-0400-000003000000}"/>
    <hyperlink ref="B46" r:id="rId5" xr:uid="{00000000-0004-0000-0400-000004000000}"/>
    <hyperlink ref="B48" r:id="rId6" xr:uid="{00000000-0004-0000-0400-000005000000}"/>
    <hyperlink ref="B52" r:id="rId7" xr:uid="{00000000-0004-0000-0400-000006000000}"/>
  </hyperlinks>
  <pageMargins left="0.7" right="0.7" top="0.75" bottom="0.75" header="0.3" footer="0.3"/>
  <ignoredErrors>
    <ignoredError sqref="C14 C35" unlockedFormula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듀블</vt:lpstr>
      <vt:lpstr>나로</vt:lpstr>
      <vt:lpstr>팬텀</vt:lpstr>
      <vt:lpstr>섀도어</vt:lpstr>
      <vt:lpstr>불독</vt:lpstr>
      <vt:lpstr>듀블!이름이지정된범위1</vt:lpstr>
      <vt:lpstr>불독!이름이지정된범위1</vt:lpstr>
      <vt:lpstr>팬텀!이름이지정된범위1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이현규</cp:lastModifiedBy>
  <dcterms:created xsi:type="dcterms:W3CDTF">2021-07-11T18:57:32Z</dcterms:created>
  <dcterms:modified xsi:type="dcterms:W3CDTF">2021-07-11T19:02:38Z</dcterms:modified>
</cp:coreProperties>
</file>