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\Desktop\로아 계산\내꺼\"/>
    </mc:Choice>
  </mc:AlternateContent>
  <xr:revisionPtr revIDLastSave="0" documentId="13_ncr:1_{E36920C1-52F9-4639-96BE-B57EFAC9CA11}" xr6:coauthVersionLast="45" xr6:coauthVersionMax="45" xr10:uidLastSave="{00000000-0000-0000-0000-000000000000}"/>
  <bookViews>
    <workbookView xWindow="-120" yWindow="-120" windowWidth="29040" windowHeight="15840" xr2:uid="{7FC83542-A422-449E-8800-33FF4553FB79}"/>
  </bookViews>
  <sheets>
    <sheet name="33333" sheetId="1" r:id="rId1"/>
    <sheet name="333321" sheetId="7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2" i="7" l="1"/>
  <c r="D61" i="7"/>
  <c r="O61" i="7" s="1"/>
  <c r="I64" i="7" s="1"/>
  <c r="N64" i="7" s="1"/>
  <c r="D64" i="7"/>
  <c r="E64" i="7"/>
  <c r="F64" i="7"/>
  <c r="G64" i="7"/>
  <c r="H64" i="7"/>
  <c r="L64" i="7"/>
  <c r="M64" i="7"/>
  <c r="D70" i="7"/>
  <c r="G72" i="7" s="1"/>
  <c r="G70" i="7"/>
  <c r="I70" i="7" s="1"/>
  <c r="H70" i="7"/>
  <c r="H72" i="7"/>
  <c r="N74" i="7"/>
  <c r="O74" i="7"/>
  <c r="P74" i="7"/>
  <c r="B75" i="7"/>
  <c r="O64" i="7" l="1"/>
  <c r="Q61" i="7"/>
  <c r="K64" i="7" s="1"/>
  <c r="P68" i="7" s="1"/>
  <c r="P64" i="7"/>
  <c r="P61" i="7"/>
  <c r="J64" i="7" s="1"/>
  <c r="O66" i="7" s="1"/>
  <c r="P72" i="7"/>
  <c r="I72" i="7"/>
  <c r="J72" i="7" s="1"/>
  <c r="J70" i="7"/>
  <c r="P70" i="7" s="1"/>
  <c r="P66" i="7"/>
  <c r="H179" i="1"/>
  <c r="H160" i="1"/>
  <c r="B190" i="1"/>
  <c r="P189" i="1"/>
  <c r="O189" i="1" s="1"/>
  <c r="D185" i="1"/>
  <c r="H185" i="1" s="1"/>
  <c r="H192" i="1" s="1"/>
  <c r="L179" i="1"/>
  <c r="G179" i="1"/>
  <c r="F179" i="1"/>
  <c r="E179" i="1"/>
  <c r="D179" i="1"/>
  <c r="D176" i="1"/>
  <c r="N68" i="7" l="1"/>
  <c r="O68" i="7"/>
  <c r="N66" i="7"/>
  <c r="Q64" i="7"/>
  <c r="Q70" i="7"/>
  <c r="Q72" i="7"/>
  <c r="N189" i="1"/>
  <c r="O176" i="1"/>
  <c r="P176" i="1"/>
  <c r="J179" i="1" s="1"/>
  <c r="Q176" i="1"/>
  <c r="K179" i="1" s="1"/>
  <c r="H189" i="1"/>
  <c r="G187" i="1"/>
  <c r="I179" i="1"/>
  <c r="G185" i="1"/>
  <c r="H187" i="1"/>
  <c r="H16" i="1"/>
  <c r="L103" i="7"/>
  <c r="K103" i="7"/>
  <c r="J103" i="7"/>
  <c r="I103" i="7"/>
  <c r="H103" i="7"/>
  <c r="G103" i="7"/>
  <c r="L100" i="7"/>
  <c r="L101" i="7" s="1"/>
  <c r="L102" i="7" s="1"/>
  <c r="K100" i="7"/>
  <c r="J100" i="7"/>
  <c r="I100" i="7"/>
  <c r="H100" i="7"/>
  <c r="G100" i="7"/>
  <c r="L97" i="7"/>
  <c r="K97" i="7"/>
  <c r="J97" i="7"/>
  <c r="I97" i="7"/>
  <c r="H97" i="7"/>
  <c r="G97" i="7"/>
  <c r="L104" i="7"/>
  <c r="I104" i="7"/>
  <c r="H104" i="7"/>
  <c r="L105" i="7"/>
  <c r="K104" i="7"/>
  <c r="J104" i="7"/>
  <c r="I105" i="7"/>
  <c r="H105" i="7"/>
  <c r="G105" i="7"/>
  <c r="I102" i="7"/>
  <c r="I101" i="7"/>
  <c r="H101" i="7"/>
  <c r="H102" i="7" s="1"/>
  <c r="K101" i="7"/>
  <c r="K102" i="7" s="1"/>
  <c r="J101" i="7"/>
  <c r="J102" i="7" s="1"/>
  <c r="G102" i="7"/>
  <c r="L99" i="7"/>
  <c r="I99" i="7"/>
  <c r="H99" i="7"/>
  <c r="L98" i="7"/>
  <c r="I98" i="7"/>
  <c r="H98" i="7"/>
  <c r="K99" i="7"/>
  <c r="J99" i="7"/>
  <c r="L96" i="7"/>
  <c r="K96" i="7"/>
  <c r="J96" i="7"/>
  <c r="I96" i="7"/>
  <c r="H96" i="7"/>
  <c r="G96" i="7"/>
  <c r="Q67" i="7" l="1"/>
  <c r="H196" i="1"/>
  <c r="H199" i="1"/>
  <c r="H200" i="1" s="1"/>
  <c r="H193" i="1"/>
  <c r="J187" i="1"/>
  <c r="K187" i="1" s="1"/>
  <c r="G189" i="1"/>
  <c r="G199" i="1" s="1"/>
  <c r="P185" i="1"/>
  <c r="G192" i="1"/>
  <c r="J185" i="1"/>
  <c r="I185" i="1"/>
  <c r="J105" i="7"/>
  <c r="K105" i="7"/>
  <c r="G98" i="7"/>
  <c r="K98" i="7"/>
  <c r="G99" i="7"/>
  <c r="G101" i="7"/>
  <c r="M101" i="7" s="1"/>
  <c r="G104" i="7"/>
  <c r="J98" i="7"/>
  <c r="M160" i="1"/>
  <c r="B171" i="1"/>
  <c r="P170" i="1"/>
  <c r="O170" i="1" s="1"/>
  <c r="D166" i="1"/>
  <c r="H166" i="1" s="1"/>
  <c r="L160" i="1"/>
  <c r="G160" i="1"/>
  <c r="F160" i="1"/>
  <c r="E160" i="1"/>
  <c r="D160" i="1"/>
  <c r="D157" i="1"/>
  <c r="Q157" i="1" s="1"/>
  <c r="K160" i="1" s="1"/>
  <c r="P87" i="7"/>
  <c r="P85" i="7"/>
  <c r="P83" i="7"/>
  <c r="Q83" i="7" s="1"/>
  <c r="O87" i="7"/>
  <c r="O85" i="7"/>
  <c r="O83" i="7"/>
  <c r="N87" i="7"/>
  <c r="N85" i="7"/>
  <c r="N83" i="7"/>
  <c r="Q86" i="7"/>
  <c r="D129" i="7"/>
  <c r="Q129" i="7" s="1"/>
  <c r="J132" i="7" s="1"/>
  <c r="D132" i="7"/>
  <c r="E132" i="7"/>
  <c r="F132" i="7"/>
  <c r="G132" i="7"/>
  <c r="L132" i="7"/>
  <c r="M132" i="7"/>
  <c r="N132" i="7"/>
  <c r="D138" i="7"/>
  <c r="H138" i="7" s="1"/>
  <c r="H140" i="7"/>
  <c r="Q142" i="7"/>
  <c r="O142" i="7" s="1"/>
  <c r="B143" i="7"/>
  <c r="D113" i="7"/>
  <c r="D83" i="7"/>
  <c r="D45" i="7"/>
  <c r="D26" i="7"/>
  <c r="D141" i="1"/>
  <c r="D122" i="1"/>
  <c r="D92" i="1"/>
  <c r="D73" i="1"/>
  <c r="D54" i="1"/>
  <c r="D35" i="1"/>
  <c r="D16" i="1"/>
  <c r="D110" i="7"/>
  <c r="P110" i="7" s="1"/>
  <c r="I113" i="7" s="1"/>
  <c r="E113" i="7"/>
  <c r="F113" i="7"/>
  <c r="G113" i="7"/>
  <c r="H113" i="7"/>
  <c r="L113" i="7"/>
  <c r="M113" i="7"/>
  <c r="N113" i="7"/>
  <c r="D119" i="7"/>
  <c r="H119" i="7" s="1"/>
  <c r="G119" i="7"/>
  <c r="Q123" i="7"/>
  <c r="P123" i="7" s="1"/>
  <c r="B124" i="7"/>
  <c r="M83" i="7"/>
  <c r="M141" i="1"/>
  <c r="B152" i="1"/>
  <c r="P151" i="1"/>
  <c r="O151" i="1" s="1"/>
  <c r="D147" i="1"/>
  <c r="H149" i="1" s="1"/>
  <c r="L141" i="1"/>
  <c r="H141" i="1"/>
  <c r="G141" i="1"/>
  <c r="F141" i="1"/>
  <c r="E141" i="1"/>
  <c r="D138" i="1"/>
  <c r="Q138" i="1" s="1"/>
  <c r="B94" i="7"/>
  <c r="P93" i="7"/>
  <c r="N93" i="7" s="1"/>
  <c r="D89" i="7"/>
  <c r="H89" i="7" s="1"/>
  <c r="L83" i="7"/>
  <c r="H83" i="7"/>
  <c r="G83" i="7"/>
  <c r="F83" i="7"/>
  <c r="E83" i="7"/>
  <c r="D80" i="7"/>
  <c r="Q80" i="7" s="1"/>
  <c r="B56" i="7"/>
  <c r="P55" i="7"/>
  <c r="N55" i="7" s="1"/>
  <c r="D51" i="7"/>
  <c r="H53" i="7" s="1"/>
  <c r="M45" i="7"/>
  <c r="L45" i="7"/>
  <c r="H45" i="7"/>
  <c r="G45" i="7"/>
  <c r="F45" i="7"/>
  <c r="E45" i="7"/>
  <c r="Q42" i="7"/>
  <c r="K45" i="7" s="1"/>
  <c r="D42" i="7"/>
  <c r="O42" i="7" s="1"/>
  <c r="I45" i="7" s="1"/>
  <c r="P36" i="7"/>
  <c r="O36" i="7" s="1"/>
  <c r="P45" i="1"/>
  <c r="O45" i="1" s="1"/>
  <c r="P64" i="1"/>
  <c r="N64" i="1" s="1"/>
  <c r="P83" i="1"/>
  <c r="N83" i="1" s="1"/>
  <c r="P102" i="1"/>
  <c r="M26" i="7"/>
  <c r="B37" i="7"/>
  <c r="D32" i="7"/>
  <c r="H34" i="7" s="1"/>
  <c r="L26" i="7"/>
  <c r="H26" i="7"/>
  <c r="G26" i="7"/>
  <c r="F26" i="7"/>
  <c r="E26" i="7"/>
  <c r="D23" i="7"/>
  <c r="P23" i="7" s="1"/>
  <c r="J26" i="7" s="1"/>
  <c r="L7" i="7"/>
  <c r="B18" i="7"/>
  <c r="P17" i="7"/>
  <c r="O17" i="7" s="1"/>
  <c r="G15" i="7"/>
  <c r="G13" i="7"/>
  <c r="I13" i="7" s="1"/>
  <c r="J13" i="7" s="1"/>
  <c r="D13" i="7"/>
  <c r="H15" i="7" s="1"/>
  <c r="H7" i="7"/>
  <c r="G7" i="7"/>
  <c r="F7" i="7"/>
  <c r="E7" i="7"/>
  <c r="D7" i="7"/>
  <c r="D4" i="7"/>
  <c r="Q4" i="7" s="1"/>
  <c r="K7" i="7" s="1"/>
  <c r="H43" i="1"/>
  <c r="M122" i="1"/>
  <c r="B133" i="1"/>
  <c r="P132" i="1"/>
  <c r="O132" i="1" s="1"/>
  <c r="D128" i="1"/>
  <c r="H128" i="1" s="1"/>
  <c r="L122" i="1"/>
  <c r="H122" i="1"/>
  <c r="G122" i="1"/>
  <c r="F122" i="1"/>
  <c r="E122" i="1"/>
  <c r="P119" i="1"/>
  <c r="J122" i="1" s="1"/>
  <c r="D119" i="1"/>
  <c r="Q119" i="1" s="1"/>
  <c r="K122" i="1" s="1"/>
  <c r="B103" i="1"/>
  <c r="D98" i="1"/>
  <c r="H100" i="1" s="1"/>
  <c r="L92" i="1"/>
  <c r="H92" i="1"/>
  <c r="G92" i="1"/>
  <c r="F92" i="1"/>
  <c r="E92" i="1"/>
  <c r="D89" i="1"/>
  <c r="P89" i="1" s="1"/>
  <c r="J92" i="1" s="1"/>
  <c r="H35" i="1"/>
  <c r="H73" i="1"/>
  <c r="B84" i="1"/>
  <c r="D79" i="1"/>
  <c r="H81" i="1" s="1"/>
  <c r="L73" i="1"/>
  <c r="G73" i="1"/>
  <c r="F73" i="1"/>
  <c r="E73" i="1"/>
  <c r="D70" i="1"/>
  <c r="O70" i="1" s="1"/>
  <c r="I73" i="1" s="1"/>
  <c r="B65" i="1"/>
  <c r="B46" i="1"/>
  <c r="B27" i="1"/>
  <c r="D60" i="1"/>
  <c r="H62" i="1" s="1"/>
  <c r="L54" i="1"/>
  <c r="H54" i="1"/>
  <c r="G54" i="1"/>
  <c r="F54" i="1"/>
  <c r="E54" i="1"/>
  <c r="D51" i="1"/>
  <c r="Q51" i="1" s="1"/>
  <c r="K54" i="1" s="1"/>
  <c r="G35" i="1"/>
  <c r="F35" i="1"/>
  <c r="E35" i="1"/>
  <c r="L35" i="1"/>
  <c r="D41" i="1"/>
  <c r="H41" i="1" s="1"/>
  <c r="D32" i="1"/>
  <c r="O32" i="1" s="1"/>
  <c r="I35" i="1" s="1"/>
  <c r="P26" i="1"/>
  <c r="P187" i="1" l="1"/>
  <c r="Q187" i="1"/>
  <c r="G196" i="1"/>
  <c r="G193" i="1"/>
  <c r="H201" i="1"/>
  <c r="L185" i="1"/>
  <c r="J189" i="1"/>
  <c r="K185" i="1"/>
  <c r="J192" i="1"/>
  <c r="H195" i="1"/>
  <c r="H194" i="1"/>
  <c r="I192" i="1"/>
  <c r="I189" i="1"/>
  <c r="M185" i="1"/>
  <c r="N102" i="7"/>
  <c r="M98" i="7"/>
  <c r="N98" i="7" s="1"/>
  <c r="G140" i="7"/>
  <c r="H130" i="1"/>
  <c r="N126" i="1"/>
  <c r="G128" i="1"/>
  <c r="I128" i="1" s="1"/>
  <c r="J128" i="1" s="1"/>
  <c r="G43" i="1"/>
  <c r="I43" i="1" s="1"/>
  <c r="J43" i="1" s="1"/>
  <c r="G130" i="1"/>
  <c r="I130" i="1" s="1"/>
  <c r="J130" i="1" s="1"/>
  <c r="G41" i="1"/>
  <c r="I41" i="1" s="1"/>
  <c r="J41" i="1" s="1"/>
  <c r="G138" i="7"/>
  <c r="I138" i="7" s="1"/>
  <c r="J138" i="7" s="1"/>
  <c r="G168" i="1"/>
  <c r="I168" i="1" s="1"/>
  <c r="J168" i="1" s="1"/>
  <c r="P129" i="7"/>
  <c r="I132" i="7" s="1"/>
  <c r="O132" i="7" s="1"/>
  <c r="N164" i="1"/>
  <c r="O164" i="1"/>
  <c r="O157" i="1"/>
  <c r="I160" i="1" s="1"/>
  <c r="P157" i="1"/>
  <c r="J160" i="1" s="1"/>
  <c r="H168" i="1"/>
  <c r="G166" i="1"/>
  <c r="N170" i="1"/>
  <c r="P164" i="1" s="1"/>
  <c r="Q134" i="7"/>
  <c r="P142" i="7"/>
  <c r="P134" i="7" s="1"/>
  <c r="I140" i="7"/>
  <c r="O134" i="7"/>
  <c r="R129" i="7"/>
  <c r="K132" i="7" s="1"/>
  <c r="Q136" i="7" s="1"/>
  <c r="O113" i="7"/>
  <c r="G32" i="7"/>
  <c r="I32" i="7" s="1"/>
  <c r="J32" i="7" s="1"/>
  <c r="R110" i="7"/>
  <c r="K113" i="7" s="1"/>
  <c r="O117" i="7" s="1"/>
  <c r="Q23" i="7"/>
  <c r="K26" i="7" s="1"/>
  <c r="G34" i="7"/>
  <c r="O123" i="7"/>
  <c r="Q113" i="7" s="1"/>
  <c r="Q110" i="7"/>
  <c r="J113" i="7" s="1"/>
  <c r="P42" i="7"/>
  <c r="J45" i="7" s="1"/>
  <c r="N47" i="7" s="1"/>
  <c r="H121" i="7"/>
  <c r="O55" i="7"/>
  <c r="O115" i="7"/>
  <c r="R119" i="7"/>
  <c r="P113" i="7"/>
  <c r="O23" i="7"/>
  <c r="I26" i="7" s="1"/>
  <c r="N26" i="7" s="1"/>
  <c r="G51" i="7"/>
  <c r="I51" i="7" s="1"/>
  <c r="J51" i="7" s="1"/>
  <c r="G121" i="7"/>
  <c r="I119" i="7"/>
  <c r="J119" i="7" s="1"/>
  <c r="N11" i="7"/>
  <c r="H51" i="7"/>
  <c r="P115" i="7"/>
  <c r="P47" i="7"/>
  <c r="N28" i="7"/>
  <c r="O80" i="7"/>
  <c r="I83" i="7" s="1"/>
  <c r="P80" i="7"/>
  <c r="J83" i="7" s="1"/>
  <c r="K83" i="7"/>
  <c r="G147" i="1"/>
  <c r="I147" i="1" s="1"/>
  <c r="J147" i="1" s="1"/>
  <c r="G149" i="1"/>
  <c r="I149" i="1" s="1"/>
  <c r="J149" i="1" s="1"/>
  <c r="O138" i="1"/>
  <c r="I141" i="1" s="1"/>
  <c r="O141" i="1" s="1"/>
  <c r="P138" i="1"/>
  <c r="J141" i="1" s="1"/>
  <c r="N151" i="1"/>
  <c r="K141" i="1"/>
  <c r="N145" i="1" s="1"/>
  <c r="H147" i="1"/>
  <c r="O93" i="7"/>
  <c r="H93" i="7"/>
  <c r="G89" i="7"/>
  <c r="G91" i="7"/>
  <c r="H91" i="7"/>
  <c r="H79" i="1"/>
  <c r="G81" i="1"/>
  <c r="I81" i="1" s="1"/>
  <c r="J81" i="1" s="1"/>
  <c r="O119" i="1"/>
  <c r="I122" i="1" s="1"/>
  <c r="N122" i="1" s="1"/>
  <c r="G79" i="1"/>
  <c r="I79" i="1" s="1"/>
  <c r="J79" i="1" s="1"/>
  <c r="G53" i="7"/>
  <c r="P49" i="7"/>
  <c r="N45" i="7"/>
  <c r="N49" i="7"/>
  <c r="P45" i="7"/>
  <c r="G62" i="1"/>
  <c r="I62" i="1" s="1"/>
  <c r="J62" i="1" s="1"/>
  <c r="G60" i="1"/>
  <c r="I60" i="1" s="1"/>
  <c r="J60" i="1" s="1"/>
  <c r="H60" i="1"/>
  <c r="N30" i="7"/>
  <c r="O30" i="7"/>
  <c r="O11" i="7"/>
  <c r="O28" i="7"/>
  <c r="I34" i="7"/>
  <c r="J34" i="7" s="1"/>
  <c r="N36" i="7"/>
  <c r="H32" i="7"/>
  <c r="I15" i="7"/>
  <c r="J15" i="7" s="1"/>
  <c r="N17" i="7"/>
  <c r="P11" i="7" s="1"/>
  <c r="O4" i="7"/>
  <c r="I7" i="7" s="1"/>
  <c r="H13" i="7"/>
  <c r="Q13" i="7" s="1"/>
  <c r="P4" i="7"/>
  <c r="J7" i="7" s="1"/>
  <c r="P15" i="7"/>
  <c r="N124" i="1"/>
  <c r="O126" i="1"/>
  <c r="N132" i="1"/>
  <c r="O124" i="1"/>
  <c r="Q130" i="1"/>
  <c r="P130" i="1"/>
  <c r="Q128" i="1"/>
  <c r="N58" i="1"/>
  <c r="P58" i="1"/>
  <c r="G100" i="1"/>
  <c r="J100" i="1" s="1"/>
  <c r="K100" i="1" s="1"/>
  <c r="Q89" i="1"/>
  <c r="K92" i="1" s="1"/>
  <c r="G98" i="1"/>
  <c r="G105" i="1" s="1"/>
  <c r="O83" i="1"/>
  <c r="O73" i="1" s="1"/>
  <c r="O89" i="1"/>
  <c r="I92" i="1" s="1"/>
  <c r="H98" i="1"/>
  <c r="P73" i="1"/>
  <c r="N73" i="1"/>
  <c r="P70" i="1"/>
  <c r="J73" i="1" s="1"/>
  <c r="N75" i="1" s="1"/>
  <c r="Q70" i="1"/>
  <c r="K73" i="1" s="1"/>
  <c r="N77" i="1" s="1"/>
  <c r="P32" i="1"/>
  <c r="J35" i="1" s="1"/>
  <c r="N37" i="1" s="1"/>
  <c r="Q32" i="1"/>
  <c r="K35" i="1" s="1"/>
  <c r="O35" i="1"/>
  <c r="P51" i="1"/>
  <c r="J54" i="1" s="1"/>
  <c r="P56" i="1" s="1"/>
  <c r="O64" i="1"/>
  <c r="O58" i="1" s="1"/>
  <c r="O51" i="1"/>
  <c r="I54" i="1" s="1"/>
  <c r="P54" i="1" s="1"/>
  <c r="N35" i="1"/>
  <c r="N45" i="1"/>
  <c r="P35" i="1" s="1"/>
  <c r="G16" i="1"/>
  <c r="F16" i="1"/>
  <c r="E16" i="1"/>
  <c r="D13" i="1"/>
  <c r="I196" i="1" l="1"/>
  <c r="I197" i="1" s="1"/>
  <c r="I198" i="1" s="1"/>
  <c r="I199" i="1"/>
  <c r="I193" i="1"/>
  <c r="J196" i="1"/>
  <c r="J197" i="1" s="1"/>
  <c r="J198" i="1" s="1"/>
  <c r="J199" i="1"/>
  <c r="J193" i="1"/>
  <c r="N179" i="1"/>
  <c r="N181" i="1"/>
  <c r="N183" i="1"/>
  <c r="L192" i="1"/>
  <c r="L189" i="1"/>
  <c r="G195" i="1"/>
  <c r="G194" i="1"/>
  <c r="H197" i="1"/>
  <c r="H198" i="1" s="1"/>
  <c r="K189" i="1"/>
  <c r="K192" i="1"/>
  <c r="Q185" i="1"/>
  <c r="G201" i="1"/>
  <c r="G200" i="1"/>
  <c r="R138" i="7"/>
  <c r="Q138" i="7"/>
  <c r="Q147" i="1"/>
  <c r="P136" i="7"/>
  <c r="O136" i="7"/>
  <c r="P132" i="7"/>
  <c r="Q132" i="7"/>
  <c r="P168" i="1"/>
  <c r="O160" i="1"/>
  <c r="P160" i="1"/>
  <c r="N162" i="1"/>
  <c r="P162" i="1"/>
  <c r="O162" i="1"/>
  <c r="N160" i="1"/>
  <c r="Q168" i="1"/>
  <c r="Q163" i="1"/>
  <c r="I166" i="1"/>
  <c r="J166" i="1" s="1"/>
  <c r="J140" i="7"/>
  <c r="Q140" i="7"/>
  <c r="O26" i="7"/>
  <c r="R140" i="7"/>
  <c r="Q115" i="7"/>
  <c r="O47" i="7"/>
  <c r="P117" i="7"/>
  <c r="P32" i="7"/>
  <c r="Q119" i="7"/>
  <c r="Q117" i="7"/>
  <c r="O49" i="7"/>
  <c r="Q48" i="7" s="1"/>
  <c r="O45" i="7"/>
  <c r="R113" i="7"/>
  <c r="I121" i="7"/>
  <c r="J121" i="7" s="1"/>
  <c r="P51" i="7"/>
  <c r="Q51" i="7"/>
  <c r="O143" i="1"/>
  <c r="N143" i="1"/>
  <c r="N141" i="1"/>
  <c r="P141" i="1"/>
  <c r="P143" i="1"/>
  <c r="P145" i="1"/>
  <c r="P149" i="1"/>
  <c r="P147" i="1"/>
  <c r="O145" i="1"/>
  <c r="Q149" i="1"/>
  <c r="J91" i="7"/>
  <c r="K91" i="7" s="1"/>
  <c r="I89" i="7"/>
  <c r="G93" i="7"/>
  <c r="P89" i="7"/>
  <c r="J89" i="7"/>
  <c r="O122" i="1"/>
  <c r="P122" i="1"/>
  <c r="Q62" i="1"/>
  <c r="I53" i="7"/>
  <c r="Q57" i="1"/>
  <c r="N56" i="1"/>
  <c r="N9" i="7"/>
  <c r="P9" i="7"/>
  <c r="O9" i="7"/>
  <c r="P7" i="7"/>
  <c r="N7" i="7"/>
  <c r="O7" i="7"/>
  <c r="P26" i="7"/>
  <c r="P30" i="7"/>
  <c r="Q29" i="7" s="1"/>
  <c r="P28" i="7"/>
  <c r="P39" i="1"/>
  <c r="O56" i="1"/>
  <c r="H102" i="1"/>
  <c r="H112" i="1" s="1"/>
  <c r="H105" i="1"/>
  <c r="H106" i="1"/>
  <c r="P34" i="7"/>
  <c r="Q32" i="7"/>
  <c r="Q34" i="7"/>
  <c r="P13" i="7"/>
  <c r="Q10" i="7"/>
  <c r="Q15" i="7"/>
  <c r="P126" i="1"/>
  <c r="Q125" i="1" s="1"/>
  <c r="P124" i="1"/>
  <c r="P128" i="1"/>
  <c r="N54" i="1"/>
  <c r="P62" i="1"/>
  <c r="J98" i="1"/>
  <c r="G102" i="1"/>
  <c r="G112" i="1" s="1"/>
  <c r="P98" i="1"/>
  <c r="O54" i="1"/>
  <c r="Q41" i="1"/>
  <c r="P100" i="1"/>
  <c r="Q100" i="1"/>
  <c r="Q79" i="1"/>
  <c r="P81" i="1"/>
  <c r="N39" i="1"/>
  <c r="O39" i="1"/>
  <c r="I98" i="1"/>
  <c r="O75" i="1"/>
  <c r="P75" i="1"/>
  <c r="O77" i="1"/>
  <c r="P77" i="1"/>
  <c r="O37" i="1"/>
  <c r="P37" i="1"/>
  <c r="K196" i="1" l="1"/>
  <c r="K197" i="1" s="1"/>
  <c r="K198" i="1" s="1"/>
  <c r="K193" i="1"/>
  <c r="K199" i="1"/>
  <c r="N185" i="1"/>
  <c r="L193" i="1"/>
  <c r="L196" i="1"/>
  <c r="L197" i="1" s="1"/>
  <c r="L198" i="1" s="1"/>
  <c r="L199" i="1"/>
  <c r="J194" i="1"/>
  <c r="J195" i="1"/>
  <c r="I200" i="1"/>
  <c r="I201" i="1"/>
  <c r="J201" i="1"/>
  <c r="J200" i="1"/>
  <c r="I195" i="1"/>
  <c r="I194" i="1"/>
  <c r="O185" i="1"/>
  <c r="G197" i="1"/>
  <c r="G198" i="1"/>
  <c r="R135" i="7"/>
  <c r="R132" i="7"/>
  <c r="Q160" i="1"/>
  <c r="P166" i="1"/>
  <c r="Q166" i="1"/>
  <c r="R116" i="7"/>
  <c r="Q45" i="7"/>
  <c r="Q26" i="7"/>
  <c r="R121" i="7"/>
  <c r="Q121" i="7"/>
  <c r="Q7" i="7"/>
  <c r="Q91" i="7"/>
  <c r="Q141" i="1"/>
  <c r="Q144" i="1"/>
  <c r="K89" i="7"/>
  <c r="L89" i="7"/>
  <c r="J93" i="7"/>
  <c r="I93" i="7"/>
  <c r="P91" i="7"/>
  <c r="M89" i="7"/>
  <c r="Q122" i="1"/>
  <c r="J53" i="7"/>
  <c r="P53" i="7" s="1"/>
  <c r="I102" i="1"/>
  <c r="I106" i="1" s="1"/>
  <c r="I105" i="1"/>
  <c r="L98" i="1"/>
  <c r="J105" i="1"/>
  <c r="Q38" i="1"/>
  <c r="Q54" i="1"/>
  <c r="Q81" i="1"/>
  <c r="P79" i="1"/>
  <c r="P41" i="1"/>
  <c r="P43" i="1"/>
  <c r="M98" i="1"/>
  <c r="G106" i="1"/>
  <c r="N102" i="1"/>
  <c r="Q60" i="1"/>
  <c r="P60" i="1"/>
  <c r="K98" i="1"/>
  <c r="J102" i="1"/>
  <c r="Q43" i="1"/>
  <c r="Q35" i="1"/>
  <c r="Q73" i="1"/>
  <c r="Q76" i="1"/>
  <c r="O181" i="1" l="1"/>
  <c r="O183" i="1"/>
  <c r="O179" i="1"/>
  <c r="P183" i="1"/>
  <c r="P179" i="1"/>
  <c r="P181" i="1"/>
  <c r="M197" i="1"/>
  <c r="L195" i="1"/>
  <c r="L194" i="1"/>
  <c r="K201" i="1"/>
  <c r="K200" i="1"/>
  <c r="L200" i="1"/>
  <c r="L201" i="1"/>
  <c r="K195" i="1"/>
  <c r="K194" i="1"/>
  <c r="Q53" i="7"/>
  <c r="Q89" i="7"/>
  <c r="L93" i="7"/>
  <c r="K93" i="7"/>
  <c r="I112" i="1"/>
  <c r="I114" i="1" s="1"/>
  <c r="L102" i="1"/>
  <c r="L109" i="1" s="1"/>
  <c r="L105" i="1"/>
  <c r="K102" i="1"/>
  <c r="K112" i="1" s="1"/>
  <c r="K105" i="1"/>
  <c r="H114" i="1"/>
  <c r="H108" i="1"/>
  <c r="G114" i="1"/>
  <c r="I108" i="1"/>
  <c r="J112" i="1"/>
  <c r="J106" i="1"/>
  <c r="J109" i="1"/>
  <c r="I109" i="1"/>
  <c r="N94" i="1"/>
  <c r="N96" i="1"/>
  <c r="H109" i="1"/>
  <c r="G109" i="1"/>
  <c r="N92" i="1"/>
  <c r="G108" i="1"/>
  <c r="O102" i="1"/>
  <c r="Q98" i="1"/>
  <c r="Q182" i="1" l="1"/>
  <c r="Q179" i="1"/>
  <c r="N198" i="1"/>
  <c r="M194" i="1"/>
  <c r="N194" i="1" s="1"/>
  <c r="I113" i="1"/>
  <c r="O89" i="7"/>
  <c r="N89" i="7"/>
  <c r="G107" i="1"/>
  <c r="J110" i="1"/>
  <c r="J111" i="1" s="1"/>
  <c r="L110" i="1"/>
  <c r="L111" i="1" s="1"/>
  <c r="O98" i="1"/>
  <c r="P96" i="1" s="1"/>
  <c r="K106" i="1"/>
  <c r="K108" i="1" s="1"/>
  <c r="K109" i="1"/>
  <c r="K110" i="1" s="1"/>
  <c r="K111" i="1" s="1"/>
  <c r="L106" i="1"/>
  <c r="L108" i="1" s="1"/>
  <c r="L112" i="1"/>
  <c r="L114" i="1" s="1"/>
  <c r="N98" i="1"/>
  <c r="O96" i="1" s="1"/>
  <c r="J108" i="1"/>
  <c r="J107" i="1"/>
  <c r="H107" i="1"/>
  <c r="H113" i="1"/>
  <c r="L113" i="1"/>
  <c r="I107" i="1"/>
  <c r="G113" i="1"/>
  <c r="L107" i="1"/>
  <c r="G111" i="1"/>
  <c r="G110" i="1"/>
  <c r="J113" i="1"/>
  <c r="J114" i="1"/>
  <c r="K113" i="1"/>
  <c r="K114" i="1"/>
  <c r="H110" i="1"/>
  <c r="H111" i="1" s="1"/>
  <c r="I110" i="1"/>
  <c r="I111" i="1" s="1"/>
  <c r="O92" i="1" l="1"/>
  <c r="K107" i="1"/>
  <c r="M107" i="1" s="1"/>
  <c r="P94" i="1"/>
  <c r="P92" i="1"/>
  <c r="Q95" i="1"/>
  <c r="O94" i="1"/>
  <c r="M110" i="1"/>
  <c r="N111" i="1"/>
  <c r="Q92" i="1" l="1"/>
  <c r="N107" i="1"/>
  <c r="U75" i="1" l="1"/>
  <c r="T75" i="1" l="1"/>
  <c r="D22" i="1" l="1"/>
  <c r="H24" i="1" s="1"/>
  <c r="G24" i="1" l="1"/>
  <c r="H22" i="1"/>
  <c r="G22" i="1"/>
  <c r="Q13" i="1"/>
  <c r="K16" i="1" s="1"/>
  <c r="P13" i="1"/>
  <c r="J16" i="1" s="1"/>
  <c r="O13" i="1"/>
  <c r="I16" i="1" s="1"/>
  <c r="N26" i="1"/>
  <c r="O26" i="1"/>
  <c r="O18" i="1" l="1"/>
  <c r="N18" i="1"/>
  <c r="P18" i="1"/>
  <c r="N20" i="1"/>
  <c r="O20" i="1"/>
  <c r="N16" i="1"/>
  <c r="P16" i="1"/>
  <c r="O16" i="1"/>
  <c r="I22" i="1"/>
  <c r="J22" i="1" s="1"/>
  <c r="I24" i="1"/>
  <c r="J24" i="1" s="1"/>
  <c r="P20" i="1"/>
  <c r="P24" i="1" l="1"/>
  <c r="P22" i="1"/>
  <c r="Q24" i="1"/>
  <c r="Q22" i="1"/>
  <c r="Q16" i="1"/>
  <c r="Q19" i="1"/>
</calcChain>
</file>

<file path=xl/sharedStrings.xml><?xml version="1.0" encoding="utf-8"?>
<sst xmlns="http://schemas.openxmlformats.org/spreadsheetml/2006/main" count="922" uniqueCount="104">
  <si>
    <t>치</t>
    <phoneticPr fontId="2" type="noConversion"/>
  </si>
  <si>
    <t>치명</t>
    <phoneticPr fontId="2" type="noConversion"/>
  </si>
  <si>
    <t>치명 치적</t>
    <phoneticPr fontId="2" type="noConversion"/>
  </si>
  <si>
    <t>건슬 시너지</t>
    <phoneticPr fontId="2" type="noConversion"/>
  </si>
  <si>
    <t>남바절</t>
    <phoneticPr fontId="2" type="noConversion"/>
  </si>
  <si>
    <t>피3 샷치적</t>
    <phoneticPr fontId="2" type="noConversion"/>
  </si>
  <si>
    <t>라 치적%</t>
    <phoneticPr fontId="2" type="noConversion"/>
  </si>
  <si>
    <t>특</t>
    <phoneticPr fontId="2" type="noConversion"/>
  </si>
  <si>
    <t>특화</t>
    <phoneticPr fontId="2" type="noConversion"/>
  </si>
  <si>
    <t>특화 라뎀증</t>
    <phoneticPr fontId="2" type="noConversion"/>
  </si>
  <si>
    <t>원3</t>
    <phoneticPr fontId="2" type="noConversion"/>
  </si>
  <si>
    <t>피메 라뎀증</t>
    <phoneticPr fontId="2" type="noConversion"/>
  </si>
  <si>
    <t>지6 내면</t>
    <phoneticPr fontId="2" type="noConversion"/>
  </si>
  <si>
    <t>신</t>
    <phoneticPr fontId="2" type="noConversion"/>
  </si>
  <si>
    <t>신속</t>
    <phoneticPr fontId="2" type="noConversion"/>
  </si>
  <si>
    <t>신속 공이속</t>
    <phoneticPr fontId="2" type="noConversion"/>
  </si>
  <si>
    <t>생흡5</t>
    <phoneticPr fontId="2" type="noConversion"/>
  </si>
  <si>
    <t>정3</t>
    <phoneticPr fontId="2" type="noConversion"/>
  </si>
  <si>
    <t>평시 이속</t>
    <phoneticPr fontId="2" type="noConversion"/>
  </si>
  <si>
    <t>생5 이속</t>
    <phoneticPr fontId="2" type="noConversion"/>
  </si>
  <si>
    <t>갈6 이속</t>
    <phoneticPr fontId="2" type="noConversion"/>
  </si>
  <si>
    <t>생5 갈6</t>
    <phoneticPr fontId="2" type="noConversion"/>
  </si>
  <si>
    <t>이속%</t>
    <phoneticPr fontId="2" type="noConversion"/>
  </si>
  <si>
    <t>평시 공속</t>
    <phoneticPr fontId="2" type="noConversion"/>
  </si>
  <si>
    <t>생5 공속</t>
    <phoneticPr fontId="2" type="noConversion"/>
  </si>
  <si>
    <t>갈6 공속</t>
    <phoneticPr fontId="2" type="noConversion"/>
  </si>
  <si>
    <t>공속%</t>
    <phoneticPr fontId="2" type="noConversion"/>
  </si>
  <si>
    <t>쿨감%</t>
    <phoneticPr fontId="2" type="noConversion"/>
  </si>
  <si>
    <r>
      <t xml:space="preserve">* 이동기 쿨감 </t>
    </r>
    <r>
      <rPr>
        <b/>
        <sz val="11"/>
        <color rgb="FF7030A0"/>
        <rFont val="맑은 고딕"/>
        <family val="3"/>
        <charset val="129"/>
        <scheme val="minor"/>
      </rPr>
      <t>30%</t>
    </r>
    <r>
      <rPr>
        <b/>
        <sz val="11"/>
        <rFont val="맑은 고딕"/>
        <family val="3"/>
        <charset val="129"/>
        <scheme val="minor"/>
      </rPr>
      <t xml:space="preserve">, 각성기 딜 </t>
    </r>
    <r>
      <rPr>
        <b/>
        <sz val="11"/>
        <color rgb="FFFF0000"/>
        <rFont val="맑은 고딕"/>
        <family val="3"/>
        <charset val="129"/>
        <scheme val="minor"/>
      </rPr>
      <t>-50%</t>
    </r>
  </si>
  <si>
    <t>정2</t>
    <phoneticPr fontId="2" type="noConversion"/>
  </si>
  <si>
    <t>피1 샷치적</t>
    <phoneticPr fontId="2" type="noConversion"/>
  </si>
  <si>
    <t>쿨감 DPS 환산 = 100/(1-쿨감%)</t>
    <phoneticPr fontId="2" type="noConversion"/>
  </si>
  <si>
    <t>원예각정피33333 지배6 (lv.2)</t>
    <phoneticPr fontId="2" type="noConversion"/>
  </si>
  <si>
    <t>원예타정피33333 악몽6 (lv.2)</t>
    <phoneticPr fontId="2" type="noConversion"/>
  </si>
  <si>
    <t>원예타정피33333 환각6 (lv.2)</t>
    <phoneticPr fontId="2" type="noConversion"/>
  </si>
  <si>
    <t>원예각저정피333321 지배6 (lv.2)</t>
    <phoneticPr fontId="2" type="noConversion"/>
  </si>
  <si>
    <t>원예타저정피333321 악몽6 (lv.2)</t>
    <phoneticPr fontId="2" type="noConversion"/>
  </si>
  <si>
    <t>원예타저정피333321 환각6 (lv.2)</t>
    <phoneticPr fontId="2" type="noConversion"/>
  </si>
  <si>
    <t>라돌최대%</t>
    <phoneticPr fontId="2" type="noConversion"/>
  </si>
  <si>
    <t>원예타돌피33333 악몽6 (lv.2)</t>
    <phoneticPr fontId="2" type="noConversion"/>
  </si>
  <si>
    <t>원예타저피33333 악몽6 (lv.2)</t>
    <phoneticPr fontId="2" type="noConversion"/>
  </si>
  <si>
    <t>라돌중간%</t>
    <phoneticPr fontId="2" type="noConversion"/>
  </si>
  <si>
    <t>샷연/절멸</t>
    <phoneticPr fontId="2" type="noConversion"/>
  </si>
  <si>
    <t>마탄 치적%</t>
    <phoneticPr fontId="2" type="noConversion"/>
  </si>
  <si>
    <t>마탄 사면</t>
    <phoneticPr fontId="2" type="noConversion"/>
  </si>
  <si>
    <t>아드2</t>
    <phoneticPr fontId="2" type="noConversion"/>
  </si>
  <si>
    <t>치명 계수 0.03578 / 신속 공이속 계수 0.01717 / 신속 쿨감 계수 0.0214 / lv.2 갈망 공이속 10%</t>
    <phoneticPr fontId="2" type="noConversion"/>
  </si>
  <si>
    <t>샷연/절멸 최소</t>
    <phoneticPr fontId="2" type="noConversion"/>
  </si>
  <si>
    <t>샷연/절멸 사면</t>
    <phoneticPr fontId="2" type="noConversion"/>
  </si>
  <si>
    <t>예3마탄</t>
    <phoneticPr fontId="2" type="noConversion"/>
  </si>
  <si>
    <t>예3 샷연/절멸</t>
    <phoneticPr fontId="2" type="noConversion"/>
  </si>
  <si>
    <t>예3 라이플</t>
    <phoneticPr fontId="2" type="noConversion"/>
  </si>
  <si>
    <t>샷연/절멸 중간</t>
    <phoneticPr fontId="2" type="noConversion"/>
  </si>
  <si>
    <t>샷연/절멸 최대</t>
    <phoneticPr fontId="2" type="noConversion"/>
  </si>
  <si>
    <t>쿨감DPS 최대</t>
    <phoneticPr fontId="2" type="noConversion"/>
  </si>
  <si>
    <t>쿨감 절반 DPS</t>
    <phoneticPr fontId="2" type="noConversion"/>
  </si>
  <si>
    <t>마탄 최소</t>
    <phoneticPr fontId="2" type="noConversion"/>
  </si>
  <si>
    <t>마탄 중간</t>
    <phoneticPr fontId="2" type="noConversion"/>
  </si>
  <si>
    <t>마탄 최대</t>
    <phoneticPr fontId="2" type="noConversion"/>
  </si>
  <si>
    <t>마탄 평균</t>
    <phoneticPr fontId="2" type="noConversion"/>
  </si>
  <si>
    <t>샷건 평균</t>
    <phoneticPr fontId="2" type="noConversion"/>
  </si>
  <si>
    <t>라이플 최소</t>
    <phoneticPr fontId="2" type="noConversion"/>
  </si>
  <si>
    <t>라이플 중간</t>
    <phoneticPr fontId="2" type="noConversion"/>
  </si>
  <si>
    <t>라이플 최대</t>
    <phoneticPr fontId="2" type="noConversion"/>
  </si>
  <si>
    <t>라이플 평균</t>
    <phoneticPr fontId="2" type="noConversion"/>
  </si>
  <si>
    <t>라이플 평균뎀%</t>
    <phoneticPr fontId="2" type="noConversion"/>
  </si>
  <si>
    <t>악6 마나중독</t>
    <phoneticPr fontId="2" type="noConversion"/>
  </si>
  <si>
    <t>타대3</t>
    <phoneticPr fontId="2" type="noConversion"/>
  </si>
  <si>
    <t>샷관 뎀증환산</t>
    <phoneticPr fontId="2" type="noConversion"/>
  </si>
  <si>
    <t>특화: 샷건 물리관통 계수 0.03576 → 특화 뎀증환산 계수 0.03576 x 60% = 0.02145, 라이플 뎀증 계수 0.03578</t>
    <phoneticPr fontId="2" type="noConversion"/>
  </si>
  <si>
    <t>샷건 평균뎀%</t>
    <phoneticPr fontId="2" type="noConversion"/>
  </si>
  <si>
    <r>
      <t xml:space="preserve">lv.2 악몽6 뎀증: 2셋 스킬피해 15% x 4셋 추가피해 18% x 6셋 주는피해 25% (*4셋 추피 24% + </t>
    </r>
    <r>
      <rPr>
        <b/>
        <sz val="11"/>
        <color rgb="FFFF0000"/>
        <rFont val="맑은 고딕"/>
        <family val="3"/>
        <charset val="129"/>
        <scheme val="minor"/>
      </rPr>
      <t>무기품질100</t>
    </r>
    <r>
      <rPr>
        <b/>
        <sz val="11"/>
        <rFont val="맑은 고딕"/>
        <family val="3"/>
        <charset val="129"/>
        <scheme val="minor"/>
      </rPr>
      <t xml:space="preserve"> 추피 30% = 1.54/1.3 = 1.18)</t>
    </r>
    <phoneticPr fontId="2" type="noConversion"/>
  </si>
  <si>
    <t>환6 실체</t>
    <phoneticPr fontId="2" type="noConversion"/>
  </si>
  <si>
    <t>lv.2 지배6 뎀증: 스킬피해 28% x 주는피해 18% / lv.2 환각6 뎀증: 주는피해 35%</t>
    <phoneticPr fontId="2" type="noConversion"/>
  </si>
  <si>
    <t>나선5 이속</t>
    <phoneticPr fontId="2" type="noConversion"/>
  </si>
  <si>
    <t>나선5 갈6 이속</t>
    <phoneticPr fontId="2" type="noConversion"/>
  </si>
  <si>
    <t>이속별 돌대3 뎀증 수치</t>
    <phoneticPr fontId="2" type="noConversion"/>
  </si>
  <si>
    <t>돌대3 최소</t>
    <phoneticPr fontId="2" type="noConversion"/>
  </si>
  <si>
    <t>돌대3 평균</t>
    <phoneticPr fontId="2" type="noConversion"/>
  </si>
  <si>
    <t>돌대3 최대</t>
    <phoneticPr fontId="2" type="noConversion"/>
  </si>
  <si>
    <t>* 나선 가발 5렙 트포 채용, * 전설/영웅 광분룬 동시 채용시 보다 높은 돌대 뎀증 효과를 기대할 수 있음</t>
    <phoneticPr fontId="2" type="noConversion"/>
  </si>
  <si>
    <t>샷절 쿨x</t>
    <phoneticPr fontId="2" type="noConversion"/>
  </si>
  <si>
    <t>샷절 쿨반</t>
    <phoneticPr fontId="2" type="noConversion"/>
  </si>
  <si>
    <t>샷절 풀쿨</t>
    <phoneticPr fontId="2" type="noConversion"/>
  </si>
  <si>
    <t>마탄 쿨x</t>
    <phoneticPr fontId="2" type="noConversion"/>
  </si>
  <si>
    <t>마탄 쿨반</t>
    <phoneticPr fontId="2" type="noConversion"/>
  </si>
  <si>
    <t>마탄 풀쿨</t>
    <phoneticPr fontId="2" type="noConversion"/>
  </si>
  <si>
    <t>라플 쿨x</t>
    <phoneticPr fontId="2" type="noConversion"/>
  </si>
  <si>
    <t>라플 쿨반</t>
    <phoneticPr fontId="2" type="noConversion"/>
  </si>
  <si>
    <t>라플 풀쿨</t>
    <phoneticPr fontId="2" type="noConversion"/>
  </si>
  <si>
    <t>샷절 평균</t>
    <phoneticPr fontId="2" type="noConversion"/>
  </si>
  <si>
    <t>돌대3 뎀증%</t>
    <phoneticPr fontId="2" type="noConversion"/>
  </si>
  <si>
    <t>저받3</t>
    <phoneticPr fontId="2" type="noConversion"/>
  </si>
  <si>
    <t>돌대 이속 수치별 뎀증값 세부 테이블</t>
    <phoneticPr fontId="2" type="noConversion"/>
  </si>
  <si>
    <t>저받3</t>
    <phoneticPr fontId="2" type="noConversion"/>
  </si>
  <si>
    <t>원예타아피33333 악몽6 (lv.2)</t>
    <phoneticPr fontId="2" type="noConversion"/>
  </si>
  <si>
    <t>아드3</t>
    <phoneticPr fontId="2" type="noConversion"/>
  </si>
  <si>
    <t>원예타돌아피333321 악몽6 (lv.2)</t>
    <phoneticPr fontId="2" type="noConversion"/>
  </si>
  <si>
    <t>아드2</t>
    <phoneticPr fontId="2" type="noConversion"/>
  </si>
  <si>
    <t>원예타저아피333321 악몽6 (lv.2)</t>
    <phoneticPr fontId="2" type="noConversion"/>
  </si>
  <si>
    <t>원예타저아피333321 환각6 (lv.2)</t>
    <phoneticPr fontId="2" type="noConversion"/>
  </si>
  <si>
    <t>원예타아피33333 환각6 (lv.2)</t>
    <phoneticPr fontId="2" type="noConversion"/>
  </si>
  <si>
    <t>공속DPS 포함X</t>
    <phoneticPr fontId="2" type="noConversion"/>
  </si>
  <si>
    <t>원예타돌피33333 환각6 (lv.2)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</si>
</sst>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_);[Red]\(0.00\)"/>
    <numFmt numFmtId="178" formatCode="0.0000_ "/>
    <numFmt numFmtId="179" formatCode="0.0000_);[Red]\(0.0000\)"/>
  </numFmts>
  <fonts count="16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FF9900"/>
      <name val="맑은 고딕"/>
      <family val="3"/>
      <charset val="129"/>
      <scheme val="minor"/>
    </font>
    <font>
      <sz val="11"/>
      <color rgb="FFFF99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00B050"/>
      <name val="맑은 고딕"/>
      <family val="3"/>
      <charset val="129"/>
      <scheme val="minor"/>
    </font>
    <font>
      <b/>
      <sz val="11"/>
      <color rgb="FF00B050"/>
      <name val="맑은 고딕"/>
      <family val="3"/>
      <charset val="129"/>
      <scheme val="minor"/>
    </font>
    <font>
      <sz val="11"/>
      <color rgb="FF7030A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0" fillId="2" borderId="9" xfId="0" applyNumberFormat="1" applyFont="1" applyFill="1" applyBorder="1" applyAlignment="1">
      <alignment horizontal="center" vertical="center"/>
    </xf>
    <xf numFmtId="177" fontId="10" fillId="2" borderId="20" xfId="0" applyNumberFormat="1" applyFont="1" applyFill="1" applyBorder="1" applyAlignment="1">
      <alignment horizontal="center" vertical="center"/>
    </xf>
    <xf numFmtId="177" fontId="4" fillId="2" borderId="23" xfId="0" applyNumberFormat="1" applyFont="1" applyFill="1" applyBorder="1" applyAlignment="1">
      <alignment horizontal="center" vertical="center"/>
    </xf>
    <xf numFmtId="177" fontId="4" fillId="2" borderId="24" xfId="0" applyNumberFormat="1" applyFont="1" applyFill="1" applyBorder="1" applyAlignment="1">
      <alignment horizontal="center" vertical="center"/>
    </xf>
    <xf numFmtId="177" fontId="11" fillId="2" borderId="9" xfId="0" applyNumberFormat="1" applyFont="1" applyFill="1" applyBorder="1" applyAlignment="1">
      <alignment horizontal="center" vertical="center"/>
    </xf>
    <xf numFmtId="177" fontId="11" fillId="2" borderId="20" xfId="0" applyNumberFormat="1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center" vertical="center"/>
    </xf>
    <xf numFmtId="177" fontId="12" fillId="2" borderId="24" xfId="0" applyNumberFormat="1" applyFont="1" applyFill="1" applyBorder="1" applyAlignment="1">
      <alignment horizontal="center" vertical="center"/>
    </xf>
    <xf numFmtId="177" fontId="13" fillId="2" borderId="27" xfId="0" applyNumberFormat="1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center" vertical="center"/>
    </xf>
    <xf numFmtId="176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176" fontId="7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77" fontId="7" fillId="3" borderId="20" xfId="0" applyNumberFormat="1" applyFont="1" applyFill="1" applyBorder="1" applyAlignment="1">
      <alignment horizontal="center" vertical="center"/>
    </xf>
    <xf numFmtId="177" fontId="3" fillId="3" borderId="6" xfId="0" applyNumberFormat="1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177" fontId="3" fillId="3" borderId="38" xfId="0" applyNumberFormat="1" applyFont="1" applyFill="1" applyBorder="1" applyAlignment="1">
      <alignment horizontal="center" vertical="center"/>
    </xf>
    <xf numFmtId="177" fontId="3" fillId="3" borderId="36" xfId="0" applyNumberFormat="1" applyFont="1" applyFill="1" applyBorder="1" applyAlignment="1">
      <alignment horizontal="center" vertical="center"/>
    </xf>
    <xf numFmtId="178" fontId="1" fillId="2" borderId="21" xfId="0" applyNumberFormat="1" applyFont="1" applyFill="1" applyBorder="1" applyAlignment="1">
      <alignment horizontal="center" vertical="center"/>
    </xf>
    <xf numFmtId="178" fontId="1" fillId="2" borderId="23" xfId="0" applyNumberFormat="1" applyFont="1" applyFill="1" applyBorder="1" applyAlignment="1">
      <alignment horizontal="center" vertical="center"/>
    </xf>
    <xf numFmtId="177" fontId="8" fillId="2" borderId="27" xfId="0" applyNumberFormat="1" applyFont="1" applyFill="1" applyBorder="1" applyAlignment="1">
      <alignment horizontal="center" vertical="center"/>
    </xf>
    <xf numFmtId="177" fontId="9" fillId="2" borderId="38" xfId="0" applyNumberFormat="1" applyFont="1" applyFill="1" applyBorder="1" applyAlignment="1">
      <alignment horizontal="center" vertical="center"/>
    </xf>
    <xf numFmtId="177" fontId="9" fillId="2" borderId="36" xfId="0" applyNumberFormat="1" applyFont="1" applyFill="1" applyBorder="1" applyAlignment="1">
      <alignment horizontal="center" vertical="center"/>
    </xf>
    <xf numFmtId="177" fontId="9" fillId="2" borderId="27" xfId="0" applyNumberFormat="1" applyFon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center" vertical="center"/>
    </xf>
    <xf numFmtId="178" fontId="8" fillId="2" borderId="14" xfId="0" applyNumberFormat="1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9" fillId="2" borderId="14" xfId="0" applyNumberFormat="1" applyFont="1" applyFill="1" applyBorder="1" applyAlignment="1">
      <alignment horizontal="center" vertical="center"/>
    </xf>
    <xf numFmtId="177" fontId="9" fillId="2" borderId="15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7" fontId="7" fillId="3" borderId="7" xfId="0" applyNumberFormat="1" applyFont="1" applyFill="1" applyBorder="1" applyAlignment="1">
      <alignment horizontal="center" vertical="center"/>
    </xf>
    <xf numFmtId="177" fontId="7" fillId="3" borderId="8" xfId="0" applyNumberFormat="1" applyFont="1" applyFill="1" applyBorder="1" applyAlignment="1">
      <alignment horizontal="center" vertical="center"/>
    </xf>
    <xf numFmtId="177" fontId="7" fillId="3" borderId="10" xfId="0" applyNumberFormat="1" applyFont="1" applyFill="1" applyBorder="1" applyAlignment="1">
      <alignment horizontal="center" vertical="center"/>
    </xf>
    <xf numFmtId="177" fontId="7" fillId="3" borderId="38" xfId="0" applyNumberFormat="1" applyFont="1" applyFill="1" applyBorder="1" applyAlignment="1">
      <alignment horizontal="center" vertical="center"/>
    </xf>
    <xf numFmtId="177" fontId="7" fillId="3" borderId="36" xfId="0" applyNumberFormat="1" applyFont="1" applyFill="1" applyBorder="1" applyAlignment="1">
      <alignment horizontal="center" vertical="center"/>
    </xf>
    <xf numFmtId="177" fontId="7" fillId="3" borderId="40" xfId="0" applyNumberFormat="1" applyFont="1" applyFill="1" applyBorder="1" applyAlignment="1">
      <alignment horizontal="center" vertical="center"/>
    </xf>
    <xf numFmtId="177" fontId="3" fillId="3" borderId="43" xfId="0" applyNumberFormat="1" applyFont="1" applyFill="1" applyBorder="1" applyAlignment="1">
      <alignment horizontal="center" vertical="center"/>
    </xf>
    <xf numFmtId="177" fontId="8" fillId="2" borderId="9" xfId="0" applyNumberFormat="1" applyFont="1" applyFill="1" applyBorder="1" applyAlignment="1">
      <alignment horizontal="center" vertical="center"/>
    </xf>
    <xf numFmtId="178" fontId="8" fillId="2" borderId="25" xfId="0" applyNumberFormat="1" applyFont="1" applyFill="1" applyBorder="1" applyAlignment="1">
      <alignment horizontal="center" vertical="center"/>
    </xf>
    <xf numFmtId="176" fontId="7" fillId="3" borderId="43" xfId="0" applyNumberFormat="1" applyFont="1" applyFill="1" applyBorder="1" applyAlignment="1">
      <alignment horizontal="center" vertical="center"/>
    </xf>
    <xf numFmtId="177" fontId="8" fillId="2" borderId="40" xfId="0" applyNumberFormat="1" applyFont="1" applyFill="1" applyBorder="1" applyAlignment="1">
      <alignment horizontal="center" vertical="center"/>
    </xf>
    <xf numFmtId="177" fontId="8" fillId="2" borderId="24" xfId="0" applyNumberFormat="1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8" fillId="2" borderId="27" xfId="0" applyNumberFormat="1" applyFont="1" applyFill="1" applyBorder="1" applyAlignment="1">
      <alignment horizontal="center" vertical="center"/>
    </xf>
    <xf numFmtId="179" fontId="8" fillId="2" borderId="20" xfId="0" applyNumberFormat="1" applyFont="1" applyFill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10" fontId="7" fillId="0" borderId="9" xfId="0" applyNumberFormat="1" applyFont="1" applyFill="1" applyBorder="1" applyAlignment="1">
      <alignment horizontal="center" vertical="center"/>
    </xf>
    <xf numFmtId="179" fontId="0" fillId="0" borderId="31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9" fontId="0" fillId="0" borderId="32" xfId="0" applyNumberFormat="1" applyBorder="1" applyAlignment="1">
      <alignment horizontal="center" vertical="center"/>
    </xf>
    <xf numFmtId="177" fontId="0" fillId="0" borderId="31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32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7" fillId="3" borderId="35" xfId="0" applyNumberFormat="1" applyFont="1" applyFill="1" applyBorder="1" applyAlignment="1">
      <alignment horizontal="center" vertical="center"/>
    </xf>
    <xf numFmtId="177" fontId="13" fillId="2" borderId="45" xfId="0" applyNumberFormat="1" applyFont="1" applyFill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8" fontId="8" fillId="2" borderId="14" xfId="0" applyNumberFormat="1" applyFont="1" applyFill="1" applyBorder="1" applyAlignment="1">
      <alignment horizontal="center" vertical="center"/>
    </xf>
    <xf numFmtId="178" fontId="8" fillId="2" borderId="25" xfId="0" applyNumberFormat="1" applyFont="1" applyFill="1" applyBorder="1" applyAlignment="1">
      <alignment horizontal="center" vertical="center"/>
    </xf>
    <xf numFmtId="177" fontId="7" fillId="3" borderId="20" xfId="0" applyNumberFormat="1" applyFont="1" applyFill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7" fontId="7" fillId="3" borderId="20" xfId="0" applyNumberFormat="1" applyFont="1" applyFill="1" applyBorder="1" applyAlignment="1">
      <alignment horizontal="center" vertical="center"/>
    </xf>
    <xf numFmtId="178" fontId="8" fillId="2" borderId="14" xfId="0" applyNumberFormat="1" applyFont="1" applyFill="1" applyBorder="1" applyAlignment="1">
      <alignment horizontal="center" vertical="center"/>
    </xf>
    <xf numFmtId="178" fontId="8" fillId="2" borderId="25" xfId="0" applyNumberFormat="1" applyFont="1" applyFill="1" applyBorder="1" applyAlignment="1">
      <alignment horizontal="center" vertical="center"/>
    </xf>
    <xf numFmtId="177" fontId="6" fillId="2" borderId="14" xfId="0" applyNumberFormat="1" applyFont="1" applyFill="1" applyBorder="1" applyAlignment="1">
      <alignment horizontal="center" vertical="center"/>
    </xf>
    <xf numFmtId="177" fontId="6" fillId="2" borderId="25" xfId="0" applyNumberFormat="1" applyFont="1" applyFill="1" applyBorder="1" applyAlignment="1">
      <alignment horizontal="center" vertical="center"/>
    </xf>
    <xf numFmtId="179" fontId="8" fillId="2" borderId="9" xfId="0" applyNumberFormat="1" applyFont="1" applyFill="1" applyBorder="1" applyAlignment="1">
      <alignment horizontal="center" vertical="center"/>
    </xf>
    <xf numFmtId="179" fontId="8" fillId="2" borderId="27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177" fontId="9" fillId="2" borderId="43" xfId="0" applyNumberFormat="1" applyFont="1" applyFill="1" applyBorder="1" applyAlignment="1">
      <alignment horizontal="center" vertical="center"/>
    </xf>
    <xf numFmtId="177" fontId="9" fillId="2" borderId="17" xfId="0" applyNumberFormat="1" applyFont="1" applyFill="1" applyBorder="1" applyAlignment="1">
      <alignment horizontal="center" vertical="center"/>
    </xf>
    <xf numFmtId="177" fontId="5" fillId="2" borderId="13" xfId="0" applyNumberFormat="1" applyFont="1" applyFill="1" applyBorder="1" applyAlignment="1">
      <alignment horizontal="center" vertical="center"/>
    </xf>
    <xf numFmtId="177" fontId="5" fillId="2" borderId="12" xfId="0" applyNumberFormat="1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176" fontId="5" fillId="3" borderId="17" xfId="0" applyNumberFormat="1" applyFont="1" applyFill="1" applyBorder="1" applyAlignment="1">
      <alignment horizontal="center" vertical="center"/>
    </xf>
    <xf numFmtId="177" fontId="5" fillId="2" borderId="16" xfId="0" applyNumberFormat="1" applyFont="1" applyFill="1" applyBorder="1" applyAlignment="1">
      <alignment horizontal="center" vertical="center"/>
    </xf>
    <xf numFmtId="177" fontId="5" fillId="2" borderId="32" xfId="0" applyNumberFormat="1" applyFont="1" applyFill="1" applyBorder="1" applyAlignment="1">
      <alignment horizontal="center" vertical="center"/>
    </xf>
    <xf numFmtId="176" fontId="9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176" fontId="9" fillId="3" borderId="33" xfId="0" applyNumberFormat="1" applyFont="1" applyFill="1" applyBorder="1" applyAlignment="1">
      <alignment horizontal="center" vertical="center"/>
    </xf>
    <xf numFmtId="176" fontId="9" fillId="2" borderId="41" xfId="0" applyNumberFormat="1" applyFont="1" applyFill="1" applyBorder="1" applyAlignment="1">
      <alignment horizontal="center" vertical="center"/>
    </xf>
    <xf numFmtId="176" fontId="9" fillId="2" borderId="42" xfId="0" applyNumberFormat="1" applyFont="1" applyFill="1" applyBorder="1" applyAlignment="1">
      <alignment horizontal="center" vertical="center"/>
    </xf>
    <xf numFmtId="178" fontId="1" fillId="2" borderId="25" xfId="0" applyNumberFormat="1" applyFont="1" applyFill="1" applyBorder="1" applyAlignment="1">
      <alignment horizontal="center" vertical="center"/>
    </xf>
    <xf numFmtId="178" fontId="1" fillId="2" borderId="26" xfId="0" applyNumberFormat="1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17" xfId="0" applyNumberFormat="1" applyFont="1" applyFill="1" applyBorder="1" applyAlignment="1">
      <alignment horizontal="center" vertical="center"/>
    </xf>
    <xf numFmtId="177" fontId="3" fillId="3" borderId="37" xfId="0" applyNumberFormat="1" applyFont="1" applyFill="1" applyBorder="1" applyAlignment="1">
      <alignment horizontal="center" vertical="center"/>
    </xf>
    <xf numFmtId="177" fontId="3" fillId="3" borderId="18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176" fontId="15" fillId="6" borderId="2" xfId="0" applyNumberFormat="1" applyFont="1" applyFill="1" applyBorder="1" applyAlignment="1">
      <alignment horizontal="center" vertical="center"/>
    </xf>
    <xf numFmtId="176" fontId="15" fillId="6" borderId="4" xfId="0" applyNumberFormat="1" applyFont="1" applyFill="1" applyBorder="1" applyAlignment="1">
      <alignment horizontal="center" vertical="center"/>
    </xf>
    <xf numFmtId="176" fontId="15" fillId="6" borderId="3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3" fillId="4" borderId="3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177" fontId="10" fillId="2" borderId="14" xfId="0" applyNumberFormat="1" applyFont="1" applyFill="1" applyBorder="1" applyAlignment="1">
      <alignment horizontal="center" vertical="center"/>
    </xf>
    <xf numFmtId="177" fontId="10" fillId="2" borderId="25" xfId="0" applyNumberFormat="1" applyFont="1" applyFill="1" applyBorder="1" applyAlignment="1">
      <alignment horizontal="center" vertical="center"/>
    </xf>
    <xf numFmtId="177" fontId="10" fillId="2" borderId="26" xfId="0" applyNumberFormat="1" applyFont="1" applyFill="1" applyBorder="1" applyAlignment="1">
      <alignment horizontal="center" vertical="center"/>
    </xf>
    <xf numFmtId="177" fontId="3" fillId="3" borderId="22" xfId="0" applyNumberFormat="1" applyFont="1" applyFill="1" applyBorder="1" applyAlignment="1">
      <alignment horizontal="center" vertical="center"/>
    </xf>
    <xf numFmtId="177" fontId="3" fillId="3" borderId="11" xfId="0" applyNumberFormat="1" applyFont="1" applyFill="1" applyBorder="1" applyAlignment="1">
      <alignment horizontal="center" vertical="center"/>
    </xf>
    <xf numFmtId="177" fontId="14" fillId="2" borderId="28" xfId="0" applyNumberFormat="1" applyFont="1" applyFill="1" applyBorder="1" applyAlignment="1">
      <alignment horizontal="center" vertical="center"/>
    </xf>
    <xf numFmtId="177" fontId="14" fillId="2" borderId="21" xfId="0" applyNumberFormat="1" applyFont="1" applyFill="1" applyBorder="1" applyAlignment="1">
      <alignment horizontal="center" vertical="center"/>
    </xf>
    <xf numFmtId="176" fontId="5" fillId="2" borderId="13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7" fontId="6" fillId="2" borderId="39" xfId="0" applyNumberFormat="1" applyFont="1" applyFill="1" applyBorder="1" applyAlignment="1">
      <alignment horizontal="center" vertical="center"/>
    </xf>
    <xf numFmtId="177" fontId="6" fillId="2" borderId="44" xfId="0" applyNumberFormat="1" applyFont="1" applyFill="1" applyBorder="1" applyAlignment="1">
      <alignment horizontal="center" vertical="center"/>
    </xf>
    <xf numFmtId="178" fontId="8" fillId="2" borderId="14" xfId="0" applyNumberFormat="1" applyFont="1" applyFill="1" applyBorder="1" applyAlignment="1">
      <alignment horizontal="center" vertical="center"/>
    </xf>
    <xf numFmtId="178" fontId="8" fillId="2" borderId="25" xfId="0" applyNumberFormat="1" applyFont="1" applyFill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176" fontId="3" fillId="5" borderId="3" xfId="0" applyNumberFormat="1" applyFont="1" applyFill="1" applyBorder="1" applyAlignment="1">
      <alignment horizontal="center" vertical="center"/>
    </xf>
    <xf numFmtId="176" fontId="3" fillId="5" borderId="4" xfId="0" applyNumberFormat="1" applyFont="1" applyFill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7" fontId="10" fillId="2" borderId="39" xfId="0" applyNumberFormat="1" applyFont="1" applyFill="1" applyBorder="1" applyAlignment="1">
      <alignment horizontal="center" vertical="center"/>
    </xf>
    <xf numFmtId="177" fontId="10" fillId="2" borderId="44" xfId="0" applyNumberFormat="1" applyFont="1" applyFill="1" applyBorder="1" applyAlignment="1">
      <alignment horizontal="center" vertical="center"/>
    </xf>
    <xf numFmtId="177" fontId="10" fillId="2" borderId="46" xfId="0" applyNumberFormat="1" applyFont="1" applyFill="1" applyBorder="1" applyAlignment="1">
      <alignment horizontal="center" vertical="center"/>
    </xf>
    <xf numFmtId="179" fontId="8" fillId="2" borderId="14" xfId="0" applyNumberFormat="1" applyFont="1" applyFill="1" applyBorder="1" applyAlignment="1">
      <alignment horizontal="center" vertical="center"/>
    </xf>
    <xf numFmtId="179" fontId="8" fillId="2" borderId="25" xfId="0" applyNumberFormat="1" applyFont="1" applyFill="1" applyBorder="1" applyAlignment="1">
      <alignment horizontal="center" vertical="center"/>
    </xf>
    <xf numFmtId="179" fontId="8" fillId="2" borderId="26" xfId="0" applyNumberFormat="1" applyFont="1" applyFill="1" applyBorder="1" applyAlignment="1">
      <alignment horizontal="center" vertical="center"/>
    </xf>
    <xf numFmtId="176" fontId="15" fillId="7" borderId="2" xfId="0" applyNumberFormat="1" applyFont="1" applyFill="1" applyBorder="1" applyAlignment="1">
      <alignment horizontal="center" vertical="center"/>
    </xf>
    <xf numFmtId="176" fontId="15" fillId="7" borderId="3" xfId="0" applyNumberFormat="1" applyFont="1" applyFill="1" applyBorder="1" applyAlignment="1">
      <alignment horizontal="center" vertical="center"/>
    </xf>
    <xf numFmtId="176" fontId="15" fillId="7" borderId="4" xfId="0" applyNumberFormat="1" applyFont="1" applyFill="1" applyBorder="1" applyAlignment="1">
      <alignment horizontal="center" vertical="center"/>
    </xf>
    <xf numFmtId="176" fontId="15" fillId="7" borderId="1" xfId="0" applyNumberFormat="1" applyFont="1" applyFill="1" applyBorder="1" applyAlignment="1">
      <alignment horizontal="center" vertical="center"/>
    </xf>
    <xf numFmtId="177" fontId="7" fillId="3" borderId="20" xfId="0" applyNumberFormat="1" applyFont="1" applyFill="1" applyBorder="1" applyAlignment="1">
      <alignment horizontal="center" vertical="center"/>
    </xf>
    <xf numFmtId="177" fontId="7" fillId="3" borderId="47" xfId="0" applyNumberFormat="1" applyFont="1" applyFill="1" applyBorder="1" applyAlignment="1">
      <alignment horizontal="center" vertical="center"/>
    </xf>
    <xf numFmtId="177" fontId="7" fillId="3" borderId="19" xfId="0" applyNumberFormat="1" applyFont="1" applyFill="1" applyBorder="1" applyAlignment="1">
      <alignment horizontal="center" vertical="center"/>
    </xf>
    <xf numFmtId="179" fontId="0" fillId="0" borderId="9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8" fontId="8" fillId="2" borderId="26" xfId="0" applyNumberFormat="1" applyFont="1" applyFill="1" applyBorder="1" applyAlignment="1">
      <alignment horizontal="center" vertical="center"/>
    </xf>
    <xf numFmtId="177" fontId="6" fillId="2" borderId="15" xfId="0" applyNumberFormat="1" applyFont="1" applyFill="1" applyBorder="1" applyAlignment="1">
      <alignment horizontal="center" vertical="center"/>
    </xf>
    <xf numFmtId="177" fontId="6" fillId="2" borderId="48" xfId="0" applyNumberFormat="1" applyFont="1" applyFill="1" applyBorder="1" applyAlignment="1">
      <alignment horizontal="center" vertical="center"/>
    </xf>
    <xf numFmtId="177" fontId="5" fillId="2" borderId="17" xfId="0" applyNumberFormat="1" applyFont="1" applyFill="1" applyBorder="1" applyAlignment="1">
      <alignment horizontal="center" vertical="center"/>
    </xf>
    <xf numFmtId="177" fontId="6" fillId="2" borderId="26" xfId="0" applyNumberFormat="1" applyFont="1" applyFill="1" applyBorder="1" applyAlignment="1">
      <alignment horizontal="center" vertical="center"/>
    </xf>
    <xf numFmtId="177" fontId="6" fillId="2" borderId="52" xfId="0" applyNumberFormat="1" applyFont="1" applyFill="1" applyBorder="1" applyAlignment="1">
      <alignment horizontal="center" vertical="center"/>
    </xf>
    <xf numFmtId="177" fontId="6" fillId="2" borderId="53" xfId="0" applyNumberFormat="1" applyFont="1" applyFill="1" applyBorder="1" applyAlignment="1">
      <alignment horizontal="center" vertical="center"/>
    </xf>
    <xf numFmtId="176" fontId="5" fillId="2" borderId="17" xfId="0" applyNumberFormat="1" applyFont="1" applyFill="1" applyBorder="1" applyAlignment="1">
      <alignment horizontal="center" vertical="center"/>
    </xf>
    <xf numFmtId="178" fontId="1" fillId="2" borderId="52" xfId="0" applyNumberFormat="1" applyFont="1" applyFill="1" applyBorder="1" applyAlignment="1">
      <alignment horizontal="center" vertical="center"/>
    </xf>
    <xf numFmtId="178" fontId="1" fillId="2" borderId="54" xfId="0" applyNumberFormat="1" applyFont="1" applyFill="1" applyBorder="1" applyAlignment="1">
      <alignment horizontal="center" vertical="center"/>
    </xf>
    <xf numFmtId="178" fontId="1" fillId="2" borderId="53" xfId="0" applyNumberFormat="1" applyFont="1" applyFill="1" applyBorder="1" applyAlignment="1">
      <alignment horizontal="center" vertical="center"/>
    </xf>
    <xf numFmtId="176" fontId="9" fillId="2" borderId="13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176" fontId="9" fillId="2" borderId="17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176" fontId="9" fillId="3" borderId="12" xfId="0" applyNumberFormat="1" applyFont="1" applyFill="1" applyBorder="1" applyAlignment="1">
      <alignment horizontal="center" vertical="center"/>
    </xf>
    <xf numFmtId="176" fontId="9" fillId="3" borderId="17" xfId="0" applyNumberFormat="1" applyFont="1" applyFill="1" applyBorder="1" applyAlignment="1">
      <alignment horizontal="center" vertical="center"/>
    </xf>
    <xf numFmtId="177" fontId="10" fillId="2" borderId="52" xfId="0" applyNumberFormat="1" applyFont="1" applyFill="1" applyBorder="1" applyAlignment="1">
      <alignment horizontal="center" vertical="center"/>
    </xf>
    <xf numFmtId="177" fontId="10" fillId="2" borderId="54" xfId="0" applyNumberFormat="1" applyFont="1" applyFill="1" applyBorder="1" applyAlignment="1">
      <alignment horizontal="center" vertical="center"/>
    </xf>
    <xf numFmtId="177" fontId="10" fillId="2" borderId="5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9999FF"/>
      <color rgb="FFFF9900"/>
      <color rgb="FFFF3300"/>
      <color rgb="FFCC33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B5A52-9C0B-4BCE-A592-606F6F5A86EC}">
  <dimension ref="A2:U201"/>
  <sheetViews>
    <sheetView tabSelected="1" workbookViewId="0">
      <selection activeCell="R6" sqref="R6"/>
    </sheetView>
  </sheetViews>
  <sheetFormatPr defaultColWidth="11.625" defaultRowHeight="16.5"/>
  <cols>
    <col min="1" max="1" width="9" style="35" customWidth="1"/>
    <col min="2" max="2" width="3.625" style="35" bestFit="1" customWidth="1"/>
    <col min="3" max="3" width="9.625" style="35" bestFit="1" customWidth="1"/>
    <col min="4" max="4" width="13.75" style="35" bestFit="1" customWidth="1"/>
    <col min="5" max="5" width="11.625" style="35" bestFit="1" customWidth="1"/>
    <col min="6" max="6" width="12.5" style="35" bestFit="1" customWidth="1"/>
    <col min="7" max="7" width="11.625" style="35" bestFit="1" customWidth="1"/>
    <col min="8" max="8" width="14.625" style="35" bestFit="1" customWidth="1"/>
    <col min="9" max="9" width="13.625" style="35" bestFit="1" customWidth="1"/>
    <col min="10" max="10" width="8.75" style="35" bestFit="1" customWidth="1"/>
    <col min="11" max="11" width="10.625" style="35" bestFit="1" customWidth="1"/>
    <col min="12" max="12" width="14.625" style="35" bestFit="1" customWidth="1"/>
    <col min="13" max="13" width="10.625" style="35" bestFit="1" customWidth="1"/>
    <col min="14" max="16" width="14.625" style="35" bestFit="1" customWidth="1"/>
    <col min="17" max="18" width="15.75" style="35" bestFit="1" customWidth="1"/>
    <col min="19" max="19" width="11.625" style="35" bestFit="1" customWidth="1"/>
    <col min="20" max="21" width="10.875" style="35" bestFit="1" customWidth="1"/>
    <col min="22" max="16384" width="11.625" style="35"/>
  </cols>
  <sheetData>
    <row r="2" spans="2:18">
      <c r="B2" s="130" t="s">
        <v>69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2"/>
    </row>
    <row r="3" spans="2:18">
      <c r="B3" s="133" t="s">
        <v>73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5"/>
    </row>
    <row r="4" spans="2:18">
      <c r="B4" s="133" t="s">
        <v>71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5"/>
    </row>
    <row r="5" spans="2:18">
      <c r="B5" s="133" t="s">
        <v>46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5"/>
    </row>
    <row r="6" spans="2:18">
      <c r="B6" s="133" t="s">
        <v>31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5"/>
    </row>
    <row r="7" spans="2:18">
      <c r="B7" s="139" t="s">
        <v>102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1"/>
    </row>
    <row r="8" spans="2:18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8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8" ht="17.25" thickBot="1"/>
    <row r="11" spans="2:18" ht="17.25" thickBot="1">
      <c r="B11" s="136" t="s">
        <v>32</v>
      </c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8"/>
    </row>
    <row r="12" spans="2:18">
      <c r="B12" s="91" t="s">
        <v>0</v>
      </c>
      <c r="C12" s="16" t="s">
        <v>1</v>
      </c>
      <c r="D12" s="12" t="s">
        <v>2</v>
      </c>
      <c r="E12" s="13" t="s">
        <v>3</v>
      </c>
      <c r="F12" s="13" t="s">
        <v>4</v>
      </c>
      <c r="G12" s="13" t="s">
        <v>5</v>
      </c>
      <c r="H12" s="13" t="s">
        <v>48</v>
      </c>
      <c r="I12" s="14" t="s">
        <v>44</v>
      </c>
      <c r="J12" s="14"/>
      <c r="K12" s="13"/>
      <c r="L12" s="15"/>
      <c r="M12" s="40"/>
      <c r="N12" s="14"/>
      <c r="O12" s="17" t="s">
        <v>42</v>
      </c>
      <c r="P12" s="18" t="s">
        <v>43</v>
      </c>
      <c r="Q12" s="18" t="s">
        <v>6</v>
      </c>
    </row>
    <row r="13" spans="2:18">
      <c r="B13" s="92"/>
      <c r="C13" s="124">
        <v>1400</v>
      </c>
      <c r="D13" s="126">
        <f>C13*0.03578</f>
        <v>50.091999999999999</v>
      </c>
      <c r="E13" s="82">
        <v>10</v>
      </c>
      <c r="F13" s="82">
        <v>7</v>
      </c>
      <c r="G13" s="82">
        <v>25</v>
      </c>
      <c r="H13" s="82">
        <v>10</v>
      </c>
      <c r="I13" s="82">
        <v>20</v>
      </c>
      <c r="J13" s="82"/>
      <c r="K13" s="82"/>
      <c r="L13" s="128"/>
      <c r="M13" s="32"/>
      <c r="N13" s="82"/>
      <c r="O13" s="89">
        <f>SUM(D13,E13,F13,G13,H13)</f>
        <v>102.092</v>
      </c>
      <c r="P13" s="94">
        <f>SUM(D13,E13,F13,G13,I13)</f>
        <v>112.092</v>
      </c>
      <c r="Q13" s="94">
        <f>SUM(D13:F14)</f>
        <v>67.091999999999999</v>
      </c>
    </row>
    <row r="14" spans="2:18" ht="17.25" thickBot="1">
      <c r="B14" s="93"/>
      <c r="C14" s="125"/>
      <c r="D14" s="127"/>
      <c r="E14" s="83"/>
      <c r="F14" s="83"/>
      <c r="G14" s="83"/>
      <c r="H14" s="83"/>
      <c r="I14" s="83"/>
      <c r="J14" s="83"/>
      <c r="K14" s="83"/>
      <c r="L14" s="129"/>
      <c r="M14" s="47"/>
      <c r="N14" s="83"/>
      <c r="O14" s="90"/>
      <c r="P14" s="95"/>
      <c r="Q14" s="95"/>
    </row>
    <row r="15" spans="2:18">
      <c r="B15" s="96" t="s">
        <v>7</v>
      </c>
      <c r="C15" s="16" t="s">
        <v>8</v>
      </c>
      <c r="D15" s="51" t="s">
        <v>68</v>
      </c>
      <c r="E15" s="42" t="s">
        <v>9</v>
      </c>
      <c r="F15" s="42" t="s">
        <v>10</v>
      </c>
      <c r="G15" s="42" t="s">
        <v>11</v>
      </c>
      <c r="H15" s="42" t="s">
        <v>12</v>
      </c>
      <c r="I15" s="42" t="s">
        <v>50</v>
      </c>
      <c r="J15" s="42" t="s">
        <v>49</v>
      </c>
      <c r="K15" s="42" t="s">
        <v>51</v>
      </c>
      <c r="L15" s="42"/>
      <c r="M15" s="42"/>
      <c r="N15" s="42" t="s">
        <v>47</v>
      </c>
      <c r="O15" s="42" t="s">
        <v>52</v>
      </c>
      <c r="P15" s="43" t="s">
        <v>53</v>
      </c>
      <c r="Q15" s="20" t="s">
        <v>70</v>
      </c>
    </row>
    <row r="16" spans="2:18">
      <c r="B16" s="97"/>
      <c r="C16" s="99">
        <v>800</v>
      </c>
      <c r="D16" s="101">
        <f>C16*0.02145/100+1</f>
        <v>1.1716</v>
      </c>
      <c r="E16" s="84">
        <f>C16*0.03576/100+1</f>
        <v>1.2860800000000001</v>
      </c>
      <c r="F16" s="84">
        <f>20/100+1</f>
        <v>1.2</v>
      </c>
      <c r="G16" s="84">
        <f>10/100+1</f>
        <v>1.1000000000000001</v>
      </c>
      <c r="H16" s="145">
        <f>1.28*1.18</f>
        <v>1.5104</v>
      </c>
      <c r="I16" s="84">
        <f>MIN(O13,100)*0.225/100+1</f>
        <v>1.2250000000000001</v>
      </c>
      <c r="J16" s="84">
        <f>MIN(P13,100)*0.225/100+1</f>
        <v>1.2250000000000001</v>
      </c>
      <c r="K16" s="84">
        <f>MIN(Q13,100)*0.225/100+1</f>
        <v>1.150957</v>
      </c>
      <c r="L16" s="84"/>
      <c r="M16" s="84"/>
      <c r="N16" s="46">
        <f>PRODUCT(D16,F16,H16,I16)*100</f>
        <v>260.12894207999994</v>
      </c>
      <c r="O16" s="46">
        <f>PRODUCT(D16,F16,H16,I16,O26)*100</f>
        <v>285.85598030769222</v>
      </c>
      <c r="P16" s="49">
        <f>PRODUCT(D16,F16,H16,I16,N26)*100</f>
        <v>317.2304171707317</v>
      </c>
      <c r="Q16" s="86">
        <f>AVERAGE(N16:P16,N18:P18)</f>
        <v>287.73844651947462</v>
      </c>
      <c r="R16" s="52"/>
    </row>
    <row r="17" spans="1:19">
      <c r="B17" s="97"/>
      <c r="C17" s="99"/>
      <c r="D17" s="101"/>
      <c r="E17" s="84"/>
      <c r="F17" s="84"/>
      <c r="G17" s="84"/>
      <c r="H17" s="146"/>
      <c r="I17" s="84"/>
      <c r="J17" s="84"/>
      <c r="K17" s="84"/>
      <c r="L17" s="84"/>
      <c r="M17" s="84"/>
      <c r="N17" s="15" t="s">
        <v>56</v>
      </c>
      <c r="O17" s="15" t="s">
        <v>57</v>
      </c>
      <c r="P17" s="44" t="s">
        <v>58</v>
      </c>
      <c r="Q17" s="87"/>
      <c r="R17" s="52"/>
    </row>
    <row r="18" spans="1:19">
      <c r="B18" s="97"/>
      <c r="C18" s="99"/>
      <c r="D18" s="101"/>
      <c r="E18" s="84"/>
      <c r="F18" s="84"/>
      <c r="G18" s="84"/>
      <c r="H18" s="146"/>
      <c r="I18" s="84"/>
      <c r="J18" s="84"/>
      <c r="K18" s="84"/>
      <c r="L18" s="84"/>
      <c r="M18" s="84"/>
      <c r="N18" s="46">
        <f>PRODUCT(D16,F16,H16,J16)*100</f>
        <v>260.12894207999994</v>
      </c>
      <c r="O18" s="46">
        <f>PRODUCT(D16,F16,H16,J16,O26)*100</f>
        <v>285.85598030769222</v>
      </c>
      <c r="P18" s="49">
        <f>PRODUCT(D16,F16,H16,J16,N26)*100</f>
        <v>317.2304171707317</v>
      </c>
      <c r="Q18" s="45" t="s">
        <v>65</v>
      </c>
    </row>
    <row r="19" spans="1:19">
      <c r="B19" s="97"/>
      <c r="C19" s="99"/>
      <c r="D19" s="101"/>
      <c r="E19" s="84"/>
      <c r="F19" s="84"/>
      <c r="G19" s="84"/>
      <c r="H19" s="146"/>
      <c r="I19" s="84"/>
      <c r="J19" s="84"/>
      <c r="K19" s="84"/>
      <c r="L19" s="84"/>
      <c r="M19" s="84"/>
      <c r="N19" s="15" t="s">
        <v>61</v>
      </c>
      <c r="O19" s="15" t="s">
        <v>62</v>
      </c>
      <c r="P19" s="44" t="s">
        <v>63</v>
      </c>
      <c r="Q19" s="86">
        <f>AVERAGE(N20:P20)</f>
        <v>306.24815253457558</v>
      </c>
    </row>
    <row r="20" spans="1:19" ht="17.25" thickBot="1">
      <c r="B20" s="98"/>
      <c r="C20" s="100"/>
      <c r="D20" s="102"/>
      <c r="E20" s="85"/>
      <c r="F20" s="85"/>
      <c r="G20" s="85"/>
      <c r="H20" s="147"/>
      <c r="I20" s="85"/>
      <c r="J20" s="85"/>
      <c r="K20" s="85"/>
      <c r="L20" s="85"/>
      <c r="M20" s="85"/>
      <c r="N20" s="27">
        <f>PRODUCT((E16+0.28),F16,(G16+0.18),K16)*100</f>
        <v>276.86257744281602</v>
      </c>
      <c r="O20" s="27">
        <f>PRODUCT((E16+0.28),F16,(G16+0.18),K16,O26)*100</f>
        <v>304.24459059650104</v>
      </c>
      <c r="P20" s="50">
        <f>PRODUCT((E16+0.28),F16,(G16+0.18),K16,N26)*100</f>
        <v>337.63728956440974</v>
      </c>
      <c r="Q20" s="88"/>
    </row>
    <row r="21" spans="1:19">
      <c r="B21" s="103" t="s">
        <v>13</v>
      </c>
      <c r="C21" s="48" t="s">
        <v>14</v>
      </c>
      <c r="D21" s="39" t="s">
        <v>15</v>
      </c>
      <c r="E21" s="40" t="s">
        <v>16</v>
      </c>
      <c r="F21" s="40" t="s">
        <v>17</v>
      </c>
      <c r="G21" s="40" t="s">
        <v>18</v>
      </c>
      <c r="H21" s="40" t="s">
        <v>19</v>
      </c>
      <c r="I21" s="41" t="s">
        <v>20</v>
      </c>
      <c r="J21" s="41" t="s">
        <v>21</v>
      </c>
      <c r="K21" s="41"/>
      <c r="L21" s="41"/>
      <c r="M21" s="41"/>
      <c r="N21" s="41"/>
      <c r="O21" s="41"/>
      <c r="P21" s="106" t="s">
        <v>22</v>
      </c>
      <c r="Q21" s="107"/>
    </row>
    <row r="22" spans="1:19" ht="17.25" thickBot="1">
      <c r="B22" s="104"/>
      <c r="C22" s="108">
        <v>0</v>
      </c>
      <c r="D22" s="142">
        <f>C22*0.01717</f>
        <v>0</v>
      </c>
      <c r="E22" s="117">
        <v>13.8</v>
      </c>
      <c r="F22" s="117">
        <v>15</v>
      </c>
      <c r="G22" s="3">
        <f>MIN(SUM(D22,F22),40)</f>
        <v>15</v>
      </c>
      <c r="H22" s="3">
        <f>MIN(SUM(D22:F26),40)</f>
        <v>28.8</v>
      </c>
      <c r="I22" s="4">
        <f>MIN((G22+10),40)</f>
        <v>25</v>
      </c>
      <c r="J22" s="4">
        <f>MIN(SUM(E22,I22),40)</f>
        <v>38.799999999999997</v>
      </c>
      <c r="K22" s="4"/>
      <c r="L22" s="4"/>
      <c r="M22" s="4"/>
      <c r="N22" s="4"/>
      <c r="O22" s="4"/>
      <c r="P22" s="5">
        <f>MIN(G22:J22,40)</f>
        <v>15</v>
      </c>
      <c r="Q22" s="6">
        <f>MIN(MAX(G22:J22),40)</f>
        <v>38.799999999999997</v>
      </c>
    </row>
    <row r="23" spans="1:19">
      <c r="B23" s="104"/>
      <c r="C23" s="109"/>
      <c r="D23" s="143"/>
      <c r="E23" s="118"/>
      <c r="F23" s="118"/>
      <c r="G23" s="15" t="s">
        <v>23</v>
      </c>
      <c r="H23" s="15" t="s">
        <v>24</v>
      </c>
      <c r="I23" s="19" t="s">
        <v>25</v>
      </c>
      <c r="J23" s="19" t="s">
        <v>21</v>
      </c>
      <c r="K23" s="19"/>
      <c r="L23" s="19"/>
      <c r="M23" s="19"/>
      <c r="N23" s="19"/>
      <c r="O23" s="19"/>
      <c r="P23" s="120" t="s">
        <v>26</v>
      </c>
      <c r="Q23" s="121"/>
    </row>
    <row r="24" spans="1:19" ht="17.25" thickBot="1">
      <c r="B24" s="104"/>
      <c r="C24" s="109"/>
      <c r="D24" s="143"/>
      <c r="E24" s="118"/>
      <c r="F24" s="118"/>
      <c r="G24" s="7">
        <f>MIN(SUM(D22,F22))</f>
        <v>15</v>
      </c>
      <c r="H24" s="7">
        <f>MIN(SUM(D22:F26),40)</f>
        <v>28.8</v>
      </c>
      <c r="I24" s="8">
        <f>MIN((G24+10),40)</f>
        <v>25</v>
      </c>
      <c r="J24" s="8">
        <f>MIN(SUM(E22,I24),40)</f>
        <v>38.799999999999997</v>
      </c>
      <c r="K24" s="8"/>
      <c r="L24" s="8"/>
      <c r="M24" s="8"/>
      <c r="N24" s="8"/>
      <c r="O24" s="8"/>
      <c r="P24" s="9">
        <f>MIN(G24:J24,40)</f>
        <v>15</v>
      </c>
      <c r="Q24" s="10">
        <f>MIN(MAX(G24:J24),40)</f>
        <v>38.799999999999997</v>
      </c>
    </row>
    <row r="25" spans="1:19">
      <c r="B25" s="104"/>
      <c r="C25" s="109"/>
      <c r="D25" s="143"/>
      <c r="E25" s="118"/>
      <c r="F25" s="118"/>
      <c r="G25" s="15" t="s">
        <v>12</v>
      </c>
      <c r="H25" s="15"/>
      <c r="I25" s="15"/>
      <c r="J25" s="15"/>
      <c r="K25" s="15"/>
      <c r="L25" s="15"/>
      <c r="M25" s="15"/>
      <c r="N25" s="21" t="s">
        <v>54</v>
      </c>
      <c r="O25" s="22" t="s">
        <v>55</v>
      </c>
      <c r="P25" s="120" t="s">
        <v>27</v>
      </c>
      <c r="Q25" s="121"/>
    </row>
    <row r="26" spans="1:19" ht="17.25" thickBot="1">
      <c r="B26" s="105"/>
      <c r="C26" s="110"/>
      <c r="D26" s="144"/>
      <c r="E26" s="119"/>
      <c r="F26" s="119"/>
      <c r="G26" s="11">
        <v>18</v>
      </c>
      <c r="H26" s="11"/>
      <c r="I26" s="11"/>
      <c r="J26" s="11"/>
      <c r="K26" s="11"/>
      <c r="L26" s="11"/>
      <c r="M26" s="11"/>
      <c r="N26" s="26">
        <f>1/(1-P26/100)</f>
        <v>1.2195121951219512</v>
      </c>
      <c r="O26" s="25">
        <f>1/(1-P26/2/100)</f>
        <v>1.0989010989010988</v>
      </c>
      <c r="P26" s="122">
        <f>C22*0.0214+G26</f>
        <v>18</v>
      </c>
      <c r="Q26" s="123"/>
    </row>
    <row r="27" spans="1:19" ht="17.25" thickBot="1">
      <c r="B27" s="136">
        <f>SUM(C13,C16,C22)</f>
        <v>2200</v>
      </c>
      <c r="C27" s="138"/>
      <c r="D27" s="137" t="s">
        <v>28</v>
      </c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8"/>
      <c r="R27" s="2"/>
    </row>
    <row r="28" spans="1:19" s="34" customFormat="1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19" s="34" customFormat="1" ht="17.25" thickBot="1"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9" s="34" customFormat="1" ht="17.25" thickBot="1">
      <c r="A30" s="35"/>
      <c r="B30" s="111" t="s">
        <v>33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2"/>
      <c r="R30" s="35"/>
      <c r="S30" s="35"/>
    </row>
    <row r="31" spans="1:19" s="34" customFormat="1">
      <c r="A31" s="35"/>
      <c r="B31" s="91" t="s">
        <v>0</v>
      </c>
      <c r="C31" s="16" t="s">
        <v>1</v>
      </c>
      <c r="D31" s="12" t="s">
        <v>2</v>
      </c>
      <c r="E31" s="13" t="s">
        <v>3</v>
      </c>
      <c r="F31" s="13" t="s">
        <v>4</v>
      </c>
      <c r="G31" s="13" t="s">
        <v>5</v>
      </c>
      <c r="H31" s="13" t="s">
        <v>48</v>
      </c>
      <c r="I31" s="14" t="s">
        <v>44</v>
      </c>
      <c r="J31" s="14"/>
      <c r="K31" s="13"/>
      <c r="L31" s="15"/>
      <c r="M31" s="40"/>
      <c r="N31" s="14"/>
      <c r="O31" s="17" t="s">
        <v>42</v>
      </c>
      <c r="P31" s="18" t="s">
        <v>43</v>
      </c>
      <c r="Q31" s="18" t="s">
        <v>6</v>
      </c>
      <c r="R31" s="35"/>
      <c r="S31" s="35"/>
    </row>
    <row r="32" spans="1:19" s="34" customFormat="1">
      <c r="A32" s="35"/>
      <c r="B32" s="92"/>
      <c r="C32" s="124">
        <v>1400</v>
      </c>
      <c r="D32" s="126">
        <f>C32*0.03578</f>
        <v>50.091999999999999</v>
      </c>
      <c r="E32" s="82">
        <v>10</v>
      </c>
      <c r="F32" s="82">
        <v>7</v>
      </c>
      <c r="G32" s="82">
        <v>25</v>
      </c>
      <c r="H32" s="82">
        <v>10</v>
      </c>
      <c r="I32" s="82">
        <v>20</v>
      </c>
      <c r="J32" s="82"/>
      <c r="K32" s="82"/>
      <c r="L32" s="128"/>
      <c r="M32" s="32"/>
      <c r="N32" s="82"/>
      <c r="O32" s="89">
        <f>SUM(D32,E32,F32,G32,H32)</f>
        <v>102.092</v>
      </c>
      <c r="P32" s="94">
        <f>SUM(D32,E32,F32,G32,I32)</f>
        <v>112.092</v>
      </c>
      <c r="Q32" s="94">
        <f>SUM(D32:F33)</f>
        <v>67.091999999999999</v>
      </c>
      <c r="R32" s="35"/>
      <c r="S32" s="35"/>
    </row>
    <row r="33" spans="1:20" s="34" customFormat="1" ht="17.25" thickBot="1">
      <c r="A33" s="35"/>
      <c r="B33" s="93"/>
      <c r="C33" s="125"/>
      <c r="D33" s="127"/>
      <c r="E33" s="83"/>
      <c r="F33" s="83"/>
      <c r="G33" s="83"/>
      <c r="H33" s="83"/>
      <c r="I33" s="83"/>
      <c r="J33" s="83"/>
      <c r="K33" s="83"/>
      <c r="L33" s="129"/>
      <c r="M33" s="47"/>
      <c r="N33" s="83"/>
      <c r="O33" s="90"/>
      <c r="P33" s="95"/>
      <c r="Q33" s="95"/>
      <c r="R33" s="35"/>
      <c r="S33" s="35"/>
    </row>
    <row r="34" spans="1:20" s="34" customFormat="1">
      <c r="A34" s="35"/>
      <c r="B34" s="96" t="s">
        <v>7</v>
      </c>
      <c r="C34" s="16" t="s">
        <v>8</v>
      </c>
      <c r="D34" s="51" t="s">
        <v>68</v>
      </c>
      <c r="E34" s="42" t="s">
        <v>9</v>
      </c>
      <c r="F34" s="42" t="s">
        <v>10</v>
      </c>
      <c r="G34" s="42" t="s">
        <v>11</v>
      </c>
      <c r="H34" s="42" t="s">
        <v>66</v>
      </c>
      <c r="I34" s="42" t="s">
        <v>50</v>
      </c>
      <c r="J34" s="42" t="s">
        <v>49</v>
      </c>
      <c r="K34" s="42" t="s">
        <v>51</v>
      </c>
      <c r="L34" s="42" t="s">
        <v>67</v>
      </c>
      <c r="M34" s="42"/>
      <c r="N34" s="42" t="s">
        <v>47</v>
      </c>
      <c r="O34" s="42" t="s">
        <v>52</v>
      </c>
      <c r="P34" s="43" t="s">
        <v>53</v>
      </c>
      <c r="Q34" s="20" t="s">
        <v>70</v>
      </c>
      <c r="R34" s="35"/>
      <c r="S34" s="35"/>
    </row>
    <row r="35" spans="1:20" s="34" customFormat="1">
      <c r="A35" s="35"/>
      <c r="B35" s="97"/>
      <c r="C35" s="99">
        <v>800</v>
      </c>
      <c r="D35" s="101">
        <f>C35*0.02145/100+1</f>
        <v>1.1716</v>
      </c>
      <c r="E35" s="84">
        <f>C35*0.03576/100+1</f>
        <v>1.2860800000000001</v>
      </c>
      <c r="F35" s="84">
        <f>20/100+1</f>
        <v>1.2</v>
      </c>
      <c r="G35" s="84">
        <f>10/100+1</f>
        <v>1.1000000000000001</v>
      </c>
      <c r="H35" s="84">
        <f>1.15*1.18*1.25</f>
        <v>1.6962499999999996</v>
      </c>
      <c r="I35" s="84">
        <f>MIN(O32,100)*0.225/100+1</f>
        <v>1.2250000000000001</v>
      </c>
      <c r="J35" s="84">
        <f>MIN(P32,100)*0.225/100+1</f>
        <v>1.2250000000000001</v>
      </c>
      <c r="K35" s="84">
        <f>MIN(Q32,100)*0.225/100+1</f>
        <v>1.150957</v>
      </c>
      <c r="L35" s="84">
        <f>16/100+1</f>
        <v>1.1599999999999999</v>
      </c>
      <c r="M35" s="84"/>
      <c r="N35" s="46">
        <f>PRODUCT(D35,F35,1.15,1.25,I35,1.18,L35)*100</f>
        <v>338.87891477999989</v>
      </c>
      <c r="O35" s="46">
        <f>PRODUCT(D35,F35,1.15,1.25,I35,1.18,L35,O45)*100</f>
        <v>338.87891477999989</v>
      </c>
      <c r="P35" s="49">
        <f>PRODUCT(D35,F35,1.15,1.25,I35,1.18,L35,N45)*100</f>
        <v>338.87891477999989</v>
      </c>
      <c r="Q35" s="86">
        <f>AVERAGE(N35:P35,N37:P37)</f>
        <v>338.87891477999989</v>
      </c>
      <c r="R35" s="35"/>
      <c r="S35" s="35"/>
    </row>
    <row r="36" spans="1:20" s="34" customFormat="1">
      <c r="A36" s="35"/>
      <c r="B36" s="97"/>
      <c r="C36" s="99"/>
      <c r="D36" s="101"/>
      <c r="E36" s="84"/>
      <c r="F36" s="84"/>
      <c r="G36" s="84"/>
      <c r="H36" s="84"/>
      <c r="I36" s="84"/>
      <c r="J36" s="84"/>
      <c r="K36" s="84"/>
      <c r="L36" s="84"/>
      <c r="M36" s="84"/>
      <c r="N36" s="15" t="s">
        <v>56</v>
      </c>
      <c r="O36" s="15" t="s">
        <v>57</v>
      </c>
      <c r="P36" s="44" t="s">
        <v>58</v>
      </c>
      <c r="Q36" s="87"/>
      <c r="R36" s="35"/>
      <c r="S36" s="35"/>
    </row>
    <row r="37" spans="1:20" s="34" customFormat="1">
      <c r="A37" s="35"/>
      <c r="B37" s="97"/>
      <c r="C37" s="99"/>
      <c r="D37" s="101"/>
      <c r="E37" s="84"/>
      <c r="F37" s="84"/>
      <c r="G37" s="84"/>
      <c r="H37" s="84"/>
      <c r="I37" s="84"/>
      <c r="J37" s="84"/>
      <c r="K37" s="84"/>
      <c r="L37" s="84"/>
      <c r="M37" s="84"/>
      <c r="N37" s="46">
        <f>PRODUCT(D35,F35,1.15,1.25,J35,1.18,L35)*100</f>
        <v>338.87891477999989</v>
      </c>
      <c r="O37" s="46">
        <f>PRODUCT(D35,F35,1.15,1.25,J35,1.18,L35,O45)*100</f>
        <v>338.87891477999989</v>
      </c>
      <c r="P37" s="49">
        <f>PRODUCT(D35,F35,1.15,1.25,J35,1.18,L35,N45)*100</f>
        <v>338.87891477999989</v>
      </c>
      <c r="Q37" s="45" t="s">
        <v>65</v>
      </c>
      <c r="R37" s="35"/>
      <c r="S37" s="35"/>
    </row>
    <row r="38" spans="1:20" s="34" customFormat="1">
      <c r="A38" s="35"/>
      <c r="B38" s="97"/>
      <c r="C38" s="99"/>
      <c r="D38" s="101"/>
      <c r="E38" s="84"/>
      <c r="F38" s="84"/>
      <c r="G38" s="84"/>
      <c r="H38" s="84"/>
      <c r="I38" s="84"/>
      <c r="J38" s="84"/>
      <c r="K38" s="84"/>
      <c r="L38" s="84"/>
      <c r="M38" s="84"/>
      <c r="N38" s="15" t="s">
        <v>61</v>
      </c>
      <c r="O38" s="15" t="s">
        <v>62</v>
      </c>
      <c r="P38" s="44" t="s">
        <v>63</v>
      </c>
      <c r="Q38" s="86">
        <f>AVERAGE(N39:P39)</f>
        <v>366.5158357463344</v>
      </c>
      <c r="R38" s="35"/>
      <c r="S38" s="35"/>
    </row>
    <row r="39" spans="1:20" s="34" customFormat="1" ht="17.25" thickBot="1">
      <c r="A39" s="35"/>
      <c r="B39" s="98"/>
      <c r="C39" s="100"/>
      <c r="D39" s="102"/>
      <c r="E39" s="85"/>
      <c r="F39" s="85"/>
      <c r="G39" s="85"/>
      <c r="H39" s="85"/>
      <c r="I39" s="85"/>
      <c r="J39" s="85"/>
      <c r="K39" s="85"/>
      <c r="L39" s="85"/>
      <c r="M39" s="85"/>
      <c r="N39" s="27">
        <f>PRODUCT((E35+0.15),F35,(G35+0.25),K35,1.18,L35)*100</f>
        <v>366.51583574633435</v>
      </c>
      <c r="O39" s="27">
        <f>PRODUCT((E35+0.15),F35,(G35+0.25),K35,1.18,L35,O45)*100</f>
        <v>366.51583574633435</v>
      </c>
      <c r="P39" s="50">
        <f>PRODUCT((E35+0.15),F35,(G35+0.25),K35,1.18,L35,N45)*100</f>
        <v>366.51583574633435</v>
      </c>
      <c r="Q39" s="88"/>
      <c r="R39" s="35"/>
      <c r="S39" s="35"/>
    </row>
    <row r="40" spans="1:20" s="34" customFormat="1">
      <c r="A40" s="35"/>
      <c r="B40" s="103" t="s">
        <v>13</v>
      </c>
      <c r="C40" s="48" t="s">
        <v>14</v>
      </c>
      <c r="D40" s="39" t="s">
        <v>15</v>
      </c>
      <c r="E40" s="40" t="s">
        <v>16</v>
      </c>
      <c r="F40" s="40" t="s">
        <v>17</v>
      </c>
      <c r="G40" s="40" t="s">
        <v>18</v>
      </c>
      <c r="H40" s="40" t="s">
        <v>19</v>
      </c>
      <c r="I40" s="41" t="s">
        <v>20</v>
      </c>
      <c r="J40" s="41" t="s">
        <v>21</v>
      </c>
      <c r="K40" s="41"/>
      <c r="L40" s="41"/>
      <c r="M40" s="41"/>
      <c r="N40" s="41"/>
      <c r="O40" s="41"/>
      <c r="P40" s="106" t="s">
        <v>22</v>
      </c>
      <c r="Q40" s="107"/>
      <c r="R40" s="35"/>
      <c r="S40" s="35"/>
    </row>
    <row r="41" spans="1:20" s="34" customFormat="1" ht="17.25" thickBot="1">
      <c r="A41" s="35"/>
      <c r="B41" s="104"/>
      <c r="C41" s="108">
        <v>0</v>
      </c>
      <c r="D41" s="142">
        <f>C41*0.01717</f>
        <v>0</v>
      </c>
      <c r="E41" s="117">
        <v>13.8</v>
      </c>
      <c r="F41" s="117">
        <v>15</v>
      </c>
      <c r="G41" s="3">
        <f>MIN(SUM(D41,F41),40)</f>
        <v>15</v>
      </c>
      <c r="H41" s="3">
        <f>MIN(SUM(D41:F45),40)</f>
        <v>28.8</v>
      </c>
      <c r="I41" s="4">
        <f>MIN((G41+10),40)</f>
        <v>25</v>
      </c>
      <c r="J41" s="4">
        <f>MIN(SUM(E41,I41),40)</f>
        <v>38.799999999999997</v>
      </c>
      <c r="K41" s="4"/>
      <c r="L41" s="4"/>
      <c r="M41" s="4"/>
      <c r="N41" s="4"/>
      <c r="O41" s="4"/>
      <c r="P41" s="5">
        <f>MIN(G41:J41,40)</f>
        <v>15</v>
      </c>
      <c r="Q41" s="6">
        <f>MIN(MAX(G41:J41),40)</f>
        <v>38.799999999999997</v>
      </c>
      <c r="R41" s="35"/>
      <c r="S41" s="35"/>
    </row>
    <row r="42" spans="1:20" s="34" customFormat="1">
      <c r="A42" s="35"/>
      <c r="B42" s="104"/>
      <c r="C42" s="109"/>
      <c r="D42" s="143"/>
      <c r="E42" s="118"/>
      <c r="F42" s="118"/>
      <c r="G42" s="15" t="s">
        <v>23</v>
      </c>
      <c r="H42" s="15" t="s">
        <v>24</v>
      </c>
      <c r="I42" s="19" t="s">
        <v>25</v>
      </c>
      <c r="J42" s="19" t="s">
        <v>21</v>
      </c>
      <c r="K42" s="19"/>
      <c r="L42" s="19"/>
      <c r="M42" s="19"/>
      <c r="N42" s="19"/>
      <c r="O42" s="19"/>
      <c r="P42" s="120" t="s">
        <v>26</v>
      </c>
      <c r="Q42" s="121"/>
      <c r="R42" s="35"/>
      <c r="S42" s="35"/>
    </row>
    <row r="43" spans="1:20" s="34" customFormat="1" ht="17.25" thickBot="1">
      <c r="A43" s="35"/>
      <c r="B43" s="104"/>
      <c r="C43" s="109"/>
      <c r="D43" s="143"/>
      <c r="E43" s="118"/>
      <c r="F43" s="118"/>
      <c r="G43" s="7">
        <f>MIN(SUM(D41,F41))</f>
        <v>15</v>
      </c>
      <c r="H43" s="7">
        <f>MIN(SUM(D41:F45),40)</f>
        <v>28.8</v>
      </c>
      <c r="I43" s="8">
        <f>MIN((G43+10),40)</f>
        <v>25</v>
      </c>
      <c r="J43" s="8">
        <f>MIN(SUM(E41,I43),40)</f>
        <v>38.799999999999997</v>
      </c>
      <c r="K43" s="8"/>
      <c r="L43" s="8"/>
      <c r="M43" s="8"/>
      <c r="N43" s="8"/>
      <c r="O43" s="8"/>
      <c r="P43" s="9">
        <f>MIN(G43:J43,40)</f>
        <v>15</v>
      </c>
      <c r="Q43" s="10">
        <f>MIN(MAX(G43:J43),40)</f>
        <v>38.799999999999997</v>
      </c>
      <c r="R43" s="35"/>
      <c r="S43" s="35"/>
    </row>
    <row r="44" spans="1:20" s="34" customFormat="1">
      <c r="A44" s="35"/>
      <c r="B44" s="104"/>
      <c r="C44" s="109"/>
      <c r="D44" s="143"/>
      <c r="E44" s="118"/>
      <c r="F44" s="118"/>
      <c r="G44" s="15"/>
      <c r="H44" s="15"/>
      <c r="I44" s="15"/>
      <c r="J44" s="15"/>
      <c r="K44" s="15"/>
      <c r="L44" s="15"/>
      <c r="M44" s="15"/>
      <c r="N44" s="21" t="s">
        <v>54</v>
      </c>
      <c r="O44" s="22" t="s">
        <v>55</v>
      </c>
      <c r="P44" s="120" t="s">
        <v>27</v>
      </c>
      <c r="Q44" s="121"/>
    </row>
    <row r="45" spans="1:20" s="34" customFormat="1" ht="17.25" thickBot="1">
      <c r="A45" s="35"/>
      <c r="B45" s="105"/>
      <c r="C45" s="110"/>
      <c r="D45" s="144"/>
      <c r="E45" s="119"/>
      <c r="F45" s="119"/>
      <c r="G45" s="11"/>
      <c r="H45" s="11"/>
      <c r="I45" s="11"/>
      <c r="J45" s="11"/>
      <c r="K45" s="11"/>
      <c r="L45" s="11"/>
      <c r="M45" s="11"/>
      <c r="N45" s="26">
        <f>1/(1-P45/100)</f>
        <v>1</v>
      </c>
      <c r="O45" s="25">
        <f>1/(1-P45/2/100)</f>
        <v>1</v>
      </c>
      <c r="P45" s="122">
        <f>C41*0.0214</f>
        <v>0</v>
      </c>
      <c r="Q45" s="123"/>
    </row>
    <row r="46" spans="1:20" ht="17.25" thickBot="1">
      <c r="B46" s="111">
        <f>SUM(C32,C35,C41)</f>
        <v>2200</v>
      </c>
      <c r="C46" s="112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2"/>
      <c r="R46" s="2"/>
    </row>
    <row r="47" spans="1:20">
      <c r="A47" s="34"/>
      <c r="B47" s="34"/>
      <c r="C47" s="34"/>
      <c r="D47" s="34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4"/>
      <c r="S47" s="34"/>
      <c r="T47" s="38"/>
    </row>
    <row r="48" spans="1:20" ht="17.25" thickBot="1">
      <c r="A48" s="34"/>
      <c r="B48" s="34"/>
      <c r="C48" s="34"/>
      <c r="D48" s="34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4"/>
      <c r="S48" s="34"/>
      <c r="T48" s="38"/>
    </row>
    <row r="49" spans="1:20" ht="17.25" thickBot="1">
      <c r="A49" s="34"/>
      <c r="B49" s="111" t="s">
        <v>33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2"/>
      <c r="R49" s="34"/>
      <c r="S49" s="34"/>
      <c r="T49" s="38"/>
    </row>
    <row r="50" spans="1:20">
      <c r="A50" s="34"/>
      <c r="B50" s="91" t="s">
        <v>0</v>
      </c>
      <c r="C50" s="16" t="s">
        <v>1</v>
      </c>
      <c r="D50" s="12" t="s">
        <v>2</v>
      </c>
      <c r="E50" s="13" t="s">
        <v>3</v>
      </c>
      <c r="F50" s="13" t="s">
        <v>4</v>
      </c>
      <c r="G50" s="13" t="s">
        <v>5</v>
      </c>
      <c r="H50" s="13" t="s">
        <v>48</v>
      </c>
      <c r="I50" s="14" t="s">
        <v>44</v>
      </c>
      <c r="J50" s="14"/>
      <c r="K50" s="13"/>
      <c r="L50" s="15"/>
      <c r="M50" s="40"/>
      <c r="N50" s="14"/>
      <c r="O50" s="17" t="s">
        <v>42</v>
      </c>
      <c r="P50" s="18" t="s">
        <v>43</v>
      </c>
      <c r="Q50" s="18" t="s">
        <v>6</v>
      </c>
      <c r="R50" s="34"/>
      <c r="S50" s="34"/>
      <c r="T50" s="38"/>
    </row>
    <row r="51" spans="1:20">
      <c r="A51" s="34"/>
      <c r="B51" s="92"/>
      <c r="C51" s="124">
        <v>1400</v>
      </c>
      <c r="D51" s="126">
        <f>C51*0.03578</f>
        <v>50.091999999999999</v>
      </c>
      <c r="E51" s="82">
        <v>10</v>
      </c>
      <c r="F51" s="82">
        <v>7</v>
      </c>
      <c r="G51" s="82">
        <v>25</v>
      </c>
      <c r="H51" s="82">
        <v>10</v>
      </c>
      <c r="I51" s="82">
        <v>20</v>
      </c>
      <c r="J51" s="82"/>
      <c r="K51" s="82"/>
      <c r="L51" s="128"/>
      <c r="M51" s="32"/>
      <c r="N51" s="82"/>
      <c r="O51" s="89">
        <f>SUM(D51,E51,F51,G51,H51)</f>
        <v>102.092</v>
      </c>
      <c r="P51" s="94">
        <f>SUM(D51,E51,F51,G51,I51)</f>
        <v>112.092</v>
      </c>
      <c r="Q51" s="94">
        <f>SUM(D51:F52)</f>
        <v>67.091999999999999</v>
      </c>
      <c r="R51" s="34"/>
      <c r="S51" s="34"/>
      <c r="T51" s="38"/>
    </row>
    <row r="52" spans="1:20" ht="17.25" thickBot="1">
      <c r="A52" s="34"/>
      <c r="B52" s="93"/>
      <c r="C52" s="125"/>
      <c r="D52" s="127"/>
      <c r="E52" s="83"/>
      <c r="F52" s="83"/>
      <c r="G52" s="83"/>
      <c r="H52" s="83"/>
      <c r="I52" s="83"/>
      <c r="J52" s="83"/>
      <c r="K52" s="83"/>
      <c r="L52" s="129"/>
      <c r="M52" s="47"/>
      <c r="N52" s="83"/>
      <c r="O52" s="90"/>
      <c r="P52" s="95"/>
      <c r="Q52" s="95"/>
      <c r="R52" s="34"/>
      <c r="S52" s="34"/>
    </row>
    <row r="53" spans="1:20">
      <c r="A53" s="34"/>
      <c r="B53" s="96" t="s">
        <v>7</v>
      </c>
      <c r="C53" s="16" t="s">
        <v>8</v>
      </c>
      <c r="D53" s="51" t="s">
        <v>68</v>
      </c>
      <c r="E53" s="42" t="s">
        <v>9</v>
      </c>
      <c r="F53" s="42" t="s">
        <v>10</v>
      </c>
      <c r="G53" s="42" t="s">
        <v>11</v>
      </c>
      <c r="H53" s="42" t="s">
        <v>66</v>
      </c>
      <c r="I53" s="42" t="s">
        <v>50</v>
      </c>
      <c r="J53" s="42" t="s">
        <v>49</v>
      </c>
      <c r="K53" s="42" t="s">
        <v>51</v>
      </c>
      <c r="L53" s="42" t="s">
        <v>67</v>
      </c>
      <c r="M53" s="42"/>
      <c r="N53" s="42" t="s">
        <v>47</v>
      </c>
      <c r="O53" s="42" t="s">
        <v>52</v>
      </c>
      <c r="P53" s="43" t="s">
        <v>53</v>
      </c>
      <c r="Q53" s="20" t="s">
        <v>70</v>
      </c>
      <c r="R53" s="34"/>
      <c r="S53" s="34"/>
    </row>
    <row r="54" spans="1:20">
      <c r="A54" s="34"/>
      <c r="B54" s="97"/>
      <c r="C54" s="99">
        <v>0</v>
      </c>
      <c r="D54" s="101">
        <f>C54*0.02145/100+1</f>
        <v>1</v>
      </c>
      <c r="E54" s="84">
        <f>C54*0.03576/100+1</f>
        <v>1</v>
      </c>
      <c r="F54" s="84">
        <f>20/100+1</f>
        <v>1.2</v>
      </c>
      <c r="G54" s="84">
        <f>10/100+1</f>
        <v>1.1000000000000001</v>
      </c>
      <c r="H54" s="84">
        <f>1.15*1.18*1.25</f>
        <v>1.6962499999999996</v>
      </c>
      <c r="I54" s="84">
        <f>MIN(O51,100)*0.225/100+1</f>
        <v>1.2250000000000001</v>
      </c>
      <c r="J54" s="84">
        <f>MIN(P51,100)*0.225/100+1</f>
        <v>1.2250000000000001</v>
      </c>
      <c r="K54" s="84">
        <f>MIN(Q51,100)*0.225/100+1</f>
        <v>1.150957</v>
      </c>
      <c r="L54" s="84">
        <f>16/100+1</f>
        <v>1.1599999999999999</v>
      </c>
      <c r="M54" s="84"/>
      <c r="N54" s="46">
        <f>PRODUCT(D54,F54,1.15,1.25,I54,1.18,L54)*100</f>
        <v>289.24455</v>
      </c>
      <c r="O54" s="46">
        <f>PRODUCT(D54,F54,1.15,1.25,I54,1.18,L54,O64)*100</f>
        <v>316.32168635170603</v>
      </c>
      <c r="P54" s="49">
        <f>PRODUCT(D54,F54,1.15,1.25,I54,1.18,L54,N64)*100</f>
        <v>348.99197635135135</v>
      </c>
      <c r="Q54" s="86">
        <f>AVERAGE(N54:P54,N56:P56)</f>
        <v>318.18607090101909</v>
      </c>
      <c r="R54" s="34"/>
      <c r="S54" s="34"/>
    </row>
    <row r="55" spans="1:20">
      <c r="A55" s="34"/>
      <c r="B55" s="97"/>
      <c r="C55" s="99"/>
      <c r="D55" s="101"/>
      <c r="E55" s="84"/>
      <c r="F55" s="84"/>
      <c r="G55" s="84"/>
      <c r="H55" s="84"/>
      <c r="I55" s="84"/>
      <c r="J55" s="84"/>
      <c r="K55" s="84"/>
      <c r="L55" s="84"/>
      <c r="M55" s="84"/>
      <c r="N55" s="15" t="s">
        <v>56</v>
      </c>
      <c r="O55" s="15" t="s">
        <v>57</v>
      </c>
      <c r="P55" s="44" t="s">
        <v>58</v>
      </c>
      <c r="Q55" s="87"/>
      <c r="R55" s="34"/>
      <c r="S55" s="34"/>
    </row>
    <row r="56" spans="1:20">
      <c r="A56" s="34"/>
      <c r="B56" s="97"/>
      <c r="C56" s="99"/>
      <c r="D56" s="101"/>
      <c r="E56" s="84"/>
      <c r="F56" s="84"/>
      <c r="G56" s="84"/>
      <c r="H56" s="84"/>
      <c r="I56" s="84"/>
      <c r="J56" s="84"/>
      <c r="K56" s="84"/>
      <c r="L56" s="84"/>
      <c r="M56" s="84"/>
      <c r="N56" s="46">
        <f>PRODUCT(D54,F54,1.15,1.25,J54,1.18,L54)*100</f>
        <v>289.24455</v>
      </c>
      <c r="O56" s="46">
        <f>PRODUCT(D54,F54,1.15,1.25,J54,1.18,L54,O64)*100</f>
        <v>316.32168635170603</v>
      </c>
      <c r="P56" s="49">
        <f>PRODUCT(D54,F54,1.15,1.25,J54,1.18,L54,N64)*100</f>
        <v>348.99197635135135</v>
      </c>
      <c r="Q56" s="45" t="s">
        <v>65</v>
      </c>
      <c r="R56" s="34"/>
      <c r="S56" s="34"/>
    </row>
    <row r="57" spans="1:20">
      <c r="A57" s="34"/>
      <c r="B57" s="97"/>
      <c r="C57" s="99"/>
      <c r="D57" s="101"/>
      <c r="E57" s="84"/>
      <c r="F57" s="84"/>
      <c r="G57" s="84"/>
      <c r="H57" s="84"/>
      <c r="I57" s="84"/>
      <c r="J57" s="84"/>
      <c r="K57" s="84"/>
      <c r="L57" s="84"/>
      <c r="M57" s="84"/>
      <c r="N57" s="15" t="s">
        <v>61</v>
      </c>
      <c r="O57" s="15" t="s">
        <v>62</v>
      </c>
      <c r="P57" s="44" t="s">
        <v>63</v>
      </c>
      <c r="Q57" s="86">
        <f>AVERAGE(N58:P58)</f>
        <v>322.87017506490298</v>
      </c>
      <c r="R57" s="34"/>
      <c r="S57" s="34"/>
    </row>
    <row r="58" spans="1:20" ht="17.25" thickBot="1">
      <c r="A58" s="34"/>
      <c r="B58" s="98"/>
      <c r="C58" s="100"/>
      <c r="D58" s="102"/>
      <c r="E58" s="85"/>
      <c r="F58" s="85"/>
      <c r="G58" s="85"/>
      <c r="H58" s="85"/>
      <c r="I58" s="85"/>
      <c r="J58" s="85"/>
      <c r="K58" s="85"/>
      <c r="L58" s="85"/>
      <c r="M58" s="85"/>
      <c r="N58" s="27">
        <f>PRODUCT((E54+0.15),F54,(G54+0.25),K54,1.18,L54)*100</f>
        <v>293.50259812007999</v>
      </c>
      <c r="O58" s="27">
        <f>PRODUCT((E54+0.15),F54,(G54+0.25),K54,1.18,L54,O64)*100</f>
        <v>320.97834440078736</v>
      </c>
      <c r="P58" s="50">
        <f>PRODUCT((E54+0.15),F54,(G54+0.25),K54,1.18,L54,N64)*100</f>
        <v>354.12958267384164</v>
      </c>
      <c r="Q58" s="88"/>
      <c r="R58" s="34"/>
      <c r="S58" s="34"/>
    </row>
    <row r="59" spans="1:20">
      <c r="A59" s="34"/>
      <c r="B59" s="103" t="s">
        <v>13</v>
      </c>
      <c r="C59" s="48" t="s">
        <v>14</v>
      </c>
      <c r="D59" s="39" t="s">
        <v>15</v>
      </c>
      <c r="E59" s="40" t="s">
        <v>16</v>
      </c>
      <c r="F59" s="40" t="s">
        <v>17</v>
      </c>
      <c r="G59" s="40" t="s">
        <v>18</v>
      </c>
      <c r="H59" s="40" t="s">
        <v>19</v>
      </c>
      <c r="I59" s="41" t="s">
        <v>20</v>
      </c>
      <c r="J59" s="41" t="s">
        <v>21</v>
      </c>
      <c r="K59" s="41"/>
      <c r="L59" s="41"/>
      <c r="M59" s="41"/>
      <c r="N59" s="41"/>
      <c r="O59" s="41"/>
      <c r="P59" s="106" t="s">
        <v>22</v>
      </c>
      <c r="Q59" s="107"/>
      <c r="R59" s="34"/>
      <c r="S59" s="34"/>
    </row>
    <row r="60" spans="1:20" ht="17.25" thickBot="1">
      <c r="A60" s="34"/>
      <c r="B60" s="104"/>
      <c r="C60" s="108">
        <v>800</v>
      </c>
      <c r="D60" s="142">
        <f>C60*0.01717</f>
        <v>13.736000000000001</v>
      </c>
      <c r="E60" s="117">
        <v>13.8</v>
      </c>
      <c r="F60" s="117">
        <v>15</v>
      </c>
      <c r="G60" s="3">
        <f>MIN(SUM(D60,F60),40)</f>
        <v>28.736000000000001</v>
      </c>
      <c r="H60" s="3">
        <f>MIN(SUM(D60:F64),40)</f>
        <v>40</v>
      </c>
      <c r="I60" s="4">
        <f>MIN((G60+10),40)</f>
        <v>38.736000000000004</v>
      </c>
      <c r="J60" s="4">
        <f>MIN(SUM(E60,I60),40)</f>
        <v>40</v>
      </c>
      <c r="K60" s="4"/>
      <c r="L60" s="4"/>
      <c r="M60" s="4"/>
      <c r="N60" s="4"/>
      <c r="O60" s="4"/>
      <c r="P60" s="5">
        <f>MIN(G60:J60,40)</f>
        <v>28.736000000000001</v>
      </c>
      <c r="Q60" s="6">
        <f>MIN(MAX(G60:J60),40)</f>
        <v>40</v>
      </c>
      <c r="R60" s="34"/>
      <c r="S60" s="34"/>
    </row>
    <row r="61" spans="1:20">
      <c r="A61" s="34"/>
      <c r="B61" s="104"/>
      <c r="C61" s="109"/>
      <c r="D61" s="143"/>
      <c r="E61" s="118"/>
      <c r="F61" s="118"/>
      <c r="G61" s="15" t="s">
        <v>23</v>
      </c>
      <c r="H61" s="15" t="s">
        <v>24</v>
      </c>
      <c r="I61" s="19" t="s">
        <v>25</v>
      </c>
      <c r="J61" s="19" t="s">
        <v>21</v>
      </c>
      <c r="K61" s="19"/>
      <c r="L61" s="19"/>
      <c r="M61" s="19"/>
      <c r="N61" s="19"/>
      <c r="O61" s="19"/>
      <c r="P61" s="120" t="s">
        <v>26</v>
      </c>
      <c r="Q61" s="121"/>
      <c r="R61" s="34"/>
      <c r="S61" s="34"/>
    </row>
    <row r="62" spans="1:20" ht="17.25" thickBot="1">
      <c r="A62" s="34"/>
      <c r="B62" s="104"/>
      <c r="C62" s="109"/>
      <c r="D62" s="143"/>
      <c r="E62" s="118"/>
      <c r="F62" s="118"/>
      <c r="G62" s="7">
        <f>MIN(SUM(D60,F60))</f>
        <v>28.736000000000001</v>
      </c>
      <c r="H62" s="7">
        <f>MIN(SUM(D60:F64),40)</f>
        <v>40</v>
      </c>
      <c r="I62" s="8">
        <f>MIN((G62+10),40)</f>
        <v>38.736000000000004</v>
      </c>
      <c r="J62" s="8">
        <f>MIN(SUM(E60,I62),40)</f>
        <v>40</v>
      </c>
      <c r="K62" s="8"/>
      <c r="L62" s="8"/>
      <c r="M62" s="8"/>
      <c r="N62" s="8"/>
      <c r="O62" s="8"/>
      <c r="P62" s="9">
        <f>MIN(G62:J62,40)</f>
        <v>28.736000000000001</v>
      </c>
      <c r="Q62" s="10">
        <f>MIN(MAX(G62:J62),40)</f>
        <v>40</v>
      </c>
      <c r="R62" s="34"/>
      <c r="S62" s="34"/>
    </row>
    <row r="63" spans="1:20">
      <c r="B63" s="104"/>
      <c r="C63" s="109"/>
      <c r="D63" s="143"/>
      <c r="E63" s="118"/>
      <c r="F63" s="118"/>
      <c r="G63" s="15"/>
      <c r="H63" s="15"/>
      <c r="I63" s="15"/>
      <c r="J63" s="15"/>
      <c r="K63" s="15"/>
      <c r="L63" s="15"/>
      <c r="M63" s="15"/>
      <c r="N63" s="21" t="s">
        <v>54</v>
      </c>
      <c r="O63" s="22" t="s">
        <v>55</v>
      </c>
      <c r="P63" s="120" t="s">
        <v>27</v>
      </c>
      <c r="Q63" s="121"/>
    </row>
    <row r="64" spans="1:20" ht="17.25" thickBot="1">
      <c r="B64" s="105"/>
      <c r="C64" s="110"/>
      <c r="D64" s="144"/>
      <c r="E64" s="119"/>
      <c r="F64" s="119"/>
      <c r="G64" s="11"/>
      <c r="H64" s="11"/>
      <c r="I64" s="11"/>
      <c r="J64" s="11"/>
      <c r="K64" s="11"/>
      <c r="L64" s="11"/>
      <c r="M64" s="11"/>
      <c r="N64" s="26">
        <f>1/(1-P64/100)</f>
        <v>1.2065637065637065</v>
      </c>
      <c r="O64" s="25">
        <f>1/(1-P64/2/100)</f>
        <v>1.0936132983377078</v>
      </c>
      <c r="P64" s="122">
        <f>C60*0.0214</f>
        <v>17.119999999999997</v>
      </c>
      <c r="Q64" s="123"/>
    </row>
    <row r="65" spans="1:21" ht="17.25" thickBot="1">
      <c r="B65" s="111">
        <f>SUM(C51,C54,C60)</f>
        <v>2200</v>
      </c>
      <c r="C65" s="112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2"/>
    </row>
    <row r="67" spans="1:21" ht="17.25" thickBot="1"/>
    <row r="68" spans="1:21" ht="17.25" thickBot="1">
      <c r="A68" s="34"/>
      <c r="B68" s="114" t="s">
        <v>34</v>
      </c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6"/>
    </row>
    <row r="69" spans="1:21">
      <c r="A69" s="34"/>
      <c r="B69" s="91" t="s">
        <v>0</v>
      </c>
      <c r="C69" s="16" t="s">
        <v>1</v>
      </c>
      <c r="D69" s="12" t="s">
        <v>2</v>
      </c>
      <c r="E69" s="13" t="s">
        <v>3</v>
      </c>
      <c r="F69" s="13" t="s">
        <v>4</v>
      </c>
      <c r="G69" s="13" t="s">
        <v>5</v>
      </c>
      <c r="H69" s="13" t="s">
        <v>48</v>
      </c>
      <c r="I69" s="14" t="s">
        <v>44</v>
      </c>
      <c r="J69" s="14" t="s">
        <v>72</v>
      </c>
      <c r="K69" s="13"/>
      <c r="L69" s="15"/>
      <c r="M69" s="40"/>
      <c r="N69" s="14"/>
      <c r="O69" s="17" t="s">
        <v>42</v>
      </c>
      <c r="P69" s="18" t="s">
        <v>43</v>
      </c>
      <c r="Q69" s="18" t="s">
        <v>6</v>
      </c>
    </row>
    <row r="70" spans="1:21">
      <c r="A70" s="34"/>
      <c r="B70" s="92"/>
      <c r="C70" s="124">
        <v>600</v>
      </c>
      <c r="D70" s="126">
        <f>C70*0.03578</f>
        <v>21.468</v>
      </c>
      <c r="E70" s="82">
        <v>10</v>
      </c>
      <c r="F70" s="82">
        <v>7</v>
      </c>
      <c r="G70" s="82">
        <v>25</v>
      </c>
      <c r="H70" s="82">
        <v>10</v>
      </c>
      <c r="I70" s="82">
        <v>20</v>
      </c>
      <c r="J70" s="82">
        <v>28</v>
      </c>
      <c r="K70" s="82"/>
      <c r="L70" s="128"/>
      <c r="M70" s="32"/>
      <c r="N70" s="82"/>
      <c r="O70" s="89">
        <f>SUM(D70,E70,F70,G70,H70,J70)</f>
        <v>101.468</v>
      </c>
      <c r="P70" s="94">
        <f>SUM(D70,E70,F70,G70,I70,J70)</f>
        <v>111.468</v>
      </c>
      <c r="Q70" s="94">
        <f>SUM(D70:F71,J70)</f>
        <v>66.468000000000004</v>
      </c>
    </row>
    <row r="71" spans="1:21" ht="17.25" thickBot="1">
      <c r="A71" s="34"/>
      <c r="B71" s="93"/>
      <c r="C71" s="125"/>
      <c r="D71" s="127"/>
      <c r="E71" s="83"/>
      <c r="F71" s="83"/>
      <c r="G71" s="83"/>
      <c r="H71" s="83"/>
      <c r="I71" s="83"/>
      <c r="J71" s="83"/>
      <c r="K71" s="83"/>
      <c r="L71" s="129"/>
      <c r="M71" s="47"/>
      <c r="N71" s="83"/>
      <c r="O71" s="90"/>
      <c r="P71" s="95"/>
      <c r="Q71" s="95"/>
    </row>
    <row r="72" spans="1:21">
      <c r="A72" s="34"/>
      <c r="B72" s="96" t="s">
        <v>7</v>
      </c>
      <c r="C72" s="16" t="s">
        <v>8</v>
      </c>
      <c r="D72" s="51" t="s">
        <v>68</v>
      </c>
      <c r="E72" s="42" t="s">
        <v>9</v>
      </c>
      <c r="F72" s="42" t="s">
        <v>10</v>
      </c>
      <c r="G72" s="42" t="s">
        <v>11</v>
      </c>
      <c r="H72" s="42" t="s">
        <v>72</v>
      </c>
      <c r="I72" s="42" t="s">
        <v>50</v>
      </c>
      <c r="J72" s="42" t="s">
        <v>49</v>
      </c>
      <c r="K72" s="42" t="s">
        <v>51</v>
      </c>
      <c r="L72" s="42" t="s">
        <v>67</v>
      </c>
      <c r="M72" s="42"/>
      <c r="N72" s="42" t="s">
        <v>47</v>
      </c>
      <c r="O72" s="42" t="s">
        <v>52</v>
      </c>
      <c r="P72" s="43" t="s">
        <v>53</v>
      </c>
      <c r="Q72" s="20" t="s">
        <v>70</v>
      </c>
    </row>
    <row r="73" spans="1:21" ht="17.25" thickBot="1">
      <c r="A73" s="34"/>
      <c r="B73" s="97"/>
      <c r="C73" s="99">
        <v>1600</v>
      </c>
      <c r="D73" s="101">
        <f>C73*0.02145/100+1</f>
        <v>1.3431999999999999</v>
      </c>
      <c r="E73" s="84">
        <f>C73*0.03576/100+1</f>
        <v>1.57216</v>
      </c>
      <c r="F73" s="84">
        <f>20/100+1</f>
        <v>1.2</v>
      </c>
      <c r="G73" s="84">
        <f>10/100+1</f>
        <v>1.1000000000000001</v>
      </c>
      <c r="H73" s="84">
        <f>1.35</f>
        <v>1.35</v>
      </c>
      <c r="I73" s="84">
        <f>MIN(O70,100)*0.225/100+1</f>
        <v>1.2250000000000001</v>
      </c>
      <c r="J73" s="84">
        <f>MIN(P70,100)*0.225/100+1</f>
        <v>1.2250000000000001</v>
      </c>
      <c r="K73" s="84">
        <f>MIN(Q70,100)*0.225/100+1</f>
        <v>1.149553</v>
      </c>
      <c r="L73" s="84">
        <f>16/100+1</f>
        <v>1.1599999999999999</v>
      </c>
      <c r="M73" s="84"/>
      <c r="N73" s="46">
        <f>PRODUCT(D73,F73,H73,I73,L73)*100</f>
        <v>309.20732640000006</v>
      </c>
      <c r="O73" s="46">
        <f>PRODUCT(D73,F73,H73,I73,L73,O83)*100</f>
        <v>309.20732640000006</v>
      </c>
      <c r="P73" s="49">
        <f>PRODUCT(D73,F73,H73,I73,L73,N83)*100</f>
        <v>309.20732640000006</v>
      </c>
      <c r="Q73" s="86">
        <f>AVERAGE(N73:P73,N75:P75)</f>
        <v>309.20732640000006</v>
      </c>
    </row>
    <row r="74" spans="1:21">
      <c r="A74" s="34"/>
      <c r="B74" s="97"/>
      <c r="C74" s="99"/>
      <c r="D74" s="101"/>
      <c r="E74" s="84"/>
      <c r="F74" s="84"/>
      <c r="G74" s="84"/>
      <c r="H74" s="84"/>
      <c r="I74" s="84"/>
      <c r="J74" s="84"/>
      <c r="K74" s="84"/>
      <c r="L74" s="84"/>
      <c r="M74" s="84"/>
      <c r="N74" s="15" t="s">
        <v>56</v>
      </c>
      <c r="O74" s="15" t="s">
        <v>57</v>
      </c>
      <c r="P74" s="44" t="s">
        <v>58</v>
      </c>
      <c r="Q74" s="87"/>
      <c r="T74" s="23" t="s">
        <v>41</v>
      </c>
      <c r="U74" s="24" t="s">
        <v>38</v>
      </c>
    </row>
    <row r="75" spans="1:21" ht="17.25" thickBot="1">
      <c r="A75" s="34"/>
      <c r="B75" s="97"/>
      <c r="C75" s="99"/>
      <c r="D75" s="101"/>
      <c r="E75" s="84"/>
      <c r="F75" s="84"/>
      <c r="G75" s="84"/>
      <c r="H75" s="84"/>
      <c r="I75" s="84"/>
      <c r="J75" s="84"/>
      <c r="K75" s="84"/>
      <c r="L75" s="84"/>
      <c r="M75" s="84"/>
      <c r="N75" s="46">
        <f>PRODUCT(D73,F73,H73,J73,L73)*100</f>
        <v>309.20732640000006</v>
      </c>
      <c r="O75" s="46">
        <f>PRODUCT(D73,F73,H73,J73,L73,O83)*100</f>
        <v>309.20732640000006</v>
      </c>
      <c r="P75" s="49">
        <f>PRODUCT(D73,F73,H73,J73,L73,N83)*100</f>
        <v>309.20732640000006</v>
      </c>
      <c r="Q75" s="45" t="s">
        <v>65</v>
      </c>
      <c r="T75" s="36" t="e">
        <f>PRODUCT(#REF!,#REF!,#REF!,#REF!,#REF!,#REF!,#REF!,#REF!)*100</f>
        <v>#REF!</v>
      </c>
      <c r="U75" s="37" t="e">
        <f>PRODUCT(#REF!,#REF!,#REF!,#REF!,#REF!,#REF!,#REF!,#REF!)*100</f>
        <v>#REF!</v>
      </c>
    </row>
    <row r="76" spans="1:21">
      <c r="A76" s="34"/>
      <c r="B76" s="97"/>
      <c r="C76" s="99"/>
      <c r="D76" s="101"/>
      <c r="E76" s="84"/>
      <c r="F76" s="84"/>
      <c r="G76" s="84"/>
      <c r="H76" s="84"/>
      <c r="I76" s="84"/>
      <c r="J76" s="84"/>
      <c r="K76" s="84"/>
      <c r="L76" s="84"/>
      <c r="M76" s="84"/>
      <c r="N76" s="15" t="s">
        <v>61</v>
      </c>
      <c r="O76" s="15" t="s">
        <v>62</v>
      </c>
      <c r="P76" s="44" t="s">
        <v>63</v>
      </c>
      <c r="Q76" s="86">
        <f>AVERAGE(N77:P77)</f>
        <v>364.7816463858432</v>
      </c>
      <c r="T76" s="28"/>
      <c r="U76" s="29"/>
    </row>
    <row r="77" spans="1:21" ht="17.25" thickBot="1">
      <c r="A77" s="34"/>
      <c r="B77" s="98"/>
      <c r="C77" s="100"/>
      <c r="D77" s="102"/>
      <c r="E77" s="85"/>
      <c r="F77" s="85"/>
      <c r="G77" s="85"/>
      <c r="H77" s="85"/>
      <c r="I77" s="85"/>
      <c r="J77" s="85"/>
      <c r="K77" s="85"/>
      <c r="L77" s="85"/>
      <c r="M77" s="85"/>
      <c r="N77" s="27">
        <f>PRODUCT(E73,F73,(G73+0.35),K73,L73)*100</f>
        <v>364.7816463858432</v>
      </c>
      <c r="O77" s="27">
        <f>PRODUCT(E73,F73,(G73+0.35),K73,L73,O83)*100</f>
        <v>364.7816463858432</v>
      </c>
      <c r="P77" s="50">
        <f>PRODUCT(E73,F73,(G73+0.35),K73,L73,N83)*100</f>
        <v>364.7816463858432</v>
      </c>
      <c r="Q77" s="88"/>
      <c r="T77" s="30"/>
      <c r="U77" s="31"/>
    </row>
    <row r="78" spans="1:21">
      <c r="A78" s="34"/>
      <c r="B78" s="103" t="s">
        <v>13</v>
      </c>
      <c r="C78" s="48" t="s">
        <v>14</v>
      </c>
      <c r="D78" s="39" t="s">
        <v>15</v>
      </c>
      <c r="E78" s="40" t="s">
        <v>16</v>
      </c>
      <c r="F78" s="40" t="s">
        <v>17</v>
      </c>
      <c r="G78" s="40" t="s">
        <v>18</v>
      </c>
      <c r="H78" s="40" t="s">
        <v>19</v>
      </c>
      <c r="I78" s="41" t="s">
        <v>20</v>
      </c>
      <c r="J78" s="41" t="s">
        <v>21</v>
      </c>
      <c r="K78" s="41"/>
      <c r="L78" s="41"/>
      <c r="M78" s="41"/>
      <c r="N78" s="41"/>
      <c r="O78" s="41"/>
      <c r="P78" s="106" t="s">
        <v>22</v>
      </c>
      <c r="Q78" s="107"/>
    </row>
    <row r="79" spans="1:21" ht="17.25" thickBot="1">
      <c r="A79" s="34"/>
      <c r="B79" s="104"/>
      <c r="C79" s="108">
        <v>0</v>
      </c>
      <c r="D79" s="142">
        <f>C79*0.01717</f>
        <v>0</v>
      </c>
      <c r="E79" s="117">
        <v>13.8</v>
      </c>
      <c r="F79" s="117">
        <v>15</v>
      </c>
      <c r="G79" s="3">
        <f>MIN(SUM(D79,F79),40)</f>
        <v>15</v>
      </c>
      <c r="H79" s="3">
        <f>MIN(SUM(D79:F83),40)</f>
        <v>28.8</v>
      </c>
      <c r="I79" s="4">
        <f>MIN((G79+10),40)</f>
        <v>25</v>
      </c>
      <c r="J79" s="4">
        <f>MIN(SUM(E79,I79),40)</f>
        <v>38.799999999999997</v>
      </c>
      <c r="K79" s="4"/>
      <c r="L79" s="4"/>
      <c r="M79" s="4"/>
      <c r="N79" s="4"/>
      <c r="O79" s="4"/>
      <c r="P79" s="5">
        <f>MIN(G79:J79,40)</f>
        <v>15</v>
      </c>
      <c r="Q79" s="6">
        <f>MIN(MAX(G79:J79),40)</f>
        <v>38.799999999999997</v>
      </c>
    </row>
    <row r="80" spans="1:21">
      <c r="A80" s="34"/>
      <c r="B80" s="104"/>
      <c r="C80" s="109"/>
      <c r="D80" s="143"/>
      <c r="E80" s="118"/>
      <c r="F80" s="118"/>
      <c r="G80" s="15" t="s">
        <v>23</v>
      </c>
      <c r="H80" s="15" t="s">
        <v>24</v>
      </c>
      <c r="I80" s="19" t="s">
        <v>25</v>
      </c>
      <c r="J80" s="19" t="s">
        <v>21</v>
      </c>
      <c r="K80" s="19"/>
      <c r="L80" s="19"/>
      <c r="M80" s="19"/>
      <c r="N80" s="19"/>
      <c r="O80" s="19"/>
      <c r="P80" s="120" t="s">
        <v>26</v>
      </c>
      <c r="Q80" s="121"/>
    </row>
    <row r="81" spans="1:17" ht="17.25" thickBot="1">
      <c r="A81" s="34"/>
      <c r="B81" s="104"/>
      <c r="C81" s="109"/>
      <c r="D81" s="143"/>
      <c r="E81" s="118"/>
      <c r="F81" s="118"/>
      <c r="G81" s="7">
        <f>MIN(SUM(D79,F79))</f>
        <v>15</v>
      </c>
      <c r="H81" s="7">
        <f>MIN(SUM(D79:F83),40)</f>
        <v>28.8</v>
      </c>
      <c r="I81" s="8">
        <f>MIN((G81+10),40)</f>
        <v>25</v>
      </c>
      <c r="J81" s="8">
        <f>MIN(SUM(E79,I81),40)</f>
        <v>38.799999999999997</v>
      </c>
      <c r="K81" s="8"/>
      <c r="L81" s="8"/>
      <c r="M81" s="8"/>
      <c r="N81" s="8"/>
      <c r="O81" s="8"/>
      <c r="P81" s="9">
        <f>MIN(G81:J81,40)</f>
        <v>15</v>
      </c>
      <c r="Q81" s="10">
        <f>MIN(MAX(G81:J81),40)</f>
        <v>38.799999999999997</v>
      </c>
    </row>
    <row r="82" spans="1:17">
      <c r="B82" s="104"/>
      <c r="C82" s="109"/>
      <c r="D82" s="143"/>
      <c r="E82" s="118"/>
      <c r="F82" s="118"/>
      <c r="G82" s="15"/>
      <c r="H82" s="15"/>
      <c r="I82" s="15"/>
      <c r="J82" s="15"/>
      <c r="K82" s="15"/>
      <c r="L82" s="15"/>
      <c r="M82" s="15"/>
      <c r="N82" s="21" t="s">
        <v>54</v>
      </c>
      <c r="O82" s="22" t="s">
        <v>55</v>
      </c>
      <c r="P82" s="120" t="s">
        <v>27</v>
      </c>
      <c r="Q82" s="121"/>
    </row>
    <row r="83" spans="1:17" ht="17.25" thickBot="1">
      <c r="B83" s="105"/>
      <c r="C83" s="110"/>
      <c r="D83" s="144"/>
      <c r="E83" s="119"/>
      <c r="F83" s="119"/>
      <c r="G83" s="11"/>
      <c r="H83" s="11"/>
      <c r="I83" s="11"/>
      <c r="J83" s="11"/>
      <c r="K83" s="11"/>
      <c r="L83" s="11"/>
      <c r="M83" s="11"/>
      <c r="N83" s="26">
        <f>1/(1-P83/100)</f>
        <v>1</v>
      </c>
      <c r="O83" s="25">
        <f>1/(1-P83/2/100)</f>
        <v>1</v>
      </c>
      <c r="P83" s="122">
        <f>C79*0.0214</f>
        <v>0</v>
      </c>
      <c r="Q83" s="123"/>
    </row>
    <row r="84" spans="1:17" ht="17.25" thickBot="1">
      <c r="B84" s="114">
        <f>SUM(C70,C73,C79)</f>
        <v>2200</v>
      </c>
      <c r="C84" s="116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6"/>
    </row>
    <row r="86" spans="1:17" ht="17.25" thickBot="1"/>
    <row r="87" spans="1:17" ht="17.25" thickBot="1">
      <c r="B87" s="148" t="s">
        <v>39</v>
      </c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50"/>
    </row>
    <row r="88" spans="1:17">
      <c r="B88" s="91" t="s">
        <v>0</v>
      </c>
      <c r="C88" s="16" t="s">
        <v>1</v>
      </c>
      <c r="D88" s="12" t="s">
        <v>2</v>
      </c>
      <c r="E88" s="13" t="s">
        <v>3</v>
      </c>
      <c r="F88" s="13" t="s">
        <v>4</v>
      </c>
      <c r="G88" s="13" t="s">
        <v>5</v>
      </c>
      <c r="H88" s="13" t="s">
        <v>48</v>
      </c>
      <c r="I88" s="14" t="s">
        <v>44</v>
      </c>
      <c r="J88" s="14"/>
      <c r="K88" s="13"/>
      <c r="L88" s="15"/>
      <c r="M88" s="40"/>
      <c r="N88" s="14"/>
      <c r="O88" s="17" t="s">
        <v>42</v>
      </c>
      <c r="P88" s="18" t="s">
        <v>43</v>
      </c>
      <c r="Q88" s="18" t="s">
        <v>6</v>
      </c>
    </row>
    <row r="89" spans="1:17">
      <c r="B89" s="92"/>
      <c r="C89" s="124">
        <v>1400</v>
      </c>
      <c r="D89" s="126">
        <f>C89*0.03578</f>
        <v>50.091999999999999</v>
      </c>
      <c r="E89" s="82">
        <v>10</v>
      </c>
      <c r="F89" s="82">
        <v>7</v>
      </c>
      <c r="G89" s="82">
        <v>25</v>
      </c>
      <c r="H89" s="82">
        <v>10</v>
      </c>
      <c r="I89" s="82">
        <v>20</v>
      </c>
      <c r="J89" s="82"/>
      <c r="K89" s="82"/>
      <c r="L89" s="128"/>
      <c r="M89" s="32"/>
      <c r="N89" s="82"/>
      <c r="O89" s="89">
        <f>SUM(D89,E89,F89,G89,H89)</f>
        <v>102.092</v>
      </c>
      <c r="P89" s="94">
        <f>SUM(D89,E89,F89,G89,I89)</f>
        <v>112.092</v>
      </c>
      <c r="Q89" s="94">
        <f>SUM(D89:F90)</f>
        <v>67.091999999999999</v>
      </c>
    </row>
    <row r="90" spans="1:17" ht="17.25" thickBot="1">
      <c r="B90" s="93"/>
      <c r="C90" s="125"/>
      <c r="D90" s="127"/>
      <c r="E90" s="83"/>
      <c r="F90" s="83"/>
      <c r="G90" s="83"/>
      <c r="H90" s="83"/>
      <c r="I90" s="83"/>
      <c r="J90" s="83"/>
      <c r="K90" s="83"/>
      <c r="L90" s="129"/>
      <c r="M90" s="47"/>
      <c r="N90" s="83"/>
      <c r="O90" s="90"/>
      <c r="P90" s="95"/>
      <c r="Q90" s="95"/>
    </row>
    <row r="91" spans="1:17">
      <c r="B91" s="96" t="s">
        <v>7</v>
      </c>
      <c r="C91" s="16" t="s">
        <v>8</v>
      </c>
      <c r="D91" s="51" t="s">
        <v>68</v>
      </c>
      <c r="E91" s="42" t="s">
        <v>9</v>
      </c>
      <c r="F91" s="42" t="s">
        <v>10</v>
      </c>
      <c r="G91" s="42" t="s">
        <v>11</v>
      </c>
      <c r="H91" s="42" t="s">
        <v>66</v>
      </c>
      <c r="I91" s="42" t="s">
        <v>50</v>
      </c>
      <c r="J91" s="42" t="s">
        <v>49</v>
      </c>
      <c r="K91" s="42" t="s">
        <v>51</v>
      </c>
      <c r="L91" s="42" t="s">
        <v>67</v>
      </c>
      <c r="M91" s="42"/>
      <c r="N91" s="42" t="s">
        <v>47</v>
      </c>
      <c r="O91" s="42" t="s">
        <v>52</v>
      </c>
      <c r="P91" s="43" t="s">
        <v>53</v>
      </c>
      <c r="Q91" s="20" t="s">
        <v>70</v>
      </c>
    </row>
    <row r="92" spans="1:17">
      <c r="B92" s="97"/>
      <c r="C92" s="99">
        <v>0</v>
      </c>
      <c r="D92" s="101">
        <f>C92*0.02145/100+1</f>
        <v>1</v>
      </c>
      <c r="E92" s="84">
        <f>C92*0.03576/100+1</f>
        <v>1</v>
      </c>
      <c r="F92" s="84">
        <f>20/100+1</f>
        <v>1.2</v>
      </c>
      <c r="G92" s="84">
        <f>10/100+1</f>
        <v>1.1000000000000001</v>
      </c>
      <c r="H92" s="84">
        <f>1.15*1.18*1.25</f>
        <v>1.6962499999999996</v>
      </c>
      <c r="I92" s="84">
        <f>MIN(O89,100)*0.225/100+1</f>
        <v>1.2250000000000001</v>
      </c>
      <c r="J92" s="84">
        <f>MIN(P89,100)*0.225/100+1</f>
        <v>1.2250000000000001</v>
      </c>
      <c r="K92" s="84">
        <f>MIN(Q89,100)*0.225/100+1</f>
        <v>1.150957</v>
      </c>
      <c r="L92" s="84">
        <f>16/100+1</f>
        <v>1.1599999999999999</v>
      </c>
      <c r="M92" s="84"/>
      <c r="N92" s="46">
        <f>PRODUCT(D92,F92,1.15,1.25,I92,1.18,L92,M98)*100</f>
        <v>307.12333412459998</v>
      </c>
      <c r="O92" s="46">
        <f>PRODUCT(D92,F92,1.15,1.25,I92,1.18,L92,N98,O102)*100</f>
        <v>358.14257650426504</v>
      </c>
      <c r="P92" s="49">
        <f>PRODUCT(D92,F92,1.15,1.25,I92,1.18,L92,O98,N102)*100</f>
        <v>411.81053209459452</v>
      </c>
      <c r="Q92" s="86">
        <f>AVERAGE(N92:P92,N94:P94)</f>
        <v>359.02548090781983</v>
      </c>
    </row>
    <row r="93" spans="1:17">
      <c r="B93" s="97"/>
      <c r="C93" s="99"/>
      <c r="D93" s="101"/>
      <c r="E93" s="84"/>
      <c r="F93" s="84"/>
      <c r="G93" s="84"/>
      <c r="H93" s="84"/>
      <c r="I93" s="84"/>
      <c r="J93" s="84"/>
      <c r="K93" s="84"/>
      <c r="L93" s="84"/>
      <c r="M93" s="84"/>
      <c r="N93" s="15" t="s">
        <v>56</v>
      </c>
      <c r="O93" s="15" t="s">
        <v>57</v>
      </c>
      <c r="P93" s="44" t="s">
        <v>58</v>
      </c>
      <c r="Q93" s="87"/>
    </row>
    <row r="94" spans="1:17">
      <c r="B94" s="97"/>
      <c r="C94" s="99"/>
      <c r="D94" s="101"/>
      <c r="E94" s="84"/>
      <c r="F94" s="84"/>
      <c r="G94" s="84"/>
      <c r="H94" s="84"/>
      <c r="I94" s="84"/>
      <c r="J94" s="84"/>
      <c r="K94" s="84"/>
      <c r="L94" s="84"/>
      <c r="M94" s="84"/>
      <c r="N94" s="46">
        <f>PRODUCT(D92,F92,1.15,1.25,J92,1.18,L92,M98)*100</f>
        <v>307.12333412459998</v>
      </c>
      <c r="O94" s="46">
        <f>PRODUCT(D92,F92,1.15,1.25,J92,1.18,L92,N98,O102)*100</f>
        <v>358.14257650426504</v>
      </c>
      <c r="P94" s="49">
        <f>PRODUCT(D92,F92,1.15,1.25,J92,1.18,L92,O98,N102)*100</f>
        <v>411.81053209459452</v>
      </c>
      <c r="Q94" s="45" t="s">
        <v>65</v>
      </c>
    </row>
    <row r="95" spans="1:17">
      <c r="B95" s="97"/>
      <c r="C95" s="99"/>
      <c r="D95" s="101"/>
      <c r="E95" s="84"/>
      <c r="F95" s="84"/>
      <c r="G95" s="84"/>
      <c r="H95" s="84"/>
      <c r="I95" s="84"/>
      <c r="J95" s="84"/>
      <c r="K95" s="84"/>
      <c r="L95" s="84"/>
      <c r="M95" s="84"/>
      <c r="N95" s="15" t="s">
        <v>61</v>
      </c>
      <c r="O95" s="15" t="s">
        <v>62</v>
      </c>
      <c r="P95" s="44" t="s">
        <v>63</v>
      </c>
      <c r="Q95" s="86">
        <f>AVERAGE(N96:P96)</f>
        <v>364.3107931947423</v>
      </c>
    </row>
    <row r="96" spans="1:17" ht="17.25" thickBot="1">
      <c r="B96" s="98"/>
      <c r="C96" s="100"/>
      <c r="D96" s="102"/>
      <c r="E96" s="85"/>
      <c r="F96" s="85"/>
      <c r="G96" s="85"/>
      <c r="H96" s="85"/>
      <c r="I96" s="85"/>
      <c r="J96" s="85"/>
      <c r="K96" s="85"/>
      <c r="L96" s="85"/>
      <c r="M96" s="85"/>
      <c r="N96" s="27">
        <f>PRODUCT((E92+0.15),F92,(G92+0.25),K92,1.18,L92,M98)*100</f>
        <v>311.64458071507835</v>
      </c>
      <c r="O96" s="27">
        <f>PRODUCT((E92+0.15),F92,(G92+0.25),K92,1.18,L92,N98,O102)*100</f>
        <v>363.41489131401545</v>
      </c>
      <c r="P96" s="50">
        <f>PRODUCT((E92+0.15),F92,(G92+0.25),K92,1.18,L92,O98,N102)*100</f>
        <v>417.87290755513311</v>
      </c>
      <c r="Q96" s="88"/>
    </row>
    <row r="97" spans="2:17">
      <c r="B97" s="103" t="s">
        <v>13</v>
      </c>
      <c r="C97" s="48" t="s">
        <v>14</v>
      </c>
      <c r="D97" s="39" t="s">
        <v>15</v>
      </c>
      <c r="E97" s="40" t="s">
        <v>16</v>
      </c>
      <c r="F97" s="40"/>
      <c r="G97" s="40" t="s">
        <v>18</v>
      </c>
      <c r="H97" s="40" t="s">
        <v>19</v>
      </c>
      <c r="I97" s="41" t="s">
        <v>74</v>
      </c>
      <c r="J97" s="41" t="s">
        <v>20</v>
      </c>
      <c r="K97" s="41" t="s">
        <v>21</v>
      </c>
      <c r="L97" s="41" t="s">
        <v>75</v>
      </c>
      <c r="M97" s="41" t="s">
        <v>77</v>
      </c>
      <c r="N97" s="41" t="s">
        <v>78</v>
      </c>
      <c r="O97" s="41" t="s">
        <v>79</v>
      </c>
      <c r="P97" s="106" t="s">
        <v>22</v>
      </c>
      <c r="Q97" s="107"/>
    </row>
    <row r="98" spans="2:17" ht="17.25" thickBot="1">
      <c r="B98" s="104"/>
      <c r="C98" s="108">
        <v>800</v>
      </c>
      <c r="D98" s="142">
        <f>C98*0.01717</f>
        <v>13.736000000000001</v>
      </c>
      <c r="E98" s="117">
        <v>13.8</v>
      </c>
      <c r="F98" s="117"/>
      <c r="G98" s="3">
        <f>MIN(SUM(D98,F98),40)</f>
        <v>13.736000000000001</v>
      </c>
      <c r="H98" s="3">
        <f>MIN(SUM(D98:F102),40)</f>
        <v>27.536000000000001</v>
      </c>
      <c r="I98" s="4">
        <f>MIN(G98+20,40)</f>
        <v>33.736000000000004</v>
      </c>
      <c r="J98" s="4">
        <f>MIN((G98+10),40)</f>
        <v>23.736000000000001</v>
      </c>
      <c r="K98" s="4">
        <f>MIN(SUM(E98,J98),40)</f>
        <v>37.536000000000001</v>
      </c>
      <c r="L98" s="4">
        <f>MIN(J98+20,40)</f>
        <v>40</v>
      </c>
      <c r="M98" s="54">
        <f>MIN(G102,1.18)</f>
        <v>1.061812</v>
      </c>
      <c r="N98" s="54">
        <f>MIN(AVERAGE(G102:L102),1.18)</f>
        <v>1.1322099999999999</v>
      </c>
      <c r="O98" s="54">
        <f>MIN(MAX(G102:L102),1.18)</f>
        <v>1.18</v>
      </c>
      <c r="P98" s="5">
        <f>MIN(G98,40)</f>
        <v>13.736000000000001</v>
      </c>
      <c r="Q98" s="6">
        <f>MIN(MAX(G98:L98),40)</f>
        <v>40</v>
      </c>
    </row>
    <row r="99" spans="2:17">
      <c r="B99" s="104"/>
      <c r="C99" s="109"/>
      <c r="D99" s="143"/>
      <c r="E99" s="118"/>
      <c r="F99" s="118"/>
      <c r="G99" s="15" t="s">
        <v>23</v>
      </c>
      <c r="H99" s="15" t="s">
        <v>24</v>
      </c>
      <c r="I99" s="19"/>
      <c r="J99" s="19" t="s">
        <v>25</v>
      </c>
      <c r="K99" s="19" t="s">
        <v>21</v>
      </c>
      <c r="L99" s="19"/>
      <c r="M99" s="19"/>
      <c r="N99" s="19"/>
      <c r="O99" s="19"/>
      <c r="P99" s="120" t="s">
        <v>26</v>
      </c>
      <c r="Q99" s="121"/>
    </row>
    <row r="100" spans="2:17" ht="17.25" thickBot="1">
      <c r="B100" s="104"/>
      <c r="C100" s="109"/>
      <c r="D100" s="143"/>
      <c r="E100" s="118"/>
      <c r="F100" s="118"/>
      <c r="G100" s="7">
        <f>MIN(SUM(D98,F98))</f>
        <v>13.736000000000001</v>
      </c>
      <c r="H100" s="7">
        <f>MIN(SUM(D98:F102),40)</f>
        <v>27.536000000000001</v>
      </c>
      <c r="I100" s="8"/>
      <c r="J100" s="8">
        <f>MIN((G100+10),40)</f>
        <v>23.736000000000001</v>
      </c>
      <c r="K100" s="8">
        <f>MIN(SUM(E98,J100),40)</f>
        <v>37.536000000000001</v>
      </c>
      <c r="L100" s="8"/>
      <c r="M100" s="8"/>
      <c r="N100" s="8"/>
      <c r="O100" s="8"/>
      <c r="P100" s="9">
        <f>MIN(G100:K100,40)</f>
        <v>13.736000000000001</v>
      </c>
      <c r="Q100" s="10">
        <f>MIN(MAX(G100:K100),40)</f>
        <v>37.536000000000001</v>
      </c>
    </row>
    <row r="101" spans="2:17">
      <c r="B101" s="104"/>
      <c r="C101" s="109"/>
      <c r="D101" s="143"/>
      <c r="E101" s="118"/>
      <c r="F101" s="118"/>
      <c r="G101" s="152" t="s">
        <v>76</v>
      </c>
      <c r="H101" s="153"/>
      <c r="I101" s="153"/>
      <c r="J101" s="153"/>
      <c r="K101" s="153"/>
      <c r="L101" s="154"/>
      <c r="M101" s="15"/>
      <c r="N101" s="21" t="s">
        <v>54</v>
      </c>
      <c r="O101" s="22" t="s">
        <v>55</v>
      </c>
      <c r="P101" s="120" t="s">
        <v>27</v>
      </c>
      <c r="Q101" s="121"/>
    </row>
    <row r="102" spans="2:17" ht="17.25" thickBot="1">
      <c r="B102" s="105"/>
      <c r="C102" s="110"/>
      <c r="D102" s="144"/>
      <c r="E102" s="119"/>
      <c r="F102" s="119"/>
      <c r="G102" s="53">
        <f t="shared" ref="G102:L102" si="0">G98*45%/100+1</f>
        <v>1.061812</v>
      </c>
      <c r="H102" s="53">
        <f t="shared" si="0"/>
        <v>1.123912</v>
      </c>
      <c r="I102" s="53">
        <f t="shared" si="0"/>
        <v>1.1518120000000001</v>
      </c>
      <c r="J102" s="53">
        <f t="shared" si="0"/>
        <v>1.1068119999999999</v>
      </c>
      <c r="K102" s="53">
        <f t="shared" si="0"/>
        <v>1.168912</v>
      </c>
      <c r="L102" s="53">
        <f t="shared" si="0"/>
        <v>1.18</v>
      </c>
      <c r="M102" s="11"/>
      <c r="N102" s="26">
        <f>1/(1-P102/100)</f>
        <v>1.2065637065637065</v>
      </c>
      <c r="O102" s="25">
        <f>1/(1-P102/2/100)</f>
        <v>1.0936132983377078</v>
      </c>
      <c r="P102" s="122">
        <f>C98*0.0214</f>
        <v>17.119999999999997</v>
      </c>
      <c r="Q102" s="123"/>
    </row>
    <row r="103" spans="2:17" ht="17.25" thickBot="1">
      <c r="B103" s="148">
        <f>SUM(C89,C92,C98)</f>
        <v>2200</v>
      </c>
      <c r="C103" s="150"/>
      <c r="D103" s="149" t="s">
        <v>80</v>
      </c>
      <c r="E103" s="149"/>
      <c r="F103" s="151"/>
      <c r="G103" s="151"/>
      <c r="H103" s="151"/>
      <c r="I103" s="151"/>
      <c r="J103" s="151"/>
      <c r="K103" s="151"/>
      <c r="L103" s="151"/>
      <c r="M103" s="151"/>
      <c r="N103" s="151"/>
      <c r="O103" s="149"/>
      <c r="P103" s="149"/>
      <c r="Q103" s="150"/>
    </row>
    <row r="104" spans="2:17" s="38" customFormat="1">
      <c r="B104" s="58"/>
      <c r="C104" s="59"/>
      <c r="D104" s="59"/>
      <c r="E104" s="59"/>
      <c r="F104" s="155" t="s">
        <v>93</v>
      </c>
      <c r="G104" s="155"/>
      <c r="H104" s="155"/>
      <c r="I104" s="155"/>
      <c r="J104" s="155"/>
      <c r="K104" s="155"/>
      <c r="L104" s="155"/>
      <c r="M104" s="155"/>
      <c r="N104" s="155"/>
      <c r="O104" s="59"/>
      <c r="P104" s="59"/>
      <c r="Q104" s="60"/>
    </row>
    <row r="105" spans="2:17" s="38" customFormat="1">
      <c r="B105" s="58"/>
      <c r="C105" s="59"/>
      <c r="D105" s="59"/>
      <c r="E105" s="59"/>
      <c r="F105" s="56" t="s">
        <v>91</v>
      </c>
      <c r="G105" s="57">
        <f t="shared" ref="G105:L105" si="1">G98*45%/100</f>
        <v>6.1812000000000006E-2</v>
      </c>
      <c r="H105" s="57">
        <f t="shared" si="1"/>
        <v>0.12391200000000001</v>
      </c>
      <c r="I105" s="57">
        <f t="shared" si="1"/>
        <v>0.15181200000000003</v>
      </c>
      <c r="J105" s="57">
        <f t="shared" si="1"/>
        <v>0.106812</v>
      </c>
      <c r="K105" s="57">
        <f t="shared" si="1"/>
        <v>0.16891200000000001</v>
      </c>
      <c r="L105" s="57">
        <f t="shared" si="1"/>
        <v>0.18</v>
      </c>
      <c r="M105" s="56"/>
      <c r="N105" s="56"/>
      <c r="O105" s="59"/>
      <c r="P105" s="59"/>
      <c r="Q105" s="60"/>
    </row>
    <row r="106" spans="2:17" s="52" customFormat="1">
      <c r="B106" s="61"/>
      <c r="C106" s="62"/>
      <c r="D106" s="62"/>
      <c r="E106" s="62"/>
      <c r="F106" s="55" t="s">
        <v>81</v>
      </c>
      <c r="G106" s="55">
        <f>PRODUCT(D92,F92,1.15,1.25,I92,1.18,L92,G102)*100</f>
        <v>307.12333412459998</v>
      </c>
      <c r="H106" s="55">
        <f>PRODUCT(D92,F92,1.15,1.25,I92,1.18,L92,H102)*100</f>
        <v>325.08542067960002</v>
      </c>
      <c r="I106" s="55">
        <f>PRODUCT(D92,F92,1.15,1.25,I92,1.18,L92,I102)*100</f>
        <v>333.15534362459999</v>
      </c>
      <c r="J106" s="55">
        <f>PRODUCT(D92,F92,1.15,1.25,I92,1.18,L92,J102)*100</f>
        <v>320.13933887459996</v>
      </c>
      <c r="K106" s="55">
        <f>PRODUCT(D92,F92,1.15,1.25,I92,1.18,L92,K102)*100</f>
        <v>338.1014254296</v>
      </c>
      <c r="L106" s="55">
        <f>PRODUCT(D92,F92,1.15,1.25,I92,1.18,L92,L102)*100</f>
        <v>341.30856899999998</v>
      </c>
      <c r="M106" s="55" t="s">
        <v>90</v>
      </c>
      <c r="N106" s="55" t="s">
        <v>60</v>
      </c>
      <c r="O106" s="62"/>
      <c r="P106" s="62"/>
      <c r="Q106" s="63"/>
    </row>
    <row r="107" spans="2:17" s="52" customFormat="1">
      <c r="B107" s="61"/>
      <c r="C107" s="62"/>
      <c r="D107" s="62"/>
      <c r="E107" s="62"/>
      <c r="F107" s="55" t="s">
        <v>82</v>
      </c>
      <c r="G107" s="55">
        <f>G106*O102</f>
        <v>335.87416242847769</v>
      </c>
      <c r="H107" s="55">
        <f>H106*O102</f>
        <v>355.51773915091866</v>
      </c>
      <c r="I107" s="55">
        <f>I106*O102</f>
        <v>364.34311420013125</v>
      </c>
      <c r="J107" s="55">
        <f>J106*O102</f>
        <v>350.10863831430441</v>
      </c>
      <c r="K107" s="55">
        <f>K106*O102</f>
        <v>369.75221503674544</v>
      </c>
      <c r="L107" s="55">
        <f>L106*O102</f>
        <v>373.25958989501311</v>
      </c>
      <c r="M107" s="156">
        <f>AVERAGE(G106:L108)</f>
        <v>360.25345133484285</v>
      </c>
      <c r="N107" s="156">
        <f>AVERAGE(M107,M110)</f>
        <v>376.91028466497198</v>
      </c>
      <c r="O107" s="62"/>
      <c r="P107" s="62"/>
      <c r="Q107" s="63"/>
    </row>
    <row r="108" spans="2:17" s="52" customFormat="1">
      <c r="B108" s="61"/>
      <c r="C108" s="62"/>
      <c r="D108" s="62"/>
      <c r="E108" s="62"/>
      <c r="F108" s="55" t="s">
        <v>83</v>
      </c>
      <c r="G108" s="55">
        <f>G106*N102</f>
        <v>370.563868393581</v>
      </c>
      <c r="H108" s="55">
        <f>H106*N102</f>
        <v>392.23627012499998</v>
      </c>
      <c r="I108" s="55">
        <f>I106*N102</f>
        <v>401.97314626520267</v>
      </c>
      <c r="J108" s="55">
        <f>J106*N102</f>
        <v>386.26850732939181</v>
      </c>
      <c r="K108" s="55">
        <f>K106*N102</f>
        <v>407.94090906081078</v>
      </c>
      <c r="L108" s="55">
        <f>L106*N102</f>
        <v>411.81053209459452</v>
      </c>
      <c r="M108" s="156"/>
      <c r="N108" s="156"/>
      <c r="O108" s="62"/>
      <c r="P108" s="62"/>
      <c r="Q108" s="63"/>
    </row>
    <row r="109" spans="2:17" s="52" customFormat="1">
      <c r="B109" s="61"/>
      <c r="C109" s="62"/>
      <c r="D109" s="62"/>
      <c r="E109" s="62"/>
      <c r="F109" s="55" t="s">
        <v>84</v>
      </c>
      <c r="G109" s="55">
        <f>PRODUCT(D92,F92,1.15,1.25,J92,1.18,L92,M98,G102)*100</f>
        <v>326.10724165350973</v>
      </c>
      <c r="H109" s="55">
        <f>PRODUCT(D92,F92,1.15,1.25,J92,1.18,L92,M98)*100*H102</f>
        <v>345.17960070264741</v>
      </c>
      <c r="I109" s="55">
        <f>PRODUCT(D92,F92,1.15,1.25,J92,1.18,L92,M98)*100*I102</f>
        <v>353.74834172472379</v>
      </c>
      <c r="J109" s="55">
        <f>PRODUCT(D92,F92,1.15,1.25,J92,1.18,L92,M98)*100*J102</f>
        <v>339.9277916891167</v>
      </c>
      <c r="K109" s="55">
        <f>PRODUCT(D92,F92,1.15,1.25,J92,1.18,L92,M98)*100*K102</f>
        <v>359.00015073825438</v>
      </c>
      <c r="L109" s="55">
        <f>PRODUCT(D92,F92,1.15,1.25,J92,1.18,L92,M98)*100*L102</f>
        <v>362.40553426702797</v>
      </c>
      <c r="M109" s="55" t="s">
        <v>59</v>
      </c>
      <c r="N109" s="156"/>
      <c r="O109" s="62"/>
      <c r="P109" s="62"/>
      <c r="Q109" s="63"/>
    </row>
    <row r="110" spans="2:17" s="52" customFormat="1">
      <c r="B110" s="61"/>
      <c r="C110" s="62"/>
      <c r="D110" s="62"/>
      <c r="E110" s="62"/>
      <c r="F110" s="55" t="s">
        <v>85</v>
      </c>
      <c r="G110" s="55">
        <f>PRODUCT(G109,O102)</f>
        <v>356.63521615650671</v>
      </c>
      <c r="H110" s="55">
        <f>PRODUCT(H109,O102)</f>
        <v>377.49300164331521</v>
      </c>
      <c r="I110" s="55">
        <f>PRODUCT(I109,O102)</f>
        <v>386.86389077506976</v>
      </c>
      <c r="J110" s="55">
        <f>PRODUCT(J109,O102)</f>
        <v>371.74955346578815</v>
      </c>
      <c r="K110" s="55">
        <f>PRODUCT(K109,O102)</f>
        <v>392.60733895259665</v>
      </c>
      <c r="L110" s="55">
        <f>PRODUCT(L109,O102)</f>
        <v>396.33151166560367</v>
      </c>
      <c r="M110" s="156">
        <f>AVERAGE(G109:L111)</f>
        <v>393.56711799510106</v>
      </c>
      <c r="N110" s="55" t="s">
        <v>64</v>
      </c>
      <c r="O110" s="62"/>
      <c r="P110" s="62"/>
      <c r="Q110" s="63"/>
    </row>
    <row r="111" spans="2:17" s="52" customFormat="1">
      <c r="B111" s="61"/>
      <c r="C111" s="62"/>
      <c r="D111" s="62"/>
      <c r="E111" s="62"/>
      <c r="F111" s="55" t="s">
        <v>86</v>
      </c>
      <c r="G111" s="55">
        <f>PRODUCT(G109,N102)</f>
        <v>393.46916222672502</v>
      </c>
      <c r="H111" s="55">
        <f>PRODUCT(H110,N102)</f>
        <v>455.46935526461772</v>
      </c>
      <c r="I111" s="55">
        <f>PRODUCT(I110,N102)</f>
        <v>466.77592998922506</v>
      </c>
      <c r="J111" s="55">
        <f>PRODUCT(J110,N102)</f>
        <v>448.53951914308414</v>
      </c>
      <c r="K111" s="55">
        <f>PRODUCT(K110,N102)</f>
        <v>473.70576611075847</v>
      </c>
      <c r="L111" s="55">
        <f>PRODUCT(L110,N102)</f>
        <v>478.19921774324763</v>
      </c>
      <c r="M111" s="156"/>
      <c r="N111" s="156">
        <f>AVERAGE(G112:L114)</f>
        <v>365.55684091023375</v>
      </c>
      <c r="O111" s="62"/>
      <c r="P111" s="62"/>
      <c r="Q111" s="63"/>
    </row>
    <row r="112" spans="2:17" s="52" customFormat="1">
      <c r="B112" s="61"/>
      <c r="C112" s="62"/>
      <c r="D112" s="62"/>
      <c r="E112" s="62"/>
      <c r="F112" s="55" t="s">
        <v>87</v>
      </c>
      <c r="G112" s="55">
        <f>PRODUCT((E92+0.15),F92,(G92+0.25),K92,1.18,L92,G102)*100</f>
        <v>311.64458071507835</v>
      </c>
      <c r="H112" s="55">
        <f>PRODUCT((E92+0.15),F92,(G92+0.25),K92,1.18,L92,H102)*100</f>
        <v>329.87109205833531</v>
      </c>
      <c r="I112" s="55">
        <f>PRODUCT((E92+0.15),F92,(G92+0.25),K92,1.18,L92,I102)*100</f>
        <v>338.05981454588556</v>
      </c>
      <c r="J112" s="55">
        <f>PRODUCT((E92+0.15),F92,(G92+0.25),K92,1.18,L92,J102)*100</f>
        <v>324.85219763048195</v>
      </c>
      <c r="K112" s="55">
        <f>PRODUCT((E92+0.15),F92,(G92+0.25),K92,1.18,L92,K102)*100</f>
        <v>343.07870897373891</v>
      </c>
      <c r="L112" s="55">
        <f>PRODUCT((E92+0.15),F92,(G92+0.25),K92,1.18,L92,L102)*100</f>
        <v>346.33306578169436</v>
      </c>
      <c r="M112" s="156"/>
      <c r="N112" s="156"/>
      <c r="O112" s="62"/>
      <c r="P112" s="62"/>
      <c r="Q112" s="63"/>
    </row>
    <row r="113" spans="2:17" s="52" customFormat="1">
      <c r="B113" s="61"/>
      <c r="C113" s="62"/>
      <c r="D113" s="62"/>
      <c r="E113" s="62"/>
      <c r="F113" s="55" t="s">
        <v>88</v>
      </c>
      <c r="G113" s="55">
        <f>PRODUCT(G112,O102)</f>
        <v>340.81865782488882</v>
      </c>
      <c r="H113" s="55">
        <f>PRODUCT(H112,O102)</f>
        <v>360.75141301217775</v>
      </c>
      <c r="I113" s="55">
        <f>PRODUCT(I112,O102)</f>
        <v>369.7067088209597</v>
      </c>
      <c r="J113" s="55">
        <f>PRODUCT(J112,O102)</f>
        <v>355.26268332292426</v>
      </c>
      <c r="K113" s="55">
        <f>PRODUCT(K112,O102)</f>
        <v>375.19543851021319</v>
      </c>
      <c r="L113" s="55">
        <f>PRODUCT(L112,O102)</f>
        <v>378.75444639292908</v>
      </c>
      <c r="M113" s="156"/>
      <c r="N113" s="156"/>
      <c r="O113" s="62"/>
      <c r="P113" s="62"/>
      <c r="Q113" s="63"/>
    </row>
    <row r="114" spans="2:17" s="52" customFormat="1" ht="17.25" thickBot="1">
      <c r="B114" s="64"/>
      <c r="C114" s="65"/>
      <c r="D114" s="65"/>
      <c r="E114" s="65"/>
      <c r="F114" s="66" t="s">
        <v>89</v>
      </c>
      <c r="G114" s="66">
        <f>PRODUCT(G112,N102)</f>
        <v>376.01904043807713</v>
      </c>
      <c r="H114" s="66">
        <f>PRODUCT(H112,N102)</f>
        <v>398.01048752212267</v>
      </c>
      <c r="I114" s="66">
        <f>PRODUCT(I112,N102)</f>
        <v>407.89070287872289</v>
      </c>
      <c r="J114" s="66">
        <f>PRODUCT(J112,N102)</f>
        <v>391.95487165840001</v>
      </c>
      <c r="K114" s="66">
        <f>PRODUCT(K112,N102)</f>
        <v>413.94631874244556</v>
      </c>
      <c r="L114" s="66">
        <f>PRODUCT(L112,N102)</f>
        <v>417.87290755513311</v>
      </c>
      <c r="M114" s="157"/>
      <c r="N114" s="157"/>
      <c r="O114" s="65"/>
      <c r="P114" s="65"/>
      <c r="Q114" s="67"/>
    </row>
    <row r="115" spans="2:17" s="52" customFormat="1"/>
    <row r="116" spans="2:17" ht="17.25" thickBot="1"/>
    <row r="117" spans="2:17" ht="17.25" thickBot="1">
      <c r="B117" s="111" t="s">
        <v>40</v>
      </c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2"/>
    </row>
    <row r="118" spans="2:17">
      <c r="B118" s="91" t="s">
        <v>0</v>
      </c>
      <c r="C118" s="16" t="s">
        <v>1</v>
      </c>
      <c r="D118" s="12" t="s">
        <v>2</v>
      </c>
      <c r="E118" s="13" t="s">
        <v>3</v>
      </c>
      <c r="F118" s="13" t="s">
        <v>4</v>
      </c>
      <c r="G118" s="13" t="s">
        <v>5</v>
      </c>
      <c r="H118" s="13" t="s">
        <v>48</v>
      </c>
      <c r="I118" s="14" t="s">
        <v>44</v>
      </c>
      <c r="J118" s="14"/>
      <c r="K118" s="13"/>
      <c r="L118" s="15"/>
      <c r="M118" s="40"/>
      <c r="N118" s="14"/>
      <c r="O118" s="17" t="s">
        <v>42</v>
      </c>
      <c r="P118" s="18" t="s">
        <v>43</v>
      </c>
      <c r="Q118" s="18" t="s">
        <v>6</v>
      </c>
    </row>
    <row r="119" spans="2:17">
      <c r="B119" s="92"/>
      <c r="C119" s="124">
        <v>1400</v>
      </c>
      <c r="D119" s="126">
        <f>C119*0.03578</f>
        <v>50.091999999999999</v>
      </c>
      <c r="E119" s="82">
        <v>10</v>
      </c>
      <c r="F119" s="82">
        <v>7</v>
      </c>
      <c r="G119" s="82">
        <v>25</v>
      </c>
      <c r="H119" s="82">
        <v>10</v>
      </c>
      <c r="I119" s="82">
        <v>20</v>
      </c>
      <c r="J119" s="82"/>
      <c r="K119" s="82"/>
      <c r="L119" s="128"/>
      <c r="M119" s="32"/>
      <c r="N119" s="82"/>
      <c r="O119" s="89">
        <f>SUM(D119,E119,F119,G119,H119)</f>
        <v>102.092</v>
      </c>
      <c r="P119" s="94">
        <f>SUM(D119,E119,F119,G119,I119)</f>
        <v>112.092</v>
      </c>
      <c r="Q119" s="94">
        <f>SUM(D119:F120)</f>
        <v>67.091999999999999</v>
      </c>
    </row>
    <row r="120" spans="2:17" ht="17.25" thickBot="1">
      <c r="B120" s="93"/>
      <c r="C120" s="125"/>
      <c r="D120" s="127"/>
      <c r="E120" s="83"/>
      <c r="F120" s="83"/>
      <c r="G120" s="83"/>
      <c r="H120" s="83"/>
      <c r="I120" s="83"/>
      <c r="J120" s="83"/>
      <c r="K120" s="83"/>
      <c r="L120" s="129"/>
      <c r="M120" s="47"/>
      <c r="N120" s="83"/>
      <c r="O120" s="90"/>
      <c r="P120" s="95"/>
      <c r="Q120" s="95"/>
    </row>
    <row r="121" spans="2:17">
      <c r="B121" s="96" t="s">
        <v>7</v>
      </c>
      <c r="C121" s="16" t="s">
        <v>8</v>
      </c>
      <c r="D121" s="51" t="s">
        <v>68</v>
      </c>
      <c r="E121" s="42" t="s">
        <v>9</v>
      </c>
      <c r="F121" s="42" t="s">
        <v>10</v>
      </c>
      <c r="G121" s="42" t="s">
        <v>11</v>
      </c>
      <c r="H121" s="42" t="s">
        <v>66</v>
      </c>
      <c r="I121" s="42" t="s">
        <v>50</v>
      </c>
      <c r="J121" s="42" t="s">
        <v>49</v>
      </c>
      <c r="K121" s="42" t="s">
        <v>51</v>
      </c>
      <c r="L121" s="42" t="s">
        <v>67</v>
      </c>
      <c r="M121" s="42" t="s">
        <v>92</v>
      </c>
      <c r="N121" s="42" t="s">
        <v>47</v>
      </c>
      <c r="O121" s="42" t="s">
        <v>52</v>
      </c>
      <c r="P121" s="43" t="s">
        <v>53</v>
      </c>
      <c r="Q121" s="20" t="s">
        <v>70</v>
      </c>
    </row>
    <row r="122" spans="2:17">
      <c r="B122" s="97"/>
      <c r="C122" s="99">
        <v>800</v>
      </c>
      <c r="D122" s="101">
        <f>C122*0.02145/100+1</f>
        <v>1.1716</v>
      </c>
      <c r="E122" s="84">
        <f>C122*0.03576/100+1</f>
        <v>1.2860800000000001</v>
      </c>
      <c r="F122" s="84">
        <f>20/100+1</f>
        <v>1.2</v>
      </c>
      <c r="G122" s="84">
        <f>10/100+1</f>
        <v>1.1000000000000001</v>
      </c>
      <c r="H122" s="84">
        <f>1.15*1.18*1.25</f>
        <v>1.6962499999999996</v>
      </c>
      <c r="I122" s="84">
        <f>MIN(O119,100)*0.225/100+1</f>
        <v>1.2250000000000001</v>
      </c>
      <c r="J122" s="84">
        <f>MIN(P119,100)*0.225/100+1</f>
        <v>1.2250000000000001</v>
      </c>
      <c r="K122" s="84">
        <f>MIN(Q119,100)*0.225/100+1</f>
        <v>1.150957</v>
      </c>
      <c r="L122" s="84">
        <f>16/100+1</f>
        <v>1.1599999999999999</v>
      </c>
      <c r="M122" s="84">
        <f>16/100+1</f>
        <v>1.1599999999999999</v>
      </c>
      <c r="N122" s="46">
        <f>PRODUCT(D122,F122,1.15,1.25,I122,1.18,L122,M122)*100</f>
        <v>393.09954114479984</v>
      </c>
      <c r="O122" s="46">
        <f>PRODUCT(D122,F122,1.15,1.25,I122,1.18,L122,O132,M122)*100</f>
        <v>393.09954114479984</v>
      </c>
      <c r="P122" s="49">
        <f>PRODUCT(D122,F122,1.15,1.25,I122,1.18,L122,N132,M122)*100</f>
        <v>393.09954114479984</v>
      </c>
      <c r="Q122" s="86">
        <f>AVERAGE(N122:P122,N124:P124)</f>
        <v>393.09954114479984</v>
      </c>
    </row>
    <row r="123" spans="2:17">
      <c r="B123" s="97"/>
      <c r="C123" s="99"/>
      <c r="D123" s="101"/>
      <c r="E123" s="84"/>
      <c r="F123" s="84"/>
      <c r="G123" s="84"/>
      <c r="H123" s="84"/>
      <c r="I123" s="84"/>
      <c r="J123" s="84"/>
      <c r="K123" s="84"/>
      <c r="L123" s="84"/>
      <c r="M123" s="84"/>
      <c r="N123" s="15" t="s">
        <v>56</v>
      </c>
      <c r="O123" s="15" t="s">
        <v>57</v>
      </c>
      <c r="P123" s="44" t="s">
        <v>58</v>
      </c>
      <c r="Q123" s="87"/>
    </row>
    <row r="124" spans="2:17">
      <c r="B124" s="97"/>
      <c r="C124" s="99"/>
      <c r="D124" s="101"/>
      <c r="E124" s="84"/>
      <c r="F124" s="84"/>
      <c r="G124" s="84"/>
      <c r="H124" s="84"/>
      <c r="I124" s="84"/>
      <c r="J124" s="84"/>
      <c r="K124" s="84"/>
      <c r="L124" s="84"/>
      <c r="M124" s="84"/>
      <c r="N124" s="46">
        <f>PRODUCT(D122,F122,1.15,1.25,J122,1.18,L122,M122)*100</f>
        <v>393.09954114479984</v>
      </c>
      <c r="O124" s="46">
        <f>PRODUCT(D122,F122,1.15,1.25,J122,1.18,L122,O132,M122)*100</f>
        <v>393.09954114479984</v>
      </c>
      <c r="P124" s="49">
        <f>PRODUCT(D122,F122,1.15,1.25,J122,1.18,L122,N132,M122)*100</f>
        <v>393.09954114479984</v>
      </c>
      <c r="Q124" s="45" t="s">
        <v>65</v>
      </c>
    </row>
    <row r="125" spans="2:17">
      <c r="B125" s="97"/>
      <c r="C125" s="99"/>
      <c r="D125" s="101"/>
      <c r="E125" s="84"/>
      <c r="F125" s="84"/>
      <c r="G125" s="84"/>
      <c r="H125" s="84"/>
      <c r="I125" s="84"/>
      <c r="J125" s="84"/>
      <c r="K125" s="84"/>
      <c r="L125" s="84"/>
      <c r="M125" s="84"/>
      <c r="N125" s="15" t="s">
        <v>61</v>
      </c>
      <c r="O125" s="15" t="s">
        <v>62</v>
      </c>
      <c r="P125" s="44" t="s">
        <v>63</v>
      </c>
      <c r="Q125" s="86">
        <f>AVERAGE(N126:P126)</f>
        <v>425.15836946574785</v>
      </c>
    </row>
    <row r="126" spans="2:17" ht="17.25" thickBot="1">
      <c r="B126" s="98"/>
      <c r="C126" s="100"/>
      <c r="D126" s="102"/>
      <c r="E126" s="85"/>
      <c r="F126" s="85"/>
      <c r="G126" s="85"/>
      <c r="H126" s="85"/>
      <c r="I126" s="85"/>
      <c r="J126" s="85"/>
      <c r="K126" s="85"/>
      <c r="L126" s="85"/>
      <c r="M126" s="85"/>
      <c r="N126" s="27">
        <f>PRODUCT((E122+0.15),F122,(G122+0.25),K122,1.18,L122,M122)*100</f>
        <v>425.15836946574785</v>
      </c>
      <c r="O126" s="27">
        <f>PRODUCT((E122+0.15),F122,(G122+0.25),K122,1.18,L122,O132,M122)*100</f>
        <v>425.15836946574785</v>
      </c>
      <c r="P126" s="50">
        <f>PRODUCT((E122+0.15),F122,(G122+0.25),K122,1.18,L122,N132,M122)*100</f>
        <v>425.15836946574785</v>
      </c>
      <c r="Q126" s="88"/>
    </row>
    <row r="127" spans="2:17">
      <c r="B127" s="103" t="s">
        <v>13</v>
      </c>
      <c r="C127" s="48" t="s">
        <v>14</v>
      </c>
      <c r="D127" s="39" t="s">
        <v>15</v>
      </c>
      <c r="E127" s="40" t="s">
        <v>16</v>
      </c>
      <c r="F127" s="40"/>
      <c r="G127" s="40" t="s">
        <v>18</v>
      </c>
      <c r="H127" s="40" t="s">
        <v>19</v>
      </c>
      <c r="I127" s="41" t="s">
        <v>20</v>
      </c>
      <c r="J127" s="41" t="s">
        <v>21</v>
      </c>
      <c r="K127" s="41"/>
      <c r="L127" s="41"/>
      <c r="M127" s="41"/>
      <c r="N127" s="41"/>
      <c r="O127" s="41"/>
      <c r="P127" s="106" t="s">
        <v>22</v>
      </c>
      <c r="Q127" s="107"/>
    </row>
    <row r="128" spans="2:17" ht="17.25" thickBot="1">
      <c r="B128" s="104"/>
      <c r="C128" s="108">
        <v>0</v>
      </c>
      <c r="D128" s="142">
        <f>C128*0.01717</f>
        <v>0</v>
      </c>
      <c r="E128" s="117">
        <v>13.8</v>
      </c>
      <c r="F128" s="117"/>
      <c r="G128" s="3">
        <f>MIN(SUM(D128,F128),40)</f>
        <v>0</v>
      </c>
      <c r="H128" s="3">
        <f>MIN(SUM(D128:F132),40)</f>
        <v>13.8</v>
      </c>
      <c r="I128" s="4">
        <f>MIN((G128+10),40)</f>
        <v>10</v>
      </c>
      <c r="J128" s="4">
        <f>MIN(SUM(E128,I128),40)</f>
        <v>23.8</v>
      </c>
      <c r="K128" s="4"/>
      <c r="L128" s="4"/>
      <c r="M128" s="4"/>
      <c r="N128" s="4"/>
      <c r="O128" s="4"/>
      <c r="P128" s="5">
        <f>MIN(G128:J128,40)</f>
        <v>0</v>
      </c>
      <c r="Q128" s="6">
        <f>MIN(MAX(G128:J128),40)</f>
        <v>23.8</v>
      </c>
    </row>
    <row r="129" spans="2:17">
      <c r="B129" s="104"/>
      <c r="C129" s="109"/>
      <c r="D129" s="143"/>
      <c r="E129" s="118"/>
      <c r="F129" s="118"/>
      <c r="G129" s="15" t="s">
        <v>23</v>
      </c>
      <c r="H129" s="15" t="s">
        <v>24</v>
      </c>
      <c r="I129" s="19" t="s">
        <v>25</v>
      </c>
      <c r="J129" s="19" t="s">
        <v>21</v>
      </c>
      <c r="K129" s="19"/>
      <c r="L129" s="19"/>
      <c r="M129" s="19"/>
      <c r="N129" s="19"/>
      <c r="O129" s="19"/>
      <c r="P129" s="120" t="s">
        <v>26</v>
      </c>
      <c r="Q129" s="121"/>
    </row>
    <row r="130" spans="2:17" ht="17.25" thickBot="1">
      <c r="B130" s="104"/>
      <c r="C130" s="109"/>
      <c r="D130" s="143"/>
      <c r="E130" s="118"/>
      <c r="F130" s="118"/>
      <c r="G130" s="7">
        <f>MIN(SUM(D128,F128))</f>
        <v>0</v>
      </c>
      <c r="H130" s="7">
        <f>MIN(SUM(D128:F132),40)</f>
        <v>13.8</v>
      </c>
      <c r="I130" s="8">
        <f>MIN((G130+10),40)</f>
        <v>10</v>
      </c>
      <c r="J130" s="8">
        <f>MIN(SUM(E128,I130),40)</f>
        <v>23.8</v>
      </c>
      <c r="K130" s="8"/>
      <c r="L130" s="8"/>
      <c r="M130" s="8"/>
      <c r="N130" s="8"/>
      <c r="O130" s="8"/>
      <c r="P130" s="9">
        <f>MIN(G130:J130,40)</f>
        <v>0</v>
      </c>
      <c r="Q130" s="10">
        <f>MIN(MAX(G130:J130),40)</f>
        <v>23.8</v>
      </c>
    </row>
    <row r="131" spans="2:17">
      <c r="B131" s="104"/>
      <c r="C131" s="109"/>
      <c r="D131" s="143"/>
      <c r="E131" s="118"/>
      <c r="F131" s="118"/>
      <c r="G131" s="15"/>
      <c r="H131" s="15"/>
      <c r="I131" s="15"/>
      <c r="J131" s="15"/>
      <c r="K131" s="15"/>
      <c r="L131" s="15"/>
      <c r="M131" s="15"/>
      <c r="N131" s="21" t="s">
        <v>54</v>
      </c>
      <c r="O131" s="22" t="s">
        <v>55</v>
      </c>
      <c r="P131" s="120" t="s">
        <v>27</v>
      </c>
      <c r="Q131" s="121"/>
    </row>
    <row r="132" spans="2:17" ht="17.25" thickBot="1">
      <c r="B132" s="105"/>
      <c r="C132" s="110"/>
      <c r="D132" s="144"/>
      <c r="E132" s="119"/>
      <c r="F132" s="119"/>
      <c r="G132" s="11"/>
      <c r="H132" s="11"/>
      <c r="I132" s="11"/>
      <c r="J132" s="11"/>
      <c r="K132" s="11"/>
      <c r="L132" s="11"/>
      <c r="M132" s="11"/>
      <c r="N132" s="26">
        <f>1/(1-P132/100)</f>
        <v>1</v>
      </c>
      <c r="O132" s="25">
        <f>1/(1-P132/2/100)</f>
        <v>1</v>
      </c>
      <c r="P132" s="122">
        <f>C128*0.0214+G132</f>
        <v>0</v>
      </c>
      <c r="Q132" s="123"/>
    </row>
    <row r="133" spans="2:17" ht="17.25" thickBot="1">
      <c r="B133" s="111">
        <f>SUM(C119,C122,C128)</f>
        <v>2200</v>
      </c>
      <c r="C133" s="112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2"/>
    </row>
    <row r="135" spans="2:17" ht="17.25" thickBot="1"/>
    <row r="136" spans="2:17" ht="17.25" thickBot="1">
      <c r="B136" s="111" t="s">
        <v>95</v>
      </c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2"/>
    </row>
    <row r="137" spans="2:17">
      <c r="B137" s="91" t="s">
        <v>0</v>
      </c>
      <c r="C137" s="16" t="s">
        <v>1</v>
      </c>
      <c r="D137" s="12" t="s">
        <v>2</v>
      </c>
      <c r="E137" s="13" t="s">
        <v>3</v>
      </c>
      <c r="F137" s="13" t="s">
        <v>4</v>
      </c>
      <c r="G137" s="13" t="s">
        <v>5</v>
      </c>
      <c r="H137" s="13" t="s">
        <v>48</v>
      </c>
      <c r="I137" s="14" t="s">
        <v>44</v>
      </c>
      <c r="J137" s="14" t="s">
        <v>96</v>
      </c>
      <c r="K137" s="13"/>
      <c r="L137" s="15"/>
      <c r="M137" s="40"/>
      <c r="N137" s="14"/>
      <c r="O137" s="17" t="s">
        <v>42</v>
      </c>
      <c r="P137" s="18" t="s">
        <v>43</v>
      </c>
      <c r="Q137" s="18" t="s">
        <v>6</v>
      </c>
    </row>
    <row r="138" spans="2:17">
      <c r="B138" s="92"/>
      <c r="C138" s="124">
        <v>1000</v>
      </c>
      <c r="D138" s="126">
        <f>C138*0.03578</f>
        <v>35.78</v>
      </c>
      <c r="E138" s="82">
        <v>10</v>
      </c>
      <c r="F138" s="82">
        <v>7</v>
      </c>
      <c r="G138" s="82">
        <v>25</v>
      </c>
      <c r="H138" s="82">
        <v>10</v>
      </c>
      <c r="I138" s="82">
        <v>20</v>
      </c>
      <c r="J138" s="82">
        <v>15</v>
      </c>
      <c r="K138" s="82"/>
      <c r="L138" s="128"/>
      <c r="M138" s="32"/>
      <c r="N138" s="82"/>
      <c r="O138" s="89">
        <f>SUM(D138,E138,F138,G138,H138,J138)</f>
        <v>102.78</v>
      </c>
      <c r="P138" s="94">
        <f>SUM(D138,E138,F138,G138,I138,J138)</f>
        <v>112.78</v>
      </c>
      <c r="Q138" s="94">
        <f>SUM(D138:F139,J138)</f>
        <v>67.78</v>
      </c>
    </row>
    <row r="139" spans="2:17" ht="17.25" thickBot="1">
      <c r="B139" s="93"/>
      <c r="C139" s="125"/>
      <c r="D139" s="127"/>
      <c r="E139" s="83"/>
      <c r="F139" s="83"/>
      <c r="G139" s="83"/>
      <c r="H139" s="83"/>
      <c r="I139" s="83"/>
      <c r="J139" s="83"/>
      <c r="K139" s="83"/>
      <c r="L139" s="129"/>
      <c r="M139" s="47"/>
      <c r="N139" s="83"/>
      <c r="O139" s="90"/>
      <c r="P139" s="95"/>
      <c r="Q139" s="95"/>
    </row>
    <row r="140" spans="2:17">
      <c r="B140" s="96" t="s">
        <v>7</v>
      </c>
      <c r="C140" s="16" t="s">
        <v>8</v>
      </c>
      <c r="D140" s="51" t="s">
        <v>68</v>
      </c>
      <c r="E140" s="42" t="s">
        <v>9</v>
      </c>
      <c r="F140" s="42" t="s">
        <v>10</v>
      </c>
      <c r="G140" s="42" t="s">
        <v>11</v>
      </c>
      <c r="H140" s="42" t="s">
        <v>66</v>
      </c>
      <c r="I140" s="42" t="s">
        <v>50</v>
      </c>
      <c r="J140" s="42" t="s">
        <v>49</v>
      </c>
      <c r="K140" s="42" t="s">
        <v>51</v>
      </c>
      <c r="L140" s="42" t="s">
        <v>67</v>
      </c>
      <c r="M140" s="42" t="s">
        <v>96</v>
      </c>
      <c r="N140" s="42" t="s">
        <v>47</v>
      </c>
      <c r="O140" s="42" t="s">
        <v>52</v>
      </c>
      <c r="P140" s="43" t="s">
        <v>53</v>
      </c>
      <c r="Q140" s="20" t="s">
        <v>70</v>
      </c>
    </row>
    <row r="141" spans="2:17">
      <c r="B141" s="97"/>
      <c r="C141" s="99">
        <v>700</v>
      </c>
      <c r="D141" s="101">
        <f>C141*0.02145/100+1</f>
        <v>1.15015</v>
      </c>
      <c r="E141" s="84">
        <f>C141*0.03576/100+1</f>
        <v>1.2503199999999999</v>
      </c>
      <c r="F141" s="84">
        <f>20/100+1</f>
        <v>1.2</v>
      </c>
      <c r="G141" s="84">
        <f>10/100+1</f>
        <v>1.1000000000000001</v>
      </c>
      <c r="H141" s="84">
        <f>1.15*1.18*1.25</f>
        <v>1.6962499999999996</v>
      </c>
      <c r="I141" s="84">
        <f>MIN(O138,100)*0.225/100+1</f>
        <v>1.2250000000000001</v>
      </c>
      <c r="J141" s="84">
        <f>MIN(P138,100)*0.225/100+1</f>
        <v>1.2250000000000001</v>
      </c>
      <c r="K141" s="84">
        <f>MIN(Q138,100)*0.225/100+1</f>
        <v>1.1525050000000001</v>
      </c>
      <c r="L141" s="84">
        <f>16/100+1</f>
        <v>1.1599999999999999</v>
      </c>
      <c r="M141" s="84">
        <f>6/100+1</f>
        <v>1.06</v>
      </c>
      <c r="N141" s="46">
        <f>PRODUCT(D141,F141,1.15,1.25,I141,1.18,L141,M141)*100</f>
        <v>352.63509633344995</v>
      </c>
      <c r="O141" s="46">
        <f>PRODUCT(D141,F141,1.15,1.25,I141,1.18,L141,O151,M141)*100</f>
        <v>372.56745518589537</v>
      </c>
      <c r="P141" s="49">
        <f>PRODUCT(D141,F141,1.15,1.25,I141,1.18,L141,N151,M141)*100</f>
        <v>394.88812579333705</v>
      </c>
      <c r="Q141" s="86">
        <f>AVERAGE(N141:P141,N143:P143)</f>
        <v>373.36355910422748</v>
      </c>
    </row>
    <row r="142" spans="2:17">
      <c r="B142" s="97"/>
      <c r="C142" s="99"/>
      <c r="D142" s="101"/>
      <c r="E142" s="84"/>
      <c r="F142" s="84"/>
      <c r="G142" s="84"/>
      <c r="H142" s="84"/>
      <c r="I142" s="84"/>
      <c r="J142" s="84"/>
      <c r="K142" s="84"/>
      <c r="L142" s="84"/>
      <c r="M142" s="84"/>
      <c r="N142" s="15" t="s">
        <v>56</v>
      </c>
      <c r="O142" s="15" t="s">
        <v>57</v>
      </c>
      <c r="P142" s="44" t="s">
        <v>58</v>
      </c>
      <c r="Q142" s="87"/>
    </row>
    <row r="143" spans="2:17">
      <c r="B143" s="97"/>
      <c r="C143" s="99"/>
      <c r="D143" s="101"/>
      <c r="E143" s="84"/>
      <c r="F143" s="84"/>
      <c r="G143" s="84"/>
      <c r="H143" s="84"/>
      <c r="I143" s="84"/>
      <c r="J143" s="84"/>
      <c r="K143" s="84"/>
      <c r="L143" s="84"/>
      <c r="M143" s="84"/>
      <c r="N143" s="46">
        <f>PRODUCT(D141,F141,1.15,1.25,J141,1.18,L141,M141)*100</f>
        <v>352.63509633344995</v>
      </c>
      <c r="O143" s="46">
        <f>PRODUCT(D141,F141,1.15,1.25,J141,1.18,L141,O151,M141)*100</f>
        <v>372.56745518589537</v>
      </c>
      <c r="P143" s="49">
        <f>PRODUCT(D141,F141,1.15,1.25,J141,1.18,L141,N151,M141)*100</f>
        <v>394.88812579333705</v>
      </c>
      <c r="Q143" s="45" t="s">
        <v>65</v>
      </c>
    </row>
    <row r="144" spans="2:17">
      <c r="B144" s="97"/>
      <c r="C144" s="99"/>
      <c r="D144" s="101"/>
      <c r="E144" s="84"/>
      <c r="F144" s="84"/>
      <c r="G144" s="84"/>
      <c r="H144" s="84"/>
      <c r="I144" s="84"/>
      <c r="J144" s="84"/>
      <c r="K144" s="84"/>
      <c r="L144" s="84"/>
      <c r="M144" s="84"/>
      <c r="N144" s="15" t="s">
        <v>61</v>
      </c>
      <c r="O144" s="15" t="s">
        <v>62</v>
      </c>
      <c r="P144" s="44" t="s">
        <v>63</v>
      </c>
      <c r="Q144" s="86">
        <f>AVERAGE(N145:P145)</f>
        <v>401.64039020816375</v>
      </c>
    </row>
    <row r="145" spans="2:17" ht="17.25" thickBot="1">
      <c r="B145" s="98"/>
      <c r="C145" s="100"/>
      <c r="D145" s="102"/>
      <c r="E145" s="85"/>
      <c r="F145" s="85"/>
      <c r="G145" s="85"/>
      <c r="H145" s="85"/>
      <c r="I145" s="85"/>
      <c r="J145" s="85"/>
      <c r="K145" s="85"/>
      <c r="L145" s="85"/>
      <c r="M145" s="85"/>
      <c r="N145" s="27">
        <f>PRODUCT((E141+0.15),F141,(G141+0.25),K141,1.18,L141,M141)*100</f>
        <v>379.34204942834924</v>
      </c>
      <c r="O145" s="27">
        <f>PRODUCT((E141+0.15),F141,(G141+0.25),K141,1.18,L141,O151,M141)*100</f>
        <v>400.783993056893</v>
      </c>
      <c r="P145" s="50">
        <f>PRODUCT((E141+0.15),F141,(G141+0.25),K141,1.18,L141,N151,M141)*100</f>
        <v>424.79512813924896</v>
      </c>
      <c r="Q145" s="88"/>
    </row>
    <row r="146" spans="2:17">
      <c r="B146" s="103" t="s">
        <v>13</v>
      </c>
      <c r="C146" s="48" t="s">
        <v>14</v>
      </c>
      <c r="D146" s="39" t="s">
        <v>15</v>
      </c>
      <c r="E146" s="40" t="s">
        <v>16</v>
      </c>
      <c r="F146" s="40"/>
      <c r="G146" s="40" t="s">
        <v>18</v>
      </c>
      <c r="H146" s="40" t="s">
        <v>19</v>
      </c>
      <c r="I146" s="41" t="s">
        <v>20</v>
      </c>
      <c r="J146" s="41" t="s">
        <v>21</v>
      </c>
      <c r="K146" s="41"/>
      <c r="L146" s="41"/>
      <c r="M146" s="41"/>
      <c r="N146" s="41"/>
      <c r="O146" s="41"/>
      <c r="P146" s="106" t="s">
        <v>22</v>
      </c>
      <c r="Q146" s="107"/>
    </row>
    <row r="147" spans="2:17" ht="17.25" thickBot="1">
      <c r="B147" s="104"/>
      <c r="C147" s="108">
        <v>500</v>
      </c>
      <c r="D147" s="142">
        <f>C147*0.01717</f>
        <v>8.5850000000000009</v>
      </c>
      <c r="E147" s="117">
        <v>13.8</v>
      </c>
      <c r="F147" s="117"/>
      <c r="G147" s="3">
        <f>MIN(SUM(D147,F147),40)</f>
        <v>8.5850000000000009</v>
      </c>
      <c r="H147" s="3">
        <f>MIN(SUM(D147:F151),40)</f>
        <v>22.385000000000002</v>
      </c>
      <c r="I147" s="4">
        <f>MIN((G147+10),40)</f>
        <v>18.585000000000001</v>
      </c>
      <c r="J147" s="4">
        <f>MIN(SUM(E147,I147),40)</f>
        <v>32.385000000000005</v>
      </c>
      <c r="K147" s="4"/>
      <c r="L147" s="4"/>
      <c r="M147" s="4"/>
      <c r="N147" s="4"/>
      <c r="O147" s="4"/>
      <c r="P147" s="5">
        <f>MIN(G147:J147,40)</f>
        <v>8.5850000000000009</v>
      </c>
      <c r="Q147" s="6">
        <f>MIN(MAX(G147:J147),40)</f>
        <v>32.385000000000005</v>
      </c>
    </row>
    <row r="148" spans="2:17">
      <c r="B148" s="104"/>
      <c r="C148" s="109"/>
      <c r="D148" s="143"/>
      <c r="E148" s="118"/>
      <c r="F148" s="118"/>
      <c r="G148" s="15" t="s">
        <v>23</v>
      </c>
      <c r="H148" s="15" t="s">
        <v>24</v>
      </c>
      <c r="I148" s="19" t="s">
        <v>25</v>
      </c>
      <c r="J148" s="19" t="s">
        <v>21</v>
      </c>
      <c r="K148" s="19"/>
      <c r="L148" s="19"/>
      <c r="M148" s="19"/>
      <c r="N148" s="19"/>
      <c r="O148" s="19"/>
      <c r="P148" s="120" t="s">
        <v>26</v>
      </c>
      <c r="Q148" s="121"/>
    </row>
    <row r="149" spans="2:17" ht="17.25" thickBot="1">
      <c r="B149" s="104"/>
      <c r="C149" s="109"/>
      <c r="D149" s="143"/>
      <c r="E149" s="118"/>
      <c r="F149" s="118"/>
      <c r="G149" s="7">
        <f>MIN(SUM(D147,F147))</f>
        <v>8.5850000000000009</v>
      </c>
      <c r="H149" s="7">
        <f>MIN(SUM(D147:F151),40)</f>
        <v>22.385000000000002</v>
      </c>
      <c r="I149" s="8">
        <f>MIN((G149+10),40)</f>
        <v>18.585000000000001</v>
      </c>
      <c r="J149" s="8">
        <f>MIN(SUM(E147,I149),40)</f>
        <v>32.385000000000005</v>
      </c>
      <c r="K149" s="8"/>
      <c r="L149" s="8"/>
      <c r="M149" s="8"/>
      <c r="N149" s="8"/>
      <c r="O149" s="8"/>
      <c r="P149" s="9">
        <f>MIN(G149:J149,40)</f>
        <v>8.5850000000000009</v>
      </c>
      <c r="Q149" s="10">
        <f>MIN(MAX(G149:J149),40)</f>
        <v>32.385000000000005</v>
      </c>
    </row>
    <row r="150" spans="2:17">
      <c r="B150" s="104"/>
      <c r="C150" s="109"/>
      <c r="D150" s="143"/>
      <c r="E150" s="118"/>
      <c r="F150" s="118"/>
      <c r="G150" s="15"/>
      <c r="H150" s="15"/>
      <c r="I150" s="15"/>
      <c r="J150" s="15"/>
      <c r="K150" s="15"/>
      <c r="L150" s="15"/>
      <c r="M150" s="15"/>
      <c r="N150" s="21" t="s">
        <v>54</v>
      </c>
      <c r="O150" s="22" t="s">
        <v>55</v>
      </c>
      <c r="P150" s="120" t="s">
        <v>27</v>
      </c>
      <c r="Q150" s="121"/>
    </row>
    <row r="151" spans="2:17" ht="17.25" thickBot="1">
      <c r="B151" s="105"/>
      <c r="C151" s="110"/>
      <c r="D151" s="144"/>
      <c r="E151" s="119"/>
      <c r="F151" s="119"/>
      <c r="G151" s="11"/>
      <c r="H151" s="11"/>
      <c r="I151" s="11"/>
      <c r="J151" s="11"/>
      <c r="K151" s="11"/>
      <c r="L151" s="11"/>
      <c r="M151" s="11"/>
      <c r="N151" s="26">
        <f>1/(1-P151/100)</f>
        <v>1.1198208286674132</v>
      </c>
      <c r="O151" s="25">
        <f>1/(1-P151/2/100)</f>
        <v>1.0565240359218173</v>
      </c>
      <c r="P151" s="122">
        <f>C147*0.0214+G151</f>
        <v>10.7</v>
      </c>
      <c r="Q151" s="123"/>
    </row>
    <row r="152" spans="2:17" ht="17.25" thickBot="1">
      <c r="B152" s="111">
        <f>SUM(C138,C141,C147)</f>
        <v>2200</v>
      </c>
      <c r="C152" s="112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2"/>
    </row>
    <row r="154" spans="2:17" ht="17.25" thickBot="1"/>
    <row r="155" spans="2:17" ht="17.25" thickBot="1">
      <c r="B155" s="114" t="s">
        <v>101</v>
      </c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6"/>
    </row>
    <row r="156" spans="2:17">
      <c r="B156" s="91" t="s">
        <v>0</v>
      </c>
      <c r="C156" s="16" t="s">
        <v>1</v>
      </c>
      <c r="D156" s="12" t="s">
        <v>2</v>
      </c>
      <c r="E156" s="13" t="s">
        <v>3</v>
      </c>
      <c r="F156" s="13" t="s">
        <v>4</v>
      </c>
      <c r="G156" s="13" t="s">
        <v>5</v>
      </c>
      <c r="H156" s="13" t="s">
        <v>48</v>
      </c>
      <c r="I156" s="14" t="s">
        <v>44</v>
      </c>
      <c r="J156" s="14" t="s">
        <v>72</v>
      </c>
      <c r="K156" s="14" t="s">
        <v>96</v>
      </c>
      <c r="L156" s="15"/>
      <c r="M156" s="40"/>
      <c r="N156" s="14"/>
      <c r="O156" s="17" t="s">
        <v>42</v>
      </c>
      <c r="P156" s="18" t="s">
        <v>43</v>
      </c>
      <c r="Q156" s="18" t="s">
        <v>6</v>
      </c>
    </row>
    <row r="157" spans="2:17">
      <c r="B157" s="92"/>
      <c r="C157" s="124">
        <v>200</v>
      </c>
      <c r="D157" s="126">
        <f>C157*0.03578</f>
        <v>7.1559999999999997</v>
      </c>
      <c r="E157" s="82">
        <v>10</v>
      </c>
      <c r="F157" s="82">
        <v>7</v>
      </c>
      <c r="G157" s="82">
        <v>25</v>
      </c>
      <c r="H157" s="82">
        <v>10</v>
      </c>
      <c r="I157" s="82">
        <v>20</v>
      </c>
      <c r="J157" s="82">
        <v>28</v>
      </c>
      <c r="K157" s="82">
        <v>15</v>
      </c>
      <c r="L157" s="128"/>
      <c r="M157" s="32"/>
      <c r="N157" s="159"/>
      <c r="O157" s="89">
        <f>SUM(D157,E157,F157,G157,H157,J157,K157)</f>
        <v>102.15600000000001</v>
      </c>
      <c r="P157" s="89">
        <f>SUM(D157,E157,F157,G157,I157,J157,K157)</f>
        <v>112.15600000000001</v>
      </c>
      <c r="Q157" s="89">
        <f>SUM(D157:F158,J157,K157)</f>
        <v>67.156000000000006</v>
      </c>
    </row>
    <row r="158" spans="2:17" ht="17.25" thickBot="1">
      <c r="B158" s="93"/>
      <c r="C158" s="125"/>
      <c r="D158" s="127"/>
      <c r="E158" s="83"/>
      <c r="F158" s="83"/>
      <c r="G158" s="83"/>
      <c r="H158" s="83"/>
      <c r="I158" s="83"/>
      <c r="J158" s="83"/>
      <c r="K158" s="83"/>
      <c r="L158" s="158"/>
      <c r="M158" s="47"/>
      <c r="N158" s="160"/>
      <c r="O158" s="161"/>
      <c r="P158" s="161"/>
      <c r="Q158" s="161"/>
    </row>
    <row r="159" spans="2:17">
      <c r="B159" s="96" t="s">
        <v>7</v>
      </c>
      <c r="C159" s="16" t="s">
        <v>8</v>
      </c>
      <c r="D159" s="51" t="s">
        <v>68</v>
      </c>
      <c r="E159" s="42" t="s">
        <v>9</v>
      </c>
      <c r="F159" s="42" t="s">
        <v>10</v>
      </c>
      <c r="G159" s="42" t="s">
        <v>11</v>
      </c>
      <c r="H159" s="42" t="s">
        <v>72</v>
      </c>
      <c r="I159" s="42" t="s">
        <v>50</v>
      </c>
      <c r="J159" s="42" t="s">
        <v>49</v>
      </c>
      <c r="K159" s="42" t="s">
        <v>51</v>
      </c>
      <c r="L159" s="42" t="s">
        <v>67</v>
      </c>
      <c r="M159" s="42" t="s">
        <v>96</v>
      </c>
      <c r="N159" s="42" t="s">
        <v>47</v>
      </c>
      <c r="O159" s="42" t="s">
        <v>52</v>
      </c>
      <c r="P159" s="43" t="s">
        <v>53</v>
      </c>
      <c r="Q159" s="20" t="s">
        <v>70</v>
      </c>
    </row>
    <row r="160" spans="2:17">
      <c r="B160" s="97"/>
      <c r="C160" s="99">
        <v>1500</v>
      </c>
      <c r="D160" s="101">
        <f>C160*0.02145/100+1</f>
        <v>1.32175</v>
      </c>
      <c r="E160" s="84">
        <f>C160*0.03576/100+1</f>
        <v>1.5364</v>
      </c>
      <c r="F160" s="84">
        <f>20/100+1</f>
        <v>1.2</v>
      </c>
      <c r="G160" s="84">
        <f>10/100+1</f>
        <v>1.1000000000000001</v>
      </c>
      <c r="H160" s="84">
        <f>1.35</f>
        <v>1.35</v>
      </c>
      <c r="I160" s="84">
        <f>MIN(O157,100)*0.225/100+1</f>
        <v>1.2250000000000001</v>
      </c>
      <c r="J160" s="84">
        <f>MIN(P157,100)*0.225/100+1</f>
        <v>1.2250000000000001</v>
      </c>
      <c r="K160" s="84">
        <f>MIN(Q157,100)*0.225/100+1</f>
        <v>1.1511009999999999</v>
      </c>
      <c r="L160" s="84">
        <f>16/100+1</f>
        <v>1.1599999999999999</v>
      </c>
      <c r="M160" s="84">
        <f>6/100+1</f>
        <v>1.06</v>
      </c>
      <c r="N160" s="46">
        <f>PRODUCT(D160,F160,H160,I160,L160,M160)*100</f>
        <v>322.52566311000004</v>
      </c>
      <c r="O160" s="46">
        <f>PRODUCT(D160,F160,H160,I160,L160,O170,M160)*100</f>
        <v>340.75611527733764</v>
      </c>
      <c r="P160" s="49">
        <f>PRODUCT(D160,F160,H160,I160,L160,N170,M160)*100</f>
        <v>361.17095533034717</v>
      </c>
      <c r="Q160" s="86">
        <f>AVERAGE(N160:P160,N162:P162)</f>
        <v>341.48424457256164</v>
      </c>
    </row>
    <row r="161" spans="2:17">
      <c r="B161" s="97"/>
      <c r="C161" s="99"/>
      <c r="D161" s="101"/>
      <c r="E161" s="84"/>
      <c r="F161" s="84"/>
      <c r="G161" s="84"/>
      <c r="H161" s="84"/>
      <c r="I161" s="84"/>
      <c r="J161" s="84"/>
      <c r="K161" s="84"/>
      <c r="L161" s="84"/>
      <c r="M161" s="84"/>
      <c r="N161" s="15" t="s">
        <v>56</v>
      </c>
      <c r="O161" s="15" t="s">
        <v>57</v>
      </c>
      <c r="P161" s="44" t="s">
        <v>58</v>
      </c>
      <c r="Q161" s="87"/>
    </row>
    <row r="162" spans="2:17">
      <c r="B162" s="97"/>
      <c r="C162" s="99"/>
      <c r="D162" s="101"/>
      <c r="E162" s="84"/>
      <c r="F162" s="84"/>
      <c r="G162" s="84"/>
      <c r="H162" s="84"/>
      <c r="I162" s="84"/>
      <c r="J162" s="84"/>
      <c r="K162" s="84"/>
      <c r="L162" s="84"/>
      <c r="M162" s="84"/>
      <c r="N162" s="46">
        <f>PRODUCT(D160,F160,H160,J160,L160,M160)*100</f>
        <v>322.52566311000004</v>
      </c>
      <c r="O162" s="46">
        <f>PRODUCT(D160,F160,H160,J160,L160,O170,M160)*100</f>
        <v>340.75611527733764</v>
      </c>
      <c r="P162" s="49">
        <f>PRODUCT(D160,F160,H160,J160,L160,N170,M160)*100</f>
        <v>361.17095533034717</v>
      </c>
      <c r="Q162" s="45" t="s">
        <v>65</v>
      </c>
    </row>
    <row r="163" spans="2:17">
      <c r="B163" s="97"/>
      <c r="C163" s="99"/>
      <c r="D163" s="101"/>
      <c r="E163" s="84"/>
      <c r="F163" s="84"/>
      <c r="G163" s="84"/>
      <c r="H163" s="84"/>
      <c r="I163" s="84"/>
      <c r="J163" s="84"/>
      <c r="K163" s="84"/>
      <c r="L163" s="84"/>
      <c r="M163" s="84"/>
      <c r="N163" s="15" t="s">
        <v>61</v>
      </c>
      <c r="O163" s="15" t="s">
        <v>62</v>
      </c>
      <c r="P163" s="44" t="s">
        <v>63</v>
      </c>
      <c r="Q163" s="86">
        <f>AVERAGE(N164:P164)</f>
        <v>400.62424335410338</v>
      </c>
    </row>
    <row r="164" spans="2:17" ht="17.25" thickBot="1">
      <c r="B164" s="98"/>
      <c r="C164" s="100"/>
      <c r="D164" s="102"/>
      <c r="E164" s="85"/>
      <c r="F164" s="85"/>
      <c r="G164" s="85"/>
      <c r="H164" s="85"/>
      <c r="I164" s="85"/>
      <c r="J164" s="85"/>
      <c r="K164" s="85"/>
      <c r="L164" s="85"/>
      <c r="M164" s="85"/>
      <c r="N164" s="27">
        <f>PRODUCT(E160,F160,(G160+0.35),K160,L160,M160)*100</f>
        <v>378.38231719141055</v>
      </c>
      <c r="O164" s="27">
        <f>PRODUCT(E160,F160,(G160+0.35),K160,L160,O170,M160)*100</f>
        <v>399.77001288051832</v>
      </c>
      <c r="P164" s="50">
        <f>PRODUCT(E160,F160,(G160+0.35),K160,L160,N170,M160)*100</f>
        <v>423.72039999038134</v>
      </c>
      <c r="Q164" s="88"/>
    </row>
    <row r="165" spans="2:17">
      <c r="B165" s="103" t="s">
        <v>13</v>
      </c>
      <c r="C165" s="48" t="s">
        <v>14</v>
      </c>
      <c r="D165" s="39" t="s">
        <v>15</v>
      </c>
      <c r="E165" s="40" t="s">
        <v>16</v>
      </c>
      <c r="F165" s="40"/>
      <c r="G165" s="40" t="s">
        <v>18</v>
      </c>
      <c r="H165" s="40" t="s">
        <v>19</v>
      </c>
      <c r="I165" s="41" t="s">
        <v>20</v>
      </c>
      <c r="J165" s="41" t="s">
        <v>21</v>
      </c>
      <c r="K165" s="41"/>
      <c r="L165" s="41"/>
      <c r="M165" s="41"/>
      <c r="N165" s="41"/>
      <c r="O165" s="41"/>
      <c r="P165" s="106" t="s">
        <v>22</v>
      </c>
      <c r="Q165" s="107"/>
    </row>
    <row r="166" spans="2:17" ht="17.25" thickBot="1">
      <c r="B166" s="104"/>
      <c r="C166" s="108">
        <v>500</v>
      </c>
      <c r="D166" s="142">
        <f>C166*0.01717</f>
        <v>8.5850000000000009</v>
      </c>
      <c r="E166" s="117">
        <v>13.8</v>
      </c>
      <c r="F166" s="117"/>
      <c r="G166" s="3">
        <f>MIN(SUM(D166,F166),40)</f>
        <v>8.5850000000000009</v>
      </c>
      <c r="H166" s="3">
        <f>MIN(SUM(D166:F170),40)</f>
        <v>22.385000000000002</v>
      </c>
      <c r="I166" s="4">
        <f>MIN((G166+10),40)</f>
        <v>18.585000000000001</v>
      </c>
      <c r="J166" s="4">
        <f>MIN(SUM(E166,I166),40)</f>
        <v>32.385000000000005</v>
      </c>
      <c r="K166" s="4"/>
      <c r="L166" s="4"/>
      <c r="M166" s="4"/>
      <c r="N166" s="4"/>
      <c r="O166" s="4"/>
      <c r="P166" s="5">
        <f>MIN(G166:J166,40)</f>
        <v>8.5850000000000009</v>
      </c>
      <c r="Q166" s="6">
        <f>MIN(MAX(G166:J166),40)</f>
        <v>32.385000000000005</v>
      </c>
    </row>
    <row r="167" spans="2:17">
      <c r="B167" s="104"/>
      <c r="C167" s="109"/>
      <c r="D167" s="143"/>
      <c r="E167" s="118"/>
      <c r="F167" s="118"/>
      <c r="G167" s="15" t="s">
        <v>23</v>
      </c>
      <c r="H167" s="15" t="s">
        <v>24</v>
      </c>
      <c r="I167" s="19" t="s">
        <v>25</v>
      </c>
      <c r="J167" s="19" t="s">
        <v>21</v>
      </c>
      <c r="K167" s="19"/>
      <c r="L167" s="19"/>
      <c r="M167" s="19"/>
      <c r="N167" s="19"/>
      <c r="O167" s="19"/>
      <c r="P167" s="120" t="s">
        <v>26</v>
      </c>
      <c r="Q167" s="121"/>
    </row>
    <row r="168" spans="2:17" ht="17.25" thickBot="1">
      <c r="B168" s="104"/>
      <c r="C168" s="109"/>
      <c r="D168" s="143"/>
      <c r="E168" s="118"/>
      <c r="F168" s="118"/>
      <c r="G168" s="7">
        <f>MIN(SUM(D166,F166))</f>
        <v>8.5850000000000009</v>
      </c>
      <c r="H168" s="7">
        <f>MIN(SUM(D166:F170),40)</f>
        <v>22.385000000000002</v>
      </c>
      <c r="I168" s="8">
        <f>MIN((G168+10),40)</f>
        <v>18.585000000000001</v>
      </c>
      <c r="J168" s="8">
        <f>MIN(SUM(E166,I168),40)</f>
        <v>32.385000000000005</v>
      </c>
      <c r="K168" s="8"/>
      <c r="L168" s="8"/>
      <c r="M168" s="8"/>
      <c r="N168" s="8"/>
      <c r="O168" s="8"/>
      <c r="P168" s="9">
        <f>MIN(G168:J168,40)</f>
        <v>8.5850000000000009</v>
      </c>
      <c r="Q168" s="10">
        <f>MIN(MAX(G168:J168),40)</f>
        <v>32.385000000000005</v>
      </c>
    </row>
    <row r="169" spans="2:17">
      <c r="B169" s="104"/>
      <c r="C169" s="109"/>
      <c r="D169" s="143"/>
      <c r="E169" s="118"/>
      <c r="F169" s="118"/>
      <c r="G169" s="15"/>
      <c r="H169" s="15"/>
      <c r="I169" s="15"/>
      <c r="J169" s="15"/>
      <c r="K169" s="15"/>
      <c r="L169" s="15"/>
      <c r="M169" s="15"/>
      <c r="N169" s="21" t="s">
        <v>54</v>
      </c>
      <c r="O169" s="22" t="s">
        <v>55</v>
      </c>
      <c r="P169" s="120" t="s">
        <v>27</v>
      </c>
      <c r="Q169" s="121"/>
    </row>
    <row r="170" spans="2:17" ht="17.25" thickBot="1">
      <c r="B170" s="105"/>
      <c r="C170" s="110"/>
      <c r="D170" s="144"/>
      <c r="E170" s="119"/>
      <c r="F170" s="119"/>
      <c r="G170" s="11"/>
      <c r="H170" s="11"/>
      <c r="I170" s="11"/>
      <c r="J170" s="11"/>
      <c r="K170" s="11"/>
      <c r="L170" s="11"/>
      <c r="M170" s="11"/>
      <c r="N170" s="26">
        <f>1/(1-P170/100)</f>
        <v>1.1198208286674132</v>
      </c>
      <c r="O170" s="25">
        <f>1/(1-P170/2/100)</f>
        <v>1.0565240359218173</v>
      </c>
      <c r="P170" s="122">
        <f>C166*0.0214</f>
        <v>10.7</v>
      </c>
      <c r="Q170" s="123"/>
    </row>
    <row r="171" spans="2:17" ht="17.25" thickBot="1">
      <c r="B171" s="114">
        <f>SUM(C157,C160,C166)</f>
        <v>2200</v>
      </c>
      <c r="C171" s="116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6"/>
    </row>
    <row r="173" spans="2:17" ht="17.25" thickBot="1"/>
    <row r="174" spans="2:17" ht="17.25" thickBot="1">
      <c r="B174" s="148" t="s">
        <v>103</v>
      </c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50"/>
    </row>
    <row r="175" spans="2:17">
      <c r="B175" s="91" t="s">
        <v>0</v>
      </c>
      <c r="C175" s="16" t="s">
        <v>1</v>
      </c>
      <c r="D175" s="12" t="s">
        <v>2</v>
      </c>
      <c r="E175" s="13" t="s">
        <v>3</v>
      </c>
      <c r="F175" s="13" t="s">
        <v>4</v>
      </c>
      <c r="G175" s="13" t="s">
        <v>5</v>
      </c>
      <c r="H175" s="13" t="s">
        <v>48</v>
      </c>
      <c r="I175" s="14" t="s">
        <v>44</v>
      </c>
      <c r="J175" s="14" t="s">
        <v>72</v>
      </c>
      <c r="K175" s="14"/>
      <c r="L175" s="15"/>
      <c r="M175" s="40"/>
      <c r="N175" s="14"/>
      <c r="O175" s="17" t="s">
        <v>42</v>
      </c>
      <c r="P175" s="18" t="s">
        <v>43</v>
      </c>
      <c r="Q175" s="18" t="s">
        <v>6</v>
      </c>
    </row>
    <row r="176" spans="2:17">
      <c r="B176" s="92"/>
      <c r="C176" s="124">
        <v>600</v>
      </c>
      <c r="D176" s="126">
        <f>C176*0.03578</f>
        <v>21.468</v>
      </c>
      <c r="E176" s="82">
        <v>10</v>
      </c>
      <c r="F176" s="82">
        <v>7</v>
      </c>
      <c r="G176" s="82">
        <v>25</v>
      </c>
      <c r="H176" s="82">
        <v>10</v>
      </c>
      <c r="I176" s="82">
        <v>20</v>
      </c>
      <c r="J176" s="82">
        <v>28</v>
      </c>
      <c r="K176" s="82"/>
      <c r="L176" s="128"/>
      <c r="M176" s="73"/>
      <c r="N176" s="159"/>
      <c r="O176" s="89">
        <f>SUM(D176,E176,F176,G176,H176,J176)</f>
        <v>101.468</v>
      </c>
      <c r="P176" s="89">
        <f>SUM(D176,E176,F176,G176,I176,J176)</f>
        <v>111.468</v>
      </c>
      <c r="Q176" s="89">
        <f>SUM(D176:F177,J176)</f>
        <v>66.468000000000004</v>
      </c>
    </row>
    <row r="177" spans="2:17" ht="17.25" thickBot="1">
      <c r="B177" s="93"/>
      <c r="C177" s="125"/>
      <c r="D177" s="127"/>
      <c r="E177" s="83"/>
      <c r="F177" s="83"/>
      <c r="G177" s="83"/>
      <c r="H177" s="83"/>
      <c r="I177" s="83"/>
      <c r="J177" s="83"/>
      <c r="K177" s="83"/>
      <c r="L177" s="158"/>
      <c r="M177" s="74"/>
      <c r="N177" s="160"/>
      <c r="O177" s="161"/>
      <c r="P177" s="161"/>
      <c r="Q177" s="161"/>
    </row>
    <row r="178" spans="2:17">
      <c r="B178" s="96" t="s">
        <v>7</v>
      </c>
      <c r="C178" s="16" t="s">
        <v>8</v>
      </c>
      <c r="D178" s="51" t="s">
        <v>68</v>
      </c>
      <c r="E178" s="42" t="s">
        <v>9</v>
      </c>
      <c r="F178" s="42" t="s">
        <v>10</v>
      </c>
      <c r="G178" s="42" t="s">
        <v>11</v>
      </c>
      <c r="H178" s="42" t="s">
        <v>72</v>
      </c>
      <c r="I178" s="42" t="s">
        <v>50</v>
      </c>
      <c r="J178" s="42" t="s">
        <v>49</v>
      </c>
      <c r="K178" s="42" t="s">
        <v>51</v>
      </c>
      <c r="L178" s="42" t="s">
        <v>67</v>
      </c>
      <c r="M178" s="42"/>
      <c r="N178" s="42" t="s">
        <v>47</v>
      </c>
      <c r="O178" s="42" t="s">
        <v>52</v>
      </c>
      <c r="P178" s="43" t="s">
        <v>53</v>
      </c>
      <c r="Q178" s="20" t="s">
        <v>70</v>
      </c>
    </row>
    <row r="179" spans="2:17">
      <c r="B179" s="97"/>
      <c r="C179" s="99">
        <v>700</v>
      </c>
      <c r="D179" s="101">
        <f>C179*0.02145/100+1</f>
        <v>1.15015</v>
      </c>
      <c r="E179" s="84">
        <f>C179*0.03576/100+1</f>
        <v>1.2503199999999999</v>
      </c>
      <c r="F179" s="84">
        <f>20/100+1</f>
        <v>1.2</v>
      </c>
      <c r="G179" s="84">
        <f>10/100+1</f>
        <v>1.1000000000000001</v>
      </c>
      <c r="H179" s="84">
        <f>1.35</f>
        <v>1.35</v>
      </c>
      <c r="I179" s="84">
        <f>MIN(O176,100)*0.225/100+1</f>
        <v>1.2250000000000001</v>
      </c>
      <c r="J179" s="84">
        <f>MIN(P176,100)*0.225/100+1</f>
        <v>1.2250000000000001</v>
      </c>
      <c r="K179" s="84">
        <f>MIN(Q176,100)*0.225/100+1</f>
        <v>1.149553</v>
      </c>
      <c r="L179" s="84">
        <f>16/100+1</f>
        <v>1.1599999999999999</v>
      </c>
      <c r="M179" s="84"/>
      <c r="N179" s="46">
        <f>PRODUCT(D179,F179,H179,I179,L179,M185)*100</f>
        <v>283.17831852881653</v>
      </c>
      <c r="O179" s="46">
        <f>PRODUCT(D179,F179,H179,I179,L179,N185,O189)*100</f>
        <v>333.60232418120745</v>
      </c>
      <c r="P179" s="49">
        <f>PRODUCT(D179,F179,H179,I179,L179,O185,N189)*100</f>
        <v>386.95177081248448</v>
      </c>
      <c r="Q179" s="86">
        <f>AVERAGE(N179:P179,N181:P181)</f>
        <v>334.57747117416949</v>
      </c>
    </row>
    <row r="180" spans="2:17">
      <c r="B180" s="97"/>
      <c r="C180" s="99"/>
      <c r="D180" s="101"/>
      <c r="E180" s="84"/>
      <c r="F180" s="84"/>
      <c r="G180" s="84"/>
      <c r="H180" s="84"/>
      <c r="I180" s="84"/>
      <c r="J180" s="84"/>
      <c r="K180" s="84"/>
      <c r="L180" s="84"/>
      <c r="M180" s="84"/>
      <c r="N180" s="15" t="s">
        <v>56</v>
      </c>
      <c r="O180" s="15" t="s">
        <v>57</v>
      </c>
      <c r="P180" s="44" t="s">
        <v>58</v>
      </c>
      <c r="Q180" s="87"/>
    </row>
    <row r="181" spans="2:17">
      <c r="B181" s="97"/>
      <c r="C181" s="99"/>
      <c r="D181" s="101"/>
      <c r="E181" s="84"/>
      <c r="F181" s="84"/>
      <c r="G181" s="84"/>
      <c r="H181" s="84"/>
      <c r="I181" s="84"/>
      <c r="J181" s="84"/>
      <c r="K181" s="84"/>
      <c r="L181" s="84"/>
      <c r="M181" s="84"/>
      <c r="N181" s="46">
        <f>PRODUCT(D179,F179,H179,J179,L179,M185)*100</f>
        <v>283.17831852881653</v>
      </c>
      <c r="O181" s="46">
        <f>PRODUCT(D179,F179,H179,J179,L179,N185,O189)*100</f>
        <v>333.60232418120745</v>
      </c>
      <c r="P181" s="49">
        <f>PRODUCT(D179,F179,H179,J179,L179,O185,N189)*100</f>
        <v>386.95177081248448</v>
      </c>
      <c r="Q181" s="45" t="s">
        <v>65</v>
      </c>
    </row>
    <row r="182" spans="2:17">
      <c r="B182" s="97"/>
      <c r="C182" s="99"/>
      <c r="D182" s="101"/>
      <c r="E182" s="84"/>
      <c r="F182" s="84"/>
      <c r="G182" s="84"/>
      <c r="H182" s="84"/>
      <c r="I182" s="84"/>
      <c r="J182" s="84"/>
      <c r="K182" s="84"/>
      <c r="L182" s="84"/>
      <c r="M182" s="84"/>
      <c r="N182" s="15" t="s">
        <v>61</v>
      </c>
      <c r="O182" s="15" t="s">
        <v>62</v>
      </c>
      <c r="P182" s="44" t="s">
        <v>63</v>
      </c>
      <c r="Q182" s="86">
        <f>AVERAGE(N183:P183)</f>
        <v>366.59837277831519</v>
      </c>
    </row>
    <row r="183" spans="2:17" ht="17.25" thickBot="1">
      <c r="B183" s="98"/>
      <c r="C183" s="100"/>
      <c r="D183" s="102"/>
      <c r="E183" s="85"/>
      <c r="F183" s="85"/>
      <c r="G183" s="85"/>
      <c r="H183" s="85"/>
      <c r="I183" s="85"/>
      <c r="J183" s="85"/>
      <c r="K183" s="85"/>
      <c r="L183" s="85"/>
      <c r="M183" s="85"/>
      <c r="N183" s="27">
        <f>PRODUCT(E179,F179,(G179+0.35),K179,L179,M185)*100</f>
        <v>310.28003892324909</v>
      </c>
      <c r="O183" s="27">
        <f>PRODUCT(E179,F179,(G179+0.35),K179,L179,N185,O189)*100</f>
        <v>365.52989886228914</v>
      </c>
      <c r="P183" s="50">
        <f>PRODUCT(E179,F179,(G179+0.35),K179,L179,O185,N189)*100</f>
        <v>423.98518054940729</v>
      </c>
      <c r="Q183" s="88"/>
    </row>
    <row r="184" spans="2:17">
      <c r="B184" s="103" t="s">
        <v>13</v>
      </c>
      <c r="C184" s="48" t="s">
        <v>14</v>
      </c>
      <c r="D184" s="39" t="s">
        <v>15</v>
      </c>
      <c r="E184" s="40" t="s">
        <v>16</v>
      </c>
      <c r="F184" s="40"/>
      <c r="G184" s="40" t="s">
        <v>18</v>
      </c>
      <c r="H184" s="40" t="s">
        <v>19</v>
      </c>
      <c r="I184" s="41" t="s">
        <v>74</v>
      </c>
      <c r="J184" s="41" t="s">
        <v>20</v>
      </c>
      <c r="K184" s="41" t="s">
        <v>21</v>
      </c>
      <c r="L184" s="41" t="s">
        <v>75</v>
      </c>
      <c r="M184" s="41" t="s">
        <v>77</v>
      </c>
      <c r="N184" s="41" t="s">
        <v>78</v>
      </c>
      <c r="O184" s="41" t="s">
        <v>79</v>
      </c>
      <c r="P184" s="106" t="s">
        <v>22</v>
      </c>
      <c r="Q184" s="107"/>
    </row>
    <row r="185" spans="2:17" ht="17.25" thickBot="1">
      <c r="B185" s="104"/>
      <c r="C185" s="108">
        <v>900</v>
      </c>
      <c r="D185" s="142">
        <f>C185*0.01717</f>
        <v>15.453000000000001</v>
      </c>
      <c r="E185" s="117">
        <v>13.8</v>
      </c>
      <c r="F185" s="117"/>
      <c r="G185" s="3">
        <f>MIN(SUM(D185,F185),40)</f>
        <v>15.453000000000001</v>
      </c>
      <c r="H185" s="3">
        <f>MIN(SUM(D185:F189),40)</f>
        <v>29.253</v>
      </c>
      <c r="I185" s="4">
        <f>MIN(G185+20,40)</f>
        <v>35.453000000000003</v>
      </c>
      <c r="J185" s="4">
        <f>MIN((G185+10),40)</f>
        <v>25.453000000000003</v>
      </c>
      <c r="K185" s="4">
        <f>MIN(SUM(E185,J185),40)</f>
        <v>39.253</v>
      </c>
      <c r="L185" s="4">
        <f>MIN(J185+20,40)</f>
        <v>40</v>
      </c>
      <c r="M185" s="54">
        <f>MIN(G189,1.18)</f>
        <v>1.0695384999999999</v>
      </c>
      <c r="N185" s="54">
        <f>MIN(AVERAGE(G189:L189),1.18)</f>
        <v>1.13864875</v>
      </c>
      <c r="O185" s="54">
        <f>MIN(MAX(G189:L189),1.18)</f>
        <v>1.18</v>
      </c>
      <c r="P185" s="5">
        <f>MIN(G185,40)</f>
        <v>15.453000000000001</v>
      </c>
      <c r="Q185" s="6">
        <f>MIN(MAX(G185:L185),40)</f>
        <v>40</v>
      </c>
    </row>
    <row r="186" spans="2:17">
      <c r="B186" s="104"/>
      <c r="C186" s="109"/>
      <c r="D186" s="143"/>
      <c r="E186" s="118"/>
      <c r="F186" s="118"/>
      <c r="G186" s="15" t="s">
        <v>23</v>
      </c>
      <c r="H186" s="15" t="s">
        <v>24</v>
      </c>
      <c r="I186" s="75"/>
      <c r="J186" s="75" t="s">
        <v>25</v>
      </c>
      <c r="K186" s="75" t="s">
        <v>21</v>
      </c>
      <c r="L186" s="75"/>
      <c r="M186" s="75"/>
      <c r="N186" s="75"/>
      <c r="O186" s="75"/>
      <c r="P186" s="120" t="s">
        <v>26</v>
      </c>
      <c r="Q186" s="121"/>
    </row>
    <row r="187" spans="2:17" ht="17.25" thickBot="1">
      <c r="B187" s="104"/>
      <c r="C187" s="109"/>
      <c r="D187" s="143"/>
      <c r="E187" s="118"/>
      <c r="F187" s="118"/>
      <c r="G187" s="7">
        <f>MIN(SUM(D185,F185))</f>
        <v>15.453000000000001</v>
      </c>
      <c r="H187" s="7">
        <f>MIN(SUM(D185:F189),40)</f>
        <v>29.253</v>
      </c>
      <c r="I187" s="8"/>
      <c r="J187" s="8">
        <f>MIN((G187+10),40)</f>
        <v>25.453000000000003</v>
      </c>
      <c r="K187" s="8">
        <f>MIN(SUM(E185,J187),40)</f>
        <v>39.253</v>
      </c>
      <c r="L187" s="8"/>
      <c r="M187" s="8"/>
      <c r="N187" s="8"/>
      <c r="O187" s="8"/>
      <c r="P187" s="9">
        <f>MIN(G187:K187,40)</f>
        <v>15.453000000000001</v>
      </c>
      <c r="Q187" s="10">
        <f>MIN(MAX(G187:K187),40)</f>
        <v>39.253</v>
      </c>
    </row>
    <row r="188" spans="2:17">
      <c r="B188" s="104"/>
      <c r="C188" s="109"/>
      <c r="D188" s="143"/>
      <c r="E188" s="118"/>
      <c r="F188" s="118"/>
      <c r="G188" s="152" t="s">
        <v>76</v>
      </c>
      <c r="H188" s="153"/>
      <c r="I188" s="153"/>
      <c r="J188" s="153"/>
      <c r="K188" s="153"/>
      <c r="L188" s="154"/>
      <c r="M188" s="15"/>
      <c r="N188" s="21" t="s">
        <v>54</v>
      </c>
      <c r="O188" s="22" t="s">
        <v>55</v>
      </c>
      <c r="P188" s="120" t="s">
        <v>27</v>
      </c>
      <c r="Q188" s="121"/>
    </row>
    <row r="189" spans="2:17" ht="17.25" thickBot="1">
      <c r="B189" s="105"/>
      <c r="C189" s="110"/>
      <c r="D189" s="144"/>
      <c r="E189" s="119"/>
      <c r="F189" s="119"/>
      <c r="G189" s="53">
        <f t="shared" ref="G189:L189" si="2">G185*45%/100+1</f>
        <v>1.0695384999999999</v>
      </c>
      <c r="H189" s="53">
        <f t="shared" si="2"/>
        <v>1.1316385</v>
      </c>
      <c r="I189" s="53">
        <f t="shared" si="2"/>
        <v>1.1595385</v>
      </c>
      <c r="J189" s="53">
        <f t="shared" si="2"/>
        <v>1.1145385000000001</v>
      </c>
      <c r="K189" s="53">
        <f t="shared" si="2"/>
        <v>1.1766384999999999</v>
      </c>
      <c r="L189" s="53">
        <f t="shared" si="2"/>
        <v>1.18</v>
      </c>
      <c r="M189" s="11"/>
      <c r="N189" s="26">
        <f>1/(1-P189/100)</f>
        <v>1.2385434728758979</v>
      </c>
      <c r="O189" s="25">
        <f>1/(1-P189/2/100)</f>
        <v>1.1065619121389842</v>
      </c>
      <c r="P189" s="122">
        <f>C185*0.0214</f>
        <v>19.259999999999998</v>
      </c>
      <c r="Q189" s="123"/>
    </row>
    <row r="190" spans="2:17" ht="17.25" thickBot="1">
      <c r="B190" s="148">
        <f>SUM(C176,C179,C185)</f>
        <v>2200</v>
      </c>
      <c r="C190" s="150"/>
      <c r="D190" s="149" t="s">
        <v>80</v>
      </c>
      <c r="E190" s="149"/>
      <c r="F190" s="151"/>
      <c r="G190" s="151"/>
      <c r="H190" s="151"/>
      <c r="I190" s="151"/>
      <c r="J190" s="151"/>
      <c r="K190" s="151"/>
      <c r="L190" s="151"/>
      <c r="M190" s="151"/>
      <c r="N190" s="151"/>
      <c r="O190" s="149"/>
      <c r="P190" s="149"/>
      <c r="Q190" s="150"/>
    </row>
    <row r="191" spans="2:17">
      <c r="B191" s="58"/>
      <c r="C191" s="59"/>
      <c r="D191" s="59"/>
      <c r="E191" s="59"/>
      <c r="F191" s="155" t="s">
        <v>93</v>
      </c>
      <c r="G191" s="155"/>
      <c r="H191" s="155"/>
      <c r="I191" s="155"/>
      <c r="J191" s="155"/>
      <c r="K191" s="155"/>
      <c r="L191" s="155"/>
      <c r="M191" s="155"/>
      <c r="N191" s="155"/>
      <c r="O191" s="59"/>
      <c r="P191" s="59"/>
      <c r="Q191" s="60"/>
    </row>
    <row r="192" spans="2:17">
      <c r="B192" s="58"/>
      <c r="C192" s="59"/>
      <c r="D192" s="59"/>
      <c r="E192" s="59"/>
      <c r="F192" s="76" t="s">
        <v>91</v>
      </c>
      <c r="G192" s="57">
        <f t="shared" ref="G192:L192" si="3">G185*45%/100</f>
        <v>6.9538500000000003E-2</v>
      </c>
      <c r="H192" s="57">
        <f t="shared" si="3"/>
        <v>0.13163849999999999</v>
      </c>
      <c r="I192" s="57">
        <f t="shared" si="3"/>
        <v>0.1595385</v>
      </c>
      <c r="J192" s="57">
        <f t="shared" si="3"/>
        <v>0.11453850000000002</v>
      </c>
      <c r="K192" s="57">
        <f t="shared" si="3"/>
        <v>0.1766385</v>
      </c>
      <c r="L192" s="57">
        <f t="shared" si="3"/>
        <v>0.18</v>
      </c>
      <c r="M192" s="76"/>
      <c r="N192" s="76"/>
      <c r="O192" s="59"/>
      <c r="P192" s="59"/>
      <c r="Q192" s="60"/>
    </row>
    <row r="193" spans="2:17">
      <c r="B193" s="61"/>
      <c r="C193" s="62"/>
      <c r="D193" s="62"/>
      <c r="E193" s="62"/>
      <c r="F193" s="77" t="s">
        <v>81</v>
      </c>
      <c r="G193" s="77">
        <f>PRODUCT(D179,F179,H179,I179,L179,G189)*100</f>
        <v>283.17831852881653</v>
      </c>
      <c r="H193" s="77">
        <f>PRODUCT(D179,F179,H179,I179,L179,H189)*100</f>
        <v>299.6203386904466</v>
      </c>
      <c r="I193" s="77">
        <f>PRODUCT(D179,F179,H179,I179,L179,I189)*100</f>
        <v>307.00733325581655</v>
      </c>
      <c r="J193" s="77">
        <f>PRODUCT(D179,F179,H179,I179,L179,J189)*100</f>
        <v>295.09282589231657</v>
      </c>
      <c r="K193" s="77">
        <f>PRODUCT(D179,F179,H179,I179,L179,K189)*100</f>
        <v>311.53484605394652</v>
      </c>
      <c r="L193" s="77">
        <f>PRODUCT(D179,F179,H179,I179,L179,L189)*100</f>
        <v>312.42485975400001</v>
      </c>
      <c r="M193" s="77" t="s">
        <v>90</v>
      </c>
      <c r="N193" s="77" t="s">
        <v>60</v>
      </c>
      <c r="O193" s="62"/>
      <c r="P193" s="62"/>
      <c r="Q193" s="63"/>
    </row>
    <row r="194" spans="2:17">
      <c r="B194" s="61"/>
      <c r="C194" s="62"/>
      <c r="D194" s="62"/>
      <c r="E194" s="62"/>
      <c r="F194" s="77" t="s">
        <v>82</v>
      </c>
      <c r="G194" s="77">
        <f>G193*O189</f>
        <v>313.35434162754956</v>
      </c>
      <c r="H194" s="77">
        <f>H193*O189</f>
        <v>331.54845489703069</v>
      </c>
      <c r="I194" s="77">
        <f>I193*O189</f>
        <v>339.72262172824674</v>
      </c>
      <c r="J194" s="77">
        <f>J193*O189</f>
        <v>326.53848167789818</v>
      </c>
      <c r="K194" s="77">
        <f>K193*O189</f>
        <v>344.73259494737914</v>
      </c>
      <c r="L194" s="77">
        <f>L193*O189</f>
        <v>345.71745020914022</v>
      </c>
      <c r="M194" s="156">
        <f>AVERAGE(G193:L195)</f>
        <v>336.15679906993341</v>
      </c>
      <c r="N194" s="156">
        <f>AVERAGE(M194,M197)</f>
        <v>341.75017836056344</v>
      </c>
      <c r="O194" s="62"/>
      <c r="P194" s="62"/>
      <c r="Q194" s="63"/>
    </row>
    <row r="195" spans="2:17">
      <c r="B195" s="61"/>
      <c r="C195" s="62"/>
      <c r="D195" s="62"/>
      <c r="E195" s="62"/>
      <c r="F195" s="77" t="s">
        <v>83</v>
      </c>
      <c r="G195" s="77">
        <f>G193*N189</f>
        <v>350.72865807383766</v>
      </c>
      <c r="H195" s="77">
        <f>H193*N189</f>
        <v>371.09281482591848</v>
      </c>
      <c r="I195" s="77">
        <f>I193*N189</f>
        <v>380.24192872902717</v>
      </c>
      <c r="J195" s="77">
        <f>J193*N189</f>
        <v>365.48529340143244</v>
      </c>
      <c r="K195" s="77">
        <f>K193*N189</f>
        <v>385.84945015351315</v>
      </c>
      <c r="L195" s="77">
        <f>L193*N189</f>
        <v>386.95177081248454</v>
      </c>
      <c r="M195" s="156"/>
      <c r="N195" s="156"/>
      <c r="O195" s="62"/>
      <c r="P195" s="62"/>
      <c r="Q195" s="63"/>
    </row>
    <row r="196" spans="2:17">
      <c r="B196" s="61"/>
      <c r="C196" s="62"/>
      <c r="D196" s="62"/>
      <c r="E196" s="62"/>
      <c r="F196" s="77" t="s">
        <v>84</v>
      </c>
      <c r="G196" s="77">
        <f>PRODUCT(D179,F179,H179,J179,L179,G189)*100</f>
        <v>283.17831852881653</v>
      </c>
      <c r="H196" s="77">
        <f>PRODUCT(D179,F179,H179,J179,L179,H189)*100</f>
        <v>299.6203386904466</v>
      </c>
      <c r="I196" s="77">
        <f>PRODUCT(D179,F179,H179,J179,L179,I189)*100</f>
        <v>307.00733325581655</v>
      </c>
      <c r="J196" s="77">
        <f>PRODUCT(D179,F179,H179,J179,L179,J189)*100</f>
        <v>295.09282589231657</v>
      </c>
      <c r="K196" s="77">
        <f>PRODUCT(D179,F179,H179,J179,L179,K189)*100</f>
        <v>311.53484605394652</v>
      </c>
      <c r="L196" s="77">
        <f>PRODUCT(D179,F179,H179,J179,L179,L189)*100</f>
        <v>312.42485975400001</v>
      </c>
      <c r="M196" s="77" t="s">
        <v>59</v>
      </c>
      <c r="N196" s="156"/>
      <c r="O196" s="62"/>
      <c r="P196" s="62"/>
      <c r="Q196" s="63"/>
    </row>
    <row r="197" spans="2:17">
      <c r="B197" s="61"/>
      <c r="C197" s="62"/>
      <c r="D197" s="62"/>
      <c r="E197" s="62"/>
      <c r="F197" s="77" t="s">
        <v>85</v>
      </c>
      <c r="G197" s="77">
        <f>PRODUCT(G196,O189)</f>
        <v>313.35434162754956</v>
      </c>
      <c r="H197" s="77">
        <f>PRODUCT(H196,O189)</f>
        <v>331.54845489703069</v>
      </c>
      <c r="I197" s="77">
        <f>PRODUCT(I196,O189)</f>
        <v>339.72262172824674</v>
      </c>
      <c r="J197" s="77">
        <f>PRODUCT(J196,O189)</f>
        <v>326.53848167789818</v>
      </c>
      <c r="K197" s="77">
        <f>PRODUCT(K196,O189)</f>
        <v>344.73259494737914</v>
      </c>
      <c r="L197" s="77">
        <f>PRODUCT(L196,O189)</f>
        <v>345.71745020914022</v>
      </c>
      <c r="M197" s="156">
        <f>AVERAGE(G196:L198)</f>
        <v>347.34355765119346</v>
      </c>
      <c r="N197" s="77" t="s">
        <v>64</v>
      </c>
      <c r="O197" s="62"/>
      <c r="P197" s="62"/>
      <c r="Q197" s="63"/>
    </row>
    <row r="198" spans="2:17">
      <c r="B198" s="61"/>
      <c r="C198" s="62"/>
      <c r="D198" s="62"/>
      <c r="E198" s="62"/>
      <c r="F198" s="77" t="s">
        <v>86</v>
      </c>
      <c r="G198" s="77">
        <f>PRODUCT(G196,N189)</f>
        <v>350.72865807383766</v>
      </c>
      <c r="H198" s="77">
        <f>PRODUCT(H197,N189)</f>
        <v>410.63717475480638</v>
      </c>
      <c r="I198" s="77">
        <f>PRODUCT(I197,N189)</f>
        <v>420.76123572980771</v>
      </c>
      <c r="J198" s="77">
        <f>PRODUCT(J197,N189)</f>
        <v>404.43210512496677</v>
      </c>
      <c r="K198" s="77">
        <f>PRODUCT(K197,N189)</f>
        <v>426.96630535964721</v>
      </c>
      <c r="L198" s="77">
        <f>PRODUCT(L197,N189)</f>
        <v>428.18609141582886</v>
      </c>
      <c r="M198" s="156"/>
      <c r="N198" s="156">
        <f>AVERAGE(G199:L201)</f>
        <v>368.32885102790732</v>
      </c>
      <c r="O198" s="62"/>
      <c r="P198" s="62"/>
      <c r="Q198" s="63"/>
    </row>
    <row r="199" spans="2:17">
      <c r="B199" s="61"/>
      <c r="C199" s="62"/>
      <c r="D199" s="62"/>
      <c r="E199" s="62"/>
      <c r="F199" s="77" t="s">
        <v>87</v>
      </c>
      <c r="G199" s="77">
        <f>PRODUCT(E179,F179,(G179+0.35),K179,L179,G189)*100</f>
        <v>310.28003892324909</v>
      </c>
      <c r="H199" s="77">
        <f>PRODUCT(E179,F179,(G179+0.35),K179,L179,H189)*100</f>
        <v>328.29565071948997</v>
      </c>
      <c r="I199" s="77">
        <f>PRODUCT(E179,F179,(G179+0.35),K179,L179,I189)*100</f>
        <v>336.38962123664169</v>
      </c>
      <c r="J199" s="77">
        <f>PRODUCT(E179,F179,(G179+0.35),K179,L179,J189)*100</f>
        <v>323.33483007994545</v>
      </c>
      <c r="K199" s="77">
        <f>PRODUCT(E179,F179,(G179+0.35),K179,L179,K189)*100</f>
        <v>341.35044187618627</v>
      </c>
      <c r="L199" s="77">
        <f>PRODUCT(E179,F179,(G179+0.35),K179,L179,L189)*100</f>
        <v>342.32563477559148</v>
      </c>
      <c r="M199" s="156"/>
      <c r="N199" s="156"/>
      <c r="O199" s="62"/>
      <c r="P199" s="62"/>
      <c r="Q199" s="63"/>
    </row>
    <row r="200" spans="2:17">
      <c r="B200" s="61"/>
      <c r="C200" s="62"/>
      <c r="D200" s="62"/>
      <c r="E200" s="62"/>
      <c r="F200" s="77" t="s">
        <v>88</v>
      </c>
      <c r="G200" s="77">
        <f>PRODUCT(G199,O189)</f>
        <v>343.34407316946897</v>
      </c>
      <c r="H200" s="77">
        <f>PRODUCT(H199,O189)</f>
        <v>363.27946300707094</v>
      </c>
      <c r="I200" s="77">
        <f>PRODUCT(I199,O189)</f>
        <v>372.23594249932688</v>
      </c>
      <c r="J200" s="77">
        <f>PRODUCT(J199,O189)</f>
        <v>357.79000783439801</v>
      </c>
      <c r="K200" s="77">
        <f>PRODUCT(K199,O189)</f>
        <v>377.72539767199987</v>
      </c>
      <c r="L200" s="77">
        <f>PRODUCT(L199,O189)</f>
        <v>378.80450899147007</v>
      </c>
      <c r="M200" s="156"/>
      <c r="N200" s="156"/>
      <c r="O200" s="62"/>
      <c r="P200" s="62"/>
      <c r="Q200" s="63"/>
    </row>
    <row r="201" spans="2:17" ht="17.25" thickBot="1">
      <c r="B201" s="64"/>
      <c r="C201" s="65"/>
      <c r="D201" s="65"/>
      <c r="E201" s="65"/>
      <c r="F201" s="78" t="s">
        <v>89</v>
      </c>
      <c r="G201" s="78">
        <f>PRODUCT(G199,N189)</f>
        <v>384.29531697206971</v>
      </c>
      <c r="H201" s="78">
        <f>PRODUCT(H199,N189)</f>
        <v>406.60843537216988</v>
      </c>
      <c r="I201" s="78">
        <f>PRODUCT(I199,N189)</f>
        <v>416.63316972583812</v>
      </c>
      <c r="J201" s="78">
        <f>PRODUCT(J199,N189)</f>
        <v>400.46424334895397</v>
      </c>
      <c r="K201" s="78">
        <f>PRODUCT(K199,N189)</f>
        <v>422.77736174905408</v>
      </c>
      <c r="L201" s="78">
        <f>PRODUCT(L199,N189)</f>
        <v>423.98518054940735</v>
      </c>
      <c r="M201" s="157"/>
      <c r="N201" s="157"/>
      <c r="O201" s="65"/>
      <c r="P201" s="65"/>
      <c r="Q201" s="67"/>
    </row>
  </sheetData>
  <mergeCells count="389">
    <mergeCell ref="B190:C190"/>
    <mergeCell ref="D190:Q190"/>
    <mergeCell ref="F191:N191"/>
    <mergeCell ref="M194:M195"/>
    <mergeCell ref="N194:N196"/>
    <mergeCell ref="M197:M198"/>
    <mergeCell ref="N198:N201"/>
    <mergeCell ref="M199:M201"/>
    <mergeCell ref="K179:K183"/>
    <mergeCell ref="L179:L183"/>
    <mergeCell ref="M179:M183"/>
    <mergeCell ref="Q179:Q180"/>
    <mergeCell ref="Q182:Q183"/>
    <mergeCell ref="B184:B189"/>
    <mergeCell ref="P184:Q184"/>
    <mergeCell ref="C185:C189"/>
    <mergeCell ref="D185:D189"/>
    <mergeCell ref="E185:E189"/>
    <mergeCell ref="F185:F189"/>
    <mergeCell ref="P186:Q186"/>
    <mergeCell ref="G188:L188"/>
    <mergeCell ref="P188:Q188"/>
    <mergeCell ref="P189:Q189"/>
    <mergeCell ref="B178:B183"/>
    <mergeCell ref="C179:C183"/>
    <mergeCell ref="D179:D183"/>
    <mergeCell ref="E179:E183"/>
    <mergeCell ref="F179:F183"/>
    <mergeCell ref="G179:G183"/>
    <mergeCell ref="H179:H183"/>
    <mergeCell ref="I179:I183"/>
    <mergeCell ref="J179:J183"/>
    <mergeCell ref="B174:Q174"/>
    <mergeCell ref="B175:B177"/>
    <mergeCell ref="C176:C177"/>
    <mergeCell ref="D176:D177"/>
    <mergeCell ref="E176:E177"/>
    <mergeCell ref="F176:F177"/>
    <mergeCell ref="G176:G177"/>
    <mergeCell ref="H176:H177"/>
    <mergeCell ref="I176:I177"/>
    <mergeCell ref="J176:J177"/>
    <mergeCell ref="K176:K177"/>
    <mergeCell ref="L176:L177"/>
    <mergeCell ref="N176:N177"/>
    <mergeCell ref="O176:O177"/>
    <mergeCell ref="P176:P177"/>
    <mergeCell ref="Q176:Q177"/>
    <mergeCell ref="B171:C171"/>
    <mergeCell ref="D171:Q171"/>
    <mergeCell ref="K160:K164"/>
    <mergeCell ref="L160:L164"/>
    <mergeCell ref="M160:M164"/>
    <mergeCell ref="Q160:Q161"/>
    <mergeCell ref="Q163:Q164"/>
    <mergeCell ref="B165:B170"/>
    <mergeCell ref="P165:Q165"/>
    <mergeCell ref="C166:C170"/>
    <mergeCell ref="D166:D170"/>
    <mergeCell ref="E166:E170"/>
    <mergeCell ref="F166:F170"/>
    <mergeCell ref="P167:Q167"/>
    <mergeCell ref="P169:Q169"/>
    <mergeCell ref="P170:Q170"/>
    <mergeCell ref="B159:B164"/>
    <mergeCell ref="C160:C164"/>
    <mergeCell ref="D160:D164"/>
    <mergeCell ref="E160:E164"/>
    <mergeCell ref="F160:F164"/>
    <mergeCell ref="G160:G164"/>
    <mergeCell ref="H160:H164"/>
    <mergeCell ref="I160:I164"/>
    <mergeCell ref="J160:J164"/>
    <mergeCell ref="B152:C152"/>
    <mergeCell ref="D152:Q152"/>
    <mergeCell ref="B155:Q155"/>
    <mergeCell ref="B156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K157:K158"/>
    <mergeCell ref="L157:L158"/>
    <mergeCell ref="N157:N158"/>
    <mergeCell ref="O157:O158"/>
    <mergeCell ref="P157:P158"/>
    <mergeCell ref="Q157:Q158"/>
    <mergeCell ref="K141:K145"/>
    <mergeCell ref="L141:L145"/>
    <mergeCell ref="M141:M145"/>
    <mergeCell ref="Q141:Q142"/>
    <mergeCell ref="Q144:Q145"/>
    <mergeCell ref="B146:B151"/>
    <mergeCell ref="P146:Q146"/>
    <mergeCell ref="C147:C151"/>
    <mergeCell ref="D147:D151"/>
    <mergeCell ref="E147:E151"/>
    <mergeCell ref="F147:F151"/>
    <mergeCell ref="P148:Q148"/>
    <mergeCell ref="P150:Q150"/>
    <mergeCell ref="P151:Q151"/>
    <mergeCell ref="B140:B145"/>
    <mergeCell ref="C141:C145"/>
    <mergeCell ref="D141:D145"/>
    <mergeCell ref="E141:E145"/>
    <mergeCell ref="F141:F145"/>
    <mergeCell ref="G141:G145"/>
    <mergeCell ref="H141:H145"/>
    <mergeCell ref="I141:I145"/>
    <mergeCell ref="J141:J145"/>
    <mergeCell ref="B133:C133"/>
    <mergeCell ref="D133:Q133"/>
    <mergeCell ref="B136:Q136"/>
    <mergeCell ref="B137:B139"/>
    <mergeCell ref="C138:C139"/>
    <mergeCell ref="D138:D139"/>
    <mergeCell ref="E138:E139"/>
    <mergeCell ref="F138:F139"/>
    <mergeCell ref="G138:G139"/>
    <mergeCell ref="H138:H139"/>
    <mergeCell ref="I138:I139"/>
    <mergeCell ref="J138:J139"/>
    <mergeCell ref="K138:K139"/>
    <mergeCell ref="L138:L139"/>
    <mergeCell ref="N138:N139"/>
    <mergeCell ref="O138:O139"/>
    <mergeCell ref="P138:P139"/>
    <mergeCell ref="Q138:Q139"/>
    <mergeCell ref="K122:K126"/>
    <mergeCell ref="L122:L126"/>
    <mergeCell ref="M122:M126"/>
    <mergeCell ref="Q122:Q123"/>
    <mergeCell ref="Q125:Q126"/>
    <mergeCell ref="B127:B132"/>
    <mergeCell ref="P127:Q127"/>
    <mergeCell ref="C128:C132"/>
    <mergeCell ref="D128:D132"/>
    <mergeCell ref="E128:E132"/>
    <mergeCell ref="F128:F132"/>
    <mergeCell ref="P129:Q129"/>
    <mergeCell ref="P131:Q131"/>
    <mergeCell ref="P132:Q132"/>
    <mergeCell ref="B121:B126"/>
    <mergeCell ref="C122:C126"/>
    <mergeCell ref="D122:D126"/>
    <mergeCell ref="E122:E126"/>
    <mergeCell ref="F122:F126"/>
    <mergeCell ref="G122:G126"/>
    <mergeCell ref="H122:H126"/>
    <mergeCell ref="I122:I126"/>
    <mergeCell ref="J122:J126"/>
    <mergeCell ref="B117:Q117"/>
    <mergeCell ref="B118:B120"/>
    <mergeCell ref="C119:C120"/>
    <mergeCell ref="D119:D120"/>
    <mergeCell ref="E119:E120"/>
    <mergeCell ref="F119:F120"/>
    <mergeCell ref="G119:G120"/>
    <mergeCell ref="H119:H120"/>
    <mergeCell ref="I119:I120"/>
    <mergeCell ref="J119:J120"/>
    <mergeCell ref="K119:K120"/>
    <mergeCell ref="L119:L120"/>
    <mergeCell ref="N119:N120"/>
    <mergeCell ref="O119:O120"/>
    <mergeCell ref="P119:P120"/>
    <mergeCell ref="Q119:Q120"/>
    <mergeCell ref="B103:C103"/>
    <mergeCell ref="D103:Q103"/>
    <mergeCell ref="G101:L101"/>
    <mergeCell ref="F104:N104"/>
    <mergeCell ref="M107:M108"/>
    <mergeCell ref="M110:M111"/>
    <mergeCell ref="M112:M114"/>
    <mergeCell ref="N107:N109"/>
    <mergeCell ref="N111:N114"/>
    <mergeCell ref="K92:K96"/>
    <mergeCell ref="L92:L96"/>
    <mergeCell ref="M92:M96"/>
    <mergeCell ref="Q92:Q93"/>
    <mergeCell ref="Q95:Q96"/>
    <mergeCell ref="B97:B102"/>
    <mergeCell ref="P97:Q97"/>
    <mergeCell ref="C98:C102"/>
    <mergeCell ref="D98:D102"/>
    <mergeCell ref="E98:E102"/>
    <mergeCell ref="F98:F102"/>
    <mergeCell ref="P99:Q99"/>
    <mergeCell ref="P101:Q101"/>
    <mergeCell ref="P102:Q102"/>
    <mergeCell ref="B91:B96"/>
    <mergeCell ref="C92:C96"/>
    <mergeCell ref="D92:D96"/>
    <mergeCell ref="E92:E96"/>
    <mergeCell ref="F92:F96"/>
    <mergeCell ref="G92:G96"/>
    <mergeCell ref="H92:H96"/>
    <mergeCell ref="I92:I96"/>
    <mergeCell ref="J92:J96"/>
    <mergeCell ref="B87:Q87"/>
    <mergeCell ref="B88:B90"/>
    <mergeCell ref="C89:C90"/>
    <mergeCell ref="D89:D90"/>
    <mergeCell ref="E89:E90"/>
    <mergeCell ref="F89:F90"/>
    <mergeCell ref="G89:G90"/>
    <mergeCell ref="H89:H90"/>
    <mergeCell ref="I89:I90"/>
    <mergeCell ref="J89:J90"/>
    <mergeCell ref="K89:K90"/>
    <mergeCell ref="L89:L90"/>
    <mergeCell ref="N89:N90"/>
    <mergeCell ref="O89:O90"/>
    <mergeCell ref="P89:P90"/>
    <mergeCell ref="Q89:Q90"/>
    <mergeCell ref="J54:J58"/>
    <mergeCell ref="B84:C84"/>
    <mergeCell ref="D84:Q84"/>
    <mergeCell ref="B78:B83"/>
    <mergeCell ref="P78:Q78"/>
    <mergeCell ref="C79:C83"/>
    <mergeCell ref="D79:D83"/>
    <mergeCell ref="E79:E83"/>
    <mergeCell ref="F79:F83"/>
    <mergeCell ref="P80:Q80"/>
    <mergeCell ref="P82:Q82"/>
    <mergeCell ref="P83:Q83"/>
    <mergeCell ref="L70:L71"/>
    <mergeCell ref="N70:N71"/>
    <mergeCell ref="P70:P71"/>
    <mergeCell ref="Q70:Q71"/>
    <mergeCell ref="C70:C71"/>
    <mergeCell ref="D70:D71"/>
    <mergeCell ref="E70:E71"/>
    <mergeCell ref="F70:F71"/>
    <mergeCell ref="G70:G71"/>
    <mergeCell ref="H70:H71"/>
    <mergeCell ref="I70:I71"/>
    <mergeCell ref="J70:J71"/>
    <mergeCell ref="P51:P52"/>
    <mergeCell ref="Q51:Q52"/>
    <mergeCell ref="K54:K58"/>
    <mergeCell ref="L54:L58"/>
    <mergeCell ref="M54:M58"/>
    <mergeCell ref="Q54:Q55"/>
    <mergeCell ref="Q57:Q58"/>
    <mergeCell ref="B59:B64"/>
    <mergeCell ref="P59:Q59"/>
    <mergeCell ref="C60:C64"/>
    <mergeCell ref="D60:D64"/>
    <mergeCell ref="E60:E64"/>
    <mergeCell ref="F60:F64"/>
    <mergeCell ref="P61:Q61"/>
    <mergeCell ref="P63:Q63"/>
    <mergeCell ref="P64:Q64"/>
    <mergeCell ref="B53:B58"/>
    <mergeCell ref="C54:C58"/>
    <mergeCell ref="D54:D58"/>
    <mergeCell ref="E54:E58"/>
    <mergeCell ref="F54:F58"/>
    <mergeCell ref="G54:G58"/>
    <mergeCell ref="H54:H58"/>
    <mergeCell ref="I54:I58"/>
    <mergeCell ref="B27:C27"/>
    <mergeCell ref="D27:Q27"/>
    <mergeCell ref="B15:B20"/>
    <mergeCell ref="C16:C20"/>
    <mergeCell ref="E16:E20"/>
    <mergeCell ref="F16:F20"/>
    <mergeCell ref="G16:G20"/>
    <mergeCell ref="H16:H20"/>
    <mergeCell ref="I16:I20"/>
    <mergeCell ref="J16:J20"/>
    <mergeCell ref="K16:K20"/>
    <mergeCell ref="L16:L20"/>
    <mergeCell ref="B21:B26"/>
    <mergeCell ref="P21:Q21"/>
    <mergeCell ref="C22:C26"/>
    <mergeCell ref="D22:D26"/>
    <mergeCell ref="P32:P33"/>
    <mergeCell ref="Q32:Q33"/>
    <mergeCell ref="M16:M20"/>
    <mergeCell ref="L35:L39"/>
    <mergeCell ref="D16:D20"/>
    <mergeCell ref="Q16:Q17"/>
    <mergeCell ref="Q19:Q20"/>
    <mergeCell ref="Q35:Q36"/>
    <mergeCell ref="Q38:Q39"/>
    <mergeCell ref="M35:M39"/>
    <mergeCell ref="B6:Q6"/>
    <mergeCell ref="B7:Q7"/>
    <mergeCell ref="B46:C46"/>
    <mergeCell ref="D46:Q46"/>
    <mergeCell ref="D41:D45"/>
    <mergeCell ref="E41:E45"/>
    <mergeCell ref="F41:F45"/>
    <mergeCell ref="P42:Q42"/>
    <mergeCell ref="P44:Q44"/>
    <mergeCell ref="P45:Q45"/>
    <mergeCell ref="B30:Q30"/>
    <mergeCell ref="B31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N32:N33"/>
    <mergeCell ref="O32:O33"/>
    <mergeCell ref="F35:F39"/>
    <mergeCell ref="G35:G39"/>
    <mergeCell ref="H35:H39"/>
    <mergeCell ref="I35:I39"/>
    <mergeCell ref="J35:J39"/>
    <mergeCell ref="B2:Q2"/>
    <mergeCell ref="B3:Q3"/>
    <mergeCell ref="B4:Q4"/>
    <mergeCell ref="B5:Q5"/>
    <mergeCell ref="B11:Q11"/>
    <mergeCell ref="B12:B14"/>
    <mergeCell ref="C13:C14"/>
    <mergeCell ref="D13:D14"/>
    <mergeCell ref="E13:E14"/>
    <mergeCell ref="F13:F14"/>
    <mergeCell ref="N13:N14"/>
    <mergeCell ref="O13:O14"/>
    <mergeCell ref="P13:P14"/>
    <mergeCell ref="G13:G14"/>
    <mergeCell ref="H13:H14"/>
    <mergeCell ref="I13:I14"/>
    <mergeCell ref="J13:J14"/>
    <mergeCell ref="K13:K14"/>
    <mergeCell ref="L13:L14"/>
    <mergeCell ref="E22:E26"/>
    <mergeCell ref="F22:F26"/>
    <mergeCell ref="P23:Q23"/>
    <mergeCell ref="P25:Q25"/>
    <mergeCell ref="P26:Q26"/>
    <mergeCell ref="K35:K39"/>
    <mergeCell ref="B49:Q49"/>
    <mergeCell ref="B50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N51:N52"/>
    <mergeCell ref="O51:O52"/>
    <mergeCell ref="B34:B39"/>
    <mergeCell ref="C35:C39"/>
    <mergeCell ref="D35:D39"/>
    <mergeCell ref="E35:E39"/>
    <mergeCell ref="K70:K71"/>
    <mergeCell ref="K73:K77"/>
    <mergeCell ref="L73:L77"/>
    <mergeCell ref="M73:M77"/>
    <mergeCell ref="Q73:Q74"/>
    <mergeCell ref="Q76:Q77"/>
    <mergeCell ref="O70:O71"/>
    <mergeCell ref="B69:B71"/>
    <mergeCell ref="Q13:Q14"/>
    <mergeCell ref="B72:B77"/>
    <mergeCell ref="C73:C77"/>
    <mergeCell ref="D73:D77"/>
    <mergeCell ref="E73:E77"/>
    <mergeCell ref="F73:F77"/>
    <mergeCell ref="G73:G77"/>
    <mergeCell ref="H73:H77"/>
    <mergeCell ref="I73:I77"/>
    <mergeCell ref="J73:J77"/>
    <mergeCell ref="B40:B45"/>
    <mergeCell ref="P40:Q40"/>
    <mergeCell ref="C41:C45"/>
    <mergeCell ref="B65:C65"/>
    <mergeCell ref="D65:Q65"/>
    <mergeCell ref="B68:Q6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117E2-D17B-4109-A9EF-09AAE608B5CF}">
  <dimension ref="B1:R143"/>
  <sheetViews>
    <sheetView topLeftCell="A121" workbookViewId="0">
      <selection activeCell="L148" sqref="L148"/>
    </sheetView>
  </sheetViews>
  <sheetFormatPr defaultRowHeight="16.5"/>
  <cols>
    <col min="2" max="2" width="3.625" bestFit="1" customWidth="1"/>
    <col min="3" max="3" width="9.625" bestFit="1" customWidth="1"/>
    <col min="4" max="4" width="13.75" bestFit="1" customWidth="1"/>
    <col min="5" max="5" width="11.625" bestFit="1" customWidth="1"/>
    <col min="6" max="6" width="12.5" bestFit="1" customWidth="1"/>
    <col min="7" max="7" width="11.625" bestFit="1" customWidth="1"/>
    <col min="8" max="8" width="14.625" bestFit="1" customWidth="1"/>
    <col min="9" max="9" width="13.625" bestFit="1" customWidth="1"/>
    <col min="10" max="10" width="8.75" bestFit="1" customWidth="1"/>
    <col min="11" max="11" width="10.625" bestFit="1" customWidth="1"/>
    <col min="12" max="12" width="14.625" bestFit="1" customWidth="1"/>
    <col min="13" max="13" width="10.625" bestFit="1" customWidth="1"/>
    <col min="14" max="16" width="14.625" bestFit="1" customWidth="1"/>
    <col min="17" max="18" width="15.75" bestFit="1" customWidth="1"/>
  </cols>
  <sheetData>
    <row r="1" spans="2:17" ht="17.25" thickBot="1"/>
    <row r="2" spans="2:17" ht="17.25" thickBot="1">
      <c r="B2" s="136" t="s">
        <v>35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</row>
    <row r="3" spans="2:17">
      <c r="B3" s="91" t="s">
        <v>0</v>
      </c>
      <c r="C3" s="16" t="s">
        <v>1</v>
      </c>
      <c r="D3" s="12" t="s">
        <v>2</v>
      </c>
      <c r="E3" s="13" t="s">
        <v>3</v>
      </c>
      <c r="F3" s="13" t="s">
        <v>4</v>
      </c>
      <c r="G3" s="13" t="s">
        <v>30</v>
      </c>
      <c r="H3" s="13" t="s">
        <v>48</v>
      </c>
      <c r="I3" s="14" t="s">
        <v>44</v>
      </c>
      <c r="J3" s="14"/>
      <c r="K3" s="13"/>
      <c r="L3" s="15"/>
      <c r="M3" s="40"/>
      <c r="N3" s="14"/>
      <c r="O3" s="17" t="s">
        <v>42</v>
      </c>
      <c r="P3" s="18" t="s">
        <v>43</v>
      </c>
      <c r="Q3" s="18" t="s">
        <v>6</v>
      </c>
    </row>
    <row r="4" spans="2:17">
      <c r="B4" s="92"/>
      <c r="C4" s="124">
        <v>1400</v>
      </c>
      <c r="D4" s="126">
        <f>C4*0.03578</f>
        <v>50.091999999999999</v>
      </c>
      <c r="E4" s="82">
        <v>10</v>
      </c>
      <c r="F4" s="82">
        <v>7</v>
      </c>
      <c r="G4" s="82">
        <v>15</v>
      </c>
      <c r="H4" s="82">
        <v>10</v>
      </c>
      <c r="I4" s="82">
        <v>20</v>
      </c>
      <c r="J4" s="82"/>
      <c r="K4" s="82"/>
      <c r="L4" s="128"/>
      <c r="M4" s="32"/>
      <c r="N4" s="82"/>
      <c r="O4" s="89">
        <f>SUM(D4,E4,F4,G4,H4)</f>
        <v>92.091999999999999</v>
      </c>
      <c r="P4" s="94">
        <f>SUM(D4,E4,F4,G4,I4)</f>
        <v>102.092</v>
      </c>
      <c r="Q4" s="94">
        <f>SUM(D4:F5)</f>
        <v>67.091999999999999</v>
      </c>
    </row>
    <row r="5" spans="2:17" ht="17.25" thickBot="1">
      <c r="B5" s="93"/>
      <c r="C5" s="125"/>
      <c r="D5" s="127"/>
      <c r="E5" s="83"/>
      <c r="F5" s="83"/>
      <c r="G5" s="83"/>
      <c r="H5" s="83"/>
      <c r="I5" s="83"/>
      <c r="J5" s="83"/>
      <c r="K5" s="83"/>
      <c r="L5" s="129"/>
      <c r="M5" s="47"/>
      <c r="N5" s="83"/>
      <c r="O5" s="90"/>
      <c r="P5" s="95"/>
      <c r="Q5" s="95"/>
    </row>
    <row r="6" spans="2:17">
      <c r="B6" s="96" t="s">
        <v>7</v>
      </c>
      <c r="C6" s="16" t="s">
        <v>8</v>
      </c>
      <c r="D6" s="51" t="s">
        <v>68</v>
      </c>
      <c r="E6" s="42" t="s">
        <v>9</v>
      </c>
      <c r="F6" s="42" t="s">
        <v>10</v>
      </c>
      <c r="G6" s="42" t="s">
        <v>11</v>
      </c>
      <c r="H6" s="42" t="s">
        <v>12</v>
      </c>
      <c r="I6" s="42" t="s">
        <v>50</v>
      </c>
      <c r="J6" s="42" t="s">
        <v>49</v>
      </c>
      <c r="K6" s="42" t="s">
        <v>51</v>
      </c>
      <c r="L6" s="42" t="s">
        <v>94</v>
      </c>
      <c r="M6" s="42"/>
      <c r="N6" s="42" t="s">
        <v>47</v>
      </c>
      <c r="O6" s="42" t="s">
        <v>52</v>
      </c>
      <c r="P6" s="43" t="s">
        <v>53</v>
      </c>
      <c r="Q6" s="20" t="s">
        <v>70</v>
      </c>
    </row>
    <row r="7" spans="2:17">
      <c r="B7" s="97"/>
      <c r="C7" s="99">
        <v>800</v>
      </c>
      <c r="D7" s="101">
        <f>C7*0.02145/100+1</f>
        <v>1.1716</v>
      </c>
      <c r="E7" s="84">
        <f>C7*0.03576/100+1</f>
        <v>1.2860800000000001</v>
      </c>
      <c r="F7" s="84">
        <f>20/100+1</f>
        <v>1.2</v>
      </c>
      <c r="G7" s="84">
        <f>10/100+1</f>
        <v>1.1000000000000001</v>
      </c>
      <c r="H7" s="145">
        <f>1.28*1.18</f>
        <v>1.5104</v>
      </c>
      <c r="I7" s="84">
        <f>MIN(O4,100)*0.225/100+1</f>
        <v>1.2072069999999999</v>
      </c>
      <c r="J7" s="84">
        <f>MIN(P4,100)*0.225/100+1</f>
        <v>1.2250000000000001</v>
      </c>
      <c r="K7" s="84">
        <f>MIN(Q4,100)*0.225/100+1</f>
        <v>1.150957</v>
      </c>
      <c r="L7" s="84">
        <f>16/100+1</f>
        <v>1.1599999999999999</v>
      </c>
      <c r="M7" s="84"/>
      <c r="N7" s="46">
        <f>PRODUCT(D7,F7,H7,I7,L7)*100</f>
        <v>297.36669105846676</v>
      </c>
      <c r="O7" s="46">
        <f>PRODUCT(D7,F7,H7,I7,O17,L7)*100</f>
        <v>326.77658358073262</v>
      </c>
      <c r="P7" s="49">
        <f>PRODUCT(D7,F7,H7,I7,N17,L7)*100</f>
        <v>362.64230616886186</v>
      </c>
      <c r="Q7" s="86">
        <f>AVERAGE(N7:P7,N9:P9)</f>
        <v>331.35256244930548</v>
      </c>
    </row>
    <row r="8" spans="2:17">
      <c r="B8" s="97"/>
      <c r="C8" s="99"/>
      <c r="D8" s="101"/>
      <c r="E8" s="84"/>
      <c r="F8" s="84"/>
      <c r="G8" s="84"/>
      <c r="H8" s="146"/>
      <c r="I8" s="84"/>
      <c r="J8" s="84"/>
      <c r="K8" s="84"/>
      <c r="L8" s="84"/>
      <c r="M8" s="84"/>
      <c r="N8" s="15" t="s">
        <v>56</v>
      </c>
      <c r="O8" s="15" t="s">
        <v>57</v>
      </c>
      <c r="P8" s="44" t="s">
        <v>58</v>
      </c>
      <c r="Q8" s="87"/>
    </row>
    <row r="9" spans="2:17">
      <c r="B9" s="97"/>
      <c r="C9" s="99"/>
      <c r="D9" s="101"/>
      <c r="E9" s="84"/>
      <c r="F9" s="84"/>
      <c r="G9" s="84"/>
      <c r="H9" s="146"/>
      <c r="I9" s="84"/>
      <c r="J9" s="84"/>
      <c r="K9" s="84"/>
      <c r="L9" s="84"/>
      <c r="M9" s="84"/>
      <c r="N9" s="46">
        <f>PRODUCT(D7,F7,H7,J7,L7)*100</f>
        <v>301.74957281279995</v>
      </c>
      <c r="O9" s="46">
        <f>PRODUCT(D7,F7,H7,J7,O17,L7)*100</f>
        <v>331.59293715692297</v>
      </c>
      <c r="P9" s="49">
        <f>PRODUCT(D7,F7,H7,J7,N17,L7)*100</f>
        <v>367.98728391804872</v>
      </c>
      <c r="Q9" s="45" t="s">
        <v>65</v>
      </c>
    </row>
    <row r="10" spans="2:17">
      <c r="B10" s="97"/>
      <c r="C10" s="99"/>
      <c r="D10" s="101"/>
      <c r="E10" s="84"/>
      <c r="F10" s="84"/>
      <c r="G10" s="84"/>
      <c r="H10" s="146"/>
      <c r="I10" s="84"/>
      <c r="J10" s="84"/>
      <c r="K10" s="84"/>
      <c r="L10" s="84"/>
      <c r="M10" s="84"/>
      <c r="N10" s="15" t="s">
        <v>61</v>
      </c>
      <c r="O10" s="15" t="s">
        <v>62</v>
      </c>
      <c r="P10" s="44" t="s">
        <v>63</v>
      </c>
      <c r="Q10" s="86">
        <f>AVERAGE(N11:P11)</f>
        <v>355.24785694010762</v>
      </c>
    </row>
    <row r="11" spans="2:17" ht="17.25" thickBot="1">
      <c r="B11" s="98"/>
      <c r="C11" s="100"/>
      <c r="D11" s="102"/>
      <c r="E11" s="85"/>
      <c r="F11" s="85"/>
      <c r="G11" s="85"/>
      <c r="H11" s="147"/>
      <c r="I11" s="85"/>
      <c r="J11" s="85"/>
      <c r="K11" s="85"/>
      <c r="L11" s="85"/>
      <c r="M11" s="85"/>
      <c r="N11" s="27">
        <f>PRODUCT((E7+0.28),F7,(G7+0.18),K7,L7)*100</f>
        <v>321.16058983366651</v>
      </c>
      <c r="O11" s="27">
        <f>PRODUCT((E7+0.28),F7,(G7+0.18),K7,O17,L7)*100</f>
        <v>352.92372509194115</v>
      </c>
      <c r="P11" s="50">
        <f>PRODUCT((E7+0.28),F7,(G7+0.18),K7,N17,L7)*100</f>
        <v>391.65925589471527</v>
      </c>
      <c r="Q11" s="88"/>
    </row>
    <row r="12" spans="2:17">
      <c r="B12" s="103" t="s">
        <v>13</v>
      </c>
      <c r="C12" s="48" t="s">
        <v>14</v>
      </c>
      <c r="D12" s="39" t="s">
        <v>15</v>
      </c>
      <c r="E12" s="40" t="s">
        <v>16</v>
      </c>
      <c r="F12" s="40" t="s">
        <v>29</v>
      </c>
      <c r="G12" s="40" t="s">
        <v>18</v>
      </c>
      <c r="H12" s="40" t="s">
        <v>19</v>
      </c>
      <c r="I12" s="41" t="s">
        <v>20</v>
      </c>
      <c r="J12" s="41" t="s">
        <v>21</v>
      </c>
      <c r="K12" s="41"/>
      <c r="L12" s="41"/>
      <c r="M12" s="41"/>
      <c r="N12" s="41"/>
      <c r="O12" s="41"/>
      <c r="P12" s="106" t="s">
        <v>22</v>
      </c>
      <c r="Q12" s="107"/>
    </row>
    <row r="13" spans="2:17" ht="17.25" thickBot="1">
      <c r="B13" s="104"/>
      <c r="C13" s="108">
        <v>0</v>
      </c>
      <c r="D13" s="142">
        <f>C13*0.01717</f>
        <v>0</v>
      </c>
      <c r="E13" s="117">
        <v>13.8</v>
      </c>
      <c r="F13" s="117">
        <v>8</v>
      </c>
      <c r="G13" s="3">
        <f>MIN(SUM(D13,F13),40)</f>
        <v>8</v>
      </c>
      <c r="H13" s="3">
        <f>MIN(SUM(D13:F17),40)</f>
        <v>21.8</v>
      </c>
      <c r="I13" s="4">
        <f>MIN((G13+10),40)</f>
        <v>18</v>
      </c>
      <c r="J13" s="4">
        <f>MIN(SUM(E13,I13),40)</f>
        <v>31.8</v>
      </c>
      <c r="K13" s="4"/>
      <c r="L13" s="4"/>
      <c r="M13" s="4"/>
      <c r="N13" s="4"/>
      <c r="O13" s="4"/>
      <c r="P13" s="5">
        <f>MIN(G13:J13,40)</f>
        <v>8</v>
      </c>
      <c r="Q13" s="6">
        <f>MIN(MAX(G13:J13),40)</f>
        <v>31.8</v>
      </c>
    </row>
    <row r="14" spans="2:17">
      <c r="B14" s="104"/>
      <c r="C14" s="109"/>
      <c r="D14" s="143"/>
      <c r="E14" s="118"/>
      <c r="F14" s="118"/>
      <c r="G14" s="15" t="s">
        <v>23</v>
      </c>
      <c r="H14" s="15" t="s">
        <v>24</v>
      </c>
      <c r="I14" s="19" t="s">
        <v>25</v>
      </c>
      <c r="J14" s="19" t="s">
        <v>21</v>
      </c>
      <c r="K14" s="19"/>
      <c r="L14" s="19"/>
      <c r="M14" s="19"/>
      <c r="N14" s="19"/>
      <c r="O14" s="19"/>
      <c r="P14" s="120" t="s">
        <v>26</v>
      </c>
      <c r="Q14" s="121"/>
    </row>
    <row r="15" spans="2:17" ht="17.25" thickBot="1">
      <c r="B15" s="104"/>
      <c r="C15" s="109"/>
      <c r="D15" s="143"/>
      <c r="E15" s="118"/>
      <c r="F15" s="118"/>
      <c r="G15" s="7">
        <f>MIN(SUM(D13,F13))</f>
        <v>8</v>
      </c>
      <c r="H15" s="7">
        <f>MIN(SUM(D13:F17),40)</f>
        <v>21.8</v>
      </c>
      <c r="I15" s="8">
        <f>MIN((G15+10),40)</f>
        <v>18</v>
      </c>
      <c r="J15" s="8">
        <f>MIN(SUM(E13,I15),40)</f>
        <v>31.8</v>
      </c>
      <c r="K15" s="8"/>
      <c r="L15" s="8"/>
      <c r="M15" s="8"/>
      <c r="N15" s="8"/>
      <c r="O15" s="8"/>
      <c r="P15" s="9">
        <f>MIN(G15:J15,40)</f>
        <v>8</v>
      </c>
      <c r="Q15" s="10">
        <f>MIN(MAX(G15:J15),40)</f>
        <v>31.8</v>
      </c>
    </row>
    <row r="16" spans="2:17">
      <c r="B16" s="104"/>
      <c r="C16" s="109"/>
      <c r="D16" s="143"/>
      <c r="E16" s="118"/>
      <c r="F16" s="118"/>
      <c r="G16" s="15" t="s">
        <v>12</v>
      </c>
      <c r="H16" s="15"/>
      <c r="I16" s="15"/>
      <c r="J16" s="15"/>
      <c r="K16" s="15"/>
      <c r="L16" s="15"/>
      <c r="M16" s="15"/>
      <c r="N16" s="21" t="s">
        <v>54</v>
      </c>
      <c r="O16" s="22" t="s">
        <v>55</v>
      </c>
      <c r="P16" s="120" t="s">
        <v>27</v>
      </c>
      <c r="Q16" s="121"/>
    </row>
    <row r="17" spans="2:17" ht="17.25" thickBot="1">
      <c r="B17" s="105"/>
      <c r="C17" s="110"/>
      <c r="D17" s="144"/>
      <c r="E17" s="119"/>
      <c r="F17" s="119"/>
      <c r="G17" s="11">
        <v>18</v>
      </c>
      <c r="H17" s="11"/>
      <c r="I17" s="11"/>
      <c r="J17" s="11"/>
      <c r="K17" s="11"/>
      <c r="L17" s="11"/>
      <c r="M17" s="11"/>
      <c r="N17" s="26">
        <f>1/(1-P17/100)</f>
        <v>1.2195121951219512</v>
      </c>
      <c r="O17" s="25">
        <f>1/(1-P17/2/100)</f>
        <v>1.0989010989010988</v>
      </c>
      <c r="P17" s="122">
        <f>C13*0.0214+G17</f>
        <v>18</v>
      </c>
      <c r="Q17" s="123"/>
    </row>
    <row r="18" spans="2:17" ht="17.25" thickBot="1">
      <c r="B18" s="136">
        <f>SUM(C4,C7,C13)</f>
        <v>2200</v>
      </c>
      <c r="C18" s="138"/>
      <c r="D18" s="137" t="s">
        <v>28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8"/>
    </row>
    <row r="20" spans="2:17" ht="17.25" thickBot="1"/>
    <row r="21" spans="2:17" ht="17.25" thickBot="1">
      <c r="B21" s="111" t="s">
        <v>36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2"/>
    </row>
    <row r="22" spans="2:17">
      <c r="B22" s="91" t="s">
        <v>0</v>
      </c>
      <c r="C22" s="16" t="s">
        <v>1</v>
      </c>
      <c r="D22" s="12" t="s">
        <v>2</v>
      </c>
      <c r="E22" s="13" t="s">
        <v>3</v>
      </c>
      <c r="F22" s="13" t="s">
        <v>4</v>
      </c>
      <c r="G22" s="13" t="s">
        <v>30</v>
      </c>
      <c r="H22" s="13" t="s">
        <v>48</v>
      </c>
      <c r="I22" s="14" t="s">
        <v>44</v>
      </c>
      <c r="J22" s="14"/>
      <c r="K22" s="13"/>
      <c r="L22" s="15"/>
      <c r="M22" s="40"/>
      <c r="N22" s="14"/>
      <c r="O22" s="17" t="s">
        <v>42</v>
      </c>
      <c r="P22" s="18" t="s">
        <v>43</v>
      </c>
      <c r="Q22" s="18" t="s">
        <v>6</v>
      </c>
    </row>
    <row r="23" spans="2:17">
      <c r="B23" s="92"/>
      <c r="C23" s="124">
        <v>1400</v>
      </c>
      <c r="D23" s="126">
        <f>C23*0.03578</f>
        <v>50.091999999999999</v>
      </c>
      <c r="E23" s="82">
        <v>10</v>
      </c>
      <c r="F23" s="82">
        <v>7</v>
      </c>
      <c r="G23" s="82">
        <v>15</v>
      </c>
      <c r="H23" s="82">
        <v>10</v>
      </c>
      <c r="I23" s="82">
        <v>20</v>
      </c>
      <c r="J23" s="82"/>
      <c r="K23" s="82"/>
      <c r="L23" s="128"/>
      <c r="M23" s="32"/>
      <c r="N23" s="82"/>
      <c r="O23" s="89">
        <f>SUM(D23,E23,F23,G23,H23)</f>
        <v>92.091999999999999</v>
      </c>
      <c r="P23" s="94">
        <f>SUM(D23,E23,F23,G23,I23)</f>
        <v>102.092</v>
      </c>
      <c r="Q23" s="94">
        <f>SUM(D23:F24)</f>
        <v>67.091999999999999</v>
      </c>
    </row>
    <row r="24" spans="2:17" ht="17.25" thickBot="1">
      <c r="B24" s="93"/>
      <c r="C24" s="125"/>
      <c r="D24" s="127"/>
      <c r="E24" s="83"/>
      <c r="F24" s="83"/>
      <c r="G24" s="83"/>
      <c r="H24" s="83"/>
      <c r="I24" s="83"/>
      <c r="J24" s="83"/>
      <c r="K24" s="83"/>
      <c r="L24" s="129"/>
      <c r="M24" s="47"/>
      <c r="N24" s="83"/>
      <c r="O24" s="90"/>
      <c r="P24" s="95"/>
      <c r="Q24" s="95"/>
    </row>
    <row r="25" spans="2:17">
      <c r="B25" s="96" t="s">
        <v>7</v>
      </c>
      <c r="C25" s="16" t="s">
        <v>8</v>
      </c>
      <c r="D25" s="51" t="s">
        <v>68</v>
      </c>
      <c r="E25" s="42" t="s">
        <v>9</v>
      </c>
      <c r="F25" s="42" t="s">
        <v>10</v>
      </c>
      <c r="G25" s="42" t="s">
        <v>11</v>
      </c>
      <c r="H25" s="42" t="s">
        <v>66</v>
      </c>
      <c r="I25" s="42" t="s">
        <v>50</v>
      </c>
      <c r="J25" s="42" t="s">
        <v>49</v>
      </c>
      <c r="K25" s="42" t="s">
        <v>51</v>
      </c>
      <c r="L25" s="42" t="s">
        <v>67</v>
      </c>
      <c r="M25" s="42" t="s">
        <v>94</v>
      </c>
      <c r="N25" s="42" t="s">
        <v>47</v>
      </c>
      <c r="O25" s="42" t="s">
        <v>52</v>
      </c>
      <c r="P25" s="43" t="s">
        <v>53</v>
      </c>
      <c r="Q25" s="20" t="s">
        <v>70</v>
      </c>
    </row>
    <row r="26" spans="2:17">
      <c r="B26" s="97"/>
      <c r="C26" s="99">
        <v>800</v>
      </c>
      <c r="D26" s="101">
        <f>C26*0.02145/100+1</f>
        <v>1.1716</v>
      </c>
      <c r="E26" s="84">
        <f>C26*0.03576/100+1</f>
        <v>1.2860800000000001</v>
      </c>
      <c r="F26" s="84">
        <f>20/100+1</f>
        <v>1.2</v>
      </c>
      <c r="G26" s="84">
        <f>10/100+1</f>
        <v>1.1000000000000001</v>
      </c>
      <c r="H26" s="84">
        <f>1.15*1.18*1.25</f>
        <v>1.6962499999999996</v>
      </c>
      <c r="I26" s="84">
        <f>MIN(O23,100)*0.225/100+1</f>
        <v>1.2072069999999999</v>
      </c>
      <c r="J26" s="84">
        <f>MIN(P23,100)*0.225/100+1</f>
        <v>1.2250000000000001</v>
      </c>
      <c r="K26" s="84">
        <f>MIN(Q23,100)*0.225/100+1</f>
        <v>1.150957</v>
      </c>
      <c r="L26" s="84">
        <f>16/100+1</f>
        <v>1.1599999999999999</v>
      </c>
      <c r="M26" s="84">
        <f>16/100+1</f>
        <v>1.1599999999999999</v>
      </c>
      <c r="N26" s="46">
        <f>PRODUCT(D26,F26,1.15,1.25,I26,1.18,L26,M26)*100</f>
        <v>387.38981042186975</v>
      </c>
      <c r="O26" s="46">
        <f>PRODUCT(D26,F26,1.15,1.25,I26,1.18,L26,M26,O36)*100</f>
        <v>387.38981042186975</v>
      </c>
      <c r="P26" s="49">
        <f>PRODUCT(D26,F26,1.15,1.25,I26,1.18,L26,M26,N36)*100</f>
        <v>387.38981042186975</v>
      </c>
      <c r="Q26" s="86">
        <f>AVERAGE(N26:P26,N28:P28)</f>
        <v>390.2446757833348</v>
      </c>
    </row>
    <row r="27" spans="2:17">
      <c r="B27" s="97"/>
      <c r="C27" s="99"/>
      <c r="D27" s="101"/>
      <c r="E27" s="84"/>
      <c r="F27" s="84"/>
      <c r="G27" s="84"/>
      <c r="H27" s="84"/>
      <c r="I27" s="84"/>
      <c r="J27" s="84"/>
      <c r="K27" s="84"/>
      <c r="L27" s="84"/>
      <c r="M27" s="84"/>
      <c r="N27" s="15" t="s">
        <v>56</v>
      </c>
      <c r="O27" s="15" t="s">
        <v>57</v>
      </c>
      <c r="P27" s="44" t="s">
        <v>58</v>
      </c>
      <c r="Q27" s="87"/>
    </row>
    <row r="28" spans="2:17">
      <c r="B28" s="97"/>
      <c r="C28" s="99"/>
      <c r="D28" s="101"/>
      <c r="E28" s="84"/>
      <c r="F28" s="84"/>
      <c r="G28" s="84"/>
      <c r="H28" s="84"/>
      <c r="I28" s="84"/>
      <c r="J28" s="84"/>
      <c r="K28" s="84"/>
      <c r="L28" s="84"/>
      <c r="M28" s="84"/>
      <c r="N28" s="46">
        <f>PRODUCT(D26,F26,1.15,1.25,J26,1.18,L26,M26)*100</f>
        <v>393.09954114479984</v>
      </c>
      <c r="O28" s="46">
        <f>PRODUCT(D26,F26,1.15,1.25,J26,1.18,L26,M26,O36)*100</f>
        <v>393.09954114479984</v>
      </c>
      <c r="P28" s="49">
        <f>PRODUCT(D26,F26,1.15,1.25,J26,1.18,L26,M26,N36)*100</f>
        <v>393.09954114479984</v>
      </c>
      <c r="Q28" s="45" t="s">
        <v>65</v>
      </c>
    </row>
    <row r="29" spans="2:17">
      <c r="B29" s="97"/>
      <c r="C29" s="99"/>
      <c r="D29" s="101"/>
      <c r="E29" s="84"/>
      <c r="F29" s="84"/>
      <c r="G29" s="84"/>
      <c r="H29" s="84"/>
      <c r="I29" s="84"/>
      <c r="J29" s="84"/>
      <c r="K29" s="84"/>
      <c r="L29" s="84"/>
      <c r="M29" s="84"/>
      <c r="N29" s="15" t="s">
        <v>61</v>
      </c>
      <c r="O29" s="15" t="s">
        <v>62</v>
      </c>
      <c r="P29" s="44" t="s">
        <v>63</v>
      </c>
      <c r="Q29" s="86">
        <f>AVERAGE(N30:P30)</f>
        <v>425.15836946574785</v>
      </c>
    </row>
    <row r="30" spans="2:17" ht="17.25" thickBot="1">
      <c r="B30" s="98"/>
      <c r="C30" s="100"/>
      <c r="D30" s="102"/>
      <c r="E30" s="85"/>
      <c r="F30" s="85"/>
      <c r="G30" s="85"/>
      <c r="H30" s="85"/>
      <c r="I30" s="85"/>
      <c r="J30" s="85"/>
      <c r="K30" s="85"/>
      <c r="L30" s="85"/>
      <c r="M30" s="85"/>
      <c r="N30" s="27">
        <f>PRODUCT((E26+0.15),F26,(G26+0.25),K26,1.18,L26,M26)*100</f>
        <v>425.15836946574785</v>
      </c>
      <c r="O30" s="27">
        <f>PRODUCT((E26+0.15),F26,(G26+0.25),K26,1.18,L26,M26,O36)*100</f>
        <v>425.15836946574785</v>
      </c>
      <c r="P30" s="50">
        <f>PRODUCT((E26+0.15),F26,(G26+0.25),K26,1.18,L26,M26,N36)*100</f>
        <v>425.15836946574785</v>
      </c>
      <c r="Q30" s="88"/>
    </row>
    <row r="31" spans="2:17">
      <c r="B31" s="103" t="s">
        <v>13</v>
      </c>
      <c r="C31" s="48" t="s">
        <v>14</v>
      </c>
      <c r="D31" s="39" t="s">
        <v>15</v>
      </c>
      <c r="E31" s="40" t="s">
        <v>16</v>
      </c>
      <c r="F31" s="40" t="s">
        <v>29</v>
      </c>
      <c r="G31" s="40" t="s">
        <v>18</v>
      </c>
      <c r="H31" s="40" t="s">
        <v>19</v>
      </c>
      <c r="I31" s="41" t="s">
        <v>20</v>
      </c>
      <c r="J31" s="41" t="s">
        <v>21</v>
      </c>
      <c r="K31" s="41"/>
      <c r="L31" s="41"/>
      <c r="M31" s="41"/>
      <c r="N31" s="41"/>
      <c r="O31" s="41"/>
      <c r="P31" s="106" t="s">
        <v>22</v>
      </c>
      <c r="Q31" s="107"/>
    </row>
    <row r="32" spans="2:17" ht="17.25" thickBot="1">
      <c r="B32" s="104"/>
      <c r="C32" s="108">
        <v>0</v>
      </c>
      <c r="D32" s="142">
        <f>C32*0.01717</f>
        <v>0</v>
      </c>
      <c r="E32" s="117">
        <v>13.8</v>
      </c>
      <c r="F32" s="117">
        <v>8</v>
      </c>
      <c r="G32" s="3">
        <f>MIN(SUM(D32,F32),40)</f>
        <v>8</v>
      </c>
      <c r="H32" s="3">
        <f>MIN(SUM(D32:F36),40)</f>
        <v>21.8</v>
      </c>
      <c r="I32" s="4">
        <f>MIN((G32+10),40)</f>
        <v>18</v>
      </c>
      <c r="J32" s="4">
        <f>MIN(SUM(E32,I32),40)</f>
        <v>31.8</v>
      </c>
      <c r="K32" s="4"/>
      <c r="L32" s="4"/>
      <c r="M32" s="4"/>
      <c r="N32" s="4"/>
      <c r="O32" s="4"/>
      <c r="P32" s="5">
        <f>MIN(G32:J32,40)</f>
        <v>8</v>
      </c>
      <c r="Q32" s="6">
        <f>MIN(MAX(G32:J32),40)</f>
        <v>31.8</v>
      </c>
    </row>
    <row r="33" spans="2:17">
      <c r="B33" s="104"/>
      <c r="C33" s="109"/>
      <c r="D33" s="143"/>
      <c r="E33" s="118"/>
      <c r="F33" s="118"/>
      <c r="G33" s="15" t="s">
        <v>23</v>
      </c>
      <c r="H33" s="15" t="s">
        <v>24</v>
      </c>
      <c r="I33" s="19" t="s">
        <v>25</v>
      </c>
      <c r="J33" s="19" t="s">
        <v>21</v>
      </c>
      <c r="K33" s="19"/>
      <c r="L33" s="19"/>
      <c r="M33" s="19"/>
      <c r="N33" s="19"/>
      <c r="O33" s="19"/>
      <c r="P33" s="120" t="s">
        <v>26</v>
      </c>
      <c r="Q33" s="121"/>
    </row>
    <row r="34" spans="2:17" ht="17.25" thickBot="1">
      <c r="B34" s="104"/>
      <c r="C34" s="109"/>
      <c r="D34" s="143"/>
      <c r="E34" s="118"/>
      <c r="F34" s="118"/>
      <c r="G34" s="7">
        <f>MIN(SUM(D32,F32))</f>
        <v>8</v>
      </c>
      <c r="H34" s="7">
        <f>MIN(SUM(D32:F36),40)</f>
        <v>21.8</v>
      </c>
      <c r="I34" s="8">
        <f>MIN((G34+10),40)</f>
        <v>18</v>
      </c>
      <c r="J34" s="8">
        <f>MIN(SUM(E32,I34),40)</f>
        <v>31.8</v>
      </c>
      <c r="K34" s="8"/>
      <c r="L34" s="8"/>
      <c r="M34" s="8"/>
      <c r="N34" s="8"/>
      <c r="O34" s="8"/>
      <c r="P34" s="9">
        <f>MIN(G34:J34,40)</f>
        <v>8</v>
      </c>
      <c r="Q34" s="10">
        <f>MIN(MAX(G34:J34),40)</f>
        <v>31.8</v>
      </c>
    </row>
    <row r="35" spans="2:17">
      <c r="B35" s="104"/>
      <c r="C35" s="109"/>
      <c r="D35" s="143"/>
      <c r="E35" s="118"/>
      <c r="F35" s="118"/>
      <c r="G35" s="15"/>
      <c r="H35" s="15"/>
      <c r="I35" s="15"/>
      <c r="J35" s="15"/>
      <c r="K35" s="15"/>
      <c r="L35" s="15"/>
      <c r="M35" s="15"/>
      <c r="N35" s="21" t="s">
        <v>54</v>
      </c>
      <c r="O35" s="22" t="s">
        <v>55</v>
      </c>
      <c r="P35" s="120" t="s">
        <v>27</v>
      </c>
      <c r="Q35" s="121"/>
    </row>
    <row r="36" spans="2:17" ht="17.25" thickBot="1">
      <c r="B36" s="105"/>
      <c r="C36" s="110"/>
      <c r="D36" s="144"/>
      <c r="E36" s="119"/>
      <c r="F36" s="119"/>
      <c r="G36" s="11"/>
      <c r="H36" s="11"/>
      <c r="I36" s="11"/>
      <c r="J36" s="11"/>
      <c r="K36" s="11"/>
      <c r="L36" s="11"/>
      <c r="M36" s="11"/>
      <c r="N36" s="26">
        <f>1/(1-P36/100)</f>
        <v>1</v>
      </c>
      <c r="O36" s="25">
        <f>1/(1-P36/2/100)</f>
        <v>1</v>
      </c>
      <c r="P36" s="122">
        <f>C32*0.0214</f>
        <v>0</v>
      </c>
      <c r="Q36" s="123"/>
    </row>
    <row r="37" spans="2:17" ht="17.25" thickBot="1">
      <c r="B37" s="111">
        <f>SUM(C23,C26,C32)</f>
        <v>2200</v>
      </c>
      <c r="C37" s="112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2"/>
    </row>
    <row r="39" spans="2:17" ht="17.25" thickBot="1"/>
    <row r="40" spans="2:17" ht="17.25" thickBot="1">
      <c r="B40" s="111" t="s">
        <v>36</v>
      </c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2"/>
    </row>
    <row r="41" spans="2:17">
      <c r="B41" s="91" t="s">
        <v>0</v>
      </c>
      <c r="C41" s="16" t="s">
        <v>1</v>
      </c>
      <c r="D41" s="12" t="s">
        <v>2</v>
      </c>
      <c r="E41" s="13" t="s">
        <v>3</v>
      </c>
      <c r="F41" s="13" t="s">
        <v>4</v>
      </c>
      <c r="G41" s="13" t="s">
        <v>30</v>
      </c>
      <c r="H41" s="13" t="s">
        <v>48</v>
      </c>
      <c r="I41" s="14" t="s">
        <v>44</v>
      </c>
      <c r="J41" s="14"/>
      <c r="K41" s="13"/>
      <c r="L41" s="15"/>
      <c r="M41" s="40"/>
      <c r="N41" s="14"/>
      <c r="O41" s="17" t="s">
        <v>42</v>
      </c>
      <c r="P41" s="18" t="s">
        <v>43</v>
      </c>
      <c r="Q41" s="18" t="s">
        <v>6</v>
      </c>
    </row>
    <row r="42" spans="2:17">
      <c r="B42" s="92"/>
      <c r="C42" s="124">
        <v>1400</v>
      </c>
      <c r="D42" s="126">
        <f>C42*0.03578</f>
        <v>50.091999999999999</v>
      </c>
      <c r="E42" s="82">
        <v>10</v>
      </c>
      <c r="F42" s="82">
        <v>7</v>
      </c>
      <c r="G42" s="82">
        <v>15</v>
      </c>
      <c r="H42" s="82">
        <v>10</v>
      </c>
      <c r="I42" s="82">
        <v>20</v>
      </c>
      <c r="J42" s="82"/>
      <c r="K42" s="82"/>
      <c r="L42" s="128"/>
      <c r="M42" s="32"/>
      <c r="N42" s="82"/>
      <c r="O42" s="89">
        <f>SUM(D42,E42,F42,G42,H42)</f>
        <v>92.091999999999999</v>
      </c>
      <c r="P42" s="94">
        <f>SUM(D42,E42,F42,G42,I42)</f>
        <v>102.092</v>
      </c>
      <c r="Q42" s="94">
        <f>SUM(D42:F43)</f>
        <v>67.091999999999999</v>
      </c>
    </row>
    <row r="43" spans="2:17" ht="17.25" thickBot="1">
      <c r="B43" s="93"/>
      <c r="C43" s="125"/>
      <c r="D43" s="127"/>
      <c r="E43" s="83"/>
      <c r="F43" s="83"/>
      <c r="G43" s="83"/>
      <c r="H43" s="83"/>
      <c r="I43" s="83"/>
      <c r="J43" s="83"/>
      <c r="K43" s="83"/>
      <c r="L43" s="129"/>
      <c r="M43" s="47"/>
      <c r="N43" s="83"/>
      <c r="O43" s="90"/>
      <c r="P43" s="95"/>
      <c r="Q43" s="95"/>
    </row>
    <row r="44" spans="2:17">
      <c r="B44" s="96" t="s">
        <v>7</v>
      </c>
      <c r="C44" s="16" t="s">
        <v>8</v>
      </c>
      <c r="D44" s="51" t="s">
        <v>68</v>
      </c>
      <c r="E44" s="42" t="s">
        <v>9</v>
      </c>
      <c r="F44" s="42" t="s">
        <v>10</v>
      </c>
      <c r="G44" s="42" t="s">
        <v>11</v>
      </c>
      <c r="H44" s="42" t="s">
        <v>66</v>
      </c>
      <c r="I44" s="42" t="s">
        <v>50</v>
      </c>
      <c r="J44" s="42" t="s">
        <v>49</v>
      </c>
      <c r="K44" s="42" t="s">
        <v>51</v>
      </c>
      <c r="L44" s="42" t="s">
        <v>67</v>
      </c>
      <c r="M44" s="42" t="s">
        <v>94</v>
      </c>
      <c r="N44" s="42" t="s">
        <v>47</v>
      </c>
      <c r="O44" s="42" t="s">
        <v>52</v>
      </c>
      <c r="P44" s="43" t="s">
        <v>53</v>
      </c>
      <c r="Q44" s="20" t="s">
        <v>70</v>
      </c>
    </row>
    <row r="45" spans="2:17">
      <c r="B45" s="97"/>
      <c r="C45" s="99">
        <v>0</v>
      </c>
      <c r="D45" s="101">
        <f>C45*0.02145/100+1</f>
        <v>1</v>
      </c>
      <c r="E45" s="84">
        <f>C45*0.03576/100+1</f>
        <v>1</v>
      </c>
      <c r="F45" s="84">
        <f>20/100+1</f>
        <v>1.2</v>
      </c>
      <c r="G45" s="84">
        <f>10/100+1</f>
        <v>1.1000000000000001</v>
      </c>
      <c r="H45" s="84">
        <f>1.15*1.18*1.25</f>
        <v>1.6962499999999996</v>
      </c>
      <c r="I45" s="84">
        <f>MIN(O42,100)*0.225/100+1</f>
        <v>1.2072069999999999</v>
      </c>
      <c r="J45" s="84">
        <f>MIN(P42,100)*0.225/100+1</f>
        <v>1.2250000000000001</v>
      </c>
      <c r="K45" s="84">
        <f>MIN(Q42,100)*0.225/100+1</f>
        <v>1.150957</v>
      </c>
      <c r="L45" s="84">
        <f>16/100+1</f>
        <v>1.1599999999999999</v>
      </c>
      <c r="M45" s="84">
        <f>16/100+1</f>
        <v>1.1599999999999999</v>
      </c>
      <c r="N45" s="46">
        <f>PRODUCT(D45,F45,1.15,1.25,I45,1.18,L45,M45)*100</f>
        <v>330.65023081415995</v>
      </c>
      <c r="O45" s="46">
        <f>PRODUCT(D45,F45,1.15,1.25,I45,1.18,L45,M45,O55)*100</f>
        <v>361.60348951679782</v>
      </c>
      <c r="P45" s="49">
        <f>PRODUCT(D45,F45,1.15,1.25,I45,1.18,L45,M45,N55)*100</f>
        <v>398.95056806727791</v>
      </c>
      <c r="Q45" s="86">
        <f>AVERAGE(N45:P45,N47:P47)</f>
        <v>366.41530252229705</v>
      </c>
    </row>
    <row r="46" spans="2:17">
      <c r="B46" s="97"/>
      <c r="C46" s="99"/>
      <c r="D46" s="101"/>
      <c r="E46" s="84"/>
      <c r="F46" s="84"/>
      <c r="G46" s="84"/>
      <c r="H46" s="84"/>
      <c r="I46" s="84"/>
      <c r="J46" s="84"/>
      <c r="K46" s="84"/>
      <c r="L46" s="84"/>
      <c r="M46" s="84"/>
      <c r="N46" s="15" t="s">
        <v>56</v>
      </c>
      <c r="O46" s="15" t="s">
        <v>57</v>
      </c>
      <c r="P46" s="44" t="s">
        <v>58</v>
      </c>
      <c r="Q46" s="87"/>
    </row>
    <row r="47" spans="2:17">
      <c r="B47" s="97"/>
      <c r="C47" s="99"/>
      <c r="D47" s="101"/>
      <c r="E47" s="84"/>
      <c r="F47" s="84"/>
      <c r="G47" s="84"/>
      <c r="H47" s="84"/>
      <c r="I47" s="84"/>
      <c r="J47" s="84"/>
      <c r="K47" s="84"/>
      <c r="L47" s="84"/>
      <c r="M47" s="84"/>
      <c r="N47" s="46">
        <f>PRODUCT(D45,F45,1.15,1.25,J45,1.18,L45,M45)*100</f>
        <v>335.52367799999996</v>
      </c>
      <c r="O47" s="46">
        <f>PRODUCT(D45,F45,1.15,1.25,J45,1.18,L45,M45,O55)*100</f>
        <v>366.93315616797901</v>
      </c>
      <c r="P47" s="49">
        <f>PRODUCT(D45,F45,1.15,1.25,J45,1.18,L45,M45,N55)*100</f>
        <v>404.8306925675675</v>
      </c>
      <c r="Q47" s="45" t="s">
        <v>65</v>
      </c>
    </row>
    <row r="48" spans="2:17">
      <c r="B48" s="97"/>
      <c r="C48" s="99"/>
      <c r="D48" s="101"/>
      <c r="E48" s="84"/>
      <c r="F48" s="84"/>
      <c r="G48" s="84"/>
      <c r="H48" s="84"/>
      <c r="I48" s="84"/>
      <c r="J48" s="84"/>
      <c r="K48" s="84"/>
      <c r="L48" s="84"/>
      <c r="M48" s="84"/>
      <c r="N48" s="15" t="s">
        <v>61</v>
      </c>
      <c r="O48" s="15" t="s">
        <v>62</v>
      </c>
      <c r="P48" s="44" t="s">
        <v>63</v>
      </c>
      <c r="Q48" s="86">
        <f>AVERAGE(N49:P49)</f>
        <v>374.52940307528746</v>
      </c>
    </row>
    <row r="49" spans="2:17" ht="17.25" thickBot="1">
      <c r="B49" s="98"/>
      <c r="C49" s="100"/>
      <c r="D49" s="102"/>
      <c r="E49" s="85"/>
      <c r="F49" s="85"/>
      <c r="G49" s="85"/>
      <c r="H49" s="85"/>
      <c r="I49" s="85"/>
      <c r="J49" s="85"/>
      <c r="K49" s="85"/>
      <c r="L49" s="85"/>
      <c r="M49" s="85"/>
      <c r="N49" s="27">
        <f>PRODUCT((E45+0.15),F45,(G45+0.25),K45,1.18,L45,M45)*100</f>
        <v>340.46301381929271</v>
      </c>
      <c r="O49" s="27">
        <f>PRODUCT((E45+0.15),F45,(G45+0.25),K45,1.18,L45,M45,O55)*100</f>
        <v>372.33487950491332</v>
      </c>
      <c r="P49" s="50">
        <f>PRODUCT((E45+0.15),F45,(G45+0.25),K45,1.18,L45,M45,N55)*100</f>
        <v>410.7903159016563</v>
      </c>
      <c r="Q49" s="88"/>
    </row>
    <row r="50" spans="2:17">
      <c r="B50" s="103" t="s">
        <v>13</v>
      </c>
      <c r="C50" s="48" t="s">
        <v>14</v>
      </c>
      <c r="D50" s="39" t="s">
        <v>15</v>
      </c>
      <c r="E50" s="40" t="s">
        <v>16</v>
      </c>
      <c r="F50" s="40" t="s">
        <v>29</v>
      </c>
      <c r="G50" s="40" t="s">
        <v>18</v>
      </c>
      <c r="H50" s="40" t="s">
        <v>19</v>
      </c>
      <c r="I50" s="41" t="s">
        <v>20</v>
      </c>
      <c r="J50" s="41" t="s">
        <v>21</v>
      </c>
      <c r="K50" s="41"/>
      <c r="L50" s="41"/>
      <c r="M50" s="41"/>
      <c r="N50" s="41"/>
      <c r="O50" s="41"/>
      <c r="P50" s="106" t="s">
        <v>22</v>
      </c>
      <c r="Q50" s="107"/>
    </row>
    <row r="51" spans="2:17" ht="17.25" thickBot="1">
      <c r="B51" s="104"/>
      <c r="C51" s="108">
        <v>800</v>
      </c>
      <c r="D51" s="142">
        <f>C51*0.01717</f>
        <v>13.736000000000001</v>
      </c>
      <c r="E51" s="117">
        <v>13.8</v>
      </c>
      <c r="F51" s="117">
        <v>8</v>
      </c>
      <c r="G51" s="3">
        <f>MIN(SUM(D51,F51),40)</f>
        <v>21.736000000000001</v>
      </c>
      <c r="H51" s="3">
        <f>MIN(SUM(D51:F55),40)</f>
        <v>35.536000000000001</v>
      </c>
      <c r="I51" s="4">
        <f>MIN((G51+10),40)</f>
        <v>31.736000000000001</v>
      </c>
      <c r="J51" s="4">
        <f>MIN(SUM(E51,I51),40)</f>
        <v>40</v>
      </c>
      <c r="K51" s="4"/>
      <c r="L51" s="4"/>
      <c r="M51" s="4"/>
      <c r="N51" s="4"/>
      <c r="O51" s="4"/>
      <c r="P51" s="5">
        <f>MIN(G51:J51,40)</f>
        <v>21.736000000000001</v>
      </c>
      <c r="Q51" s="6">
        <f>MIN(MAX(G51:J51),40)</f>
        <v>40</v>
      </c>
    </row>
    <row r="52" spans="2:17">
      <c r="B52" s="104"/>
      <c r="C52" s="109"/>
      <c r="D52" s="143"/>
      <c r="E52" s="118"/>
      <c r="F52" s="118"/>
      <c r="G52" s="15" t="s">
        <v>23</v>
      </c>
      <c r="H52" s="15" t="s">
        <v>24</v>
      </c>
      <c r="I52" s="19" t="s">
        <v>25</v>
      </c>
      <c r="J52" s="19" t="s">
        <v>21</v>
      </c>
      <c r="K52" s="19"/>
      <c r="L52" s="19"/>
      <c r="M52" s="19"/>
      <c r="N52" s="19"/>
      <c r="O52" s="19"/>
      <c r="P52" s="120" t="s">
        <v>26</v>
      </c>
      <c r="Q52" s="121"/>
    </row>
    <row r="53" spans="2:17" ht="17.25" thickBot="1">
      <c r="B53" s="104"/>
      <c r="C53" s="109"/>
      <c r="D53" s="143"/>
      <c r="E53" s="118"/>
      <c r="F53" s="118"/>
      <c r="G53" s="7">
        <f>MIN(SUM(D51,F51))</f>
        <v>21.736000000000001</v>
      </c>
      <c r="H53" s="7">
        <f>MIN(SUM(D51:F55),40)</f>
        <v>35.536000000000001</v>
      </c>
      <c r="I53" s="8">
        <f>MIN((G53+10),40)</f>
        <v>31.736000000000001</v>
      </c>
      <c r="J53" s="8">
        <f>MIN(SUM(E51,I53),40)</f>
        <v>40</v>
      </c>
      <c r="K53" s="8"/>
      <c r="L53" s="8"/>
      <c r="M53" s="8"/>
      <c r="N53" s="8"/>
      <c r="O53" s="8"/>
      <c r="P53" s="9">
        <f>MIN(G53:J53,40)</f>
        <v>21.736000000000001</v>
      </c>
      <c r="Q53" s="10">
        <f>MIN(MAX(G53:J53),40)</f>
        <v>40</v>
      </c>
    </row>
    <row r="54" spans="2:17">
      <c r="B54" s="104"/>
      <c r="C54" s="109"/>
      <c r="D54" s="143"/>
      <c r="E54" s="118"/>
      <c r="F54" s="118"/>
      <c r="G54" s="15"/>
      <c r="H54" s="15"/>
      <c r="I54" s="15"/>
      <c r="J54" s="15"/>
      <c r="K54" s="15"/>
      <c r="L54" s="15"/>
      <c r="M54" s="15"/>
      <c r="N54" s="21" t="s">
        <v>54</v>
      </c>
      <c r="O54" s="22" t="s">
        <v>55</v>
      </c>
      <c r="P54" s="120" t="s">
        <v>27</v>
      </c>
      <c r="Q54" s="121"/>
    </row>
    <row r="55" spans="2:17" ht="17.25" thickBot="1">
      <c r="B55" s="105"/>
      <c r="C55" s="110"/>
      <c r="D55" s="144"/>
      <c r="E55" s="119"/>
      <c r="F55" s="119"/>
      <c r="G55" s="11"/>
      <c r="H55" s="11"/>
      <c r="I55" s="11"/>
      <c r="J55" s="11"/>
      <c r="K55" s="11"/>
      <c r="L55" s="11"/>
      <c r="M55" s="11"/>
      <c r="N55" s="26">
        <f>1/(1-P55/100)</f>
        <v>1.2065637065637065</v>
      </c>
      <c r="O55" s="25">
        <f>1/(1-P55/2/100)</f>
        <v>1.0936132983377078</v>
      </c>
      <c r="P55" s="122">
        <f>C51*0.0214</f>
        <v>17.119999999999997</v>
      </c>
      <c r="Q55" s="123"/>
    </row>
    <row r="56" spans="2:17" ht="17.25" thickBot="1">
      <c r="B56" s="111">
        <f>SUM(C42,C45,C51)</f>
        <v>2200</v>
      </c>
      <c r="C56" s="112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2"/>
    </row>
    <row r="58" spans="2:17" ht="17.25" thickBot="1"/>
    <row r="59" spans="2:17" ht="17.25" thickBot="1">
      <c r="B59" s="114" t="s">
        <v>37</v>
      </c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6"/>
    </row>
    <row r="60" spans="2:17">
      <c r="B60" s="91" t="s">
        <v>0</v>
      </c>
      <c r="C60" s="16" t="s">
        <v>1</v>
      </c>
      <c r="D60" s="12" t="s">
        <v>2</v>
      </c>
      <c r="E60" s="13" t="s">
        <v>3</v>
      </c>
      <c r="F60" s="13" t="s">
        <v>4</v>
      </c>
      <c r="G60" s="13" t="s">
        <v>30</v>
      </c>
      <c r="H60" s="13" t="s">
        <v>48</v>
      </c>
      <c r="I60" s="14" t="s">
        <v>44</v>
      </c>
      <c r="J60" s="14" t="s">
        <v>72</v>
      </c>
      <c r="K60" s="13"/>
      <c r="L60" s="15"/>
      <c r="M60" s="40"/>
      <c r="N60" s="14"/>
      <c r="O60" s="17" t="s">
        <v>42</v>
      </c>
      <c r="P60" s="18" t="s">
        <v>43</v>
      </c>
      <c r="Q60" s="18" t="s">
        <v>6</v>
      </c>
    </row>
    <row r="61" spans="2:17">
      <c r="B61" s="92"/>
      <c r="C61" s="124">
        <v>800</v>
      </c>
      <c r="D61" s="163">
        <f>C61*0.03578</f>
        <v>28.623999999999999</v>
      </c>
      <c r="E61" s="82">
        <v>10</v>
      </c>
      <c r="F61" s="82">
        <v>7</v>
      </c>
      <c r="G61" s="82">
        <v>15</v>
      </c>
      <c r="H61" s="82">
        <v>10</v>
      </c>
      <c r="I61" s="82">
        <v>20</v>
      </c>
      <c r="J61" s="82">
        <v>28</v>
      </c>
      <c r="K61" s="82"/>
      <c r="L61" s="128"/>
      <c r="M61" s="80"/>
      <c r="N61" s="159"/>
      <c r="O61" s="89">
        <f>SUM(D61,E61,F61,G61,H61,J61)</f>
        <v>98.623999999999995</v>
      </c>
      <c r="P61" s="89">
        <f>SUM(D61,E61,F61,G61,I61,J61)</f>
        <v>108.624</v>
      </c>
      <c r="Q61" s="89">
        <f>SUM(D61:F62,J61)</f>
        <v>73.623999999999995</v>
      </c>
    </row>
    <row r="62" spans="2:17" ht="17.25" thickBot="1">
      <c r="B62" s="93"/>
      <c r="C62" s="165"/>
      <c r="D62" s="164"/>
      <c r="E62" s="162"/>
      <c r="F62" s="162"/>
      <c r="G62" s="162"/>
      <c r="H62" s="162"/>
      <c r="I62" s="162"/>
      <c r="J62" s="162"/>
      <c r="K62" s="162"/>
      <c r="L62" s="158"/>
      <c r="M62" s="81"/>
      <c r="N62" s="160"/>
      <c r="O62" s="161"/>
      <c r="P62" s="161"/>
      <c r="Q62" s="161"/>
    </row>
    <row r="63" spans="2:17">
      <c r="B63" s="172" t="s">
        <v>7</v>
      </c>
      <c r="C63" s="16" t="s">
        <v>8</v>
      </c>
      <c r="D63" s="51" t="s">
        <v>68</v>
      </c>
      <c r="E63" s="42" t="s">
        <v>9</v>
      </c>
      <c r="F63" s="42" t="s">
        <v>10</v>
      </c>
      <c r="G63" s="42" t="s">
        <v>11</v>
      </c>
      <c r="H63" s="42" t="s">
        <v>72</v>
      </c>
      <c r="I63" s="42" t="s">
        <v>50</v>
      </c>
      <c r="J63" s="42" t="s">
        <v>49</v>
      </c>
      <c r="K63" s="42" t="s">
        <v>51</v>
      </c>
      <c r="L63" s="42" t="s">
        <v>67</v>
      </c>
      <c r="M63" s="42" t="s">
        <v>94</v>
      </c>
      <c r="N63" s="42" t="s">
        <v>47</v>
      </c>
      <c r="O63" s="42" t="s">
        <v>52</v>
      </c>
      <c r="P63" s="43" t="s">
        <v>53</v>
      </c>
      <c r="Q63" s="20" t="s">
        <v>70</v>
      </c>
    </row>
    <row r="64" spans="2:17">
      <c r="B64" s="173"/>
      <c r="C64" s="169">
        <v>1400</v>
      </c>
      <c r="D64" s="166">
        <f>C64*0.02145/100+1</f>
        <v>1.3003</v>
      </c>
      <c r="E64" s="145">
        <f>C64*0.03576/100+1</f>
        <v>1.50064</v>
      </c>
      <c r="F64" s="145">
        <f>20/100+1</f>
        <v>1.2</v>
      </c>
      <c r="G64" s="145">
        <f>10/100+1</f>
        <v>1.1000000000000001</v>
      </c>
      <c r="H64" s="145">
        <f>1.35</f>
        <v>1.35</v>
      </c>
      <c r="I64" s="145">
        <f>MIN(O61,100)*0.225/100+1</f>
        <v>1.2219039999999999</v>
      </c>
      <c r="J64" s="145">
        <f>MIN(P61,100)*0.225/100+1</f>
        <v>1.2250000000000001</v>
      </c>
      <c r="K64" s="145">
        <f>MIN(Q61,100)*0.225/100+1</f>
        <v>1.165654</v>
      </c>
      <c r="L64" s="145">
        <f>16/100+1</f>
        <v>1.1599999999999999</v>
      </c>
      <c r="M64" s="145">
        <f>16/100+1</f>
        <v>1.1599999999999999</v>
      </c>
      <c r="N64" s="46">
        <f>PRODUCT(D64,F64,H64,I64,L64,M64)*100</f>
        <v>346.3471689469286</v>
      </c>
      <c r="O64" s="46">
        <f>PRODUCT(D64,F64,H64,I64,L64,M64,O74)*100</f>
        <v>346.3471689469286</v>
      </c>
      <c r="P64" s="49">
        <f>PRODUCT(D64,F64,H64,I64,L64,M64,N74)*100</f>
        <v>346.3471689469286</v>
      </c>
      <c r="Q64" s="86">
        <f>AVERAGE(N64:P64,N66:P66)</f>
        <v>346.78594762146435</v>
      </c>
    </row>
    <row r="65" spans="2:17">
      <c r="B65" s="173"/>
      <c r="C65" s="170"/>
      <c r="D65" s="167"/>
      <c r="E65" s="146"/>
      <c r="F65" s="146"/>
      <c r="G65" s="146"/>
      <c r="H65" s="146"/>
      <c r="I65" s="146"/>
      <c r="J65" s="146"/>
      <c r="K65" s="146"/>
      <c r="L65" s="146"/>
      <c r="M65" s="146"/>
      <c r="N65" s="15" t="s">
        <v>56</v>
      </c>
      <c r="O65" s="15" t="s">
        <v>57</v>
      </c>
      <c r="P65" s="44" t="s">
        <v>58</v>
      </c>
      <c r="Q65" s="87"/>
    </row>
    <row r="66" spans="2:17">
      <c r="B66" s="173"/>
      <c r="C66" s="170"/>
      <c r="D66" s="167"/>
      <c r="E66" s="146"/>
      <c r="F66" s="146"/>
      <c r="G66" s="146"/>
      <c r="H66" s="146"/>
      <c r="I66" s="146"/>
      <c r="J66" s="146"/>
      <c r="K66" s="146"/>
      <c r="L66" s="146"/>
      <c r="M66" s="146"/>
      <c r="N66" s="46">
        <f>PRODUCT(D64,F64,H64,J64,L64,M64)*100</f>
        <v>347.22472629600003</v>
      </c>
      <c r="O66" s="46">
        <f>PRODUCT(D64,F64,H64,J64,L64,M64,O74)*100</f>
        <v>347.22472629600003</v>
      </c>
      <c r="P66" s="49">
        <f>PRODUCT(D64,F64,H64,J64,L64,M64,N74)*100</f>
        <v>347.22472629600003</v>
      </c>
      <c r="Q66" s="45" t="s">
        <v>65</v>
      </c>
    </row>
    <row r="67" spans="2:17">
      <c r="B67" s="173"/>
      <c r="C67" s="170"/>
      <c r="D67" s="167"/>
      <c r="E67" s="146"/>
      <c r="F67" s="146"/>
      <c r="G67" s="146"/>
      <c r="H67" s="146"/>
      <c r="I67" s="146"/>
      <c r="J67" s="146"/>
      <c r="K67" s="146"/>
      <c r="L67" s="146"/>
      <c r="M67" s="146"/>
      <c r="N67" s="15" t="s">
        <v>61</v>
      </c>
      <c r="O67" s="15" t="s">
        <v>62</v>
      </c>
      <c r="P67" s="44" t="s">
        <v>63</v>
      </c>
      <c r="Q67" s="86">
        <f>AVERAGE(N68:P68)</f>
        <v>409.55421845433449</v>
      </c>
    </row>
    <row r="68" spans="2:17" ht="17.25" thickBot="1">
      <c r="B68" s="174"/>
      <c r="C68" s="171"/>
      <c r="D68" s="168"/>
      <c r="E68" s="147"/>
      <c r="F68" s="147"/>
      <c r="G68" s="147"/>
      <c r="H68" s="147"/>
      <c r="I68" s="147"/>
      <c r="J68" s="147"/>
      <c r="K68" s="147"/>
      <c r="L68" s="147"/>
      <c r="M68" s="147"/>
      <c r="N68" s="27">
        <f>PRODUCT(E64,F64,(G64+0.35),K64,L64,M64)*100</f>
        <v>409.55421845433449</v>
      </c>
      <c r="O68" s="27">
        <f>PRODUCT(E64,F64,(G64+0.35),K64,L64,M64,O74)*100</f>
        <v>409.55421845433449</v>
      </c>
      <c r="P68" s="50">
        <f>PRODUCT(E64,F64,(G64+0.35),K64,L64,M64,N74)*100</f>
        <v>409.55421845433449</v>
      </c>
      <c r="Q68" s="88"/>
    </row>
    <row r="69" spans="2:17">
      <c r="B69" s="103" t="s">
        <v>13</v>
      </c>
      <c r="C69" s="48" t="s">
        <v>14</v>
      </c>
      <c r="D69" s="39" t="s">
        <v>15</v>
      </c>
      <c r="E69" s="40" t="s">
        <v>16</v>
      </c>
      <c r="F69" s="40" t="s">
        <v>29</v>
      </c>
      <c r="G69" s="40" t="s">
        <v>18</v>
      </c>
      <c r="H69" s="40" t="s">
        <v>19</v>
      </c>
      <c r="I69" s="41" t="s">
        <v>20</v>
      </c>
      <c r="J69" s="41" t="s">
        <v>21</v>
      </c>
      <c r="K69" s="41"/>
      <c r="L69" s="41"/>
      <c r="M69" s="41"/>
      <c r="N69" s="41"/>
      <c r="O69" s="41"/>
      <c r="P69" s="120" t="s">
        <v>22</v>
      </c>
      <c r="Q69" s="121"/>
    </row>
    <row r="70" spans="2:17" ht="17.25" thickBot="1">
      <c r="B70" s="104"/>
      <c r="C70" s="108">
        <v>0</v>
      </c>
      <c r="D70" s="175">
        <f>C70*0.01717</f>
        <v>0</v>
      </c>
      <c r="E70" s="117">
        <v>13.8</v>
      </c>
      <c r="F70" s="117">
        <v>8</v>
      </c>
      <c r="G70" s="3">
        <f>MIN(SUM(D70,F70),40)</f>
        <v>8</v>
      </c>
      <c r="H70" s="3">
        <f>MIN(SUM(D70:F74),40)</f>
        <v>21.8</v>
      </c>
      <c r="I70" s="4">
        <f>MIN((G70+10),40)</f>
        <v>18</v>
      </c>
      <c r="J70" s="4">
        <f>MIN(SUM(E70,I70),40)</f>
        <v>31.8</v>
      </c>
      <c r="K70" s="4"/>
      <c r="L70" s="4"/>
      <c r="M70" s="4"/>
      <c r="N70" s="4"/>
      <c r="O70" s="4"/>
      <c r="P70" s="5">
        <f>MIN(G70:J70,40)</f>
        <v>8</v>
      </c>
      <c r="Q70" s="6">
        <f>MIN(MAX(G70:J70),40)</f>
        <v>31.8</v>
      </c>
    </row>
    <row r="71" spans="2:17">
      <c r="B71" s="104"/>
      <c r="C71" s="109"/>
      <c r="D71" s="176"/>
      <c r="E71" s="118"/>
      <c r="F71" s="118"/>
      <c r="G71" s="15" t="s">
        <v>23</v>
      </c>
      <c r="H71" s="15" t="s">
        <v>24</v>
      </c>
      <c r="I71" s="79" t="s">
        <v>25</v>
      </c>
      <c r="J71" s="79" t="s">
        <v>21</v>
      </c>
      <c r="K71" s="79"/>
      <c r="L71" s="79"/>
      <c r="M71" s="79"/>
      <c r="N71" s="79"/>
      <c r="O71" s="79"/>
      <c r="P71" s="120" t="s">
        <v>26</v>
      </c>
      <c r="Q71" s="121"/>
    </row>
    <row r="72" spans="2:17" ht="17.25" thickBot="1">
      <c r="B72" s="104"/>
      <c r="C72" s="109"/>
      <c r="D72" s="176"/>
      <c r="E72" s="118"/>
      <c r="F72" s="118"/>
      <c r="G72" s="7">
        <f>MIN(SUM(D70,F70))</f>
        <v>8</v>
      </c>
      <c r="H72" s="7">
        <f>MIN(SUM(D70:F74),40)</f>
        <v>21.8</v>
      </c>
      <c r="I72" s="8">
        <f>MIN((G72+10),40)</f>
        <v>18</v>
      </c>
      <c r="J72" s="8">
        <f>MIN(SUM(E70,I72),40)</f>
        <v>31.8</v>
      </c>
      <c r="K72" s="8"/>
      <c r="L72" s="8"/>
      <c r="M72" s="8"/>
      <c r="N72" s="8"/>
      <c r="O72" s="8"/>
      <c r="P72" s="9">
        <f>MIN(G72:J72,40)</f>
        <v>8</v>
      </c>
      <c r="Q72" s="10">
        <f>MIN(MAX(G72:J72),40)</f>
        <v>31.8</v>
      </c>
    </row>
    <row r="73" spans="2:17">
      <c r="B73" s="104"/>
      <c r="C73" s="109"/>
      <c r="D73" s="176"/>
      <c r="E73" s="118"/>
      <c r="F73" s="118"/>
      <c r="G73" s="15"/>
      <c r="H73" s="15"/>
      <c r="I73" s="15"/>
      <c r="J73" s="15"/>
      <c r="K73" s="15"/>
      <c r="L73" s="15"/>
      <c r="M73" s="15"/>
      <c r="N73" s="21" t="s">
        <v>54</v>
      </c>
      <c r="O73" s="22" t="s">
        <v>55</v>
      </c>
      <c r="P73" s="120" t="s">
        <v>27</v>
      </c>
      <c r="Q73" s="121"/>
    </row>
    <row r="74" spans="2:17" ht="17.25" thickBot="1">
      <c r="B74" s="105"/>
      <c r="C74" s="110"/>
      <c r="D74" s="177"/>
      <c r="E74" s="119"/>
      <c r="F74" s="119"/>
      <c r="G74" s="11"/>
      <c r="H74" s="11"/>
      <c r="I74" s="11"/>
      <c r="J74" s="11"/>
      <c r="K74" s="11"/>
      <c r="L74" s="11"/>
      <c r="M74" s="11"/>
      <c r="N74" s="26">
        <f>1/(1-P74/100)</f>
        <v>1</v>
      </c>
      <c r="O74" s="25">
        <f>1/(1-P74/2/100)</f>
        <v>1</v>
      </c>
      <c r="P74" s="122">
        <f>C70*0.0214</f>
        <v>0</v>
      </c>
      <c r="Q74" s="123"/>
    </row>
    <row r="75" spans="2:17" ht="17.25" thickBot="1">
      <c r="B75" s="114">
        <f>SUM(C61,C64,C70)</f>
        <v>2200</v>
      </c>
      <c r="C75" s="116"/>
      <c r="D75" s="114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6"/>
    </row>
    <row r="77" spans="2:17" ht="17.25" thickBot="1"/>
    <row r="78" spans="2:17" ht="17.25" thickBot="1">
      <c r="B78" s="148" t="s">
        <v>97</v>
      </c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50"/>
    </row>
    <row r="79" spans="2:17">
      <c r="B79" s="91" t="s">
        <v>0</v>
      </c>
      <c r="C79" s="16" t="s">
        <v>1</v>
      </c>
      <c r="D79" s="12" t="s">
        <v>2</v>
      </c>
      <c r="E79" s="13" t="s">
        <v>3</v>
      </c>
      <c r="F79" s="13" t="s">
        <v>4</v>
      </c>
      <c r="G79" s="13" t="s">
        <v>30</v>
      </c>
      <c r="H79" s="13" t="s">
        <v>48</v>
      </c>
      <c r="I79" s="14" t="s">
        <v>44</v>
      </c>
      <c r="J79" s="14" t="s">
        <v>98</v>
      </c>
      <c r="K79" s="13"/>
      <c r="L79" s="15"/>
      <c r="M79" s="40"/>
      <c r="N79" s="14"/>
      <c r="O79" s="17" t="s">
        <v>42</v>
      </c>
      <c r="P79" s="18" t="s">
        <v>43</v>
      </c>
      <c r="Q79" s="18" t="s">
        <v>6</v>
      </c>
    </row>
    <row r="80" spans="2:17">
      <c r="B80" s="92"/>
      <c r="C80" s="124">
        <v>1400</v>
      </c>
      <c r="D80" s="126">
        <f>C80*0.03578</f>
        <v>50.091999999999999</v>
      </c>
      <c r="E80" s="82">
        <v>10</v>
      </c>
      <c r="F80" s="82">
        <v>7</v>
      </c>
      <c r="G80" s="82">
        <v>15</v>
      </c>
      <c r="H80" s="82">
        <v>10</v>
      </c>
      <c r="I80" s="82">
        <v>20</v>
      </c>
      <c r="J80" s="82">
        <v>10</v>
      </c>
      <c r="K80" s="82"/>
      <c r="L80" s="128"/>
      <c r="M80" s="32"/>
      <c r="N80" s="82"/>
      <c r="O80" s="89">
        <f>SUM(D80,E80,F80,G80,H80,J80)</f>
        <v>102.092</v>
      </c>
      <c r="P80" s="94">
        <f>SUM(D80,E80,F80,G80,I80,J80)</f>
        <v>112.092</v>
      </c>
      <c r="Q80" s="94">
        <f>SUM(D80:F81,J80)</f>
        <v>77.091999999999999</v>
      </c>
    </row>
    <row r="81" spans="2:17" ht="17.25" thickBot="1">
      <c r="B81" s="93"/>
      <c r="C81" s="125"/>
      <c r="D81" s="127"/>
      <c r="E81" s="83"/>
      <c r="F81" s="83"/>
      <c r="G81" s="83"/>
      <c r="H81" s="83"/>
      <c r="I81" s="83"/>
      <c r="J81" s="83"/>
      <c r="K81" s="83"/>
      <c r="L81" s="129"/>
      <c r="M81" s="47"/>
      <c r="N81" s="83"/>
      <c r="O81" s="90"/>
      <c r="P81" s="95"/>
      <c r="Q81" s="95"/>
    </row>
    <row r="82" spans="2:17">
      <c r="B82" s="96" t="s">
        <v>7</v>
      </c>
      <c r="C82" s="16" t="s">
        <v>8</v>
      </c>
      <c r="D82" s="51" t="s">
        <v>68</v>
      </c>
      <c r="E82" s="42" t="s">
        <v>9</v>
      </c>
      <c r="F82" s="42" t="s">
        <v>10</v>
      </c>
      <c r="G82" s="42" t="s">
        <v>11</v>
      </c>
      <c r="H82" s="42" t="s">
        <v>66</v>
      </c>
      <c r="I82" s="42" t="s">
        <v>50</v>
      </c>
      <c r="J82" s="42" t="s">
        <v>49</v>
      </c>
      <c r="K82" s="42" t="s">
        <v>51</v>
      </c>
      <c r="L82" s="42" t="s">
        <v>67</v>
      </c>
      <c r="M82" s="42" t="s">
        <v>45</v>
      </c>
      <c r="N82" s="42" t="s">
        <v>47</v>
      </c>
      <c r="O82" s="42" t="s">
        <v>52</v>
      </c>
      <c r="P82" s="43" t="s">
        <v>53</v>
      </c>
      <c r="Q82" s="20" t="s">
        <v>70</v>
      </c>
    </row>
    <row r="83" spans="2:17">
      <c r="B83" s="97"/>
      <c r="C83" s="99">
        <v>0</v>
      </c>
      <c r="D83" s="101">
        <f>C83*0.02145/100+1</f>
        <v>1</v>
      </c>
      <c r="E83" s="84">
        <f>C83*0.03576/100+1</f>
        <v>1</v>
      </c>
      <c r="F83" s="84">
        <f>20/100+1</f>
        <v>1.2</v>
      </c>
      <c r="G83" s="84">
        <f>10/100+1</f>
        <v>1.1000000000000001</v>
      </c>
      <c r="H83" s="84">
        <f>1.15*1.18*1.25</f>
        <v>1.6962499999999996</v>
      </c>
      <c r="I83" s="84">
        <f>MIN(O80,100)*0.225/100+1</f>
        <v>1.2250000000000001</v>
      </c>
      <c r="J83" s="84">
        <f>MIN(P80,100)*0.225/100+1</f>
        <v>1.2250000000000001</v>
      </c>
      <c r="K83" s="84">
        <f>MIN(Q80,100)*0.225/100+1</f>
        <v>1.173457</v>
      </c>
      <c r="L83" s="84">
        <f>16/100+1</f>
        <v>1.1599999999999999</v>
      </c>
      <c r="M83" s="84">
        <f>3.6/100+1</f>
        <v>1.036</v>
      </c>
      <c r="N83" s="46">
        <f>PRODUCT(D83,F83,1.15,1.25,I83,1.18,L83,M89,M83)*100</f>
        <v>318.17977415308559</v>
      </c>
      <c r="O83" s="46">
        <f>PRODUCT(D83,F83,1.15,1.25,I83,1.18,L83,N89,O93,M83)*100</f>
        <v>371.03570925841859</v>
      </c>
      <c r="P83" s="49">
        <f>PRODUCT(D83,F83,1.15,1.25,I83,1.18,L83,O89,N93,M83)*100</f>
        <v>426.63571124999999</v>
      </c>
      <c r="Q83" s="86">
        <f>AVERAGE(N83:P83,N85:P85)</f>
        <v>371.95039822050143</v>
      </c>
    </row>
    <row r="84" spans="2:17">
      <c r="B84" s="97"/>
      <c r="C84" s="99"/>
      <c r="D84" s="101"/>
      <c r="E84" s="84"/>
      <c r="F84" s="84"/>
      <c r="G84" s="84"/>
      <c r="H84" s="84"/>
      <c r="I84" s="84"/>
      <c r="J84" s="84"/>
      <c r="K84" s="84"/>
      <c r="L84" s="84"/>
      <c r="M84" s="84"/>
      <c r="N84" s="15" t="s">
        <v>56</v>
      </c>
      <c r="O84" s="15" t="s">
        <v>57</v>
      </c>
      <c r="P84" s="44" t="s">
        <v>58</v>
      </c>
      <c r="Q84" s="87"/>
    </row>
    <row r="85" spans="2:17">
      <c r="B85" s="97"/>
      <c r="C85" s="99"/>
      <c r="D85" s="101"/>
      <c r="E85" s="84"/>
      <c r="F85" s="84"/>
      <c r="G85" s="84"/>
      <c r="H85" s="84"/>
      <c r="I85" s="84"/>
      <c r="J85" s="84"/>
      <c r="K85" s="84"/>
      <c r="L85" s="84"/>
      <c r="M85" s="84"/>
      <c r="N85" s="46">
        <f>PRODUCT(D83,F83,1.15,1.25,J83,1.18,L83,M89,M83)*100</f>
        <v>318.17977415308559</v>
      </c>
      <c r="O85" s="46">
        <f>PRODUCT(D83,F83,1.15,1.25,J83,1.18,L83,N89,O93,M83)*100</f>
        <v>371.03570925841859</v>
      </c>
      <c r="P85" s="49">
        <f>PRODUCT(D83,F83,1.15,1.25,J83,1.18,L83,O89,N93,M83)*100</f>
        <v>426.63571124999999</v>
      </c>
      <c r="Q85" s="45" t="s">
        <v>65</v>
      </c>
    </row>
    <row r="86" spans="2:17">
      <c r="B86" s="97"/>
      <c r="C86" s="99"/>
      <c r="D86" s="101"/>
      <c r="E86" s="84"/>
      <c r="F86" s="84"/>
      <c r="G86" s="84"/>
      <c r="H86" s="84"/>
      <c r="I86" s="84"/>
      <c r="J86" s="84"/>
      <c r="K86" s="84"/>
      <c r="L86" s="84"/>
      <c r="M86" s="84"/>
      <c r="N86" s="15" t="s">
        <v>61</v>
      </c>
      <c r="O86" s="15" t="s">
        <v>62</v>
      </c>
      <c r="P86" s="44" t="s">
        <v>63</v>
      </c>
      <c r="Q86" s="86">
        <f>AVERAGE(N87:P87)</f>
        <v>384.80426311853518</v>
      </c>
    </row>
    <row r="87" spans="2:17" ht="17.25" thickBot="1">
      <c r="B87" s="98"/>
      <c r="C87" s="100"/>
      <c r="D87" s="102"/>
      <c r="E87" s="85"/>
      <c r="F87" s="85"/>
      <c r="G87" s="85"/>
      <c r="H87" s="85"/>
      <c r="I87" s="85"/>
      <c r="J87" s="85"/>
      <c r="K87" s="85"/>
      <c r="L87" s="85"/>
      <c r="M87" s="85"/>
      <c r="N87" s="27">
        <f>PRODUCT((E83+0.15),F83,(G83+0.25),K83,1.18,L83,M89,M83)*100</f>
        <v>329.17543338565378</v>
      </c>
      <c r="O87" s="27">
        <f>PRODUCT((E83+0.15),F83,(G83+0.25),K83,1.18,L83,N89,O93,M83)*100</f>
        <v>383.85796432783394</v>
      </c>
      <c r="P87" s="50">
        <f>PRODUCT((E83+0.15),F83,(G83+0.25),K83,1.18,L83,O89,N93,M83)*100</f>
        <v>441.37939164211792</v>
      </c>
      <c r="Q87" s="88"/>
    </row>
    <row r="88" spans="2:17">
      <c r="B88" s="103" t="s">
        <v>13</v>
      </c>
      <c r="C88" s="48" t="s">
        <v>14</v>
      </c>
      <c r="D88" s="39" t="s">
        <v>15</v>
      </c>
      <c r="E88" s="40" t="s">
        <v>16</v>
      </c>
      <c r="F88" s="40"/>
      <c r="G88" s="40" t="s">
        <v>18</v>
      </c>
      <c r="H88" s="40" t="s">
        <v>19</v>
      </c>
      <c r="I88" s="41" t="s">
        <v>74</v>
      </c>
      <c r="J88" s="41" t="s">
        <v>20</v>
      </c>
      <c r="K88" s="41" t="s">
        <v>21</v>
      </c>
      <c r="L88" s="41" t="s">
        <v>75</v>
      </c>
      <c r="M88" s="41" t="s">
        <v>77</v>
      </c>
      <c r="N88" s="41" t="s">
        <v>78</v>
      </c>
      <c r="O88" s="41" t="s">
        <v>79</v>
      </c>
      <c r="P88" s="106" t="s">
        <v>22</v>
      </c>
      <c r="Q88" s="107"/>
    </row>
    <row r="89" spans="2:17" ht="17.25" thickBot="1">
      <c r="B89" s="104"/>
      <c r="C89" s="108">
        <v>800</v>
      </c>
      <c r="D89" s="142">
        <f>C89*0.01717</f>
        <v>13.736000000000001</v>
      </c>
      <c r="E89" s="117">
        <v>13.8</v>
      </c>
      <c r="F89" s="117"/>
      <c r="G89" s="3">
        <f>MIN(SUM(D89,F89),40)</f>
        <v>13.736000000000001</v>
      </c>
      <c r="H89" s="3">
        <f>MIN(SUM(D89:F93),40)</f>
        <v>27.536000000000001</v>
      </c>
      <c r="I89" s="4">
        <f>MIN(G89+20,40)</f>
        <v>33.736000000000004</v>
      </c>
      <c r="J89" s="4">
        <f>MIN((G89+10),40)</f>
        <v>23.736000000000001</v>
      </c>
      <c r="K89" s="4">
        <f>MIN(SUM(E89,J89),40)</f>
        <v>37.536000000000001</v>
      </c>
      <c r="L89" s="4">
        <f>MIN(J89+20,40)</f>
        <v>40</v>
      </c>
      <c r="M89" s="54">
        <f>MIN(G93,1.18)</f>
        <v>1.061812</v>
      </c>
      <c r="N89" s="54">
        <f>MIN(AVERAGE(G93:L93),1.18)</f>
        <v>1.1322099999999999</v>
      </c>
      <c r="O89" s="54">
        <f>MIN(MAX(G93:L93),1.18)</f>
        <v>1.18</v>
      </c>
      <c r="P89" s="5">
        <f>MIN(G89,40)</f>
        <v>13.736000000000001</v>
      </c>
      <c r="Q89" s="6">
        <f>MIN(MAX(G89:L89),40)</f>
        <v>40</v>
      </c>
    </row>
    <row r="90" spans="2:17">
      <c r="B90" s="104"/>
      <c r="C90" s="109"/>
      <c r="D90" s="143"/>
      <c r="E90" s="118"/>
      <c r="F90" s="118"/>
      <c r="G90" s="15" t="s">
        <v>23</v>
      </c>
      <c r="H90" s="15" t="s">
        <v>24</v>
      </c>
      <c r="I90" s="19"/>
      <c r="J90" s="19" t="s">
        <v>25</v>
      </c>
      <c r="K90" s="19" t="s">
        <v>21</v>
      </c>
      <c r="L90" s="19"/>
      <c r="M90" s="19"/>
      <c r="N90" s="19"/>
      <c r="O90" s="19"/>
      <c r="P90" s="120" t="s">
        <v>26</v>
      </c>
      <c r="Q90" s="121"/>
    </row>
    <row r="91" spans="2:17" ht="17.25" thickBot="1">
      <c r="B91" s="104"/>
      <c r="C91" s="109"/>
      <c r="D91" s="143"/>
      <c r="E91" s="118"/>
      <c r="F91" s="118"/>
      <c r="G91" s="7">
        <f>MIN(SUM(D89,F89))</f>
        <v>13.736000000000001</v>
      </c>
      <c r="H91" s="7">
        <f>MIN(SUM(D89:F93),40)</f>
        <v>27.536000000000001</v>
      </c>
      <c r="I91" s="8"/>
      <c r="J91" s="8">
        <f>MIN((G91+10),40)</f>
        <v>23.736000000000001</v>
      </c>
      <c r="K91" s="8">
        <f>MIN(SUM(E89,J91),40)</f>
        <v>37.536000000000001</v>
      </c>
      <c r="L91" s="8"/>
      <c r="M91" s="8"/>
      <c r="N91" s="8"/>
      <c r="O91" s="8"/>
      <c r="P91" s="9">
        <f>MIN(G91:K91,40)</f>
        <v>13.736000000000001</v>
      </c>
      <c r="Q91" s="10">
        <f>MIN(MAX(G91:K91),40)</f>
        <v>37.536000000000001</v>
      </c>
    </row>
    <row r="92" spans="2:17">
      <c r="B92" s="104"/>
      <c r="C92" s="109"/>
      <c r="D92" s="143"/>
      <c r="E92" s="118"/>
      <c r="F92" s="118"/>
      <c r="G92" s="152" t="s">
        <v>76</v>
      </c>
      <c r="H92" s="153"/>
      <c r="I92" s="153"/>
      <c r="J92" s="153"/>
      <c r="K92" s="153"/>
      <c r="L92" s="154"/>
      <c r="M92" s="15"/>
      <c r="N92" s="21" t="s">
        <v>54</v>
      </c>
      <c r="O92" s="22" t="s">
        <v>55</v>
      </c>
      <c r="P92" s="120" t="s">
        <v>27</v>
      </c>
      <c r="Q92" s="121"/>
    </row>
    <row r="93" spans="2:17" ht="17.25" thickBot="1">
      <c r="B93" s="105"/>
      <c r="C93" s="110"/>
      <c r="D93" s="144"/>
      <c r="E93" s="119"/>
      <c r="F93" s="119"/>
      <c r="G93" s="53">
        <f t="shared" ref="G93:L93" si="0">G89*45%/100+1</f>
        <v>1.061812</v>
      </c>
      <c r="H93" s="53">
        <f t="shared" si="0"/>
        <v>1.123912</v>
      </c>
      <c r="I93" s="53">
        <f t="shared" si="0"/>
        <v>1.1518120000000001</v>
      </c>
      <c r="J93" s="53">
        <f t="shared" si="0"/>
        <v>1.1068119999999999</v>
      </c>
      <c r="K93" s="53">
        <f t="shared" si="0"/>
        <v>1.168912</v>
      </c>
      <c r="L93" s="53">
        <f t="shared" si="0"/>
        <v>1.18</v>
      </c>
      <c r="M93" s="11"/>
      <c r="N93" s="26">
        <f>1/(1-P93/100)</f>
        <v>1.2065637065637065</v>
      </c>
      <c r="O93" s="25">
        <f>1/(1-P93/2/100)</f>
        <v>1.0936132983377078</v>
      </c>
      <c r="P93" s="122">
        <f>C89*0.0214</f>
        <v>17.119999999999997</v>
      </c>
      <c r="Q93" s="123"/>
    </row>
    <row r="94" spans="2:17" ht="17.25" thickBot="1">
      <c r="B94" s="148">
        <f>SUM(C80,C83,C89)</f>
        <v>2200</v>
      </c>
      <c r="C94" s="150"/>
      <c r="D94" s="149" t="s">
        <v>80</v>
      </c>
      <c r="E94" s="149"/>
      <c r="F94" s="151"/>
      <c r="G94" s="151"/>
      <c r="H94" s="151"/>
      <c r="I94" s="151"/>
      <c r="J94" s="151"/>
      <c r="K94" s="151"/>
      <c r="L94" s="151"/>
      <c r="M94" s="151"/>
      <c r="N94" s="151"/>
      <c r="O94" s="149"/>
      <c r="P94" s="149"/>
      <c r="Q94" s="150"/>
    </row>
    <row r="95" spans="2:17">
      <c r="B95" s="58"/>
      <c r="C95" s="59"/>
      <c r="D95" s="59"/>
      <c r="E95" s="59"/>
      <c r="F95" s="155" t="s">
        <v>93</v>
      </c>
      <c r="G95" s="155"/>
      <c r="H95" s="155"/>
      <c r="I95" s="155"/>
      <c r="J95" s="155"/>
      <c r="K95" s="155"/>
      <c r="L95" s="155"/>
      <c r="M95" s="155"/>
      <c r="N95" s="155"/>
      <c r="O95" s="59"/>
      <c r="P95" s="59"/>
      <c r="Q95" s="60"/>
    </row>
    <row r="96" spans="2:17">
      <c r="B96" s="58"/>
      <c r="C96" s="59"/>
      <c r="D96" s="59"/>
      <c r="E96" s="59"/>
      <c r="F96" s="70" t="s">
        <v>91</v>
      </c>
      <c r="G96" s="57">
        <f t="shared" ref="G96:L96" si="1">G89*45%/100</f>
        <v>6.1812000000000006E-2</v>
      </c>
      <c r="H96" s="57">
        <f t="shared" si="1"/>
        <v>0.12391200000000001</v>
      </c>
      <c r="I96" s="57">
        <f t="shared" si="1"/>
        <v>0.15181200000000003</v>
      </c>
      <c r="J96" s="57">
        <f t="shared" si="1"/>
        <v>0.106812</v>
      </c>
      <c r="K96" s="57">
        <f t="shared" si="1"/>
        <v>0.16891200000000001</v>
      </c>
      <c r="L96" s="57">
        <f t="shared" si="1"/>
        <v>0.18</v>
      </c>
      <c r="M96" s="70"/>
      <c r="N96" s="70"/>
      <c r="O96" s="59"/>
      <c r="P96" s="59"/>
      <c r="Q96" s="60"/>
    </row>
    <row r="97" spans="2:18">
      <c r="B97" s="61"/>
      <c r="C97" s="62"/>
      <c r="D97" s="62"/>
      <c r="E97" s="62"/>
      <c r="F97" s="71" t="s">
        <v>81</v>
      </c>
      <c r="G97" s="71">
        <f>PRODUCT(D83,F83,1.15,1.25,I83,1.18,L83,G93,M83)*100</f>
        <v>318.17977415308559</v>
      </c>
      <c r="H97" s="71">
        <f>PRODUCT(D83,F83,1.15,1.25,I83,1.18,L83,H93,M83)*100</f>
        <v>336.78849582406565</v>
      </c>
      <c r="I97" s="71">
        <f>PRODUCT(D83,F83,1.15,1.25,I83,1.18,L83,I93,M83)*100</f>
        <v>345.14893599508565</v>
      </c>
      <c r="J97" s="71">
        <f>PRODUCT(D83,F83,1.15,1.25,I83,1.18,L83,J93,M83)*100</f>
        <v>331.66435507408562</v>
      </c>
      <c r="K97" s="71">
        <f>PRODUCT(D83,F83,1.15,1.25,I83,1.18,L83,K93,M83)*100</f>
        <v>350.27307674506562</v>
      </c>
      <c r="L97" s="71">
        <f>PRODUCT(D83,F83,1.15,1.25,I83,1.18,L83,L93,M83)*100</f>
        <v>353.59567748400002</v>
      </c>
      <c r="M97" s="71" t="s">
        <v>90</v>
      </c>
      <c r="N97" s="71" t="s">
        <v>60</v>
      </c>
      <c r="O97" s="62"/>
      <c r="P97" s="62"/>
      <c r="Q97" s="63"/>
    </row>
    <row r="98" spans="2:18">
      <c r="B98" s="61"/>
      <c r="C98" s="62"/>
      <c r="D98" s="62"/>
      <c r="E98" s="62"/>
      <c r="F98" s="71" t="s">
        <v>82</v>
      </c>
      <c r="G98" s="71">
        <f>G97*O93</f>
        <v>347.96563227590286</v>
      </c>
      <c r="H98" s="71">
        <f>H97*O93</f>
        <v>368.31637776035177</v>
      </c>
      <c r="I98" s="71">
        <f>I97*O93</f>
        <v>377.45946631133603</v>
      </c>
      <c r="J98" s="71">
        <f>J97*O93</f>
        <v>362.71254929361947</v>
      </c>
      <c r="K98" s="71">
        <f>K97*O93</f>
        <v>383.06329477806827</v>
      </c>
      <c r="L98" s="71">
        <f>L97*O93</f>
        <v>386.6969351312336</v>
      </c>
      <c r="M98" s="156">
        <f>AVERAGE(G97:L99)</f>
        <v>373.22257558289726</v>
      </c>
      <c r="N98" s="156">
        <f>AVERAGE(M98,M101)</f>
        <v>390.47905491291101</v>
      </c>
      <c r="O98" s="62"/>
      <c r="P98" s="62"/>
      <c r="Q98" s="63"/>
    </row>
    <row r="99" spans="2:18">
      <c r="B99" s="61"/>
      <c r="C99" s="62"/>
      <c r="D99" s="62"/>
      <c r="E99" s="62"/>
      <c r="F99" s="71" t="s">
        <v>83</v>
      </c>
      <c r="G99" s="71">
        <f>G97*N93</f>
        <v>383.90416765574997</v>
      </c>
      <c r="H99" s="71">
        <f>H97*N93</f>
        <v>406.35677584950002</v>
      </c>
      <c r="I99" s="71">
        <f>I97*N93</f>
        <v>416.44417953075003</v>
      </c>
      <c r="J99" s="71">
        <f>J97*N93</f>
        <v>400.17417359324998</v>
      </c>
      <c r="K99" s="71">
        <f>K97*N93</f>
        <v>422.62678178700003</v>
      </c>
      <c r="L99" s="71">
        <f>L97*N93</f>
        <v>426.63571124999999</v>
      </c>
      <c r="M99" s="156"/>
      <c r="N99" s="156"/>
      <c r="O99" s="62"/>
      <c r="P99" s="62"/>
      <c r="Q99" s="63"/>
    </row>
    <row r="100" spans="2:18">
      <c r="B100" s="61"/>
      <c r="C100" s="62"/>
      <c r="D100" s="62"/>
      <c r="E100" s="62"/>
      <c r="F100" s="71" t="s">
        <v>84</v>
      </c>
      <c r="G100" s="71">
        <f>PRODUCT(D83,F83,1.15,1.25,J83,1.18,L83,M89,G93,M83)*100</f>
        <v>337.84710235303612</v>
      </c>
      <c r="H100" s="71">
        <f>PRODUCT(D83,F83,1.15,1.25,J83,1.18,L83,M89,M83)*100*H93</f>
        <v>357.60606632794276</v>
      </c>
      <c r="I100" s="71">
        <f>PRODUCT(D83,F83,1.15,1.25,J83,1.18,L83,M89,M83)*100*I93</f>
        <v>366.48328202681381</v>
      </c>
      <c r="J100" s="71">
        <f>PRODUCT(D83,F83,1.15,1.25,J83,1.18,L83,M89,M83)*100*J93</f>
        <v>352.16519218992494</v>
      </c>
      <c r="K100" s="71">
        <f>PRODUCT(D83,F83,1.15,1.25,J83,1.18,L83,M89,M83)*100*K93</f>
        <v>371.92415616483157</v>
      </c>
      <c r="L100" s="71">
        <f>PRODUCT(D83,F83,1.15,1.25,J83,1.18,L83,M89,M83)*100*L93</f>
        <v>375.45213350064097</v>
      </c>
      <c r="M100" s="71" t="s">
        <v>59</v>
      </c>
      <c r="N100" s="156"/>
      <c r="O100" s="62"/>
      <c r="P100" s="62"/>
      <c r="Q100" s="63"/>
    </row>
    <row r="101" spans="2:18">
      <c r="B101" s="61"/>
      <c r="C101" s="62"/>
      <c r="D101" s="62"/>
      <c r="E101" s="62"/>
      <c r="F101" s="71" t="s">
        <v>85</v>
      </c>
      <c r="G101" s="71">
        <f>PRODUCT(G100,O93)</f>
        <v>369.47408393814101</v>
      </c>
      <c r="H101" s="71">
        <f>PRODUCT(H100,O93)</f>
        <v>391.08274970247459</v>
      </c>
      <c r="I101" s="71">
        <f>PRODUCT(I100,O93)</f>
        <v>400.79099084297223</v>
      </c>
      <c r="J101" s="71">
        <f>PRODUCT(J100,O93)</f>
        <v>385.13253739055659</v>
      </c>
      <c r="K101" s="71">
        <f>PRODUCT(K100,O93)</f>
        <v>406.74120315489017</v>
      </c>
      <c r="L101" s="71">
        <f>PRODUCT(L100,O93)</f>
        <v>410.59944608556538</v>
      </c>
      <c r="M101" s="156">
        <f>AVERAGE(G100:L102)</f>
        <v>407.7355342429247</v>
      </c>
      <c r="N101" s="71" t="s">
        <v>64</v>
      </c>
      <c r="O101" s="62"/>
      <c r="P101" s="62"/>
      <c r="Q101" s="63"/>
    </row>
    <row r="102" spans="2:18">
      <c r="B102" s="61"/>
      <c r="C102" s="62"/>
      <c r="D102" s="62"/>
      <c r="E102" s="62"/>
      <c r="F102" s="71" t="s">
        <v>86</v>
      </c>
      <c r="G102" s="71">
        <f>PRODUCT(G100,N93)</f>
        <v>407.63405206688719</v>
      </c>
      <c r="H102" s="71">
        <f>PRODUCT(H101,N93)</f>
        <v>471.86625205414401</v>
      </c>
      <c r="I102" s="71">
        <f>PRODUCT(I101,N93)</f>
        <v>483.57986346883712</v>
      </c>
      <c r="J102" s="71">
        <f>PRODUCT(J101,N93)</f>
        <v>464.68694183223522</v>
      </c>
      <c r="K102" s="71">
        <f>PRODUCT(K101,N93)</f>
        <v>490.75917369074585</v>
      </c>
      <c r="L102" s="71">
        <f>PRODUCT(L101,N93)</f>
        <v>495.4143895820045</v>
      </c>
      <c r="M102" s="156"/>
      <c r="N102" s="156">
        <f>AVERAGE(G103:L105)</f>
        <v>386.12040439660575</v>
      </c>
      <c r="O102" s="62"/>
      <c r="P102" s="62"/>
      <c r="Q102" s="63"/>
    </row>
    <row r="103" spans="2:18">
      <c r="B103" s="61"/>
      <c r="C103" s="62"/>
      <c r="D103" s="62"/>
      <c r="E103" s="62"/>
      <c r="F103" s="71" t="s">
        <v>87</v>
      </c>
      <c r="G103" s="71">
        <f>PRODUCT((E83+0.15),F83,(G83+0.25),K83,1.18,L83,G93,M83)*100</f>
        <v>329.17543338565378</v>
      </c>
      <c r="H103" s="71">
        <f>PRODUCT((E83+0.15),F83,(G83+0.25),K83,1.18,L83,H93,M83)*100</f>
        <v>348.42723541204742</v>
      </c>
      <c r="I103" s="71">
        <f>PRODUCT((E83+0.15),F83,(G83+0.25),K83,1.18,L83,I93,M83)*100</f>
        <v>357.07659574274601</v>
      </c>
      <c r="J103" s="71">
        <f>PRODUCT((E83+0.15),F83,(G83+0.25),K83,1.18,L83,J93,M83)*100</f>
        <v>343.12601456419986</v>
      </c>
      <c r="K103" s="71">
        <f>PRODUCT((E83+0.15),F83,(G83+0.25),K83,1.18,L83,K93,M83)*100</f>
        <v>362.37781659059351</v>
      </c>
      <c r="L103" s="71">
        <f>PRODUCT((E83+0.15),F83,(G83+0.25),K83,1.18,L83,L93,M83)*100</f>
        <v>365.81523979298731</v>
      </c>
      <c r="M103" s="156"/>
      <c r="N103" s="156"/>
      <c r="O103" s="62"/>
      <c r="P103" s="62"/>
      <c r="Q103" s="63"/>
    </row>
    <row r="104" spans="2:18">
      <c r="B104" s="61"/>
      <c r="C104" s="62"/>
      <c r="D104" s="62"/>
      <c r="E104" s="62"/>
      <c r="F104" s="71" t="s">
        <v>88</v>
      </c>
      <c r="G104" s="71">
        <f>PRODUCT(G103,O93)</f>
        <v>359.99063143662926</v>
      </c>
      <c r="H104" s="71">
        <f>PRODUCT(H103,O93)</f>
        <v>381.04465814965818</v>
      </c>
      <c r="I104" s="71">
        <f>PRODUCT(I103,O93)</f>
        <v>390.50371362942479</v>
      </c>
      <c r="J104" s="71">
        <f>PRODUCT(J103,O93)</f>
        <v>375.24717253302697</v>
      </c>
      <c r="K104" s="71">
        <f>PRODUCT(K103,O93)</f>
        <v>396.30119924605589</v>
      </c>
      <c r="L104" s="71">
        <f>PRODUCT(L103,O93)</f>
        <v>400.06041097220833</v>
      </c>
      <c r="M104" s="156"/>
      <c r="N104" s="156"/>
      <c r="O104" s="62"/>
      <c r="P104" s="62"/>
      <c r="Q104" s="63"/>
    </row>
    <row r="105" spans="2:18" ht="17.25" thickBot="1">
      <c r="B105" s="64"/>
      <c r="C105" s="65"/>
      <c r="D105" s="65"/>
      <c r="E105" s="65"/>
      <c r="F105" s="72" t="s">
        <v>89</v>
      </c>
      <c r="G105" s="72">
        <f>PRODUCT(G103,N93)</f>
        <v>397.17113101550888</v>
      </c>
      <c r="H105" s="72">
        <f>PRODUCT(H103,N93)</f>
        <v>420.39965662650508</v>
      </c>
      <c r="I105" s="72">
        <f>PRODUCT(I103,N93)</f>
        <v>430.83566088651781</v>
      </c>
      <c r="J105" s="72">
        <f>PRODUCT(J103,N93)</f>
        <v>414.00339595101332</v>
      </c>
      <c r="K105" s="72">
        <f>PRODUCT(K103,N93)</f>
        <v>437.23192156200952</v>
      </c>
      <c r="L105" s="72">
        <f>PRODUCT(L103,N93)</f>
        <v>441.37939164211787</v>
      </c>
      <c r="M105" s="157"/>
      <c r="N105" s="157"/>
      <c r="O105" s="65"/>
      <c r="P105" s="65"/>
      <c r="Q105" s="67"/>
    </row>
    <row r="107" spans="2:18" ht="17.25" thickBot="1"/>
    <row r="108" spans="2:18" ht="17.25" thickBot="1">
      <c r="B108" s="111" t="s">
        <v>99</v>
      </c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2"/>
    </row>
    <row r="109" spans="2:18">
      <c r="B109" s="91" t="s">
        <v>0</v>
      </c>
      <c r="C109" s="16" t="s">
        <v>1</v>
      </c>
      <c r="D109" s="12" t="s">
        <v>2</v>
      </c>
      <c r="E109" s="13" t="s">
        <v>3</v>
      </c>
      <c r="F109" s="13" t="s">
        <v>4</v>
      </c>
      <c r="G109" s="13" t="s">
        <v>5</v>
      </c>
      <c r="H109" s="13" t="s">
        <v>48</v>
      </c>
      <c r="I109" s="14" t="s">
        <v>44</v>
      </c>
      <c r="J109" s="14" t="s">
        <v>98</v>
      </c>
      <c r="K109" s="13"/>
      <c r="L109" s="15"/>
      <c r="M109" s="40"/>
      <c r="N109" s="40"/>
      <c r="O109" s="14"/>
      <c r="P109" s="17" t="s">
        <v>42</v>
      </c>
      <c r="Q109" s="18" t="s">
        <v>43</v>
      </c>
      <c r="R109" s="18" t="s">
        <v>6</v>
      </c>
    </row>
    <row r="110" spans="2:18">
      <c r="B110" s="92"/>
      <c r="C110" s="124">
        <v>1100</v>
      </c>
      <c r="D110" s="126">
        <f>C110*0.03578</f>
        <v>39.357999999999997</v>
      </c>
      <c r="E110" s="82">
        <v>10</v>
      </c>
      <c r="F110" s="82">
        <v>7</v>
      </c>
      <c r="G110" s="82">
        <v>25</v>
      </c>
      <c r="H110" s="82">
        <v>10</v>
      </c>
      <c r="I110" s="82">
        <v>20</v>
      </c>
      <c r="J110" s="82">
        <v>10</v>
      </c>
      <c r="K110" s="82"/>
      <c r="L110" s="128"/>
      <c r="M110" s="32"/>
      <c r="N110" s="32"/>
      <c r="O110" s="82"/>
      <c r="P110" s="89">
        <f>SUM(D110,E110,F110,G110,H110,J110)</f>
        <v>101.358</v>
      </c>
      <c r="Q110" s="94">
        <f>SUM(D110,E110,F110,G110,I110,J110)</f>
        <v>111.358</v>
      </c>
      <c r="R110" s="94">
        <f>SUM(D110:F111,J110)</f>
        <v>66.358000000000004</v>
      </c>
    </row>
    <row r="111" spans="2:18" ht="17.25" thickBot="1">
      <c r="B111" s="93"/>
      <c r="C111" s="125"/>
      <c r="D111" s="127"/>
      <c r="E111" s="83"/>
      <c r="F111" s="83"/>
      <c r="G111" s="83"/>
      <c r="H111" s="83"/>
      <c r="I111" s="83"/>
      <c r="J111" s="83"/>
      <c r="K111" s="83"/>
      <c r="L111" s="129"/>
      <c r="M111" s="47"/>
      <c r="N111" s="47"/>
      <c r="O111" s="83"/>
      <c r="P111" s="90"/>
      <c r="Q111" s="95"/>
      <c r="R111" s="95"/>
    </row>
    <row r="112" spans="2:18">
      <c r="B112" s="96" t="s">
        <v>7</v>
      </c>
      <c r="C112" s="16" t="s">
        <v>8</v>
      </c>
      <c r="D112" s="51" t="s">
        <v>68</v>
      </c>
      <c r="E112" s="42" t="s">
        <v>9</v>
      </c>
      <c r="F112" s="42" t="s">
        <v>10</v>
      </c>
      <c r="G112" s="42" t="s">
        <v>11</v>
      </c>
      <c r="H112" s="42" t="s">
        <v>66</v>
      </c>
      <c r="I112" s="42" t="s">
        <v>50</v>
      </c>
      <c r="J112" s="42" t="s">
        <v>49</v>
      </c>
      <c r="K112" s="42" t="s">
        <v>51</v>
      </c>
      <c r="L112" s="42" t="s">
        <v>67</v>
      </c>
      <c r="M112" s="42" t="s">
        <v>92</v>
      </c>
      <c r="N112" s="42" t="s">
        <v>98</v>
      </c>
      <c r="O112" s="42" t="s">
        <v>47</v>
      </c>
      <c r="P112" s="42" t="s">
        <v>52</v>
      </c>
      <c r="Q112" s="43" t="s">
        <v>53</v>
      </c>
      <c r="R112" s="20" t="s">
        <v>70</v>
      </c>
    </row>
    <row r="113" spans="2:18">
      <c r="B113" s="97"/>
      <c r="C113" s="99">
        <v>800</v>
      </c>
      <c r="D113" s="101">
        <f>C113*0.02145/100+1</f>
        <v>1.1716</v>
      </c>
      <c r="E113" s="84">
        <f>C113*0.03576/100+1</f>
        <v>1.2860800000000001</v>
      </c>
      <c r="F113" s="84">
        <f>20/100+1</f>
        <v>1.2</v>
      </c>
      <c r="G113" s="84">
        <f>10/100+1</f>
        <v>1.1000000000000001</v>
      </c>
      <c r="H113" s="84">
        <f>1.15*1.18*1.25</f>
        <v>1.6962499999999996</v>
      </c>
      <c r="I113" s="84">
        <f>MIN(P110,100)*0.225/100+1</f>
        <v>1.2250000000000001</v>
      </c>
      <c r="J113" s="84">
        <f>MIN(Q110,100)*0.225/100+1</f>
        <v>1.2250000000000001</v>
      </c>
      <c r="K113" s="84">
        <f>MIN(R110,100)*0.225/100+1</f>
        <v>1.1493055000000001</v>
      </c>
      <c r="L113" s="84">
        <f>16/100+1</f>
        <v>1.1599999999999999</v>
      </c>
      <c r="M113" s="84">
        <f>16/100+1</f>
        <v>1.1599999999999999</v>
      </c>
      <c r="N113" s="84">
        <f>3.6/100+1</f>
        <v>1.036</v>
      </c>
      <c r="O113" s="46">
        <f>PRODUCT(D113,F113,1.15,1.25,I113,1.18,L113,M113,N113)*100</f>
        <v>407.25112462601265</v>
      </c>
      <c r="P113" s="46">
        <f>PRODUCT(D113,F113,1.15,1.25,I113,1.18,L113,P123,M113,N113)*100</f>
        <v>420.75743839860797</v>
      </c>
      <c r="Q113" s="49">
        <f>PRODUCT(D113,F113,1.15,1.25,I113,1.18,L113,O123,M113,N113)*100</f>
        <v>435.19034475957756</v>
      </c>
      <c r="R113" s="86">
        <f>AVERAGE(O113:Q113,O115:Q115)</f>
        <v>421.06630259473269</v>
      </c>
    </row>
    <row r="114" spans="2:18">
      <c r="B114" s="97"/>
      <c r="C114" s="99"/>
      <c r="D114" s="101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15" t="s">
        <v>56</v>
      </c>
      <c r="P114" s="15" t="s">
        <v>57</v>
      </c>
      <c r="Q114" s="44" t="s">
        <v>58</v>
      </c>
      <c r="R114" s="87"/>
    </row>
    <row r="115" spans="2:18">
      <c r="B115" s="97"/>
      <c r="C115" s="99"/>
      <c r="D115" s="101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46">
        <f>PRODUCT(D113,F113,1.15,1.25,J113,1.18,L113,M113,N113)*100</f>
        <v>407.25112462601265</v>
      </c>
      <c r="P115" s="46">
        <f>PRODUCT(D113,F113,1.15,1.25,J113,1.18,L113,P123,M113,N113)*100</f>
        <v>420.75743839860797</v>
      </c>
      <c r="Q115" s="49">
        <f>PRODUCT(D113,F113,1.15,1.25,J113,1.18,L113,O123,M113,N113)*100</f>
        <v>435.19034475957756</v>
      </c>
      <c r="R115" s="45" t="s">
        <v>65</v>
      </c>
    </row>
    <row r="116" spans="2:18">
      <c r="B116" s="97"/>
      <c r="C116" s="99"/>
      <c r="D116" s="101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15" t="s">
        <v>61</v>
      </c>
      <c r="P116" s="15" t="s">
        <v>62</v>
      </c>
      <c r="Q116" s="44" t="s">
        <v>63</v>
      </c>
      <c r="R116" s="86">
        <f>AVERAGE(O117:Q117)</f>
        <v>454.75247262297108</v>
      </c>
    </row>
    <row r="117" spans="2:18" ht="17.25" thickBot="1">
      <c r="B117" s="98"/>
      <c r="C117" s="100"/>
      <c r="D117" s="102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27">
        <f>PRODUCT((E113+0.15),F113,(G113+0.25),K113,1.18,L113,M113,N113)*100</f>
        <v>439.83205200919286</v>
      </c>
      <c r="P117" s="27">
        <f>PRODUCT((E113+0.15),F113,(G113+0.25),K113,1.18,L113,P123,M113,N113)*100</f>
        <v>454.41889865605214</v>
      </c>
      <c r="Q117" s="50">
        <f>PRODUCT((E113+0.15),F113,(G113+0.25),K113,1.18,L113,O123,M113,N113)*100</f>
        <v>470.00646720366836</v>
      </c>
      <c r="R117" s="88"/>
    </row>
    <row r="118" spans="2:18">
      <c r="B118" s="103" t="s">
        <v>13</v>
      </c>
      <c r="C118" s="48" t="s">
        <v>14</v>
      </c>
      <c r="D118" s="39" t="s">
        <v>15</v>
      </c>
      <c r="E118" s="40" t="s">
        <v>16</v>
      </c>
      <c r="F118" s="40"/>
      <c r="G118" s="40" t="s">
        <v>18</v>
      </c>
      <c r="H118" s="40" t="s">
        <v>19</v>
      </c>
      <c r="I118" s="41" t="s">
        <v>20</v>
      </c>
      <c r="J118" s="41" t="s">
        <v>21</v>
      </c>
      <c r="K118" s="41"/>
      <c r="L118" s="41"/>
      <c r="M118" s="41"/>
      <c r="N118" s="41"/>
      <c r="O118" s="41"/>
      <c r="P118" s="41"/>
      <c r="Q118" s="106" t="s">
        <v>22</v>
      </c>
      <c r="R118" s="107"/>
    </row>
    <row r="119" spans="2:18" ht="17.25" thickBot="1">
      <c r="B119" s="104"/>
      <c r="C119" s="108">
        <v>300</v>
      </c>
      <c r="D119" s="142">
        <f>C119*0.01717</f>
        <v>5.1510000000000007</v>
      </c>
      <c r="E119" s="117">
        <v>13.8</v>
      </c>
      <c r="F119" s="117"/>
      <c r="G119" s="3">
        <f>MIN(SUM(D119,F119),40)</f>
        <v>5.1510000000000007</v>
      </c>
      <c r="H119" s="3">
        <f>MIN(SUM(D119:F123),40)</f>
        <v>18.951000000000001</v>
      </c>
      <c r="I119" s="4">
        <f>MIN((G119+10),40)</f>
        <v>15.151</v>
      </c>
      <c r="J119" s="4">
        <f>MIN(SUM(E119,I119),40)</f>
        <v>28.951000000000001</v>
      </c>
      <c r="K119" s="4"/>
      <c r="L119" s="4"/>
      <c r="M119" s="4"/>
      <c r="N119" s="4"/>
      <c r="O119" s="4"/>
      <c r="P119" s="4"/>
      <c r="Q119" s="5">
        <f>MIN(G119:J119,40)</f>
        <v>5.1510000000000007</v>
      </c>
      <c r="R119" s="6">
        <f>MIN(MAX(G119:J119),40)</f>
        <v>28.951000000000001</v>
      </c>
    </row>
    <row r="120" spans="2:18">
      <c r="B120" s="104"/>
      <c r="C120" s="109"/>
      <c r="D120" s="143"/>
      <c r="E120" s="118"/>
      <c r="F120" s="118"/>
      <c r="G120" s="15" t="s">
        <v>23</v>
      </c>
      <c r="H120" s="15" t="s">
        <v>24</v>
      </c>
      <c r="I120" s="19" t="s">
        <v>25</v>
      </c>
      <c r="J120" s="19" t="s">
        <v>21</v>
      </c>
      <c r="K120" s="19"/>
      <c r="L120" s="19"/>
      <c r="M120" s="19"/>
      <c r="N120" s="19"/>
      <c r="O120" s="19"/>
      <c r="P120" s="19"/>
      <c r="Q120" s="120" t="s">
        <v>26</v>
      </c>
      <c r="R120" s="121"/>
    </row>
    <row r="121" spans="2:18" ht="17.25" thickBot="1">
      <c r="B121" s="104"/>
      <c r="C121" s="109"/>
      <c r="D121" s="143"/>
      <c r="E121" s="118"/>
      <c r="F121" s="118"/>
      <c r="G121" s="7">
        <f>MIN(SUM(D119,F119))</f>
        <v>5.1510000000000007</v>
      </c>
      <c r="H121" s="7">
        <f>MIN(SUM(D119:F123),40)</f>
        <v>18.951000000000001</v>
      </c>
      <c r="I121" s="8">
        <f>MIN((G121+10),40)</f>
        <v>15.151</v>
      </c>
      <c r="J121" s="8">
        <f>MIN(SUM(E119,I121),40)</f>
        <v>28.951000000000001</v>
      </c>
      <c r="K121" s="8"/>
      <c r="L121" s="8"/>
      <c r="M121" s="8"/>
      <c r="N121" s="8"/>
      <c r="O121" s="8"/>
      <c r="P121" s="8"/>
      <c r="Q121" s="9">
        <f>MIN(G121:J121,40)</f>
        <v>5.1510000000000007</v>
      </c>
      <c r="R121" s="10">
        <f>MIN(MAX(G121:J121),40)</f>
        <v>28.951000000000001</v>
      </c>
    </row>
    <row r="122" spans="2:18">
      <c r="B122" s="104"/>
      <c r="C122" s="109"/>
      <c r="D122" s="143"/>
      <c r="E122" s="118"/>
      <c r="F122" s="118"/>
      <c r="G122" s="15"/>
      <c r="H122" s="15"/>
      <c r="I122" s="15"/>
      <c r="J122" s="15"/>
      <c r="K122" s="15"/>
      <c r="L122" s="15"/>
      <c r="M122" s="15"/>
      <c r="N122" s="68"/>
      <c r="O122" s="21" t="s">
        <v>54</v>
      </c>
      <c r="P122" s="22" t="s">
        <v>55</v>
      </c>
      <c r="Q122" s="120" t="s">
        <v>27</v>
      </c>
      <c r="R122" s="121"/>
    </row>
    <row r="123" spans="2:18" ht="17.25" thickBot="1">
      <c r="B123" s="105"/>
      <c r="C123" s="110"/>
      <c r="D123" s="144"/>
      <c r="E123" s="119"/>
      <c r="F123" s="119"/>
      <c r="G123" s="11"/>
      <c r="H123" s="11"/>
      <c r="I123" s="11"/>
      <c r="J123" s="11"/>
      <c r="K123" s="11"/>
      <c r="L123" s="11"/>
      <c r="M123" s="11"/>
      <c r="N123" s="69"/>
      <c r="O123" s="26">
        <f>1/(1-Q123/100)</f>
        <v>1.0686044026501389</v>
      </c>
      <c r="P123" s="25">
        <f>1/(1-Q123/2/100)</f>
        <v>1.0331645831180907</v>
      </c>
      <c r="Q123" s="122">
        <f>C119*0.0214+G123</f>
        <v>6.42</v>
      </c>
      <c r="R123" s="123"/>
    </row>
    <row r="124" spans="2:18" ht="17.25" thickBot="1">
      <c r="B124" s="111">
        <f>SUM(C110,C113,C119)</f>
        <v>2200</v>
      </c>
      <c r="C124" s="112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2"/>
    </row>
    <row r="126" spans="2:18" ht="17.25" thickBot="1"/>
    <row r="127" spans="2:18" ht="17.25" thickBot="1">
      <c r="B127" s="114" t="s">
        <v>100</v>
      </c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6"/>
    </row>
    <row r="128" spans="2:18">
      <c r="B128" s="91" t="s">
        <v>0</v>
      </c>
      <c r="C128" s="16" t="s">
        <v>1</v>
      </c>
      <c r="D128" s="12" t="s">
        <v>2</v>
      </c>
      <c r="E128" s="13" t="s">
        <v>3</v>
      </c>
      <c r="F128" s="13" t="s">
        <v>4</v>
      </c>
      <c r="G128" s="13" t="s">
        <v>30</v>
      </c>
      <c r="H128" s="13" t="s">
        <v>48</v>
      </c>
      <c r="I128" s="14" t="s">
        <v>44</v>
      </c>
      <c r="J128" s="14" t="s">
        <v>72</v>
      </c>
      <c r="K128" s="13" t="s">
        <v>45</v>
      </c>
      <c r="L128" s="15"/>
      <c r="M128" s="40"/>
      <c r="N128" s="40"/>
      <c r="O128" s="14"/>
      <c r="P128" s="17" t="s">
        <v>42</v>
      </c>
      <c r="Q128" s="18" t="s">
        <v>43</v>
      </c>
      <c r="R128" s="18" t="s">
        <v>6</v>
      </c>
    </row>
    <row r="129" spans="2:18">
      <c r="B129" s="92"/>
      <c r="C129" s="124">
        <v>600</v>
      </c>
      <c r="D129" s="126">
        <f>C129*0.03578</f>
        <v>21.468</v>
      </c>
      <c r="E129" s="82">
        <v>10</v>
      </c>
      <c r="F129" s="82">
        <v>7</v>
      </c>
      <c r="G129" s="82">
        <v>15</v>
      </c>
      <c r="H129" s="82">
        <v>10</v>
      </c>
      <c r="I129" s="82">
        <v>20</v>
      </c>
      <c r="J129" s="82">
        <v>28</v>
      </c>
      <c r="K129" s="82">
        <v>10</v>
      </c>
      <c r="L129" s="128"/>
      <c r="M129" s="32"/>
      <c r="N129" s="32"/>
      <c r="O129" s="82"/>
      <c r="P129" s="89">
        <f>SUM(D129,E129,F129,G129,H129,J129,K129)</f>
        <v>101.468</v>
      </c>
      <c r="Q129" s="94">
        <f>SUM(D129,E129,F129,G129,I129,J129,K129)</f>
        <v>111.468</v>
      </c>
      <c r="R129" s="94">
        <f>SUM(D129:F130,J129,K129)</f>
        <v>76.468000000000004</v>
      </c>
    </row>
    <row r="130" spans="2:18" ht="17.25" thickBot="1">
      <c r="B130" s="93"/>
      <c r="C130" s="125"/>
      <c r="D130" s="127"/>
      <c r="E130" s="83"/>
      <c r="F130" s="83"/>
      <c r="G130" s="83"/>
      <c r="H130" s="83"/>
      <c r="I130" s="83"/>
      <c r="J130" s="83"/>
      <c r="K130" s="83"/>
      <c r="L130" s="129"/>
      <c r="M130" s="47"/>
      <c r="N130" s="47"/>
      <c r="O130" s="83"/>
      <c r="P130" s="90"/>
      <c r="Q130" s="95"/>
      <c r="R130" s="95"/>
    </row>
    <row r="131" spans="2:18">
      <c r="B131" s="96" t="s">
        <v>7</v>
      </c>
      <c r="C131" s="16" t="s">
        <v>8</v>
      </c>
      <c r="D131" s="51" t="s">
        <v>68</v>
      </c>
      <c r="E131" s="42" t="s">
        <v>9</v>
      </c>
      <c r="F131" s="42" t="s">
        <v>10</v>
      </c>
      <c r="G131" s="42" t="s">
        <v>11</v>
      </c>
      <c r="H131" s="42" t="s">
        <v>72</v>
      </c>
      <c r="I131" s="42" t="s">
        <v>50</v>
      </c>
      <c r="J131" s="42" t="s">
        <v>49</v>
      </c>
      <c r="K131" s="42" t="s">
        <v>51</v>
      </c>
      <c r="L131" s="42" t="s">
        <v>67</v>
      </c>
      <c r="M131" s="42" t="s">
        <v>94</v>
      </c>
      <c r="N131" s="42" t="s">
        <v>45</v>
      </c>
      <c r="O131" s="42" t="s">
        <v>47</v>
      </c>
      <c r="P131" s="42" t="s">
        <v>52</v>
      </c>
      <c r="Q131" s="43" t="s">
        <v>53</v>
      </c>
      <c r="R131" s="20" t="s">
        <v>70</v>
      </c>
    </row>
    <row r="132" spans="2:18">
      <c r="B132" s="97"/>
      <c r="C132" s="99">
        <v>1100</v>
      </c>
      <c r="D132" s="101">
        <f>C132*0.02145/100+1</f>
        <v>1.2359499999999999</v>
      </c>
      <c r="E132" s="84">
        <f>C132*0.03576/100+1</f>
        <v>1.3933599999999999</v>
      </c>
      <c r="F132" s="84">
        <f>20/100+1</f>
        <v>1.2</v>
      </c>
      <c r="G132" s="84">
        <f>10/100+1</f>
        <v>1.1000000000000001</v>
      </c>
      <c r="H132" s="145">
        <f>1.35</f>
        <v>1.35</v>
      </c>
      <c r="I132" s="84">
        <f>MIN(P129,100)*0.225/100+1</f>
        <v>1.2250000000000001</v>
      </c>
      <c r="J132" s="84">
        <f>MIN(Q129,100)*0.225/100+1</f>
        <v>1.2250000000000001</v>
      </c>
      <c r="K132" s="84">
        <f>MIN(R129,100)*0.225/100+1</f>
        <v>1.172053</v>
      </c>
      <c r="L132" s="84">
        <f>16/100+1</f>
        <v>1.1599999999999999</v>
      </c>
      <c r="M132" s="84">
        <f>16/100+1</f>
        <v>1.1599999999999999</v>
      </c>
      <c r="N132" s="84">
        <f>3.6/100+1</f>
        <v>1.036</v>
      </c>
      <c r="O132" s="46">
        <f>PRODUCT(D132,F132,H132,I132,L132,M132,N132)*100</f>
        <v>341.92254624494399</v>
      </c>
      <c r="P132" s="46">
        <f>PRODUCT(D132,F132,H132,I132,L132,M132,P142,N132)*100</f>
        <v>361.2493885313724</v>
      </c>
      <c r="Q132" s="49">
        <f>PRODUCT(D132,F132,H132,I132,L132,M132,O142,N132)*100</f>
        <v>382.89198907608505</v>
      </c>
      <c r="R132" s="86">
        <f>AVERAGE(O132:Q132,O134:Q134)</f>
        <v>362.02130795080052</v>
      </c>
    </row>
    <row r="133" spans="2:18">
      <c r="B133" s="97"/>
      <c r="C133" s="99"/>
      <c r="D133" s="101"/>
      <c r="E133" s="84"/>
      <c r="F133" s="84"/>
      <c r="G133" s="84"/>
      <c r="H133" s="146"/>
      <c r="I133" s="84"/>
      <c r="J133" s="84"/>
      <c r="K133" s="84"/>
      <c r="L133" s="84"/>
      <c r="M133" s="84"/>
      <c r="N133" s="84"/>
      <c r="O133" s="15" t="s">
        <v>56</v>
      </c>
      <c r="P133" s="15" t="s">
        <v>57</v>
      </c>
      <c r="Q133" s="44" t="s">
        <v>58</v>
      </c>
      <c r="R133" s="87"/>
    </row>
    <row r="134" spans="2:18">
      <c r="B134" s="97"/>
      <c r="C134" s="99"/>
      <c r="D134" s="101"/>
      <c r="E134" s="84"/>
      <c r="F134" s="84"/>
      <c r="G134" s="84"/>
      <c r="H134" s="146"/>
      <c r="I134" s="84"/>
      <c r="J134" s="84"/>
      <c r="K134" s="84"/>
      <c r="L134" s="84"/>
      <c r="M134" s="84"/>
      <c r="N134" s="84"/>
      <c r="O134" s="46">
        <f>PRODUCT(D132,F132,H132,J132,L132,M132,N132)*100</f>
        <v>341.92254624494399</v>
      </c>
      <c r="P134" s="46">
        <f>PRODUCT(D132,F132,H132,J132,L132,M132,P142,N132)*100</f>
        <v>361.2493885313724</v>
      </c>
      <c r="Q134" s="49">
        <f>PRODUCT(D132,F132,H132,J132,L132,M132,O142,N132)*100</f>
        <v>382.89198907608505</v>
      </c>
      <c r="R134" s="45" t="s">
        <v>65</v>
      </c>
    </row>
    <row r="135" spans="2:18">
      <c r="B135" s="97"/>
      <c r="C135" s="99"/>
      <c r="D135" s="101"/>
      <c r="E135" s="84"/>
      <c r="F135" s="84"/>
      <c r="G135" s="84"/>
      <c r="H135" s="146"/>
      <c r="I135" s="84"/>
      <c r="J135" s="84"/>
      <c r="K135" s="84"/>
      <c r="L135" s="84"/>
      <c r="M135" s="84"/>
      <c r="N135" s="84"/>
      <c r="O135" s="15" t="s">
        <v>61</v>
      </c>
      <c r="P135" s="15" t="s">
        <v>62</v>
      </c>
      <c r="Q135" s="44" t="s">
        <v>63</v>
      </c>
      <c r="R135" s="86">
        <f>AVERAGE(O136:Q136)</f>
        <v>419.41307568143674</v>
      </c>
    </row>
    <row r="136" spans="2:18" ht="17.25" thickBot="1">
      <c r="B136" s="98"/>
      <c r="C136" s="100"/>
      <c r="D136" s="102"/>
      <c r="E136" s="85"/>
      <c r="F136" s="85"/>
      <c r="G136" s="85"/>
      <c r="H136" s="147"/>
      <c r="I136" s="85"/>
      <c r="J136" s="85"/>
      <c r="K136" s="85"/>
      <c r="L136" s="85"/>
      <c r="M136" s="85"/>
      <c r="N136" s="85"/>
      <c r="O136" s="27">
        <f>PRODUCT(E132,F132,(G132+0.35),K132,L132,M132,N132)*100</f>
        <v>396.12802786986657</v>
      </c>
      <c r="P136" s="27">
        <f>PRODUCT(E132,F132,(G132+0.35),K132,L132,M132,P142,N132)*100</f>
        <v>418.51878274682156</v>
      </c>
      <c r="Q136" s="50">
        <f>PRODUCT(E132,F132,(G132+0.35),K132,L132,M132,O142,N132)*100</f>
        <v>443.5924164276222</v>
      </c>
      <c r="R136" s="88"/>
    </row>
    <row r="137" spans="2:18">
      <c r="B137" s="103" t="s">
        <v>13</v>
      </c>
      <c r="C137" s="48" t="s">
        <v>14</v>
      </c>
      <c r="D137" s="39" t="s">
        <v>15</v>
      </c>
      <c r="E137" s="40" t="s">
        <v>16</v>
      </c>
      <c r="F137" s="40"/>
      <c r="G137" s="40" t="s">
        <v>18</v>
      </c>
      <c r="H137" s="40" t="s">
        <v>19</v>
      </c>
      <c r="I137" s="41" t="s">
        <v>20</v>
      </c>
      <c r="J137" s="41" t="s">
        <v>21</v>
      </c>
      <c r="K137" s="41"/>
      <c r="L137" s="41"/>
      <c r="M137" s="41"/>
      <c r="N137" s="41"/>
      <c r="O137" s="41"/>
      <c r="P137" s="41"/>
      <c r="Q137" s="106" t="s">
        <v>22</v>
      </c>
      <c r="R137" s="107"/>
    </row>
    <row r="138" spans="2:18" ht="17.25" thickBot="1">
      <c r="B138" s="104"/>
      <c r="C138" s="108">
        <v>500</v>
      </c>
      <c r="D138" s="142">
        <f>C138*0.01717</f>
        <v>8.5850000000000009</v>
      </c>
      <c r="E138" s="117">
        <v>13.8</v>
      </c>
      <c r="F138" s="117"/>
      <c r="G138" s="3">
        <f>MIN(SUM(D138,F138),40)</f>
        <v>8.5850000000000009</v>
      </c>
      <c r="H138" s="3">
        <f>MIN(SUM(D138:F142),40)</f>
        <v>22.385000000000002</v>
      </c>
      <c r="I138" s="4">
        <f>MIN((G138+10),40)</f>
        <v>18.585000000000001</v>
      </c>
      <c r="J138" s="4">
        <f>MIN(SUM(E138,I138),40)</f>
        <v>32.385000000000005</v>
      </c>
      <c r="K138" s="4"/>
      <c r="L138" s="4"/>
      <c r="M138" s="4"/>
      <c r="N138" s="4"/>
      <c r="O138" s="4"/>
      <c r="P138" s="4"/>
      <c r="Q138" s="5">
        <f>MIN(G138:J138,40)</f>
        <v>8.5850000000000009</v>
      </c>
      <c r="R138" s="6">
        <f>MIN(MAX(G138:J138),40)</f>
        <v>32.385000000000005</v>
      </c>
    </row>
    <row r="139" spans="2:18">
      <c r="B139" s="104"/>
      <c r="C139" s="109"/>
      <c r="D139" s="143"/>
      <c r="E139" s="118"/>
      <c r="F139" s="118"/>
      <c r="G139" s="15" t="s">
        <v>23</v>
      </c>
      <c r="H139" s="15" t="s">
        <v>24</v>
      </c>
      <c r="I139" s="19" t="s">
        <v>25</v>
      </c>
      <c r="J139" s="19" t="s">
        <v>21</v>
      </c>
      <c r="K139" s="19"/>
      <c r="L139" s="19"/>
      <c r="M139" s="19"/>
      <c r="N139" s="19"/>
      <c r="O139" s="19"/>
      <c r="P139" s="19"/>
      <c r="Q139" s="120" t="s">
        <v>26</v>
      </c>
      <c r="R139" s="121"/>
    </row>
    <row r="140" spans="2:18" ht="17.25" thickBot="1">
      <c r="B140" s="104"/>
      <c r="C140" s="109"/>
      <c r="D140" s="143"/>
      <c r="E140" s="118"/>
      <c r="F140" s="118"/>
      <c r="G140" s="7">
        <f>MIN(SUM(D138,F138))</f>
        <v>8.5850000000000009</v>
      </c>
      <c r="H140" s="7">
        <f>MIN(SUM(D138:F142),40)</f>
        <v>22.385000000000002</v>
      </c>
      <c r="I140" s="8">
        <f>MIN((G140+10),40)</f>
        <v>18.585000000000001</v>
      </c>
      <c r="J140" s="8">
        <f>MIN(SUM(E138,I140),40)</f>
        <v>32.385000000000005</v>
      </c>
      <c r="K140" s="8"/>
      <c r="L140" s="8"/>
      <c r="M140" s="8"/>
      <c r="N140" s="8"/>
      <c r="O140" s="8"/>
      <c r="P140" s="8"/>
      <c r="Q140" s="9">
        <f>MIN(G140:J140,40)</f>
        <v>8.5850000000000009</v>
      </c>
      <c r="R140" s="10">
        <f>MIN(MAX(G140:J140),40)</f>
        <v>32.385000000000005</v>
      </c>
    </row>
    <row r="141" spans="2:18">
      <c r="B141" s="104"/>
      <c r="C141" s="109"/>
      <c r="D141" s="143"/>
      <c r="E141" s="118"/>
      <c r="F141" s="118"/>
      <c r="G141" s="15"/>
      <c r="H141" s="15"/>
      <c r="I141" s="15"/>
      <c r="J141" s="15"/>
      <c r="K141" s="15"/>
      <c r="L141" s="15"/>
      <c r="M141" s="15"/>
      <c r="N141" s="68"/>
      <c r="O141" s="21" t="s">
        <v>54</v>
      </c>
      <c r="P141" s="22" t="s">
        <v>55</v>
      </c>
      <c r="Q141" s="120" t="s">
        <v>27</v>
      </c>
      <c r="R141" s="121"/>
    </row>
    <row r="142" spans="2:18" ht="17.25" thickBot="1">
      <c r="B142" s="105"/>
      <c r="C142" s="110"/>
      <c r="D142" s="144"/>
      <c r="E142" s="119"/>
      <c r="F142" s="119"/>
      <c r="G142" s="11"/>
      <c r="H142" s="11"/>
      <c r="I142" s="11"/>
      <c r="J142" s="11"/>
      <c r="K142" s="11"/>
      <c r="L142" s="11"/>
      <c r="M142" s="11"/>
      <c r="N142" s="69"/>
      <c r="O142" s="26">
        <f>1/(1-Q142/100)</f>
        <v>1.1198208286674132</v>
      </c>
      <c r="P142" s="25">
        <f>1/(1-Q142/2/100)</f>
        <v>1.0565240359218173</v>
      </c>
      <c r="Q142" s="122">
        <f>C138*0.0214</f>
        <v>10.7</v>
      </c>
      <c r="R142" s="123"/>
    </row>
    <row r="143" spans="2:18" ht="17.25" thickBot="1">
      <c r="B143" s="114">
        <f>SUM(C129,C132,C138)</f>
        <v>2200</v>
      </c>
      <c r="C143" s="116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6"/>
    </row>
  </sheetData>
  <mergeCells count="296">
    <mergeCell ref="Q142:R142"/>
    <mergeCell ref="B143:C143"/>
    <mergeCell ref="D143:R143"/>
    <mergeCell ref="B127:R127"/>
    <mergeCell ref="B128:B130"/>
    <mergeCell ref="C129:C130"/>
    <mergeCell ref="D129:D130"/>
    <mergeCell ref="E129:E130"/>
    <mergeCell ref="F129:F130"/>
    <mergeCell ref="G129:G130"/>
    <mergeCell ref="R132:R133"/>
    <mergeCell ref="R135:R136"/>
    <mergeCell ref="B137:B142"/>
    <mergeCell ref="Q137:R137"/>
    <mergeCell ref="C138:C142"/>
    <mergeCell ref="D138:D142"/>
    <mergeCell ref="E138:E142"/>
    <mergeCell ref="F138:F142"/>
    <mergeCell ref="Q139:R139"/>
    <mergeCell ref="Q141:R141"/>
    <mergeCell ref="I132:I136"/>
    <mergeCell ref="J132:J136"/>
    <mergeCell ref="K132:K136"/>
    <mergeCell ref="L132:L136"/>
    <mergeCell ref="M132:M136"/>
    <mergeCell ref="N132:N136"/>
    <mergeCell ref="P129:P130"/>
    <mergeCell ref="Q129:Q130"/>
    <mergeCell ref="R129:R130"/>
    <mergeCell ref="B131:B136"/>
    <mergeCell ref="C132:C136"/>
    <mergeCell ref="D132:D136"/>
    <mergeCell ref="E132:E136"/>
    <mergeCell ref="F132:F136"/>
    <mergeCell ref="G132:G136"/>
    <mergeCell ref="H132:H136"/>
    <mergeCell ref="H129:H130"/>
    <mergeCell ref="I129:I130"/>
    <mergeCell ref="J129:J130"/>
    <mergeCell ref="K129:K130"/>
    <mergeCell ref="L129:L130"/>
    <mergeCell ref="O129:O130"/>
    <mergeCell ref="R113:R114"/>
    <mergeCell ref="R116:R117"/>
    <mergeCell ref="Q118:R118"/>
    <mergeCell ref="B124:C124"/>
    <mergeCell ref="B108:R108"/>
    <mergeCell ref="R110:R111"/>
    <mergeCell ref="Q120:R120"/>
    <mergeCell ref="Q122:R122"/>
    <mergeCell ref="N113:N117"/>
    <mergeCell ref="Q123:R123"/>
    <mergeCell ref="D124:R124"/>
    <mergeCell ref="B118:B123"/>
    <mergeCell ref="C119:C123"/>
    <mergeCell ref="D119:D123"/>
    <mergeCell ref="E119:E123"/>
    <mergeCell ref="F119:F123"/>
    <mergeCell ref="H113:H117"/>
    <mergeCell ref="I113:I117"/>
    <mergeCell ref="J113:J117"/>
    <mergeCell ref="K113:K117"/>
    <mergeCell ref="L113:L117"/>
    <mergeCell ref="M113:M117"/>
    <mergeCell ref="B112:B117"/>
    <mergeCell ref="C113:C117"/>
    <mergeCell ref="D113:D117"/>
    <mergeCell ref="E113:E117"/>
    <mergeCell ref="F113:F117"/>
    <mergeCell ref="G113:G117"/>
    <mergeCell ref="K110:K111"/>
    <mergeCell ref="L110:L111"/>
    <mergeCell ref="O110:O111"/>
    <mergeCell ref="P110:P111"/>
    <mergeCell ref="Q110:Q111"/>
    <mergeCell ref="B109:B111"/>
    <mergeCell ref="C110:C111"/>
    <mergeCell ref="D110:D111"/>
    <mergeCell ref="E110:E111"/>
    <mergeCell ref="F110:F111"/>
    <mergeCell ref="G110:G111"/>
    <mergeCell ref="H110:H111"/>
    <mergeCell ref="I110:I111"/>
    <mergeCell ref="J110:J111"/>
    <mergeCell ref="B94:C94"/>
    <mergeCell ref="D94:Q94"/>
    <mergeCell ref="F95:N95"/>
    <mergeCell ref="M98:M99"/>
    <mergeCell ref="N98:N100"/>
    <mergeCell ref="M101:M102"/>
    <mergeCell ref="N102:N105"/>
    <mergeCell ref="M103:M105"/>
    <mergeCell ref="B88:B93"/>
    <mergeCell ref="P88:Q88"/>
    <mergeCell ref="C89:C93"/>
    <mergeCell ref="D89:D93"/>
    <mergeCell ref="E89:E93"/>
    <mergeCell ref="F89:F93"/>
    <mergeCell ref="P90:Q90"/>
    <mergeCell ref="G92:L92"/>
    <mergeCell ref="P92:Q92"/>
    <mergeCell ref="P93:Q93"/>
    <mergeCell ref="J83:J87"/>
    <mergeCell ref="K83:K87"/>
    <mergeCell ref="L83:L87"/>
    <mergeCell ref="M83:M87"/>
    <mergeCell ref="Q83:Q84"/>
    <mergeCell ref="Q86:Q87"/>
    <mergeCell ref="P80:P81"/>
    <mergeCell ref="Q80:Q81"/>
    <mergeCell ref="B82:B87"/>
    <mergeCell ref="C83:C87"/>
    <mergeCell ref="D83:D87"/>
    <mergeCell ref="E83:E87"/>
    <mergeCell ref="F83:F87"/>
    <mergeCell ref="G83:G87"/>
    <mergeCell ref="H83:H87"/>
    <mergeCell ref="I83:I87"/>
    <mergeCell ref="I80:I81"/>
    <mergeCell ref="J80:J81"/>
    <mergeCell ref="K80:K81"/>
    <mergeCell ref="L80:L81"/>
    <mergeCell ref="N80:N81"/>
    <mergeCell ref="O80:O81"/>
    <mergeCell ref="B75:C75"/>
    <mergeCell ref="D75:Q75"/>
    <mergeCell ref="B78:Q78"/>
    <mergeCell ref="B79:B81"/>
    <mergeCell ref="C80:C81"/>
    <mergeCell ref="D80:D81"/>
    <mergeCell ref="E80:E81"/>
    <mergeCell ref="F80:F81"/>
    <mergeCell ref="G80:G81"/>
    <mergeCell ref="H80:H81"/>
    <mergeCell ref="B69:B74"/>
    <mergeCell ref="P69:Q69"/>
    <mergeCell ref="C70:C74"/>
    <mergeCell ref="D70:D74"/>
    <mergeCell ref="E70:E74"/>
    <mergeCell ref="F70:F74"/>
    <mergeCell ref="P71:Q71"/>
    <mergeCell ref="P73:Q73"/>
    <mergeCell ref="P74:Q74"/>
    <mergeCell ref="J64:J68"/>
    <mergeCell ref="K64:K68"/>
    <mergeCell ref="L64:L68"/>
    <mergeCell ref="M64:M68"/>
    <mergeCell ref="Q64:Q65"/>
    <mergeCell ref="Q67:Q68"/>
    <mergeCell ref="P61:P62"/>
    <mergeCell ref="Q61:Q62"/>
    <mergeCell ref="B63:B68"/>
    <mergeCell ref="C64:C68"/>
    <mergeCell ref="D64:D68"/>
    <mergeCell ref="E64:E68"/>
    <mergeCell ref="F64:F68"/>
    <mergeCell ref="G64:G68"/>
    <mergeCell ref="H64:H68"/>
    <mergeCell ref="I64:I68"/>
    <mergeCell ref="I61:I62"/>
    <mergeCell ref="J61:J62"/>
    <mergeCell ref="K61:K62"/>
    <mergeCell ref="L61:L62"/>
    <mergeCell ref="N61:N62"/>
    <mergeCell ref="O61:O62"/>
    <mergeCell ref="B56:C56"/>
    <mergeCell ref="D56:Q56"/>
    <mergeCell ref="B59:Q59"/>
    <mergeCell ref="B60:B62"/>
    <mergeCell ref="C61:C62"/>
    <mergeCell ref="D61:D62"/>
    <mergeCell ref="E61:E62"/>
    <mergeCell ref="F61:F62"/>
    <mergeCell ref="G61:G62"/>
    <mergeCell ref="H61:H62"/>
    <mergeCell ref="B50:B55"/>
    <mergeCell ref="P50:Q50"/>
    <mergeCell ref="C51:C55"/>
    <mergeCell ref="D51:D55"/>
    <mergeCell ref="E51:E55"/>
    <mergeCell ref="F51:F55"/>
    <mergeCell ref="P52:Q52"/>
    <mergeCell ref="P54:Q54"/>
    <mergeCell ref="P55:Q55"/>
    <mergeCell ref="J45:J49"/>
    <mergeCell ref="K45:K49"/>
    <mergeCell ref="L45:L49"/>
    <mergeCell ref="M45:M49"/>
    <mergeCell ref="Q45:Q46"/>
    <mergeCell ref="Q48:Q49"/>
    <mergeCell ref="P42:P43"/>
    <mergeCell ref="Q42:Q43"/>
    <mergeCell ref="B44:B49"/>
    <mergeCell ref="C45:C49"/>
    <mergeCell ref="D45:D49"/>
    <mergeCell ref="E45:E49"/>
    <mergeCell ref="F45:F49"/>
    <mergeCell ref="G45:G49"/>
    <mergeCell ref="H45:H49"/>
    <mergeCell ref="I45:I49"/>
    <mergeCell ref="I42:I43"/>
    <mergeCell ref="J42:J43"/>
    <mergeCell ref="K42:K43"/>
    <mergeCell ref="L42:L43"/>
    <mergeCell ref="N42:N43"/>
    <mergeCell ref="O42:O43"/>
    <mergeCell ref="B37:C37"/>
    <mergeCell ref="D37:Q37"/>
    <mergeCell ref="B40:Q40"/>
    <mergeCell ref="B41:B43"/>
    <mergeCell ref="C42:C43"/>
    <mergeCell ref="D42:D43"/>
    <mergeCell ref="E42:E43"/>
    <mergeCell ref="F42:F43"/>
    <mergeCell ref="G42:G43"/>
    <mergeCell ref="H42:H43"/>
    <mergeCell ref="B31:B36"/>
    <mergeCell ref="P31:Q31"/>
    <mergeCell ref="C32:C36"/>
    <mergeCell ref="D32:D36"/>
    <mergeCell ref="E32:E36"/>
    <mergeCell ref="F32:F36"/>
    <mergeCell ref="P33:Q33"/>
    <mergeCell ref="P35:Q35"/>
    <mergeCell ref="P36:Q36"/>
    <mergeCell ref="J26:J30"/>
    <mergeCell ref="K26:K30"/>
    <mergeCell ref="L26:L30"/>
    <mergeCell ref="M26:M30"/>
    <mergeCell ref="Q26:Q27"/>
    <mergeCell ref="Q29:Q30"/>
    <mergeCell ref="O23:O24"/>
    <mergeCell ref="P23:P24"/>
    <mergeCell ref="Q23:Q24"/>
    <mergeCell ref="J23:J24"/>
    <mergeCell ref="K23:K24"/>
    <mergeCell ref="L23:L24"/>
    <mergeCell ref="N23:N24"/>
    <mergeCell ref="B25:B30"/>
    <mergeCell ref="C26:C30"/>
    <mergeCell ref="D26:D30"/>
    <mergeCell ref="E26:E30"/>
    <mergeCell ref="F26:F30"/>
    <mergeCell ref="G26:G30"/>
    <mergeCell ref="H26:H30"/>
    <mergeCell ref="H23:H24"/>
    <mergeCell ref="I23:I24"/>
    <mergeCell ref="I26:I30"/>
    <mergeCell ref="B18:C18"/>
    <mergeCell ref="D18:Q18"/>
    <mergeCell ref="B21:Q21"/>
    <mergeCell ref="B22:B24"/>
    <mergeCell ref="C23:C24"/>
    <mergeCell ref="D23:D24"/>
    <mergeCell ref="E23:E24"/>
    <mergeCell ref="F23:F24"/>
    <mergeCell ref="G23:G24"/>
    <mergeCell ref="Q7:Q8"/>
    <mergeCell ref="Q10:Q11"/>
    <mergeCell ref="B12:B17"/>
    <mergeCell ref="P12:Q12"/>
    <mergeCell ref="C13:C17"/>
    <mergeCell ref="D13:D17"/>
    <mergeCell ref="E13:E17"/>
    <mergeCell ref="F13:F17"/>
    <mergeCell ref="P14:Q14"/>
    <mergeCell ref="P16:Q16"/>
    <mergeCell ref="H7:H11"/>
    <mergeCell ref="I7:I11"/>
    <mergeCell ref="J7:J11"/>
    <mergeCell ref="K7:K11"/>
    <mergeCell ref="L7:L11"/>
    <mergeCell ref="M7:M11"/>
    <mergeCell ref="B6:B11"/>
    <mergeCell ref="C7:C11"/>
    <mergeCell ref="D7:D11"/>
    <mergeCell ref="E7:E11"/>
    <mergeCell ref="F7:F11"/>
    <mergeCell ref="G7:G11"/>
    <mergeCell ref="P17:Q17"/>
    <mergeCell ref="K4:K5"/>
    <mergeCell ref="L4:L5"/>
    <mergeCell ref="N4:N5"/>
    <mergeCell ref="O4:O5"/>
    <mergeCell ref="P4:P5"/>
    <mergeCell ref="Q4:Q5"/>
    <mergeCell ref="B2:Q2"/>
    <mergeCell ref="B3:B5"/>
    <mergeCell ref="C4:C5"/>
    <mergeCell ref="D4:D5"/>
    <mergeCell ref="E4:E5"/>
    <mergeCell ref="F4:F5"/>
    <mergeCell ref="G4:G5"/>
    <mergeCell ref="H4:H5"/>
    <mergeCell ref="I4:I5"/>
    <mergeCell ref="J4:J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33333</vt:lpstr>
      <vt:lpstr>333321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jk</cp:lastModifiedBy>
  <dcterms:created xsi:type="dcterms:W3CDTF">2021-08-02T20:31:32Z</dcterms:created>
  <dcterms:modified xsi:type="dcterms:W3CDTF">2021-08-04T15:58:29Z</dcterms:modified>
</cp:coreProperties>
</file>