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캐릭터1(수정 가능)" sheetId="2" r:id="rId4"/>
  </sheets>
  <definedNames/>
  <calcPr/>
</workbook>
</file>

<file path=xl/sharedStrings.xml><?xml version="1.0" encoding="utf-8"?>
<sst xmlns="http://schemas.openxmlformats.org/spreadsheetml/2006/main" count="593" uniqueCount="63">
  <si>
    <t>델츄럿</t>
  </si>
  <si>
    <t>격파여부</t>
  </si>
  <si>
    <t>초기화</t>
  </si>
  <si>
    <t>난이도</t>
  </si>
  <si>
    <t>파티원수</t>
  </si>
  <si>
    <t>결정석 가격</t>
  </si>
  <si>
    <t>결정석 총합</t>
  </si>
  <si>
    <t>검은 마법사</t>
  </si>
  <si>
    <t>-</t>
  </si>
  <si>
    <t>하드</t>
  </si>
  <si>
    <t>캐릭터1</t>
  </si>
  <si>
    <t>일간보스</t>
  </si>
  <si>
    <t>캐릭터2</t>
  </si>
  <si>
    <t>주간보스</t>
  </si>
  <si>
    <t>노멀 파풀라투스</t>
  </si>
  <si>
    <t>캐릭터3</t>
  </si>
  <si>
    <t>진 힐라</t>
  </si>
  <si>
    <t>노멀 매그너스</t>
  </si>
  <si>
    <t>캐릭터4</t>
  </si>
  <si>
    <t>듄켈</t>
  </si>
  <si>
    <t>노멀 아카이럼</t>
  </si>
  <si>
    <t>캐릭터5</t>
  </si>
  <si>
    <t>더스크</t>
  </si>
  <si>
    <t>하드 반 레온</t>
  </si>
  <si>
    <t>캐릭터6</t>
  </si>
  <si>
    <t>윌</t>
  </si>
  <si>
    <t>노멀</t>
  </si>
  <si>
    <t>노멀 핑크빈</t>
  </si>
  <si>
    <t>캐릭터7</t>
  </si>
  <si>
    <t>루시드</t>
  </si>
  <si>
    <t>o</t>
  </si>
  <si>
    <t>카오스 혼테일</t>
  </si>
  <si>
    <t>가엔슬</t>
  </si>
  <si>
    <t>노멀 카웅</t>
  </si>
  <si>
    <t>계</t>
  </si>
  <si>
    <t>데미안</t>
  </si>
  <si>
    <t>노멀 루타비스</t>
  </si>
  <si>
    <t>스우</t>
  </si>
  <si>
    <t>파풀라투스</t>
  </si>
  <si>
    <t>카오스</t>
  </si>
  <si>
    <t>결정석
총 계</t>
  </si>
  <si>
    <t>벨룸</t>
  </si>
  <si>
    <t>x</t>
  </si>
  <si>
    <t>매그너스</t>
  </si>
  <si>
    <t>결정석 계</t>
  </si>
  <si>
    <t>블러디 퀸</t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</si>
  <si>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</si>
  <si>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t>반반</t>
  </si>
  <si>
    <t>자쿰</t>
  </si>
  <si>
    <t>시그너스</t>
  </si>
  <si>
    <t>핑크빈</t>
  </si>
  <si>
    <t>힐라</t>
  </si>
  <si>
    <t>츄럿델</t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</si>
  <si>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</si>
  <si>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t>이지</t>
  </si>
  <si>
    <t>라라츄럿</t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</si>
  <si>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</si>
  <si>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t>아델츄럿</t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</si>
  <si>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</si>
  <si>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t>월간보스</t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</si>
  <si>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</si>
  <si>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</si>
  <si>
    <r>
      <rPr>
        <rFont val="맑은 고딕"/>
        <color rgb="FFFF0000"/>
        <sz val="10.0"/>
      </rPr>
      <t>피</t>
    </r>
    <r>
      <rPr>
        <rFont val="맑은 고딕"/>
        <color rgb="FFCC00CC"/>
        <sz val="10.0"/>
      </rPr>
      <t>에</t>
    </r>
    <r>
      <rPr>
        <rFont val="맑은 고딕"/>
        <color rgb="FF6600FF"/>
        <sz val="10.0"/>
      </rPr>
      <t>르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</si>
</sst>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"/>
  </numFmts>
  <fonts count="29">
    <font>
      <sz val="11.0"/>
      <color theme="1"/>
      <name val="Arial"/>
    </font>
    <font>
      <sz val="11.0"/>
      <color theme="1"/>
      <name val="Calibri"/>
    </font>
    <font>
      <b/>
      <sz val="10.0"/>
      <color rgb="FFFF0000"/>
      <name val="Calibri"/>
    </font>
    <font>
      <sz val="10.0"/>
      <color rgb="FF1F497D"/>
      <name val="Calibri"/>
    </font>
    <font>
      <sz val="10.0"/>
      <color theme="1"/>
      <name val="Calibri"/>
    </font>
    <font>
      <sz val="10.0"/>
      <color rgb="FF000066"/>
      <name val="Calibri"/>
    </font>
    <font>
      <b/>
      <sz val="10.0"/>
      <color rgb="FF6600FF"/>
      <name val="Calibri"/>
    </font>
    <font/>
    <font>
      <b/>
      <sz val="10.0"/>
      <color theme="1"/>
      <name val="Calibri"/>
    </font>
    <font>
      <sz val="10.0"/>
      <color rgb="FFFF0000"/>
      <name val="Calibri"/>
    </font>
    <font>
      <b/>
      <sz val="10.0"/>
      <color rgb="FF1F497D"/>
      <name val="Calibri"/>
    </font>
    <font>
      <b/>
      <sz val="10.0"/>
      <color rgb="FF0000FF"/>
      <name val="Calibri"/>
    </font>
    <font>
      <sz val="10.0"/>
      <color rgb="FF6600FF"/>
      <name val="Calibri"/>
    </font>
    <font>
      <sz val="10.0"/>
      <color rgb="FFFF0000"/>
      <name val="Arial"/>
    </font>
    <font>
      <sz val="10.0"/>
      <color rgb="FF008000"/>
      <name val="Calibri"/>
    </font>
    <font>
      <sz val="10.0"/>
      <color rgb="FF494429"/>
      <name val="Calibri"/>
    </font>
    <font>
      <sz val="10.0"/>
      <color rgb="FF5F497A"/>
      <name val="Calibri"/>
    </font>
    <font>
      <sz val="10.0"/>
      <color rgb="FFD60093"/>
      <name val="Calibri"/>
    </font>
    <font>
      <sz val="10.0"/>
      <color rgb="FF660066"/>
      <name val="Calibri"/>
    </font>
    <font>
      <sz val="10.0"/>
      <color rgb="FFCC9900"/>
      <name val="Calibri"/>
    </font>
    <font>
      <sz val="10.0"/>
      <color rgb="FF006699"/>
      <name val="Calibri"/>
    </font>
    <font>
      <sz val="10.0"/>
      <color rgb="FFCC0066"/>
      <name val="Calibri"/>
    </font>
    <font>
      <sz val="10.0"/>
      <color rgb="FF800080"/>
      <name val="Calibri"/>
    </font>
    <font>
      <sz val="10.0"/>
      <color rgb="FF663300"/>
      <name val="Calibri"/>
    </font>
    <font>
      <sz val="10.0"/>
      <color rgb="FF5F5F5F"/>
      <name val="Calibri"/>
    </font>
    <font>
      <sz val="10.0"/>
      <color rgb="FFFF00FF"/>
      <name val="Calibri"/>
    </font>
    <font>
      <sz val="10.0"/>
      <color rgb="FFCC0000"/>
      <name val="Calibri"/>
    </font>
    <font>
      <sz val="10.0"/>
      <color theme="1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</fills>
  <borders count="71">
    <border/>
    <border>
      <left/>
      <right/>
      <top/>
      <bottom/>
    </border>
    <border>
      <left style="thick">
        <color rgb="FF000000"/>
      </left>
      <right style="hair">
        <color rgb="FF000000"/>
      </right>
      <top style="thick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ck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left/>
      <right/>
      <top style="thick">
        <color rgb="FF000000"/>
      </top>
      <bottom/>
    </border>
    <border>
      <left style="medium">
        <color rgb="FF000000"/>
      </left>
      <right style="hair">
        <color rgb="FF000000"/>
      </right>
      <top style="thick">
        <color rgb="FF000000"/>
      </top>
      <bottom style="medium">
        <color rgb="FF000000"/>
      </bottom>
    </border>
    <border>
      <left style="hair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ck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ck">
        <color rgb="FF000000"/>
      </right>
      <top/>
      <bottom/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/>
      <bottom style="hair">
        <color rgb="FF000000"/>
      </bottom>
    </border>
    <border>
      <right style="thick">
        <color rgb="FF000000"/>
      </right>
      <top/>
      <bottom style="hair">
        <color rgb="FF000000"/>
      </bottom>
    </border>
    <border>
      <left style="thick">
        <color rgb="FF000000"/>
      </left>
      <right/>
      <top/>
      <bottom/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thick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ck">
        <color rgb="FF000000"/>
      </right>
      <top/>
      <bottom style="hair">
        <color rgb="FF000000"/>
      </bottom>
    </border>
    <border>
      <left style="thick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thick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thick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</border>
    <border>
      <left style="hair">
        <color rgb="FF000000"/>
      </left>
    </border>
    <border>
      <right style="thick">
        <color rgb="FF000000"/>
      </right>
    </border>
    <border>
      <left style="medium">
        <color rgb="FF000000"/>
      </left>
      <right style="hair">
        <color rgb="FF000000"/>
      </right>
      <bottom style="thick">
        <color rgb="FF000000"/>
      </bottom>
    </border>
    <border>
      <left style="hair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hair">
        <color rgb="FF000000"/>
      </right>
      <top style="medium">
        <color rgb="FF000000"/>
      </top>
      <bottom style="thick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/>
      <right/>
      <top/>
      <bottom style="thick">
        <color rgb="FF000000"/>
      </bottom>
    </border>
    <border>
      <left/>
      <top style="thick">
        <color rgb="FF000000"/>
      </top>
      <bottom/>
    </border>
    <border>
      <right/>
      <top style="thick">
        <color rgb="FF000000"/>
      </top>
      <bottom/>
    </border>
    <border>
      <left/>
      <top/>
      <bottom/>
    </border>
    <border>
      <top/>
      <bottom/>
    </border>
    <border>
      <right style="thick">
        <color rgb="FF000000"/>
      </right>
      <top/>
      <bottom/>
    </border>
    <border>
      <left/>
      <right/>
      <top/>
    </border>
    <border>
      <left/>
      <top/>
    </border>
    <border>
      <right style="thick">
        <color rgb="FF000000"/>
      </right>
      <top/>
    </border>
    <border>
      <left/>
      <right/>
    </border>
    <border>
      <left/>
    </border>
    <border>
      <left/>
      <right/>
      <bottom style="thick">
        <color rgb="FF000000"/>
      </bottom>
    </border>
    <border>
      <left/>
      <bottom style="thick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/>
    </xf>
    <xf borderId="3" fillId="3" fontId="3" numFmtId="0" xfId="0" applyAlignment="1" applyBorder="1" applyFont="1">
      <alignment horizontal="center"/>
    </xf>
    <xf borderId="4" fillId="4" fontId="3" numFmtId="0" xfId="0" applyAlignment="1" applyBorder="1" applyFill="1" applyFont="1">
      <alignment horizontal="center"/>
    </xf>
    <xf borderId="5" fillId="2" fontId="4" numFmtId="0" xfId="0" applyBorder="1" applyFont="1"/>
    <xf borderId="6" fillId="3" fontId="5" numFmtId="0" xfId="0" applyAlignment="1" applyBorder="1" applyFont="1">
      <alignment horizontal="center"/>
    </xf>
    <xf borderId="7" fillId="5" fontId="6" numFmtId="0" xfId="0" applyAlignment="1" applyBorder="1" applyFill="1" applyFont="1">
      <alignment horizontal="center"/>
    </xf>
    <xf borderId="8" fillId="0" fontId="7" numFmtId="0" xfId="0" applyBorder="1" applyFont="1"/>
    <xf borderId="9" fillId="3" fontId="2" numFmtId="0" xfId="0" applyAlignment="1" applyBorder="1" applyFont="1">
      <alignment horizontal="center"/>
    </xf>
    <xf borderId="10" fillId="0" fontId="7" numFmtId="0" xfId="0" applyBorder="1" applyFont="1"/>
    <xf borderId="11" fillId="0" fontId="7" numFmtId="0" xfId="0" applyBorder="1" applyFont="1"/>
    <xf borderId="12" fillId="3" fontId="8" numFmtId="0" xfId="0" applyAlignment="1" applyBorder="1" applyFont="1">
      <alignment horizontal="center"/>
    </xf>
    <xf borderId="13" fillId="5" fontId="4" numFmtId="0" xfId="0" applyAlignment="1" applyBorder="1" applyFont="1">
      <alignment horizontal="center"/>
    </xf>
    <xf borderId="13" fillId="3" fontId="4" numFmtId="0" xfId="0" applyAlignment="1" applyBorder="1" applyFont="1">
      <alignment horizontal="center"/>
    </xf>
    <xf borderId="14" fillId="4" fontId="4" numFmtId="164" xfId="0" applyBorder="1" applyFont="1" applyNumberFormat="1"/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5" fillId="2" fontId="4" numFmtId="0" xfId="0" applyBorder="1" applyFont="1"/>
    <xf borderId="16" fillId="3" fontId="9" numFmtId="0" xfId="0" applyAlignment="1" applyBorder="1" applyFont="1">
      <alignment horizontal="center"/>
    </xf>
    <xf borderId="17" fillId="4" fontId="4" numFmtId="164" xfId="0" applyAlignment="1" applyBorder="1" applyFont="1" applyNumberFormat="1">
      <alignment horizontal="center"/>
    </xf>
    <xf borderId="18" fillId="0" fontId="7" numFmtId="0" xfId="0" applyBorder="1" applyFont="1"/>
    <xf borderId="19" fillId="2" fontId="4" numFmtId="0" xfId="0" applyAlignment="1" applyBorder="1" applyFont="1">
      <alignment horizontal="center"/>
    </xf>
    <xf borderId="1" fillId="2" fontId="4" numFmtId="164" xfId="0" applyBorder="1" applyFont="1" applyNumberFormat="1"/>
    <xf borderId="9" fillId="3" fontId="10" numFmtId="0" xfId="0" applyAlignment="1" applyBorder="1" applyFont="1">
      <alignment horizontal="center"/>
    </xf>
    <xf borderId="20" fillId="0" fontId="7" numFmtId="0" xfId="0" applyBorder="1" applyFont="1"/>
    <xf borderId="21" fillId="4" fontId="3" numFmtId="0" xfId="0" applyAlignment="1" applyBorder="1" applyFont="1">
      <alignment horizontal="center"/>
    </xf>
    <xf borderId="22" fillId="3" fontId="9" numFmtId="0" xfId="0" applyAlignment="1" applyBorder="1" applyFont="1">
      <alignment horizontal="center"/>
    </xf>
    <xf borderId="23" fillId="4" fontId="4" numFmtId="164" xfId="0" applyAlignment="1" applyBorder="1" applyFont="1" applyNumberFormat="1">
      <alignment horizontal="center"/>
    </xf>
    <xf borderId="24" fillId="0" fontId="7" numFmtId="0" xfId="0" applyBorder="1" applyFont="1"/>
    <xf borderId="25" fillId="3" fontId="11" numFmtId="0" xfId="0" applyAlignment="1" applyBorder="1" applyFont="1">
      <alignment horizontal="center"/>
    </xf>
    <xf borderId="26" fillId="0" fontId="7" numFmtId="0" xfId="0" applyBorder="1" applyFont="1"/>
    <xf borderId="16" fillId="3" fontId="12" numFmtId="0" xfId="0" applyAlignment="1" applyBorder="1" applyFont="1">
      <alignment horizontal="center"/>
    </xf>
    <xf borderId="27" fillId="3" fontId="4" numFmtId="0" xfId="0" applyAlignment="1" applyBorder="1" applyFont="1">
      <alignment horizontal="center"/>
    </xf>
    <xf borderId="28" fillId="4" fontId="4" numFmtId="164" xfId="0" applyBorder="1" applyFont="1" applyNumberFormat="1"/>
    <xf borderId="22" fillId="3" fontId="13" numFmtId="0" xfId="0" applyAlignment="1" applyBorder="1" applyFont="1">
      <alignment horizontal="center" readingOrder="0"/>
    </xf>
    <xf borderId="29" fillId="3" fontId="14" numFmtId="0" xfId="0" applyAlignment="1" applyBorder="1" applyFont="1">
      <alignment horizontal="center"/>
    </xf>
    <xf borderId="30" fillId="5" fontId="4" numFmtId="0" xfId="0" applyAlignment="1" applyBorder="1" applyFont="1">
      <alignment horizontal="center"/>
    </xf>
    <xf borderId="30" fillId="3" fontId="4" numFmtId="0" xfId="0" applyAlignment="1" applyBorder="1" applyFont="1">
      <alignment horizontal="center"/>
    </xf>
    <xf borderId="31" fillId="3" fontId="4" numFmtId="0" xfId="0" applyAlignment="1" applyBorder="1" applyFont="1">
      <alignment horizontal="center"/>
    </xf>
    <xf borderId="27" fillId="5" fontId="4" numFmtId="0" xfId="0" applyAlignment="1" applyBorder="1" applyFont="1">
      <alignment horizontal="center"/>
    </xf>
    <xf borderId="32" fillId="4" fontId="4" numFmtId="164" xfId="0" applyBorder="1" applyFont="1" applyNumberFormat="1"/>
    <xf borderId="22" fillId="3" fontId="12" numFmtId="0" xfId="0" applyAlignment="1" applyBorder="1" applyFont="1">
      <alignment horizontal="center"/>
    </xf>
    <xf borderId="33" fillId="4" fontId="4" numFmtId="164" xfId="0" applyBorder="1" applyFont="1" applyNumberFormat="1"/>
    <xf borderId="34" fillId="3" fontId="15" numFmtId="0" xfId="0" applyAlignment="1" applyBorder="1" applyFont="1">
      <alignment horizontal="center"/>
    </xf>
    <xf borderId="31" fillId="5" fontId="4" numFmtId="0" xfId="0" applyAlignment="1" applyBorder="1" applyFont="1">
      <alignment horizontal="center"/>
    </xf>
    <xf borderId="34" fillId="3" fontId="16" numFmtId="0" xfId="0" applyAlignment="1" applyBorder="1" applyFont="1">
      <alignment horizontal="center"/>
    </xf>
    <xf borderId="34" fillId="3" fontId="12" numFmtId="0" xfId="0" applyAlignment="1" applyBorder="1" applyFont="1">
      <alignment horizontal="center"/>
    </xf>
    <xf borderId="35" fillId="3" fontId="9" numFmtId="0" xfId="0" applyAlignment="1" applyBorder="1" applyFont="1">
      <alignment horizontal="center"/>
    </xf>
    <xf borderId="36" fillId="4" fontId="4" numFmtId="164" xfId="0" applyAlignment="1" applyBorder="1" applyFont="1" applyNumberFormat="1">
      <alignment horizontal="center"/>
    </xf>
    <xf borderId="37" fillId="0" fontId="7" numFmtId="0" xfId="0" applyBorder="1" applyFont="1"/>
    <xf borderId="34" fillId="3" fontId="17" numFmtId="0" xfId="0" applyAlignment="1" applyBorder="1" applyFont="1">
      <alignment horizontal="center"/>
    </xf>
    <xf borderId="31" fillId="5" fontId="4" numFmtId="0" xfId="0" applyAlignment="1" applyBorder="1" applyFont="1">
      <alignment horizontal="center" readingOrder="0"/>
    </xf>
    <xf borderId="1" fillId="2" fontId="9" numFmtId="0" xfId="0" applyAlignment="1" applyBorder="1" applyFont="1">
      <alignment horizontal="center"/>
    </xf>
    <xf borderId="38" fillId="3" fontId="2" numFmtId="0" xfId="0" applyAlignment="1" applyBorder="1" applyFont="1">
      <alignment horizontal="center" vertical="center"/>
    </xf>
    <xf borderId="39" fillId="6" fontId="8" numFmtId="164" xfId="0" applyAlignment="1" applyBorder="1" applyFill="1" applyFont="1" applyNumberFormat="1">
      <alignment horizontal="center" vertical="center"/>
    </xf>
    <xf borderId="40" fillId="0" fontId="7" numFmtId="0" xfId="0" applyBorder="1" applyFont="1"/>
    <xf borderId="34" fillId="3" fontId="18" numFmtId="0" xfId="0" applyAlignment="1" applyBorder="1" applyFont="1">
      <alignment horizontal="center"/>
    </xf>
    <xf borderId="35" fillId="3" fontId="12" numFmtId="0" xfId="0" applyAlignment="1" applyBorder="1" applyFont="1">
      <alignment horizontal="center"/>
    </xf>
    <xf borderId="41" fillId="3" fontId="4" numFmtId="0" xfId="0" applyAlignment="1" applyBorder="1" applyFont="1">
      <alignment horizontal="center"/>
    </xf>
    <xf borderId="42" fillId="4" fontId="4" numFmtId="164" xfId="0" applyBorder="1" applyFont="1" applyNumberFormat="1"/>
    <xf borderId="43" fillId="0" fontId="7" numFmtId="0" xfId="0" applyBorder="1" applyFont="1"/>
    <xf borderId="44" fillId="0" fontId="7" numFmtId="0" xfId="0" applyBorder="1" applyFont="1"/>
    <xf borderId="45" fillId="0" fontId="7" numFmtId="0" xfId="0" applyBorder="1" applyFont="1"/>
    <xf borderId="34" fillId="3" fontId="19" numFmtId="0" xfId="0" applyAlignment="1" applyBorder="1" applyFont="1">
      <alignment horizontal="center"/>
    </xf>
    <xf borderId="15" fillId="2" fontId="4" numFmtId="164" xfId="0" applyBorder="1" applyFont="1" applyNumberFormat="1"/>
    <xf borderId="46" fillId="0" fontId="7" numFmtId="0" xfId="0" applyBorder="1" applyFont="1"/>
    <xf borderId="47" fillId="0" fontId="7" numFmtId="0" xfId="0" applyBorder="1" applyFont="1"/>
    <xf borderId="48" fillId="0" fontId="7" numFmtId="0" xfId="0" applyBorder="1" applyFont="1"/>
    <xf borderId="34" fillId="3" fontId="20" numFmtId="0" xfId="0" applyAlignment="1" applyBorder="1" applyFont="1">
      <alignment horizontal="center"/>
    </xf>
    <xf borderId="38" fillId="3" fontId="2" numFmtId="0" xfId="0" applyAlignment="1" applyBorder="1" applyFont="1">
      <alignment horizontal="center" shrinkToFit="0" vertical="center" wrapText="1"/>
    </xf>
    <xf borderId="34" fillId="3" fontId="5" numFmtId="0" xfId="0" applyAlignment="1" applyBorder="1" applyFont="1">
      <alignment horizontal="center"/>
    </xf>
    <xf borderId="49" fillId="3" fontId="4" numFmtId="0" xfId="0" applyAlignment="1" applyBorder="1" applyFont="1">
      <alignment horizontal="center"/>
    </xf>
    <xf borderId="50" fillId="4" fontId="4" numFmtId="164" xfId="0" applyAlignment="1" applyBorder="1" applyFont="1" applyNumberFormat="1">
      <alignment horizontal="center"/>
    </xf>
    <xf borderId="51" fillId="0" fontId="7" numFmtId="0" xfId="0" applyBorder="1" applyFont="1"/>
    <xf borderId="34" fillId="3" fontId="21" numFmtId="0" xfId="0" applyAlignment="1" applyBorder="1" applyFont="1">
      <alignment horizontal="center"/>
    </xf>
    <xf borderId="34" fillId="3" fontId="4" numFmtId="0" xfId="0" applyAlignment="1" applyBorder="1" applyFont="1">
      <alignment horizontal="center"/>
    </xf>
    <xf borderId="34" fillId="3" fontId="22" numFmtId="0" xfId="0" applyAlignment="1" applyBorder="1" applyFont="1">
      <alignment horizontal="center"/>
    </xf>
    <xf borderId="34" fillId="3" fontId="23" numFmtId="0" xfId="0" applyAlignment="1" applyBorder="1" applyFont="1">
      <alignment horizontal="center"/>
    </xf>
    <xf borderId="34" fillId="3" fontId="24" numFmtId="0" xfId="0" applyAlignment="1" applyBorder="1" applyFont="1">
      <alignment horizontal="center"/>
    </xf>
    <xf borderId="34" fillId="3" fontId="25" numFmtId="0" xfId="0" applyAlignment="1" applyBorder="1" applyFont="1">
      <alignment horizontal="center"/>
    </xf>
    <xf borderId="52" fillId="3" fontId="26" numFmtId="0" xfId="0" applyAlignment="1" applyBorder="1" applyFont="1">
      <alignment horizontal="center"/>
    </xf>
    <xf borderId="41" fillId="5" fontId="4" numFmtId="0" xfId="0" applyAlignment="1" applyBorder="1" applyFont="1">
      <alignment horizontal="center"/>
    </xf>
    <xf borderId="53" fillId="4" fontId="4" numFmtId="164" xfId="0" applyBorder="1" applyFont="1" applyNumberFormat="1"/>
    <xf borderId="19" fillId="2" fontId="4" numFmtId="0" xfId="0" applyBorder="1" applyFont="1"/>
    <xf borderId="54" fillId="3" fontId="8" numFmtId="0" xfId="0" applyAlignment="1" applyBorder="1" applyFont="1">
      <alignment horizontal="center"/>
    </xf>
    <xf borderId="55" fillId="0" fontId="7" numFmtId="0" xfId="0" applyBorder="1" applyFont="1"/>
    <xf borderId="56" fillId="0" fontId="7" numFmtId="0" xfId="0" applyBorder="1" applyFont="1"/>
    <xf borderId="57" fillId="4" fontId="4" numFmtId="164" xfId="0" applyBorder="1" applyFont="1" applyNumberFormat="1"/>
    <xf borderId="58" fillId="2" fontId="4" numFmtId="0" xfId="0" applyBorder="1" applyFont="1"/>
    <xf borderId="59" fillId="2" fontId="1" numFmtId="164" xfId="0" applyAlignment="1" applyBorder="1" applyFont="1" applyNumberFormat="1">
      <alignment horizontal="center"/>
    </xf>
    <xf borderId="60" fillId="0" fontId="7" numFmtId="0" xfId="0" applyBorder="1" applyFont="1"/>
    <xf borderId="31" fillId="5" fontId="27" numFmtId="0" xfId="0" applyAlignment="1" applyBorder="1" applyFont="1">
      <alignment horizontal="center"/>
    </xf>
    <xf borderId="31" fillId="5" fontId="28" numFmtId="0" xfId="0" applyAlignment="1" applyBorder="1" applyFont="1">
      <alignment horizontal="center" readingOrder="0"/>
    </xf>
    <xf borderId="61" fillId="2" fontId="2" numFmtId="0" xfId="0" applyAlignment="1" applyBorder="1" applyFont="1">
      <alignment horizontal="center"/>
    </xf>
    <xf borderId="62" fillId="0" fontId="7" numFmtId="0" xfId="0" applyBorder="1" applyFont="1"/>
    <xf borderId="63" fillId="0" fontId="7" numFmtId="0" xfId="0" applyBorder="1" applyFont="1"/>
    <xf borderId="61" fillId="2" fontId="4" numFmtId="0" xfId="0" applyAlignment="1" applyBorder="1" applyFont="1">
      <alignment horizontal="center"/>
    </xf>
    <xf borderId="64" fillId="2" fontId="2" numFmtId="0" xfId="0" applyAlignment="1" applyBorder="1" applyFont="1">
      <alignment horizontal="center" vertical="center"/>
    </xf>
    <xf borderId="65" fillId="2" fontId="4" numFmtId="0" xfId="0" applyAlignment="1" applyBorder="1" applyFont="1">
      <alignment horizontal="center"/>
    </xf>
    <xf borderId="66" fillId="0" fontId="7" numFmtId="0" xfId="0" applyBorder="1" applyFont="1"/>
    <xf borderId="67" fillId="0" fontId="7" numFmtId="0" xfId="0" applyBorder="1" applyFont="1"/>
    <xf borderId="68" fillId="0" fontId="7" numFmtId="0" xfId="0" applyBorder="1" applyFont="1"/>
    <xf borderId="57" fillId="4" fontId="4" numFmtId="164" xfId="0" applyAlignment="1" applyBorder="1" applyFont="1" applyNumberFormat="1">
      <alignment horizontal="right"/>
    </xf>
    <xf borderId="69" fillId="0" fontId="7" numFmtId="0" xfId="0" applyBorder="1" applyFont="1"/>
    <xf borderId="70" fillId="0" fontId="7" numFmtId="0" xfId="0" applyBorder="1" applyFon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9.88"/>
    <col customWidth="1" min="3" max="3" width="7.63"/>
    <col customWidth="1" min="4" max="4" width="6.0"/>
    <col customWidth="1" min="5" max="5" width="6.88"/>
    <col customWidth="1" min="6" max="6" width="7.63"/>
    <col customWidth="1" min="7" max="7" width="10.38"/>
    <col customWidth="1" hidden="1" min="8" max="8" width="7.88"/>
    <col customWidth="1" min="9" max="9" width="5.5"/>
    <col customWidth="1" hidden="1" min="10" max="10" width="7.88"/>
    <col customWidth="1" min="11" max="11" width="13.13"/>
    <col customWidth="1" min="12" max="12" width="9.5"/>
    <col customWidth="1" min="13" max="13" width="9.88"/>
    <col customWidth="1" min="14" max="15" width="7.88"/>
    <col customWidth="1" min="16" max="16" width="9.88"/>
    <col customWidth="1" min="17" max="17" width="11.75"/>
    <col customWidth="1" min="18" max="18" width="7.88"/>
    <col customWidth="1" min="19" max="26" width="7.63"/>
  </cols>
  <sheetData>
    <row r="1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5"/>
      <c r="I3" s="5"/>
      <c r="J3" s="5"/>
      <c r="K3" s="6"/>
      <c r="L3" s="7"/>
      <c r="M3" s="8"/>
      <c r="N3" s="1"/>
      <c r="O3" s="1"/>
      <c r="P3" s="9" t="s">
        <v>6</v>
      </c>
      <c r="Q3" s="10"/>
      <c r="R3" s="11"/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12" t="s">
        <v>7</v>
      </c>
      <c r="C4" s="13"/>
      <c r="D4" s="14" t="s">
        <v>8</v>
      </c>
      <c r="E4" s="14" t="s">
        <v>9</v>
      </c>
      <c r="F4" s="13">
        <v>6.0</v>
      </c>
      <c r="G4" s="15" t="str">
        <f>IF(C4="o",500000000/F4,"-")</f>
        <v>-</v>
      </c>
      <c r="H4" s="16">
        <f>IF(C4="o",1,0)</f>
        <v>0</v>
      </c>
      <c r="I4" s="16"/>
      <c r="J4" s="16"/>
      <c r="K4" s="17"/>
      <c r="L4" s="17"/>
      <c r="M4" s="18"/>
      <c r="N4" s="1"/>
      <c r="O4" s="1"/>
      <c r="P4" s="19" t="s">
        <v>10</v>
      </c>
      <c r="Q4" s="20">
        <f>G26+L16</f>
        <v>346088500</v>
      </c>
      <c r="R4" s="2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22"/>
      <c r="C5" s="17"/>
      <c r="D5" s="17"/>
      <c r="E5" s="17"/>
      <c r="F5" s="17"/>
      <c r="G5" s="23"/>
      <c r="H5" s="16"/>
      <c r="I5" s="16"/>
      <c r="J5" s="16"/>
      <c r="K5" s="24" t="s">
        <v>11</v>
      </c>
      <c r="L5" s="25"/>
      <c r="M5" s="26" t="s">
        <v>5</v>
      </c>
      <c r="N5" s="1"/>
      <c r="O5" s="1"/>
      <c r="P5" s="27" t="s">
        <v>12</v>
      </c>
      <c r="Q5" s="28">
        <f>G52+L42</f>
        <v>248537166</v>
      </c>
      <c r="R5" s="29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30" t="s">
        <v>13</v>
      </c>
      <c r="C6" s="10"/>
      <c r="D6" s="10"/>
      <c r="E6" s="10"/>
      <c r="F6" s="10"/>
      <c r="G6" s="31"/>
      <c r="H6" s="16"/>
      <c r="I6" s="16"/>
      <c r="J6" s="16"/>
      <c r="K6" s="32" t="s">
        <v>14</v>
      </c>
      <c r="L6" s="33">
        <v>7.0</v>
      </c>
      <c r="M6" s="34">
        <f>2664500*L6</f>
        <v>18651500</v>
      </c>
      <c r="N6" s="1"/>
      <c r="O6" s="1"/>
      <c r="P6" s="35" t="s">
        <v>15</v>
      </c>
      <c r="Q6" s="28">
        <f>G78+L68</f>
        <v>154153250</v>
      </c>
      <c r="R6" s="29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36" t="s">
        <v>16</v>
      </c>
      <c r="C7" s="37"/>
      <c r="D7" s="38" t="s">
        <v>8</v>
      </c>
      <c r="E7" s="39" t="s">
        <v>9</v>
      </c>
      <c r="F7" s="40">
        <v>6.0</v>
      </c>
      <c r="G7" s="41" t="str">
        <f>IF(C7="o",ROUNDDOWN(IF(E7="하드",110450000,46512500)/F7,0),"-")</f>
        <v>-</v>
      </c>
      <c r="H7" s="16">
        <f t="shared" ref="H7:H11" si="1">IF(C7="o",1,0)</f>
        <v>0</v>
      </c>
      <c r="I7" s="16"/>
      <c r="J7" s="16"/>
      <c r="K7" s="42" t="s">
        <v>17</v>
      </c>
      <c r="L7" s="39">
        <v>7.0</v>
      </c>
      <c r="M7" s="43">
        <f>2592000*L7</f>
        <v>18144000</v>
      </c>
      <c r="N7" s="1"/>
      <c r="O7" s="1"/>
      <c r="P7" s="35" t="s">
        <v>18</v>
      </c>
      <c r="Q7" s="28">
        <f>G104+L94</f>
        <v>302339000</v>
      </c>
      <c r="R7" s="29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44" t="s">
        <v>19</v>
      </c>
      <c r="C8" s="45"/>
      <c r="D8" s="39" t="s">
        <v>8</v>
      </c>
      <c r="E8" s="45" t="s">
        <v>9</v>
      </c>
      <c r="F8" s="45">
        <v>6.0</v>
      </c>
      <c r="G8" s="41" t="str">
        <f>IF(C8="o",ROUNDDOWN(IF(E8="하드",96800000,52812500)/F8,0),"-")</f>
        <v>-</v>
      </c>
      <c r="H8" s="16">
        <f t="shared" si="1"/>
        <v>0</v>
      </c>
      <c r="I8" s="16"/>
      <c r="J8" s="16"/>
      <c r="K8" s="42" t="s">
        <v>20</v>
      </c>
      <c r="L8" s="39">
        <v>7.0</v>
      </c>
      <c r="M8" s="43">
        <f>2520500*L8</f>
        <v>17643500</v>
      </c>
      <c r="N8" s="1"/>
      <c r="O8" s="1"/>
      <c r="P8" s="35" t="s">
        <v>21</v>
      </c>
      <c r="Q8" s="28">
        <f>G130+L120</f>
        <v>0</v>
      </c>
      <c r="R8" s="29"/>
      <c r="S8" s="1"/>
      <c r="T8" s="1"/>
      <c r="U8" s="1"/>
      <c r="V8" s="1"/>
      <c r="W8" s="1"/>
      <c r="X8" s="1"/>
      <c r="Y8" s="1"/>
      <c r="Z8" s="1"/>
    </row>
    <row r="9" ht="16.5" customHeight="1">
      <c r="A9" s="1"/>
      <c r="B9" s="46" t="s">
        <v>22</v>
      </c>
      <c r="C9" s="45"/>
      <c r="D9" s="39" t="s">
        <v>8</v>
      </c>
      <c r="E9" s="45" t="s">
        <v>9</v>
      </c>
      <c r="F9" s="45">
        <v>6.0</v>
      </c>
      <c r="G9" s="41" t="str">
        <f>IF(C9="o",ROUNDDOWN(IF(E9="하드",92450000,49612500)/F9,0),"-")</f>
        <v>-</v>
      </c>
      <c r="H9" s="16">
        <f t="shared" si="1"/>
        <v>0</v>
      </c>
      <c r="I9" s="16"/>
      <c r="J9" s="16"/>
      <c r="K9" s="42" t="s">
        <v>23</v>
      </c>
      <c r="L9" s="39">
        <v>7.0</v>
      </c>
      <c r="M9" s="43">
        <f>2450000*L9</f>
        <v>17150000</v>
      </c>
      <c r="N9" s="1"/>
      <c r="O9" s="1"/>
      <c r="P9" s="27" t="s">
        <v>24</v>
      </c>
      <c r="Q9" s="28">
        <f>G156+L146</f>
        <v>0</v>
      </c>
      <c r="R9" s="29"/>
      <c r="S9" s="1"/>
      <c r="T9" s="1"/>
      <c r="U9" s="1"/>
      <c r="V9" s="1"/>
      <c r="W9" s="1"/>
      <c r="X9" s="1"/>
      <c r="Y9" s="1"/>
      <c r="Z9" s="1"/>
    </row>
    <row r="10" ht="16.5" customHeight="1">
      <c r="A10" s="1"/>
      <c r="B10" s="47" t="s">
        <v>25</v>
      </c>
      <c r="C10" s="45"/>
      <c r="D10" s="39" t="s">
        <v>8</v>
      </c>
      <c r="E10" s="45" t="s">
        <v>26</v>
      </c>
      <c r="F10" s="45">
        <v>6.0</v>
      </c>
      <c r="G10" s="41" t="str">
        <f>IF(C10="o",ROUNDDOWN(IF(E10="하드",88200000,46512500)/F10,0),"-")</f>
        <v>-</v>
      </c>
      <c r="H10" s="16">
        <f t="shared" si="1"/>
        <v>0</v>
      </c>
      <c r="I10" s="16"/>
      <c r="J10" s="16"/>
      <c r="K10" s="42" t="s">
        <v>27</v>
      </c>
      <c r="L10" s="39">
        <v>7.0</v>
      </c>
      <c r="M10" s="43">
        <f>1404500*L10</f>
        <v>9831500</v>
      </c>
      <c r="N10" s="1"/>
      <c r="O10" s="1"/>
      <c r="P10" s="48" t="s">
        <v>28</v>
      </c>
      <c r="Q10" s="49">
        <f>G182+L172</f>
        <v>0</v>
      </c>
      <c r="R10" s="50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51" t="s">
        <v>29</v>
      </c>
      <c r="C11" s="45" t="s">
        <v>30</v>
      </c>
      <c r="D11" s="39" t="s">
        <v>8</v>
      </c>
      <c r="E11" s="52" t="s">
        <v>9</v>
      </c>
      <c r="F11" s="45">
        <v>4.0</v>
      </c>
      <c r="G11" s="41">
        <f>IF(C11="o",ROUNDDOWN(IF(E11="하드",80000000,if(E11="노멀",40612500,35112500))/F11,0),"-")</f>
        <v>20000000</v>
      </c>
      <c r="H11" s="16">
        <f t="shared" si="1"/>
        <v>1</v>
      </c>
      <c r="I11" s="16"/>
      <c r="J11" s="16"/>
      <c r="K11" s="42" t="s">
        <v>31</v>
      </c>
      <c r="L11" s="39">
        <v>0.0</v>
      </c>
      <c r="M11" s="43">
        <f>1352000*L11</f>
        <v>0</v>
      </c>
      <c r="N11" s="1"/>
      <c r="O11" s="1"/>
      <c r="P11" s="53"/>
      <c r="Q11" s="16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"/>
      <c r="B12" s="51" t="s">
        <v>32</v>
      </c>
      <c r="C12" s="45" t="s">
        <v>30</v>
      </c>
      <c r="D12" s="39" t="s">
        <v>8</v>
      </c>
      <c r="E12" s="45" t="s">
        <v>26</v>
      </c>
      <c r="F12" s="45">
        <v>4.0</v>
      </c>
      <c r="G12" s="41">
        <f>IF(C12="o",ROUNDDOWN(IF(E12="하드",90312500,34322000)/F12,0),"-")</f>
        <v>8580500</v>
      </c>
      <c r="H12" s="16"/>
      <c r="I12" s="16"/>
      <c r="J12" s="16"/>
      <c r="K12" s="42" t="s">
        <v>33</v>
      </c>
      <c r="L12" s="39"/>
      <c r="M12" s="43">
        <f>1250000*L12</f>
        <v>0</v>
      </c>
      <c r="N12" s="1"/>
      <c r="O12" s="1"/>
      <c r="P12" s="54" t="s">
        <v>34</v>
      </c>
      <c r="Q12" s="55">
        <f>SUM(Q4:R10)</f>
        <v>1051117916</v>
      </c>
      <c r="R12" s="56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57" t="s">
        <v>35</v>
      </c>
      <c r="C13" s="45" t="s">
        <v>30</v>
      </c>
      <c r="D13" s="39" t="s">
        <v>8</v>
      </c>
      <c r="E13" s="45" t="s">
        <v>26</v>
      </c>
      <c r="F13" s="45">
        <v>1.0</v>
      </c>
      <c r="G13" s="41">
        <f>IF(C13="o",ROUNDDOWN(IF(E13="하드",70312500,33800000)/F13,0),"-")</f>
        <v>33800000</v>
      </c>
      <c r="H13" s="16">
        <f t="shared" ref="H13:H15" si="2">IF(C13="o",1,0)</f>
        <v>1</v>
      </c>
      <c r="I13" s="16"/>
      <c r="J13" s="16"/>
      <c r="K13" s="58" t="s">
        <v>36</v>
      </c>
      <c r="L13" s="59"/>
      <c r="M13" s="60">
        <f>968000*L13</f>
        <v>0</v>
      </c>
      <c r="N13" s="1"/>
      <c r="O13" s="1"/>
      <c r="P13" s="61"/>
      <c r="Q13" s="62"/>
      <c r="R13" s="63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64" t="s">
        <v>37</v>
      </c>
      <c r="C14" s="45" t="s">
        <v>30</v>
      </c>
      <c r="D14" s="39" t="s">
        <v>8</v>
      </c>
      <c r="E14" s="45" t="s">
        <v>26</v>
      </c>
      <c r="F14" s="45">
        <v>1.0</v>
      </c>
      <c r="G14" s="41">
        <f>IF(C14="o",ROUNDDOWN(IF(E14="하드",74112500,32512500)/F14,0),"-")</f>
        <v>32512500</v>
      </c>
      <c r="H14" s="16">
        <f t="shared" si="2"/>
        <v>1</v>
      </c>
      <c r="I14" s="16"/>
      <c r="J14" s="16"/>
      <c r="K14" s="1"/>
      <c r="L14" s="1"/>
      <c r="M14" s="65"/>
      <c r="N14" s="1"/>
      <c r="O14" s="1"/>
      <c r="P14" s="66"/>
      <c r="Q14" s="67"/>
      <c r="R14" s="68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69" t="s">
        <v>38</v>
      </c>
      <c r="C15" s="45" t="s">
        <v>30</v>
      </c>
      <c r="D15" s="39" t="s">
        <v>8</v>
      </c>
      <c r="E15" s="39" t="s">
        <v>39</v>
      </c>
      <c r="F15" s="45">
        <v>1.0</v>
      </c>
      <c r="G15" s="41">
        <f>IF(C15="o",ROUNDDOWN(26450000/F15,0),"-")</f>
        <v>26450000</v>
      </c>
      <c r="H15" s="16">
        <f t="shared" si="2"/>
        <v>1</v>
      </c>
      <c r="I15" s="16"/>
      <c r="J15" s="16"/>
      <c r="K15" s="16"/>
      <c r="L15" s="16"/>
      <c r="M15" s="65"/>
      <c r="N15" s="1"/>
      <c r="O15" s="1"/>
      <c r="P15" s="70" t="s">
        <v>40</v>
      </c>
      <c r="Q15" s="55">
        <f>L17+L43+L69+L95+L121+L147+L173</f>
        <v>184</v>
      </c>
      <c r="R15" s="56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71" t="s">
        <v>41</v>
      </c>
      <c r="C16" s="45" t="s">
        <v>30</v>
      </c>
      <c r="D16" s="45" t="s">
        <v>42</v>
      </c>
      <c r="E16" s="39" t="s">
        <v>39</v>
      </c>
      <c r="F16" s="45">
        <v>1.0</v>
      </c>
      <c r="G16" s="41">
        <f>IF(C16="o",ROUNDDOWN(21012500/F16,0)*IF(D16="o",2,1),"-")</f>
        <v>21012500</v>
      </c>
      <c r="H16" s="16">
        <f t="shared" ref="H16:H20" si="3">IF(C16="o",1,0)*IF(D16="o",2,1)</f>
        <v>1</v>
      </c>
      <c r="I16" s="16"/>
      <c r="J16" s="16"/>
      <c r="K16" s="72" t="s">
        <v>34</v>
      </c>
      <c r="L16" s="73">
        <f>SUM(M6:M13)</f>
        <v>81420500</v>
      </c>
      <c r="M16" s="74"/>
      <c r="N16" s="1"/>
      <c r="O16" s="1"/>
      <c r="P16" s="61"/>
      <c r="Q16" s="62"/>
      <c r="R16" s="63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"/>
      <c r="B17" s="71" t="s">
        <v>43</v>
      </c>
      <c r="C17" s="45" t="s">
        <v>30</v>
      </c>
      <c r="D17" s="45" t="s">
        <v>42</v>
      </c>
      <c r="E17" s="39" t="s">
        <v>9</v>
      </c>
      <c r="F17" s="45">
        <v>1.0</v>
      </c>
      <c r="G17" s="41">
        <f>IF(C17="o",ROUNDDOWN(19012500/F17,0)*IF(D17="o",2,1),"-")</f>
        <v>19012500</v>
      </c>
      <c r="H17" s="16">
        <f t="shared" si="3"/>
        <v>1</v>
      </c>
      <c r="I17" s="16"/>
      <c r="J17" s="16"/>
      <c r="K17" s="72" t="s">
        <v>44</v>
      </c>
      <c r="L17" s="73">
        <f>SUM(L6:L13)+COUNTA(C7:C4:C24)</f>
        <v>49</v>
      </c>
      <c r="M17" s="74"/>
      <c r="N17" s="1"/>
      <c r="O17" s="1"/>
      <c r="P17" s="66"/>
      <c r="Q17" s="67"/>
      <c r="R17" s="68"/>
      <c r="S17" s="1"/>
      <c r="T17" s="1"/>
      <c r="U17" s="1"/>
      <c r="V17" s="1"/>
      <c r="W17" s="1"/>
      <c r="X17" s="1"/>
      <c r="Y17" s="1"/>
      <c r="Z17" s="1"/>
    </row>
    <row r="18" ht="16.5" customHeight="1">
      <c r="A18" s="1"/>
      <c r="B18" s="75" t="s">
        <v>45</v>
      </c>
      <c r="C18" s="45" t="s">
        <v>30</v>
      </c>
      <c r="D18" s="45" t="s">
        <v>42</v>
      </c>
      <c r="E18" s="39" t="s">
        <v>39</v>
      </c>
      <c r="F18" s="45">
        <v>1.0</v>
      </c>
      <c r="G18" s="41">
        <f t="shared" ref="G18:G20" si="4">IF(C18="o",ROUNDDOWN(16200000/F18,0)*IF(D18="o",2,1),"-")</f>
        <v>16200000</v>
      </c>
      <c r="H18" s="16">
        <f t="shared" si="3"/>
        <v>1</v>
      </c>
      <c r="I18" s="16"/>
      <c r="J18" s="16"/>
      <c r="K18" s="16"/>
      <c r="L18" s="16"/>
      <c r="M18" s="6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1"/>
      <c r="B19" s="76" t="s">
        <v>46</v>
      </c>
      <c r="C19" s="45" t="s">
        <v>30</v>
      </c>
      <c r="D19" s="45" t="s">
        <v>42</v>
      </c>
      <c r="E19" s="39" t="s">
        <v>39</v>
      </c>
      <c r="F19" s="45">
        <v>1.0</v>
      </c>
      <c r="G19" s="41">
        <f t="shared" si="4"/>
        <v>16200000</v>
      </c>
      <c r="H19" s="16">
        <f t="shared" si="3"/>
        <v>1</v>
      </c>
      <c r="I19" s="16"/>
      <c r="J19" s="16"/>
      <c r="K19" s="1"/>
      <c r="L19" s="1"/>
      <c r="M19" s="6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1"/>
      <c r="B20" s="77" t="s">
        <v>47</v>
      </c>
      <c r="C20" s="45" t="s">
        <v>30</v>
      </c>
      <c r="D20" s="45" t="s">
        <v>42</v>
      </c>
      <c r="E20" s="39" t="s">
        <v>39</v>
      </c>
      <c r="F20" s="45">
        <v>1.0</v>
      </c>
      <c r="G20" s="41">
        <f t="shared" si="4"/>
        <v>16200000</v>
      </c>
      <c r="H20" s="16">
        <f t="shared" si="3"/>
        <v>1</v>
      </c>
      <c r="I20" s="16"/>
      <c r="J20" s="16"/>
      <c r="K20" s="1"/>
      <c r="L20" s="1"/>
      <c r="M20" s="6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1"/>
      <c r="B21" s="78" t="s">
        <v>48</v>
      </c>
      <c r="C21" s="45" t="s">
        <v>30</v>
      </c>
      <c r="D21" s="39" t="s">
        <v>8</v>
      </c>
      <c r="E21" s="39" t="s">
        <v>39</v>
      </c>
      <c r="F21" s="45">
        <v>1.0</v>
      </c>
      <c r="G21" s="41">
        <f>IF(C21="o",ROUNDDOWN(16200000/F21,0),"-")</f>
        <v>16200000</v>
      </c>
      <c r="H21" s="16">
        <f>IF(C21="o",1,0)</f>
        <v>1</v>
      </c>
      <c r="I21" s="16"/>
      <c r="J21" s="16"/>
      <c r="K21" s="1"/>
      <c r="L21" s="1"/>
      <c r="M21" s="6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"/>
      <c r="B22" s="79" t="s">
        <v>49</v>
      </c>
      <c r="C22" s="45" t="s">
        <v>30</v>
      </c>
      <c r="D22" s="45" t="s">
        <v>42</v>
      </c>
      <c r="E22" s="39" t="s">
        <v>26</v>
      </c>
      <c r="F22" s="45">
        <v>1.0</v>
      </c>
      <c r="G22" s="41">
        <f>IF(C22="o",ROUNDDOWN(IF(E22="노멀",14450000,9112500)/F22,0)*IF(D22="o",2,1),"-")</f>
        <v>14450000</v>
      </c>
      <c r="H22" s="16">
        <f>IF(C22="o",1,0)*IF(D22="o",2,1)</f>
        <v>1</v>
      </c>
      <c r="I22" s="16"/>
      <c r="J22" s="16"/>
      <c r="K22" s="1"/>
      <c r="L22" s="1"/>
      <c r="M22" s="6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"/>
      <c r="B23" s="80" t="s">
        <v>50</v>
      </c>
      <c r="C23" s="45" t="s">
        <v>30</v>
      </c>
      <c r="D23" s="39" t="s">
        <v>8</v>
      </c>
      <c r="E23" s="39" t="s">
        <v>39</v>
      </c>
      <c r="F23" s="45">
        <v>1.0</v>
      </c>
      <c r="G23" s="41">
        <f>IF(C23="o",ROUNDDOWN(12800000/F23,0),"-")</f>
        <v>12800000</v>
      </c>
      <c r="H23" s="16">
        <f t="shared" ref="H23:H24" si="5">IF(C23="o",1,0)</f>
        <v>1</v>
      </c>
      <c r="I23" s="16"/>
      <c r="J23" s="16"/>
      <c r="K23" s="1"/>
      <c r="L23" s="1"/>
      <c r="M23" s="6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6.5" customHeight="1">
      <c r="A24" s="1"/>
      <c r="B24" s="81" t="s">
        <v>51</v>
      </c>
      <c r="C24" s="82" t="s">
        <v>30</v>
      </c>
      <c r="D24" s="59" t="s">
        <v>8</v>
      </c>
      <c r="E24" s="59" t="s">
        <v>9</v>
      </c>
      <c r="F24" s="82">
        <v>1.0</v>
      </c>
      <c r="G24" s="83">
        <f>IF(C24="o",ROUNDDOWN(11250000/F24,0),"-")</f>
        <v>11250000</v>
      </c>
      <c r="H24" s="16">
        <f t="shared" si="5"/>
        <v>1</v>
      </c>
      <c r="I24" s="16"/>
      <c r="J24" s="16"/>
      <c r="K24" s="1"/>
      <c r="L24" s="1"/>
      <c r="M24" s="6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84"/>
      <c r="C25" s="16"/>
      <c r="D25" s="16"/>
      <c r="E25" s="16"/>
      <c r="F25" s="16"/>
      <c r="G25" s="23"/>
      <c r="H25" s="16">
        <f>SUM(H4:H24)</f>
        <v>13</v>
      </c>
      <c r="I25" s="16"/>
      <c r="J25" s="16"/>
      <c r="K25" s="1"/>
      <c r="L25" s="1"/>
      <c r="M25" s="6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6.5" customHeight="1">
      <c r="A26" s="1"/>
      <c r="B26" s="85" t="s">
        <v>34</v>
      </c>
      <c r="C26" s="86"/>
      <c r="D26" s="86"/>
      <c r="E26" s="86"/>
      <c r="F26" s="87"/>
      <c r="G26" s="88">
        <f>SUM(G4:G24)</f>
        <v>264668000</v>
      </c>
      <c r="H26" s="89"/>
      <c r="I26" s="89"/>
      <c r="J26" s="89"/>
      <c r="K26" s="89"/>
      <c r="L26" s="1"/>
      <c r="M26" s="6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90"/>
      <c r="M27" s="9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6.5" customHeight="1">
      <c r="A29" s="1"/>
      <c r="B29" s="2" t="s">
        <v>52</v>
      </c>
      <c r="C29" s="3" t="s">
        <v>1</v>
      </c>
      <c r="D29" s="3" t="s">
        <v>2</v>
      </c>
      <c r="E29" s="3" t="s">
        <v>3</v>
      </c>
      <c r="F29" s="3" t="s">
        <v>4</v>
      </c>
      <c r="G29" s="4" t="s">
        <v>5</v>
      </c>
      <c r="H29" s="5"/>
      <c r="I29" s="5"/>
      <c r="J29" s="5"/>
      <c r="K29" s="6"/>
      <c r="L29" s="7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6.5" customHeight="1">
      <c r="A30" s="1"/>
      <c r="B30" s="12" t="s">
        <v>7</v>
      </c>
      <c r="C30" s="13"/>
      <c r="D30" s="14" t="s">
        <v>8</v>
      </c>
      <c r="E30" s="14" t="s">
        <v>9</v>
      </c>
      <c r="F30" s="13">
        <v>6.0</v>
      </c>
      <c r="G30" s="15" t="str">
        <f>IF(C30="o",500000000/F30,"-")</f>
        <v>-</v>
      </c>
      <c r="H30" s="16">
        <f>IF(C30="o",1,0)</f>
        <v>0</v>
      </c>
      <c r="I30" s="16"/>
      <c r="J30" s="16"/>
      <c r="K30" s="17"/>
      <c r="L30" s="17"/>
      <c r="M30" s="1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6.5" customHeight="1">
      <c r="A31" s="1"/>
      <c r="B31" s="22"/>
      <c r="C31" s="17"/>
      <c r="D31" s="17"/>
      <c r="E31" s="17"/>
      <c r="F31" s="17"/>
      <c r="G31" s="23"/>
      <c r="H31" s="16"/>
      <c r="I31" s="16"/>
      <c r="J31" s="16"/>
      <c r="K31" s="24" t="s">
        <v>11</v>
      </c>
      <c r="L31" s="25"/>
      <c r="M31" s="26" t="s">
        <v>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6.5" customHeight="1">
      <c r="A32" s="1"/>
      <c r="B32" s="30" t="s">
        <v>13</v>
      </c>
      <c r="C32" s="10"/>
      <c r="D32" s="10"/>
      <c r="E32" s="10"/>
      <c r="F32" s="10"/>
      <c r="G32" s="31"/>
      <c r="H32" s="16"/>
      <c r="I32" s="16"/>
      <c r="J32" s="16"/>
      <c r="K32" s="32" t="s">
        <v>14</v>
      </c>
      <c r="L32" s="33">
        <v>7.0</v>
      </c>
      <c r="M32" s="34">
        <f>2664500*L32</f>
        <v>18651500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6.5" customHeight="1">
      <c r="A33" s="1"/>
      <c r="B33" s="36" t="s">
        <v>16</v>
      </c>
      <c r="C33" s="37"/>
      <c r="D33" s="38" t="s">
        <v>8</v>
      </c>
      <c r="E33" s="39" t="s">
        <v>9</v>
      </c>
      <c r="F33" s="40">
        <v>6.0</v>
      </c>
      <c r="G33" s="41" t="str">
        <f>IF(C33="o",ROUNDDOWN(IF(E33="하드",110450000,46512500)/F33,0),"-")</f>
        <v>-</v>
      </c>
      <c r="H33" s="16">
        <f t="shared" ref="H33:H37" si="6">IF(C33="o",1,0)</f>
        <v>0</v>
      </c>
      <c r="I33" s="16"/>
      <c r="J33" s="16"/>
      <c r="K33" s="42" t="s">
        <v>17</v>
      </c>
      <c r="L33" s="39">
        <v>7.0</v>
      </c>
      <c r="M33" s="43">
        <f>2592000*L33</f>
        <v>18144000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6.5" customHeight="1">
      <c r="A34" s="1"/>
      <c r="B34" s="44" t="s">
        <v>19</v>
      </c>
      <c r="C34" s="45"/>
      <c r="D34" s="39" t="s">
        <v>8</v>
      </c>
      <c r="E34" s="45" t="s">
        <v>9</v>
      </c>
      <c r="F34" s="45">
        <v>6.0</v>
      </c>
      <c r="G34" s="41" t="str">
        <f>IF(C34="o",ROUNDDOWN(IF(E34="하드",96800000,52812500)/F34,0),"-")</f>
        <v>-</v>
      </c>
      <c r="H34" s="16">
        <f t="shared" si="6"/>
        <v>0</v>
      </c>
      <c r="I34" s="16"/>
      <c r="J34" s="16"/>
      <c r="K34" s="42" t="s">
        <v>20</v>
      </c>
      <c r="L34" s="39">
        <v>7.0</v>
      </c>
      <c r="M34" s="43">
        <f>2520500*L34</f>
        <v>17643500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6.5" customHeight="1">
      <c r="A35" s="1"/>
      <c r="B35" s="46" t="s">
        <v>22</v>
      </c>
      <c r="C35" s="45"/>
      <c r="D35" s="39" t="s">
        <v>8</v>
      </c>
      <c r="E35" s="45" t="s">
        <v>9</v>
      </c>
      <c r="F35" s="45">
        <v>6.0</v>
      </c>
      <c r="G35" s="41" t="str">
        <f>IF(C35="o",ROUNDDOWN(IF(E35="하드",92450000,49612500)/F35,0),"-")</f>
        <v>-</v>
      </c>
      <c r="H35" s="16">
        <f t="shared" si="6"/>
        <v>0</v>
      </c>
      <c r="I35" s="16"/>
      <c r="J35" s="16"/>
      <c r="K35" s="42" t="s">
        <v>23</v>
      </c>
      <c r="L35" s="39">
        <v>7.0</v>
      </c>
      <c r="M35" s="43">
        <f>2450000*L35</f>
        <v>17150000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6.5" customHeight="1">
      <c r="A36" s="1"/>
      <c r="B36" s="47" t="s">
        <v>25</v>
      </c>
      <c r="C36" s="45"/>
      <c r="D36" s="39" t="s">
        <v>8</v>
      </c>
      <c r="E36" s="45" t="s">
        <v>26</v>
      </c>
      <c r="F36" s="45">
        <v>6.0</v>
      </c>
      <c r="G36" s="41" t="str">
        <f>IF(C36="o",ROUNDDOWN(IF(E36="하드",88200000,46512500)/F36,0),"-")</f>
        <v>-</v>
      </c>
      <c r="H36" s="16">
        <f t="shared" si="6"/>
        <v>0</v>
      </c>
      <c r="I36" s="16"/>
      <c r="J36" s="16"/>
      <c r="K36" s="42" t="s">
        <v>27</v>
      </c>
      <c r="L36" s="39">
        <v>7.0</v>
      </c>
      <c r="M36" s="43">
        <f>1404500*L36</f>
        <v>9831500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51" t="s">
        <v>29</v>
      </c>
      <c r="C37" s="45"/>
      <c r="D37" s="39" t="s">
        <v>8</v>
      </c>
      <c r="E37" s="52" t="s">
        <v>9</v>
      </c>
      <c r="F37" s="92">
        <v>4.0</v>
      </c>
      <c r="G37" s="41" t="str">
        <f>IF(C37="o",ROUNDDOWN(IF(E37="하드",80000000,if(E37="노멀",40612500,35112500))/F37,0),"-")</f>
        <v>-</v>
      </c>
      <c r="H37" s="16">
        <f t="shared" si="6"/>
        <v>0</v>
      </c>
      <c r="I37" s="16"/>
      <c r="J37" s="16"/>
      <c r="K37" s="42" t="s">
        <v>31</v>
      </c>
      <c r="L37" s="39">
        <v>0.0</v>
      </c>
      <c r="M37" s="43">
        <f>1352000*L37</f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51" t="s">
        <v>32</v>
      </c>
      <c r="C38" s="45"/>
      <c r="D38" s="39" t="s">
        <v>8</v>
      </c>
      <c r="E38" s="45" t="s">
        <v>26</v>
      </c>
      <c r="F38" s="45">
        <v>4.0</v>
      </c>
      <c r="G38" s="41" t="str">
        <f>IF(C38="o",ROUNDDOWN(IF(E38="하드",90312500,34322000)/F38,0),"-")</f>
        <v>-</v>
      </c>
      <c r="H38" s="16"/>
      <c r="I38" s="16"/>
      <c r="J38" s="16"/>
      <c r="K38" s="42" t="s">
        <v>33</v>
      </c>
      <c r="L38" s="39">
        <v>0.0</v>
      </c>
      <c r="M38" s="43">
        <f>1250000*L38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6.5" customHeight="1">
      <c r="A39" s="1"/>
      <c r="B39" s="57" t="s">
        <v>35</v>
      </c>
      <c r="C39" s="45" t="s">
        <v>30</v>
      </c>
      <c r="D39" s="39" t="s">
        <v>8</v>
      </c>
      <c r="E39" s="45" t="s">
        <v>9</v>
      </c>
      <c r="F39" s="45">
        <v>3.0</v>
      </c>
      <c r="G39" s="41">
        <f>IF(C39="o",ROUNDDOWN(IF(E39="하드",70312500,33800000)/F39,0),"-")</f>
        <v>23437500</v>
      </c>
      <c r="H39" s="16">
        <f t="shared" ref="H39:H41" si="7">IF(C39="o",1,0)</f>
        <v>1</v>
      </c>
      <c r="I39" s="16"/>
      <c r="J39" s="16"/>
      <c r="K39" s="58" t="s">
        <v>36</v>
      </c>
      <c r="L39" s="59">
        <v>0.0</v>
      </c>
      <c r="M39" s="60">
        <f>968000*L39</f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6.5" customHeight="1">
      <c r="A40" s="1"/>
      <c r="B40" s="64" t="s">
        <v>37</v>
      </c>
      <c r="C40" s="45" t="s">
        <v>30</v>
      </c>
      <c r="D40" s="39" t="s">
        <v>8</v>
      </c>
      <c r="E40" s="45" t="s">
        <v>9</v>
      </c>
      <c r="F40" s="45">
        <v>3.0</v>
      </c>
      <c r="G40" s="41">
        <f>IF(C40="o",ROUNDDOWN(IF(E40="하드",74112500,32512500)/F40,0),"-")</f>
        <v>24704166</v>
      </c>
      <c r="H40" s="16">
        <f t="shared" si="7"/>
        <v>1</v>
      </c>
      <c r="I40" s="16"/>
      <c r="J40" s="16"/>
      <c r="K40" s="1"/>
      <c r="L40" s="1"/>
      <c r="M40" s="6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6.5" customHeight="1">
      <c r="A41" s="1"/>
      <c r="B41" s="69" t="s">
        <v>38</v>
      </c>
      <c r="C41" s="93"/>
      <c r="D41" s="39" t="s">
        <v>8</v>
      </c>
      <c r="E41" s="39" t="s">
        <v>39</v>
      </c>
      <c r="F41" s="45">
        <v>1.0</v>
      </c>
      <c r="G41" s="41" t="str">
        <f>IF(C41="o",ROUNDDOWN(26450000/F41,0),"-")</f>
        <v>-</v>
      </c>
      <c r="H41" s="16">
        <f t="shared" si="7"/>
        <v>0</v>
      </c>
      <c r="I41" s="16"/>
      <c r="J41" s="16"/>
      <c r="K41" s="16"/>
      <c r="L41" s="16"/>
      <c r="M41" s="6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6.5" customHeight="1">
      <c r="A42" s="1"/>
      <c r="B42" s="71" t="s">
        <v>41</v>
      </c>
      <c r="C42" s="45" t="s">
        <v>30</v>
      </c>
      <c r="D42" s="45" t="s">
        <v>42</v>
      </c>
      <c r="E42" s="39" t="s">
        <v>39</v>
      </c>
      <c r="F42" s="45">
        <v>1.0</v>
      </c>
      <c r="G42" s="41">
        <f>IF(C42="o",ROUNDDOWN(21012500/F42,0)*IF(D42="o",2,1),"-")</f>
        <v>21012500</v>
      </c>
      <c r="H42" s="16">
        <f t="shared" ref="H42:H46" si="8">IF(C42="o",1,0)*IF(D42="o",2,1)</f>
        <v>1</v>
      </c>
      <c r="I42" s="16"/>
      <c r="J42" s="16"/>
      <c r="K42" s="72" t="s">
        <v>34</v>
      </c>
      <c r="L42" s="73">
        <f>SUM(M32:M39)</f>
        <v>81420500</v>
      </c>
      <c r="M42" s="7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6.5" customHeight="1">
      <c r="A43" s="1"/>
      <c r="B43" s="71" t="s">
        <v>43</v>
      </c>
      <c r="C43" s="45"/>
      <c r="D43" s="45" t="s">
        <v>42</v>
      </c>
      <c r="E43" s="39" t="s">
        <v>9</v>
      </c>
      <c r="F43" s="45">
        <v>1.0</v>
      </c>
      <c r="G43" s="41" t="str">
        <f>IF(C43="o",ROUNDDOWN(19012500/F43,0)*IF(D43="o",2,1),"-")</f>
        <v>-</v>
      </c>
      <c r="H43" s="16">
        <f t="shared" si="8"/>
        <v>0</v>
      </c>
      <c r="I43" s="16"/>
      <c r="J43" s="16"/>
      <c r="K43" s="72" t="s">
        <v>44</v>
      </c>
      <c r="L43" s="73">
        <f>SUM(L32:L39)+COUNTA(C33:C30:C50)</f>
        <v>45</v>
      </c>
      <c r="M43" s="7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6.5" customHeight="1">
      <c r="A44" s="1"/>
      <c r="B44" s="75" t="s">
        <v>45</v>
      </c>
      <c r="C44" s="45" t="s">
        <v>30</v>
      </c>
      <c r="D44" s="45" t="s">
        <v>42</v>
      </c>
      <c r="E44" s="39" t="s">
        <v>39</v>
      </c>
      <c r="F44" s="45">
        <v>1.0</v>
      </c>
      <c r="G44" s="41">
        <f t="shared" ref="G44:G46" si="9">IF(C44="o",ROUNDDOWN(16200000/F44,0)*IF(D44="o",2,1),"-")</f>
        <v>16200000</v>
      </c>
      <c r="H44" s="16">
        <f t="shared" si="8"/>
        <v>1</v>
      </c>
      <c r="I44" s="16"/>
      <c r="J44" s="16"/>
      <c r="K44" s="16"/>
      <c r="L44" s="16"/>
      <c r="M44" s="6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6.5" customHeight="1">
      <c r="A45" s="1"/>
      <c r="B45" s="76" t="s">
        <v>53</v>
      </c>
      <c r="C45" s="45" t="s">
        <v>30</v>
      </c>
      <c r="D45" s="45" t="s">
        <v>42</v>
      </c>
      <c r="E45" s="39" t="s">
        <v>39</v>
      </c>
      <c r="F45" s="45">
        <v>1.0</v>
      </c>
      <c r="G45" s="41">
        <f t="shared" si="9"/>
        <v>16200000</v>
      </c>
      <c r="H45" s="16">
        <f t="shared" si="8"/>
        <v>1</v>
      </c>
      <c r="I45" s="16"/>
      <c r="J45" s="16"/>
      <c r="K45" s="94"/>
      <c r="L45" s="95"/>
      <c r="M45" s="9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6.5" customHeight="1">
      <c r="A46" s="1"/>
      <c r="B46" s="77" t="s">
        <v>47</v>
      </c>
      <c r="C46" s="45" t="s">
        <v>30</v>
      </c>
      <c r="D46" s="45" t="s">
        <v>42</v>
      </c>
      <c r="E46" s="39" t="s">
        <v>39</v>
      </c>
      <c r="F46" s="45">
        <v>1.0</v>
      </c>
      <c r="G46" s="41">
        <f t="shared" si="9"/>
        <v>16200000</v>
      </c>
      <c r="H46" s="16">
        <f t="shared" si="8"/>
        <v>1</v>
      </c>
      <c r="I46" s="16"/>
      <c r="J46" s="16"/>
      <c r="K46" s="53"/>
      <c r="L46" s="97"/>
      <c r="M46" s="9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6.5" customHeight="1">
      <c r="A47" s="1"/>
      <c r="B47" s="78" t="s">
        <v>48</v>
      </c>
      <c r="C47" s="45" t="s">
        <v>30</v>
      </c>
      <c r="D47" s="39" t="s">
        <v>8</v>
      </c>
      <c r="E47" s="39" t="s">
        <v>39</v>
      </c>
      <c r="F47" s="45">
        <v>1.0</v>
      </c>
      <c r="G47" s="41">
        <f>IF(C47="o",ROUNDDOWN(16200000/F47,0),"-")</f>
        <v>16200000</v>
      </c>
      <c r="H47" s="16">
        <f>IF(C47="o",1,0)</f>
        <v>1</v>
      </c>
      <c r="I47" s="16"/>
      <c r="J47" s="16"/>
      <c r="K47" s="53"/>
      <c r="L47" s="97"/>
      <c r="M47" s="9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6.5" customHeight="1">
      <c r="A48" s="1"/>
      <c r="B48" s="79" t="s">
        <v>49</v>
      </c>
      <c r="C48" s="45" t="s">
        <v>30</v>
      </c>
      <c r="D48" s="45" t="s">
        <v>42</v>
      </c>
      <c r="E48" s="39" t="s">
        <v>54</v>
      </c>
      <c r="F48" s="45">
        <v>1.0</v>
      </c>
      <c r="G48" s="41">
        <f>IF(C48="o",ROUNDDOWN(IF(E48="노멀",14450000,9112500)/F48,0)*IF(D48="o",2,1),"-")</f>
        <v>9112500</v>
      </c>
      <c r="H48" s="16">
        <f>IF(C48="o",1,0)*IF(D48="o",2,1)</f>
        <v>1</v>
      </c>
      <c r="I48" s="16"/>
      <c r="J48" s="16"/>
      <c r="K48" s="53"/>
      <c r="L48" s="97"/>
      <c r="M48" s="9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6.5" customHeight="1">
      <c r="A49" s="1"/>
      <c r="B49" s="80" t="s">
        <v>50</v>
      </c>
      <c r="C49" s="45" t="s">
        <v>30</v>
      </c>
      <c r="D49" s="39" t="s">
        <v>8</v>
      </c>
      <c r="E49" s="39" t="s">
        <v>39</v>
      </c>
      <c r="F49" s="45">
        <v>1.0</v>
      </c>
      <c r="G49" s="41">
        <f>IF(C49="o",ROUNDDOWN(12800000/F49,0),"-")</f>
        <v>12800000</v>
      </c>
      <c r="H49" s="16">
        <f t="shared" ref="H49:H50" si="10">IF(C49="o",1,0)</f>
        <v>1</v>
      </c>
      <c r="I49" s="16"/>
      <c r="J49" s="16"/>
      <c r="K49" s="53"/>
      <c r="L49" s="16"/>
      <c r="M49" s="6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6.5" customHeight="1">
      <c r="A50" s="1"/>
      <c r="B50" s="81" t="s">
        <v>51</v>
      </c>
      <c r="C50" s="82" t="s">
        <v>30</v>
      </c>
      <c r="D50" s="59" t="s">
        <v>8</v>
      </c>
      <c r="E50" s="59" t="s">
        <v>9</v>
      </c>
      <c r="F50" s="82">
        <v>1.0</v>
      </c>
      <c r="G50" s="83">
        <f>IF(C50="o",ROUNDDOWN(11250000/F50,0),"-")</f>
        <v>11250000</v>
      </c>
      <c r="H50" s="16">
        <f t="shared" si="10"/>
        <v>1</v>
      </c>
      <c r="I50" s="16"/>
      <c r="J50" s="16"/>
      <c r="K50" s="98"/>
      <c r="L50" s="99"/>
      <c r="M50" s="10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6.5" customHeight="1">
      <c r="A51" s="1"/>
      <c r="B51" s="84"/>
      <c r="C51" s="16"/>
      <c r="D51" s="16"/>
      <c r="E51" s="16"/>
      <c r="F51" s="16"/>
      <c r="G51" s="23"/>
      <c r="H51" s="16">
        <f>SUM(H30:H50)</f>
        <v>10</v>
      </c>
      <c r="I51" s="16"/>
      <c r="J51" s="16"/>
      <c r="K51" s="101"/>
      <c r="L51" s="102"/>
      <c r="M51" s="6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6.5" customHeight="1">
      <c r="A52" s="1"/>
      <c r="B52" s="85" t="s">
        <v>34</v>
      </c>
      <c r="C52" s="86"/>
      <c r="D52" s="86"/>
      <c r="E52" s="86"/>
      <c r="F52" s="87"/>
      <c r="G52" s="103">
        <f>SUM(G30:G50)</f>
        <v>167116666</v>
      </c>
      <c r="H52" s="89"/>
      <c r="I52" s="89"/>
      <c r="J52" s="89"/>
      <c r="K52" s="104"/>
      <c r="L52" s="105"/>
      <c r="M52" s="6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6.5" customHeight="1">
      <c r="A55" s="1"/>
      <c r="B55" s="2" t="s">
        <v>55</v>
      </c>
      <c r="C55" s="3" t="s">
        <v>1</v>
      </c>
      <c r="D55" s="3" t="s">
        <v>2</v>
      </c>
      <c r="E55" s="3" t="s">
        <v>3</v>
      </c>
      <c r="F55" s="3" t="s">
        <v>4</v>
      </c>
      <c r="G55" s="4" t="s">
        <v>5</v>
      </c>
      <c r="H55" s="5"/>
      <c r="I55" s="5"/>
      <c r="J55" s="5"/>
      <c r="K55" s="6"/>
      <c r="L55" s="7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6.5" customHeight="1">
      <c r="A56" s="1"/>
      <c r="B56" s="12" t="s">
        <v>7</v>
      </c>
      <c r="C56" s="13"/>
      <c r="D56" s="14" t="s">
        <v>8</v>
      </c>
      <c r="E56" s="14" t="s">
        <v>9</v>
      </c>
      <c r="F56" s="13">
        <v>6.0</v>
      </c>
      <c r="G56" s="15" t="str">
        <f>IF(C56="o",500000000/F56,"-")</f>
        <v>-</v>
      </c>
      <c r="H56" s="16">
        <f>IF(C56="o",1,0)</f>
        <v>0</v>
      </c>
      <c r="I56" s="16"/>
      <c r="J56" s="16"/>
      <c r="K56" s="17"/>
      <c r="L56" s="17"/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6.5" customHeight="1">
      <c r="A57" s="1"/>
      <c r="B57" s="22"/>
      <c r="C57" s="17"/>
      <c r="D57" s="17"/>
      <c r="E57" s="17"/>
      <c r="F57" s="17"/>
      <c r="G57" s="23"/>
      <c r="H57" s="16"/>
      <c r="I57" s="16"/>
      <c r="J57" s="16"/>
      <c r="K57" s="24" t="s">
        <v>11</v>
      </c>
      <c r="L57" s="25"/>
      <c r="M57" s="26" t="s">
        <v>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6.5" customHeight="1">
      <c r="A58" s="1"/>
      <c r="B58" s="30" t="s">
        <v>13</v>
      </c>
      <c r="C58" s="10"/>
      <c r="D58" s="10"/>
      <c r="E58" s="10"/>
      <c r="F58" s="10"/>
      <c r="G58" s="31"/>
      <c r="H58" s="16"/>
      <c r="I58" s="16"/>
      <c r="J58" s="16"/>
      <c r="K58" s="32" t="s">
        <v>14</v>
      </c>
      <c r="L58" s="33">
        <v>7.0</v>
      </c>
      <c r="M58" s="34">
        <f>2664500*L58</f>
        <v>18651500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6.5" customHeight="1">
      <c r="A59" s="1"/>
      <c r="B59" s="36" t="s">
        <v>16</v>
      </c>
      <c r="C59" s="37"/>
      <c r="D59" s="38" t="s">
        <v>8</v>
      </c>
      <c r="E59" s="39" t="s">
        <v>9</v>
      </c>
      <c r="F59" s="40">
        <v>6.0</v>
      </c>
      <c r="G59" s="41" t="str">
        <f>IF(C59="o",ROUNDDOWN(IF(E59="하드",110450000,46512500)/F59,0),"-")</f>
        <v>-</v>
      </c>
      <c r="H59" s="16">
        <f t="shared" ref="H59:H63" si="11">IF(C59="o",1,0)</f>
        <v>0</v>
      </c>
      <c r="I59" s="16"/>
      <c r="J59" s="16"/>
      <c r="K59" s="42" t="s">
        <v>17</v>
      </c>
      <c r="L59" s="39">
        <v>7.0</v>
      </c>
      <c r="M59" s="43">
        <f>2592000*L59</f>
        <v>18144000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6.5" customHeight="1">
      <c r="A60" s="1"/>
      <c r="B60" s="44" t="s">
        <v>19</v>
      </c>
      <c r="C60" s="45"/>
      <c r="D60" s="39" t="s">
        <v>8</v>
      </c>
      <c r="E60" s="45" t="s">
        <v>9</v>
      </c>
      <c r="F60" s="45">
        <v>6.0</v>
      </c>
      <c r="G60" s="41" t="str">
        <f>IF(C60="o",ROUNDDOWN(IF(E60="하드",96800000,52812500)/F60,0),"-")</f>
        <v>-</v>
      </c>
      <c r="H60" s="16">
        <f t="shared" si="11"/>
        <v>0</v>
      </c>
      <c r="I60" s="16"/>
      <c r="J60" s="16"/>
      <c r="K60" s="42" t="s">
        <v>20</v>
      </c>
      <c r="L60" s="39">
        <v>7.0</v>
      </c>
      <c r="M60" s="43">
        <f>2520500*L60</f>
        <v>17643500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6.5" customHeight="1">
      <c r="A61" s="1"/>
      <c r="B61" s="46" t="s">
        <v>22</v>
      </c>
      <c r="C61" s="45"/>
      <c r="D61" s="39" t="s">
        <v>8</v>
      </c>
      <c r="E61" s="45" t="s">
        <v>9</v>
      </c>
      <c r="F61" s="45">
        <v>6.0</v>
      </c>
      <c r="G61" s="41" t="str">
        <f>IF(C61="o",ROUNDDOWN(IF(E61="하드",92450000,49612500)/F61,0),"-")</f>
        <v>-</v>
      </c>
      <c r="H61" s="16">
        <f t="shared" si="11"/>
        <v>0</v>
      </c>
      <c r="I61" s="16"/>
      <c r="J61" s="16"/>
      <c r="K61" s="42" t="s">
        <v>23</v>
      </c>
      <c r="L61" s="39">
        <v>7.0</v>
      </c>
      <c r="M61" s="43">
        <f>2450000*L61</f>
        <v>17150000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6.5" customHeight="1">
      <c r="A62" s="1"/>
      <c r="B62" s="47" t="s">
        <v>25</v>
      </c>
      <c r="C62" s="45"/>
      <c r="D62" s="39" t="s">
        <v>8</v>
      </c>
      <c r="E62" s="45" t="s">
        <v>26</v>
      </c>
      <c r="F62" s="45">
        <v>6.0</v>
      </c>
      <c r="G62" s="41" t="str">
        <f>IF(C62="o",ROUNDDOWN(IF(E62="하드",88200000,46512500)/F62,0),"-")</f>
        <v>-</v>
      </c>
      <c r="H62" s="16">
        <f t="shared" si="11"/>
        <v>0</v>
      </c>
      <c r="I62" s="16"/>
      <c r="J62" s="16"/>
      <c r="K62" s="42" t="s">
        <v>27</v>
      </c>
      <c r="L62" s="39">
        <v>7.0</v>
      </c>
      <c r="M62" s="43">
        <f>1404500*L62</f>
        <v>9831500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6.5" customHeight="1">
      <c r="A63" s="1"/>
      <c r="B63" s="51" t="s">
        <v>29</v>
      </c>
      <c r="C63" s="45"/>
      <c r="D63" s="39" t="s">
        <v>8</v>
      </c>
      <c r="E63" s="52" t="s">
        <v>9</v>
      </c>
      <c r="F63" s="92">
        <v>4.0</v>
      </c>
      <c r="G63" s="41" t="str">
        <f>IF(C63="o",ROUNDDOWN(If(E63="하드",80000000,if(E63="노멀",40612500,35112500))/F63,0),"-")</f>
        <v>-</v>
      </c>
      <c r="H63" s="16">
        <f t="shared" si="11"/>
        <v>0</v>
      </c>
      <c r="I63" s="16"/>
      <c r="J63" s="16"/>
      <c r="K63" s="42" t="s">
        <v>31</v>
      </c>
      <c r="L63" s="39">
        <v>7.0</v>
      </c>
      <c r="M63" s="43">
        <f>1352000*L63</f>
        <v>9464000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6.5" customHeight="1">
      <c r="A64" s="1"/>
      <c r="B64" s="51" t="s">
        <v>32</v>
      </c>
      <c r="C64" s="45"/>
      <c r="D64" s="39" t="s">
        <v>8</v>
      </c>
      <c r="E64" s="45" t="s">
        <v>26</v>
      </c>
      <c r="F64" s="45">
        <v>4.0</v>
      </c>
      <c r="G64" s="41" t="str">
        <f>IF(C64="o",ROUNDDOWN(IF(E64="하드",90312500,34322000)/F64,0),"-")</f>
        <v>-</v>
      </c>
      <c r="H64" s="16"/>
      <c r="I64" s="16"/>
      <c r="J64" s="16"/>
      <c r="K64" s="42" t="s">
        <v>33</v>
      </c>
      <c r="L64" s="39">
        <v>0.0</v>
      </c>
      <c r="M64" s="43">
        <f>1250000*L64</f>
        <v>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6.5" customHeight="1">
      <c r="A65" s="1"/>
      <c r="B65" s="57" t="s">
        <v>35</v>
      </c>
      <c r="C65" s="45"/>
      <c r="D65" s="39" t="s">
        <v>8</v>
      </c>
      <c r="E65" s="45" t="s">
        <v>26</v>
      </c>
      <c r="F65" s="45">
        <v>1.0</v>
      </c>
      <c r="G65" s="41" t="str">
        <f>IF(C65="o",ROUNDDOWN(IF(E65="하드",70312500,33800000)/F65,0),"-")</f>
        <v>-</v>
      </c>
      <c r="H65" s="16">
        <f t="shared" ref="H65:H67" si="12">IF(C65="o",1,0)</f>
        <v>0</v>
      </c>
      <c r="I65" s="16"/>
      <c r="J65" s="16"/>
      <c r="K65" s="58" t="s">
        <v>36</v>
      </c>
      <c r="L65" s="59"/>
      <c r="M65" s="60">
        <f>968000*L65</f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6.5" customHeight="1">
      <c r="A66" s="1"/>
      <c r="B66" s="64" t="s">
        <v>37</v>
      </c>
      <c r="C66" s="45"/>
      <c r="D66" s="39" t="s">
        <v>8</v>
      </c>
      <c r="E66" s="45" t="s">
        <v>26</v>
      </c>
      <c r="F66" s="45">
        <v>1.0</v>
      </c>
      <c r="G66" s="41" t="str">
        <f>IF(C66="o",ROUNDDOWN(IF(E66="하드",74112500,32512500)/F66,0),"-")</f>
        <v>-</v>
      </c>
      <c r="H66" s="16">
        <f t="shared" si="12"/>
        <v>0</v>
      </c>
      <c r="I66" s="16"/>
      <c r="J66" s="16"/>
      <c r="K66" s="1"/>
      <c r="L66" s="1"/>
      <c r="M66" s="6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6.5" customHeight="1">
      <c r="A67" s="1"/>
      <c r="B67" s="69" t="s">
        <v>38</v>
      </c>
      <c r="C67" s="45"/>
      <c r="D67" s="39" t="s">
        <v>8</v>
      </c>
      <c r="E67" s="39" t="s">
        <v>39</v>
      </c>
      <c r="F67" s="45">
        <v>1.0</v>
      </c>
      <c r="G67" s="41" t="str">
        <f>IF(C67="o",ROUNDDOWN(26450000/F67,0),"-")</f>
        <v>-</v>
      </c>
      <c r="H67" s="16">
        <f t="shared" si="12"/>
        <v>0</v>
      </c>
      <c r="I67" s="16"/>
      <c r="J67" s="16"/>
      <c r="K67" s="16"/>
      <c r="L67" s="16"/>
      <c r="M67" s="6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6.5" customHeight="1">
      <c r="A68" s="1"/>
      <c r="B68" s="71" t="s">
        <v>41</v>
      </c>
      <c r="C68" s="93" t="s">
        <v>30</v>
      </c>
      <c r="D68" s="45" t="s">
        <v>42</v>
      </c>
      <c r="E68" s="39" t="s">
        <v>39</v>
      </c>
      <c r="F68" s="93">
        <v>2.0</v>
      </c>
      <c r="G68" s="41">
        <f>IF(C68="o",ROUNDDOWN(21012500/F68,0)*IF(D68="o",2,1),"-")</f>
        <v>10506250</v>
      </c>
      <c r="H68" s="16">
        <f t="shared" ref="H68:H72" si="13">IF(C68="o",1,0)*IF(D68="o",2,1)</f>
        <v>1</v>
      </c>
      <c r="I68" s="16"/>
      <c r="J68" s="16"/>
      <c r="K68" s="72" t="s">
        <v>34</v>
      </c>
      <c r="L68" s="73">
        <f>SUM(M58:M65)</f>
        <v>90884500</v>
      </c>
      <c r="M68" s="7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6.5" customHeight="1">
      <c r="A69" s="1"/>
      <c r="B69" s="71" t="s">
        <v>43</v>
      </c>
      <c r="C69" s="45"/>
      <c r="D69" s="45" t="s">
        <v>42</v>
      </c>
      <c r="E69" s="39" t="s">
        <v>9</v>
      </c>
      <c r="F69" s="93">
        <v>1.0</v>
      </c>
      <c r="G69" s="41" t="str">
        <f>IF(C69="o",ROUNDDOWN(19012500/F69,0)*IF(D69="o",2,1),"-")</f>
        <v>-</v>
      </c>
      <c r="H69" s="16">
        <f t="shared" si="13"/>
        <v>0</v>
      </c>
      <c r="I69" s="16"/>
      <c r="J69" s="16"/>
      <c r="K69" s="72" t="s">
        <v>44</v>
      </c>
      <c r="L69" s="73">
        <f>SUM(L58:L65)+COUNTA(C59:C56:C76)</f>
        <v>50</v>
      </c>
      <c r="M69" s="7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6.5" customHeight="1">
      <c r="A70" s="1"/>
      <c r="B70" s="75" t="s">
        <v>45</v>
      </c>
      <c r="C70" s="45" t="s">
        <v>30</v>
      </c>
      <c r="D70" s="45" t="s">
        <v>42</v>
      </c>
      <c r="E70" s="39" t="s">
        <v>39</v>
      </c>
      <c r="F70" s="93">
        <v>2.0</v>
      </c>
      <c r="G70" s="41">
        <f t="shared" ref="G70:G72" si="14">IF(C70="o",ROUNDDOWN(16200000/F70,0)*IF(D70="o",2,1),"-")</f>
        <v>8100000</v>
      </c>
      <c r="H70" s="16">
        <f t="shared" si="13"/>
        <v>1</v>
      </c>
      <c r="I70" s="16"/>
      <c r="J70" s="16"/>
      <c r="K70" s="16"/>
      <c r="L70" s="16"/>
      <c r="M70" s="6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6.5" customHeight="1">
      <c r="A71" s="1"/>
      <c r="B71" s="76" t="s">
        <v>56</v>
      </c>
      <c r="C71" s="93" t="s">
        <v>30</v>
      </c>
      <c r="D71" s="45" t="s">
        <v>42</v>
      </c>
      <c r="E71" s="39" t="s">
        <v>39</v>
      </c>
      <c r="F71" s="93">
        <v>2.0</v>
      </c>
      <c r="G71" s="41">
        <f t="shared" si="14"/>
        <v>8100000</v>
      </c>
      <c r="H71" s="16">
        <f t="shared" si="13"/>
        <v>1</v>
      </c>
      <c r="I71" s="16"/>
      <c r="J71" s="16"/>
      <c r="K71" s="94"/>
      <c r="L71" s="95"/>
      <c r="M71" s="9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6.5" customHeight="1">
      <c r="A72" s="1"/>
      <c r="B72" s="77" t="s">
        <v>47</v>
      </c>
      <c r="C72" s="93" t="s">
        <v>42</v>
      </c>
      <c r="D72" s="45" t="s">
        <v>42</v>
      </c>
      <c r="E72" s="39" t="s">
        <v>39</v>
      </c>
      <c r="F72" s="45">
        <v>1.0</v>
      </c>
      <c r="G72" s="41" t="str">
        <f t="shared" si="14"/>
        <v>-</v>
      </c>
      <c r="H72" s="16">
        <f t="shared" si="13"/>
        <v>0</v>
      </c>
      <c r="I72" s="16"/>
      <c r="J72" s="16"/>
      <c r="K72" s="53"/>
      <c r="L72" s="97"/>
      <c r="M72" s="9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6.5" customHeight="1">
      <c r="A73" s="1"/>
      <c r="B73" s="78" t="s">
        <v>48</v>
      </c>
      <c r="C73" s="45" t="s">
        <v>30</v>
      </c>
      <c r="D73" s="39" t="s">
        <v>8</v>
      </c>
      <c r="E73" s="39" t="s">
        <v>39</v>
      </c>
      <c r="F73" s="45">
        <v>1.0</v>
      </c>
      <c r="G73" s="41">
        <f>IF(C73="o",ROUNDDOWN(16200000/F73,0),"-")</f>
        <v>16200000</v>
      </c>
      <c r="H73" s="16">
        <f>IF(C73="o",1,0)</f>
        <v>1</v>
      </c>
      <c r="I73" s="16"/>
      <c r="J73" s="16"/>
      <c r="K73" s="53"/>
      <c r="L73" s="97"/>
      <c r="M73" s="9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6.5" customHeight="1">
      <c r="A74" s="1"/>
      <c r="B74" s="79" t="s">
        <v>49</v>
      </c>
      <c r="C74" s="45" t="s">
        <v>30</v>
      </c>
      <c r="D74" s="45" t="s">
        <v>42</v>
      </c>
      <c r="E74" s="39" t="s">
        <v>54</v>
      </c>
      <c r="F74" s="45">
        <v>1.0</v>
      </c>
      <c r="G74" s="41">
        <f>IF(C74="o",ROUNDDOWN(IF(E74="노멀",14450000,9112500)/F74,0)*IF(D74="o",2,1),"-")</f>
        <v>9112500</v>
      </c>
      <c r="H74" s="16">
        <f>IF(C74="o",1,0)*IF(D74="o",2,1)</f>
        <v>1</v>
      </c>
      <c r="I74" s="16"/>
      <c r="J74" s="16"/>
      <c r="K74" s="53"/>
      <c r="L74" s="97"/>
      <c r="M74" s="9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6.5" customHeight="1">
      <c r="A75" s="1"/>
      <c r="B75" s="80" t="s">
        <v>50</v>
      </c>
      <c r="C75" s="93" t="s">
        <v>42</v>
      </c>
      <c r="D75" s="39" t="s">
        <v>8</v>
      </c>
      <c r="E75" s="39" t="s">
        <v>39</v>
      </c>
      <c r="F75" s="45">
        <v>1.0</v>
      </c>
      <c r="G75" s="41" t="str">
        <f>IF(C75="o",ROUNDDOWN(12800000/F75,0),"-")</f>
        <v>-</v>
      </c>
      <c r="H75" s="16">
        <f t="shared" ref="H75:H76" si="15">IF(C75="o",1,0)</f>
        <v>0</v>
      </c>
      <c r="I75" s="16"/>
      <c r="J75" s="16"/>
      <c r="K75" s="53"/>
      <c r="L75" s="16"/>
      <c r="M75" s="6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6.5" customHeight="1">
      <c r="A76" s="1"/>
      <c r="B76" s="81" t="s">
        <v>51</v>
      </c>
      <c r="C76" s="82" t="s">
        <v>30</v>
      </c>
      <c r="D76" s="59" t="s">
        <v>8</v>
      </c>
      <c r="E76" s="59" t="s">
        <v>9</v>
      </c>
      <c r="F76" s="82">
        <v>1.0</v>
      </c>
      <c r="G76" s="83">
        <f>IF(C76="o",ROUNDDOWN(11250000/F76,0),"-")</f>
        <v>11250000</v>
      </c>
      <c r="H76" s="16">
        <f t="shared" si="15"/>
        <v>1</v>
      </c>
      <c r="I76" s="16"/>
      <c r="J76" s="16"/>
      <c r="K76" s="98"/>
      <c r="L76" s="99"/>
      <c r="M76" s="10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6.5" customHeight="1">
      <c r="A77" s="1"/>
      <c r="B77" s="84"/>
      <c r="C77" s="16"/>
      <c r="D77" s="16"/>
      <c r="E77" s="16"/>
      <c r="F77" s="16"/>
      <c r="G77" s="23"/>
      <c r="H77" s="16">
        <f>SUM(H56:H76)</f>
        <v>6</v>
      </c>
      <c r="I77" s="16"/>
      <c r="J77" s="16"/>
      <c r="K77" s="101"/>
      <c r="L77" s="102"/>
      <c r="M77" s="6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6.5" customHeight="1">
      <c r="A78" s="1"/>
      <c r="B78" s="85" t="s">
        <v>34</v>
      </c>
      <c r="C78" s="86"/>
      <c r="D78" s="86"/>
      <c r="E78" s="86"/>
      <c r="F78" s="87"/>
      <c r="G78" s="103">
        <f>SUM(G56:G76)</f>
        <v>63268750</v>
      </c>
      <c r="H78" s="89"/>
      <c r="I78" s="89"/>
      <c r="J78" s="89"/>
      <c r="K78" s="104"/>
      <c r="L78" s="105"/>
      <c r="M78" s="6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6.5" customHeight="1">
      <c r="A81" s="1"/>
      <c r="B81" s="2" t="s">
        <v>57</v>
      </c>
      <c r="C81" s="3" t="s">
        <v>1</v>
      </c>
      <c r="D81" s="3" t="s">
        <v>2</v>
      </c>
      <c r="E81" s="3" t="s">
        <v>3</v>
      </c>
      <c r="F81" s="3" t="s">
        <v>4</v>
      </c>
      <c r="G81" s="4" t="s">
        <v>5</v>
      </c>
      <c r="H81" s="5"/>
      <c r="I81" s="5"/>
      <c r="J81" s="5"/>
      <c r="K81" s="6"/>
      <c r="L81" s="7"/>
      <c r="M81" s="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6.5" customHeight="1">
      <c r="A82" s="1"/>
      <c r="B82" s="12" t="s">
        <v>7</v>
      </c>
      <c r="C82" s="13"/>
      <c r="D82" s="14" t="s">
        <v>8</v>
      </c>
      <c r="E82" s="14" t="s">
        <v>9</v>
      </c>
      <c r="F82" s="13">
        <v>6.0</v>
      </c>
      <c r="G82" s="15" t="str">
        <f>IF(C82="o",500000000/F82,"-")</f>
        <v>-</v>
      </c>
      <c r="H82" s="16">
        <f>IF(C82="o",1,0)</f>
        <v>0</v>
      </c>
      <c r="I82" s="16"/>
      <c r="J82" s="16"/>
      <c r="K82" s="17"/>
      <c r="L82" s="17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6.5" customHeight="1">
      <c r="A83" s="1"/>
      <c r="B83" s="22"/>
      <c r="C83" s="17"/>
      <c r="D83" s="17"/>
      <c r="E83" s="17"/>
      <c r="F83" s="17"/>
      <c r="G83" s="23"/>
      <c r="H83" s="16"/>
      <c r="I83" s="16"/>
      <c r="J83" s="16"/>
      <c r="K83" s="24" t="s">
        <v>11</v>
      </c>
      <c r="L83" s="25"/>
      <c r="M83" s="26" t="s">
        <v>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6.5" customHeight="1">
      <c r="A84" s="1"/>
      <c r="B84" s="30" t="s">
        <v>13</v>
      </c>
      <c r="C84" s="10"/>
      <c r="D84" s="10"/>
      <c r="E84" s="10"/>
      <c r="F84" s="10"/>
      <c r="G84" s="31"/>
      <c r="H84" s="16"/>
      <c r="I84" s="16"/>
      <c r="J84" s="16"/>
      <c r="K84" s="32" t="s">
        <v>14</v>
      </c>
      <c r="L84" s="33">
        <v>7.0</v>
      </c>
      <c r="M84" s="34">
        <f>2664500*L84</f>
        <v>18651500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6.5" customHeight="1">
      <c r="A85" s="1"/>
      <c r="B85" s="36" t="s">
        <v>16</v>
      </c>
      <c r="C85" s="37"/>
      <c r="D85" s="38" t="s">
        <v>8</v>
      </c>
      <c r="E85" s="39" t="s">
        <v>9</v>
      </c>
      <c r="F85" s="40">
        <v>6.0</v>
      </c>
      <c r="G85" s="41" t="str">
        <f>IF(C85="o",ROUNDDOWN(IF(E85="하드",110450000,46512500)/F85,0),"-")</f>
        <v>-</v>
      </c>
      <c r="H85" s="16">
        <f t="shared" ref="H85:H89" si="16">IF(C85="o",1,0)</f>
        <v>0</v>
      </c>
      <c r="I85" s="16"/>
      <c r="J85" s="16"/>
      <c r="K85" s="42" t="s">
        <v>17</v>
      </c>
      <c r="L85" s="39">
        <v>7.0</v>
      </c>
      <c r="M85" s="43">
        <f>2592000*L85</f>
        <v>18144000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6.5" customHeight="1">
      <c r="A86" s="1"/>
      <c r="B86" s="44" t="s">
        <v>19</v>
      </c>
      <c r="C86" s="45"/>
      <c r="D86" s="39" t="s">
        <v>8</v>
      </c>
      <c r="E86" s="45" t="s">
        <v>9</v>
      </c>
      <c r="F86" s="45">
        <v>6.0</v>
      </c>
      <c r="G86" s="41" t="str">
        <f>IF(C86="o",ROUNDDOWN(IF(E86="하드",96800000,52812500)/F86,0),"-")</f>
        <v>-</v>
      </c>
      <c r="H86" s="16">
        <f t="shared" si="16"/>
        <v>0</v>
      </c>
      <c r="I86" s="16"/>
      <c r="J86" s="16"/>
      <c r="K86" s="42" t="s">
        <v>20</v>
      </c>
      <c r="L86" s="39">
        <v>7.0</v>
      </c>
      <c r="M86" s="43">
        <f>2520500*L86</f>
        <v>17643500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6.5" customHeight="1">
      <c r="A87" s="1"/>
      <c r="B87" s="46" t="s">
        <v>22</v>
      </c>
      <c r="C87" s="45"/>
      <c r="D87" s="39" t="s">
        <v>8</v>
      </c>
      <c r="E87" s="45" t="s">
        <v>9</v>
      </c>
      <c r="F87" s="45">
        <v>6.0</v>
      </c>
      <c r="G87" s="41" t="str">
        <f>IF(C87="o",ROUNDDOWN(IF(E87="하드",92450000,49612500)/F87,0),"-")</f>
        <v>-</v>
      </c>
      <c r="H87" s="16">
        <f t="shared" si="16"/>
        <v>0</v>
      </c>
      <c r="I87" s="16"/>
      <c r="J87" s="16"/>
      <c r="K87" s="42" t="s">
        <v>23</v>
      </c>
      <c r="L87" s="39">
        <v>7.0</v>
      </c>
      <c r="M87" s="43">
        <f>2450000*L87</f>
        <v>17150000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6.5" customHeight="1">
      <c r="A88" s="1"/>
      <c r="B88" s="47" t="s">
        <v>25</v>
      </c>
      <c r="C88" s="45"/>
      <c r="D88" s="39" t="s">
        <v>8</v>
      </c>
      <c r="E88" s="45" t="s">
        <v>26</v>
      </c>
      <c r="F88" s="45">
        <v>6.0</v>
      </c>
      <c r="G88" s="41" t="str">
        <f>IF(C88="o",ROUNDDOWN(IF(E88="하드",88200000,46512500)/F88,0),"-")</f>
        <v>-</v>
      </c>
      <c r="H88" s="16">
        <f t="shared" si="16"/>
        <v>0</v>
      </c>
      <c r="I88" s="16"/>
      <c r="J88" s="16"/>
      <c r="K88" s="42" t="s">
        <v>27</v>
      </c>
      <c r="L88" s="39">
        <v>0.0</v>
      </c>
      <c r="M88" s="43">
        <f>1404500*L88</f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6.5" customHeight="1">
      <c r="A89" s="1"/>
      <c r="B89" s="51" t="s">
        <v>29</v>
      </c>
      <c r="C89" s="45"/>
      <c r="D89" s="39" t="s">
        <v>8</v>
      </c>
      <c r="E89" s="52" t="s">
        <v>9</v>
      </c>
      <c r="F89" s="92">
        <v>4.0</v>
      </c>
      <c r="G89" s="41" t="str">
        <f>IF(C89="o",ROUNDDOWN(IF(E89="하드",80000000,if(E89="노멀",40612500,35112500))/F89,0),"-")</f>
        <v>-</v>
      </c>
      <c r="H89" s="16">
        <f t="shared" si="16"/>
        <v>0</v>
      </c>
      <c r="I89" s="16"/>
      <c r="J89" s="16"/>
      <c r="K89" s="42" t="s">
        <v>31</v>
      </c>
      <c r="L89" s="39">
        <v>0.0</v>
      </c>
      <c r="M89" s="43">
        <f>1352000*L89</f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6.5" customHeight="1">
      <c r="A90" s="1"/>
      <c r="B90" s="51" t="s">
        <v>32</v>
      </c>
      <c r="C90" s="45"/>
      <c r="D90" s="39" t="s">
        <v>8</v>
      </c>
      <c r="E90" s="45" t="s">
        <v>26</v>
      </c>
      <c r="F90" s="45">
        <v>4.0</v>
      </c>
      <c r="G90" s="41" t="str">
        <f>IF(C90="o",ROUNDDOWN(IF(E90="하드",90312500,34322000)/F90,0),"-")</f>
        <v>-</v>
      </c>
      <c r="H90" s="16"/>
      <c r="I90" s="16"/>
      <c r="J90" s="16"/>
      <c r="K90" s="42" t="s">
        <v>33</v>
      </c>
      <c r="L90" s="39">
        <v>0.0</v>
      </c>
      <c r="M90" s="43">
        <f>1250000*L90</f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6.5" customHeight="1">
      <c r="A91" s="1"/>
      <c r="B91" s="57" t="s">
        <v>35</v>
      </c>
      <c r="C91" s="45" t="s">
        <v>30</v>
      </c>
      <c r="D91" s="39" t="s">
        <v>8</v>
      </c>
      <c r="E91" s="45" t="s">
        <v>26</v>
      </c>
      <c r="F91" s="45">
        <v>1.0</v>
      </c>
      <c r="G91" s="41">
        <f>IF(C91="o",ROUNDDOWN(IF(E91="하드",70312500,33800000)/F91,0),"-")</f>
        <v>33800000</v>
      </c>
      <c r="H91" s="16">
        <f t="shared" ref="H91:H93" si="17">IF(C91="o",1,0)</f>
        <v>1</v>
      </c>
      <c r="I91" s="16"/>
      <c r="J91" s="16"/>
      <c r="K91" s="58" t="s">
        <v>36</v>
      </c>
      <c r="L91" s="59">
        <v>0.0</v>
      </c>
      <c r="M91" s="60">
        <f>968000*L91</f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6.5" customHeight="1">
      <c r="A92" s="1"/>
      <c r="B92" s="64" t="s">
        <v>37</v>
      </c>
      <c r="C92" s="45" t="s">
        <v>30</v>
      </c>
      <c r="D92" s="39" t="s">
        <v>8</v>
      </c>
      <c r="E92" s="45" t="s">
        <v>26</v>
      </c>
      <c r="F92" s="45">
        <v>1.0</v>
      </c>
      <c r="G92" s="41">
        <f>IF(C92="o",ROUNDDOWN(IF(E92="하드",74112500,32512500)/F92,0),"-")</f>
        <v>32512500</v>
      </c>
      <c r="H92" s="16">
        <f t="shared" si="17"/>
        <v>1</v>
      </c>
      <c r="I92" s="16"/>
      <c r="J92" s="16"/>
      <c r="K92" s="1"/>
      <c r="L92" s="1"/>
      <c r="M92" s="6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6.5" customHeight="1">
      <c r="A93" s="1"/>
      <c r="B93" s="69" t="s">
        <v>38</v>
      </c>
      <c r="C93" s="45" t="s">
        <v>30</v>
      </c>
      <c r="D93" s="39" t="s">
        <v>8</v>
      </c>
      <c r="E93" s="39" t="s">
        <v>39</v>
      </c>
      <c r="F93" s="45">
        <v>1.0</v>
      </c>
      <c r="G93" s="41">
        <f>IF(C93="o",ROUNDDOWN(26450000/F93,0),"-")</f>
        <v>26450000</v>
      </c>
      <c r="H93" s="16">
        <f t="shared" si="17"/>
        <v>1</v>
      </c>
      <c r="I93" s="16"/>
      <c r="J93" s="16"/>
      <c r="K93" s="16"/>
      <c r="L93" s="16"/>
      <c r="M93" s="6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6.5" customHeight="1">
      <c r="A94" s="1"/>
      <c r="B94" s="71" t="s">
        <v>41</v>
      </c>
      <c r="C94" s="45" t="s">
        <v>30</v>
      </c>
      <c r="D94" s="45" t="s">
        <v>42</v>
      </c>
      <c r="E94" s="39" t="s">
        <v>39</v>
      </c>
      <c r="F94" s="45">
        <v>1.0</v>
      </c>
      <c r="G94" s="41">
        <f>IF(C94="o",ROUNDDOWN(21012500/F94,0)*IF(D94="o",2,1),"-")</f>
        <v>21012500</v>
      </c>
      <c r="H94" s="16">
        <f t="shared" ref="H94:H98" si="18">IF(C94="o",1,0)*IF(D94="o",2,1)</f>
        <v>1</v>
      </c>
      <c r="I94" s="16"/>
      <c r="J94" s="16"/>
      <c r="K94" s="72" t="s">
        <v>34</v>
      </c>
      <c r="L94" s="73">
        <f>SUM(M84:M91)</f>
        <v>71589000</v>
      </c>
      <c r="M94" s="7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6.5" customHeight="1">
      <c r="A95" s="1"/>
      <c r="B95" s="71" t="s">
        <v>43</v>
      </c>
      <c r="C95" s="45" t="s">
        <v>30</v>
      </c>
      <c r="D95" s="45" t="s">
        <v>42</v>
      </c>
      <c r="E95" s="39" t="s">
        <v>9</v>
      </c>
      <c r="F95" s="45">
        <v>1.0</v>
      </c>
      <c r="G95" s="41">
        <f>IF(C95="o",ROUNDDOWN(19012500/F95,0)*IF(D95="o",2,1),"-")</f>
        <v>19012500</v>
      </c>
      <c r="H95" s="16">
        <f t="shared" si="18"/>
        <v>1</v>
      </c>
      <c r="I95" s="16"/>
      <c r="J95" s="16"/>
      <c r="K95" s="72" t="s">
        <v>44</v>
      </c>
      <c r="L95" s="73">
        <f>SUM(L84:L91)+COUNTA(C85:C82:C102)</f>
        <v>40</v>
      </c>
      <c r="M95" s="7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6.5" customHeight="1">
      <c r="A96" s="1"/>
      <c r="B96" s="75" t="s">
        <v>45</v>
      </c>
      <c r="C96" s="45" t="s">
        <v>30</v>
      </c>
      <c r="D96" s="45" t="s">
        <v>42</v>
      </c>
      <c r="E96" s="39" t="s">
        <v>39</v>
      </c>
      <c r="F96" s="45">
        <v>1.0</v>
      </c>
      <c r="G96" s="41">
        <f t="shared" ref="G96:G98" si="19">IF(C96="o",ROUNDDOWN(16200000/F96,0)*IF(D96="o",2,1),"-")</f>
        <v>16200000</v>
      </c>
      <c r="H96" s="16">
        <f t="shared" si="18"/>
        <v>1</v>
      </c>
      <c r="I96" s="16"/>
      <c r="J96" s="16"/>
      <c r="K96" s="16"/>
      <c r="L96" s="16"/>
      <c r="M96" s="6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6.5" customHeight="1">
      <c r="A97" s="1"/>
      <c r="B97" s="76" t="s">
        <v>58</v>
      </c>
      <c r="C97" s="45" t="s">
        <v>30</v>
      </c>
      <c r="D97" s="45" t="s">
        <v>42</v>
      </c>
      <c r="E97" s="39" t="s">
        <v>39</v>
      </c>
      <c r="F97" s="45">
        <v>1.0</v>
      </c>
      <c r="G97" s="41">
        <f t="shared" si="19"/>
        <v>16200000</v>
      </c>
      <c r="H97" s="16">
        <f t="shared" si="18"/>
        <v>1</v>
      </c>
      <c r="I97" s="16"/>
      <c r="J97" s="16"/>
      <c r="K97" s="94"/>
      <c r="L97" s="95"/>
      <c r="M97" s="9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6.5" customHeight="1">
      <c r="A98" s="1"/>
      <c r="B98" s="77" t="s">
        <v>47</v>
      </c>
      <c r="C98" s="45" t="s">
        <v>30</v>
      </c>
      <c r="D98" s="45" t="s">
        <v>42</v>
      </c>
      <c r="E98" s="39" t="s">
        <v>39</v>
      </c>
      <c r="F98" s="45">
        <v>1.0</v>
      </c>
      <c r="G98" s="41">
        <f t="shared" si="19"/>
        <v>16200000</v>
      </c>
      <c r="H98" s="16">
        <f t="shared" si="18"/>
        <v>1</v>
      </c>
      <c r="I98" s="16"/>
      <c r="J98" s="16"/>
      <c r="K98" s="53"/>
      <c r="L98" s="97"/>
      <c r="M98" s="9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6.5" customHeight="1">
      <c r="A99" s="1"/>
      <c r="B99" s="78" t="s">
        <v>48</v>
      </c>
      <c r="C99" s="45" t="s">
        <v>30</v>
      </c>
      <c r="D99" s="39" t="s">
        <v>8</v>
      </c>
      <c r="E99" s="39" t="s">
        <v>39</v>
      </c>
      <c r="F99" s="45">
        <v>1.0</v>
      </c>
      <c r="G99" s="41">
        <f>IF(C99="o",ROUNDDOWN(16200000/F99,0),"-")</f>
        <v>16200000</v>
      </c>
      <c r="H99" s="16">
        <f>IF(C99="o",1,0)</f>
        <v>1</v>
      </c>
      <c r="I99" s="16"/>
      <c r="J99" s="16"/>
      <c r="K99" s="53"/>
      <c r="L99" s="97"/>
      <c r="M99" s="9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6.5" customHeight="1">
      <c r="A100" s="1"/>
      <c r="B100" s="79" t="s">
        <v>49</v>
      </c>
      <c r="C100" s="45" t="s">
        <v>30</v>
      </c>
      <c r="D100" s="45" t="s">
        <v>42</v>
      </c>
      <c r="E100" s="39" t="s">
        <v>54</v>
      </c>
      <c r="F100" s="45">
        <v>1.0</v>
      </c>
      <c r="G100" s="41">
        <f>IF(C100="o",ROUNDDOWN(IF(E100="노멀",14450000,9112500)/F100,0)*IF(D100="o",2,1),"-")</f>
        <v>9112500</v>
      </c>
      <c r="H100" s="16">
        <f>IF(C100="o",1,0)*IF(D100="o",2,1)</f>
        <v>1</v>
      </c>
      <c r="I100" s="16"/>
      <c r="J100" s="16"/>
      <c r="K100" s="53"/>
      <c r="L100" s="97"/>
      <c r="M100" s="9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6.5" customHeight="1">
      <c r="A101" s="1"/>
      <c r="B101" s="80" t="s">
        <v>50</v>
      </c>
      <c r="C101" s="45" t="s">
        <v>30</v>
      </c>
      <c r="D101" s="39" t="s">
        <v>8</v>
      </c>
      <c r="E101" s="39" t="s">
        <v>39</v>
      </c>
      <c r="F101" s="45">
        <v>1.0</v>
      </c>
      <c r="G101" s="41">
        <f>IF(C101="o",ROUNDDOWN(12800000/F101,0),"-")</f>
        <v>12800000</v>
      </c>
      <c r="H101" s="16">
        <f t="shared" ref="H101:H102" si="20">IF(C101="o",1,0)</f>
        <v>1</v>
      </c>
      <c r="I101" s="16"/>
      <c r="J101" s="16"/>
      <c r="K101" s="53"/>
      <c r="L101" s="16"/>
      <c r="M101" s="6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6.5" customHeight="1">
      <c r="A102" s="1"/>
      <c r="B102" s="81" t="s">
        <v>51</v>
      </c>
      <c r="C102" s="82" t="s">
        <v>30</v>
      </c>
      <c r="D102" s="59" t="s">
        <v>8</v>
      </c>
      <c r="E102" s="59" t="s">
        <v>9</v>
      </c>
      <c r="F102" s="82">
        <v>1.0</v>
      </c>
      <c r="G102" s="83">
        <f>IF(C102="o",ROUNDDOWN(11250000/F102,0),"-")</f>
        <v>11250000</v>
      </c>
      <c r="H102" s="16">
        <f t="shared" si="20"/>
        <v>1</v>
      </c>
      <c r="I102" s="16"/>
      <c r="J102" s="16"/>
      <c r="K102" s="98"/>
      <c r="L102" s="99"/>
      <c r="M102" s="10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6.5" customHeight="1">
      <c r="A103" s="1"/>
      <c r="B103" s="84"/>
      <c r="C103" s="16"/>
      <c r="D103" s="16"/>
      <c r="E103" s="16"/>
      <c r="F103" s="16"/>
      <c r="G103" s="23"/>
      <c r="H103" s="16">
        <f>SUM(H82:H102)</f>
        <v>12</v>
      </c>
      <c r="I103" s="16"/>
      <c r="J103" s="16"/>
      <c r="K103" s="101"/>
      <c r="L103" s="102"/>
      <c r="M103" s="6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6.5" customHeight="1">
      <c r="A104" s="1"/>
      <c r="B104" s="85" t="s">
        <v>34</v>
      </c>
      <c r="C104" s="86"/>
      <c r="D104" s="86"/>
      <c r="E104" s="86"/>
      <c r="F104" s="87"/>
      <c r="G104" s="103">
        <f>SUM(G82:G102)</f>
        <v>230750000</v>
      </c>
      <c r="H104" s="89"/>
      <c r="I104" s="89"/>
      <c r="J104" s="89"/>
      <c r="K104" s="104"/>
      <c r="L104" s="105"/>
      <c r="M104" s="6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6.5" customHeight="1">
      <c r="A107" s="1"/>
      <c r="B107" s="2" t="s">
        <v>59</v>
      </c>
      <c r="C107" s="3" t="s">
        <v>1</v>
      </c>
      <c r="D107" s="3" t="s">
        <v>2</v>
      </c>
      <c r="E107" s="3" t="s">
        <v>3</v>
      </c>
      <c r="F107" s="3" t="s">
        <v>4</v>
      </c>
      <c r="G107" s="4" t="s">
        <v>5</v>
      </c>
      <c r="H107" s="5"/>
      <c r="I107" s="5"/>
      <c r="J107" s="5"/>
      <c r="K107" s="6"/>
      <c r="L107" s="7"/>
      <c r="M107" s="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6.5" customHeight="1">
      <c r="A108" s="1"/>
      <c r="B108" s="12" t="s">
        <v>7</v>
      </c>
      <c r="C108" s="13"/>
      <c r="D108" s="14" t="s">
        <v>8</v>
      </c>
      <c r="E108" s="14" t="s">
        <v>9</v>
      </c>
      <c r="F108" s="13">
        <v>6.0</v>
      </c>
      <c r="G108" s="15" t="str">
        <f>IF(C108="o",500000000/F108,"-")</f>
        <v>-</v>
      </c>
      <c r="H108" s="16">
        <f>IF(C108="o",1,0)</f>
        <v>0</v>
      </c>
      <c r="I108" s="16"/>
      <c r="J108" s="16"/>
      <c r="K108" s="17"/>
      <c r="L108" s="17"/>
      <c r="M108" s="1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6.5" customHeight="1">
      <c r="A109" s="1"/>
      <c r="B109" s="22"/>
      <c r="C109" s="17"/>
      <c r="D109" s="17"/>
      <c r="E109" s="17"/>
      <c r="F109" s="17"/>
      <c r="G109" s="23"/>
      <c r="H109" s="16"/>
      <c r="I109" s="16"/>
      <c r="J109" s="16"/>
      <c r="K109" s="24" t="s">
        <v>11</v>
      </c>
      <c r="L109" s="25"/>
      <c r="M109" s="26" t="s">
        <v>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6.5" customHeight="1">
      <c r="A110" s="1"/>
      <c r="B110" s="30" t="s">
        <v>13</v>
      </c>
      <c r="C110" s="10"/>
      <c r="D110" s="10"/>
      <c r="E110" s="10"/>
      <c r="F110" s="10"/>
      <c r="G110" s="31"/>
      <c r="H110" s="16"/>
      <c r="I110" s="16"/>
      <c r="J110" s="16"/>
      <c r="K110" s="32" t="s">
        <v>14</v>
      </c>
      <c r="L110" s="33">
        <v>0.0</v>
      </c>
      <c r="M110" s="34">
        <f>2664500*L110</f>
        <v>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6.5" customHeight="1">
      <c r="A111" s="1"/>
      <c r="B111" s="36" t="s">
        <v>16</v>
      </c>
      <c r="C111" s="37"/>
      <c r="D111" s="38" t="s">
        <v>8</v>
      </c>
      <c r="E111" s="39" t="s">
        <v>9</v>
      </c>
      <c r="F111" s="40">
        <v>6.0</v>
      </c>
      <c r="G111" s="41" t="str">
        <f>IF(C111="o",ROUNDDOWN(IF(E111="하드",110450000,46512500)/F111,0),"-")</f>
        <v>-</v>
      </c>
      <c r="H111" s="16">
        <f t="shared" ref="H111:H115" si="21">IF(C111="o",1,0)</f>
        <v>0</v>
      </c>
      <c r="I111" s="16"/>
      <c r="J111" s="16"/>
      <c r="K111" s="42" t="s">
        <v>17</v>
      </c>
      <c r="L111" s="39">
        <v>0.0</v>
      </c>
      <c r="M111" s="43">
        <f>2592000*L111</f>
        <v>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6.5" customHeight="1">
      <c r="A112" s="1"/>
      <c r="B112" s="44" t="s">
        <v>19</v>
      </c>
      <c r="C112" s="45"/>
      <c r="D112" s="39" t="s">
        <v>8</v>
      </c>
      <c r="E112" s="45" t="s">
        <v>9</v>
      </c>
      <c r="F112" s="45">
        <v>6.0</v>
      </c>
      <c r="G112" s="41" t="str">
        <f>IF(C112="o",ROUNDDOWN(IF(E112="하드",96800000,52812500)/F112,0),"-")</f>
        <v>-</v>
      </c>
      <c r="H112" s="16">
        <f t="shared" si="21"/>
        <v>0</v>
      </c>
      <c r="I112" s="16"/>
      <c r="J112" s="16"/>
      <c r="K112" s="42" t="s">
        <v>20</v>
      </c>
      <c r="L112" s="39">
        <v>0.0</v>
      </c>
      <c r="M112" s="43">
        <f>2520500*L112</f>
        <v>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6.5" customHeight="1">
      <c r="A113" s="1"/>
      <c r="B113" s="46" t="s">
        <v>22</v>
      </c>
      <c r="C113" s="45"/>
      <c r="D113" s="39" t="s">
        <v>8</v>
      </c>
      <c r="E113" s="45" t="s">
        <v>9</v>
      </c>
      <c r="F113" s="45">
        <v>6.0</v>
      </c>
      <c r="G113" s="41" t="str">
        <f>IF(C113="o",ROUNDDOWN(IF(E113="하드",92450000,49612500)/F113,0),"-")</f>
        <v>-</v>
      </c>
      <c r="H113" s="16">
        <f t="shared" si="21"/>
        <v>0</v>
      </c>
      <c r="I113" s="16"/>
      <c r="J113" s="16"/>
      <c r="K113" s="42" t="s">
        <v>23</v>
      </c>
      <c r="L113" s="39">
        <v>0.0</v>
      </c>
      <c r="M113" s="43">
        <f>2450000*L113</f>
        <v>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6.5" customHeight="1">
      <c r="A114" s="1"/>
      <c r="B114" s="47" t="s">
        <v>25</v>
      </c>
      <c r="C114" s="45"/>
      <c r="D114" s="39" t="s">
        <v>8</v>
      </c>
      <c r="E114" s="45" t="s">
        <v>26</v>
      </c>
      <c r="F114" s="45">
        <v>6.0</v>
      </c>
      <c r="G114" s="41" t="str">
        <f>IF(C114="o",ROUNDDOWN(IF(E114="하드",88200000,46512500)/F114,0),"-")</f>
        <v>-</v>
      </c>
      <c r="H114" s="16">
        <f t="shared" si="21"/>
        <v>0</v>
      </c>
      <c r="I114" s="16"/>
      <c r="J114" s="16"/>
      <c r="K114" s="42" t="s">
        <v>27</v>
      </c>
      <c r="L114" s="39">
        <v>0.0</v>
      </c>
      <c r="M114" s="43">
        <f>1404500*L114</f>
        <v>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6.5" customHeight="1">
      <c r="A115" s="1"/>
      <c r="B115" s="51" t="s">
        <v>29</v>
      </c>
      <c r="C115" s="45"/>
      <c r="D115" s="39" t="s">
        <v>8</v>
      </c>
      <c r="E115" s="52" t="s">
        <v>9</v>
      </c>
      <c r="F115" s="92">
        <v>4.0</v>
      </c>
      <c r="G115" s="41" t="str">
        <f>IF(C115="o",ROUNDDOWN(IF(E115="하드",80000000,if(E115="노멀",40612500,35112500))/F115,0),"-")</f>
        <v>-</v>
      </c>
      <c r="H115" s="16">
        <f t="shared" si="21"/>
        <v>0</v>
      </c>
      <c r="I115" s="16"/>
      <c r="J115" s="16"/>
      <c r="K115" s="42" t="s">
        <v>31</v>
      </c>
      <c r="L115" s="39">
        <v>0.0</v>
      </c>
      <c r="M115" s="43">
        <f>1352000*L115</f>
        <v>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6.5" customHeight="1">
      <c r="A116" s="1"/>
      <c r="B116" s="51" t="s">
        <v>32</v>
      </c>
      <c r="C116" s="45"/>
      <c r="D116" s="39" t="s">
        <v>8</v>
      </c>
      <c r="E116" s="45" t="s">
        <v>26</v>
      </c>
      <c r="F116" s="45">
        <v>4.0</v>
      </c>
      <c r="G116" s="41" t="str">
        <f>IF(C116="o",ROUNDDOWN(IF(E116="하드",90312500,34322000)/F116,0),"-")</f>
        <v>-</v>
      </c>
      <c r="H116" s="16"/>
      <c r="I116" s="16"/>
      <c r="J116" s="16"/>
      <c r="K116" s="42" t="s">
        <v>33</v>
      </c>
      <c r="L116" s="39">
        <v>0.0</v>
      </c>
      <c r="M116" s="43">
        <f>1250000*L116</f>
        <v>0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6.5" customHeight="1">
      <c r="A117" s="1"/>
      <c r="B117" s="57" t="s">
        <v>35</v>
      </c>
      <c r="C117" s="45"/>
      <c r="D117" s="39" t="s">
        <v>8</v>
      </c>
      <c r="E117" s="45" t="s">
        <v>26</v>
      </c>
      <c r="F117" s="45">
        <v>1.0</v>
      </c>
      <c r="G117" s="41" t="str">
        <f>IF(C117="o",ROUNDDOWN(IF(E117="하드",70312500,33800000)/F117,0),"-")</f>
        <v>-</v>
      </c>
      <c r="H117" s="16">
        <f t="shared" ref="H117:H119" si="22">IF(C117="o",1,0)</f>
        <v>0</v>
      </c>
      <c r="I117" s="16"/>
      <c r="J117" s="16"/>
      <c r="K117" s="58" t="s">
        <v>36</v>
      </c>
      <c r="L117" s="59">
        <v>0.0</v>
      </c>
      <c r="M117" s="60">
        <f>968000*L117</f>
        <v>0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6.5" customHeight="1">
      <c r="A118" s="1"/>
      <c r="B118" s="64" t="s">
        <v>37</v>
      </c>
      <c r="C118" s="45"/>
      <c r="D118" s="39" t="s">
        <v>8</v>
      </c>
      <c r="E118" s="45" t="s">
        <v>26</v>
      </c>
      <c r="F118" s="45">
        <v>1.0</v>
      </c>
      <c r="G118" s="41" t="str">
        <f>IF(C118="o",ROUNDDOWN(IF(E118="하드",74112500,32512500)/F118,0),"-")</f>
        <v>-</v>
      </c>
      <c r="H118" s="16">
        <f t="shared" si="22"/>
        <v>0</v>
      </c>
      <c r="I118" s="16"/>
      <c r="J118" s="16"/>
      <c r="K118" s="1"/>
      <c r="L118" s="1"/>
      <c r="M118" s="6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6.5" customHeight="1">
      <c r="A119" s="1"/>
      <c r="B119" s="69" t="s">
        <v>38</v>
      </c>
      <c r="C119" s="45"/>
      <c r="D119" s="39" t="s">
        <v>8</v>
      </c>
      <c r="E119" s="39" t="s">
        <v>39</v>
      </c>
      <c r="F119" s="45">
        <v>1.0</v>
      </c>
      <c r="G119" s="41" t="str">
        <f>IF(C119="o",ROUNDDOWN(26450000/F119,0),"-")</f>
        <v>-</v>
      </c>
      <c r="H119" s="16">
        <f t="shared" si="22"/>
        <v>0</v>
      </c>
      <c r="I119" s="16"/>
      <c r="J119" s="16"/>
      <c r="K119" s="16"/>
      <c r="L119" s="16"/>
      <c r="M119" s="6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6.5" customHeight="1">
      <c r="A120" s="1"/>
      <c r="B120" s="71" t="s">
        <v>41</v>
      </c>
      <c r="C120" s="45"/>
      <c r="D120" s="45" t="s">
        <v>42</v>
      </c>
      <c r="E120" s="39" t="s">
        <v>39</v>
      </c>
      <c r="F120" s="45">
        <v>1.0</v>
      </c>
      <c r="G120" s="41" t="str">
        <f>IF(C120="o",ROUNDDOWN(21012500/F120,0)*IF(D120="o",2,1),"-")</f>
        <v>-</v>
      </c>
      <c r="H120" s="16">
        <f t="shared" ref="H120:H124" si="23">IF(C120="o",1,0)*IF(D120="o",2,1)</f>
        <v>0</v>
      </c>
      <c r="I120" s="16"/>
      <c r="J120" s="16"/>
      <c r="K120" s="72" t="s">
        <v>34</v>
      </c>
      <c r="L120" s="73">
        <f>SUM(M110:M117)</f>
        <v>0</v>
      </c>
      <c r="M120" s="7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6.5" customHeight="1">
      <c r="A121" s="1"/>
      <c r="B121" s="71" t="s">
        <v>43</v>
      </c>
      <c r="C121" s="45"/>
      <c r="D121" s="45" t="s">
        <v>42</v>
      </c>
      <c r="E121" s="39" t="s">
        <v>9</v>
      </c>
      <c r="F121" s="45">
        <v>1.0</v>
      </c>
      <c r="G121" s="41" t="str">
        <f>IF(C121="o",ROUNDDOWN(19012500/F121,0)*IF(D121="o",2,1),"-")</f>
        <v>-</v>
      </c>
      <c r="H121" s="16">
        <f t="shared" si="23"/>
        <v>0</v>
      </c>
      <c r="I121" s="16"/>
      <c r="J121" s="16"/>
      <c r="K121" s="72" t="s">
        <v>44</v>
      </c>
      <c r="L121" s="73">
        <f>SUM(L110:L117)+COUNTA(C111:C108:C128)</f>
        <v>0</v>
      </c>
      <c r="M121" s="7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6.5" customHeight="1">
      <c r="A122" s="1"/>
      <c r="B122" s="75" t="s">
        <v>45</v>
      </c>
      <c r="C122" s="45"/>
      <c r="D122" s="45" t="s">
        <v>42</v>
      </c>
      <c r="E122" s="39" t="s">
        <v>39</v>
      </c>
      <c r="F122" s="45">
        <v>1.0</v>
      </c>
      <c r="G122" s="41" t="str">
        <f t="shared" ref="G122:G124" si="24">IF(C122="o",ROUNDDOWN(16200000/F122,0)*IF(D122="o",2,1),"-")</f>
        <v>-</v>
      </c>
      <c r="H122" s="16">
        <f t="shared" si="23"/>
        <v>0</v>
      </c>
      <c r="I122" s="16"/>
      <c r="J122" s="16"/>
      <c r="K122" s="16"/>
      <c r="L122" s="16"/>
      <c r="M122" s="6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6.5" customHeight="1">
      <c r="A123" s="1"/>
      <c r="B123" s="76" t="s">
        <v>60</v>
      </c>
      <c r="C123" s="45"/>
      <c r="D123" s="45" t="s">
        <v>42</v>
      </c>
      <c r="E123" s="39" t="s">
        <v>39</v>
      </c>
      <c r="F123" s="45">
        <v>1.0</v>
      </c>
      <c r="G123" s="41" t="str">
        <f t="shared" si="24"/>
        <v>-</v>
      </c>
      <c r="H123" s="16">
        <f t="shared" si="23"/>
        <v>0</v>
      </c>
      <c r="I123" s="16"/>
      <c r="J123" s="16"/>
      <c r="K123" s="94"/>
      <c r="L123" s="95"/>
      <c r="M123" s="9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6.5" customHeight="1">
      <c r="A124" s="1"/>
      <c r="B124" s="77" t="s">
        <v>47</v>
      </c>
      <c r="C124" s="45"/>
      <c r="D124" s="45" t="s">
        <v>42</v>
      </c>
      <c r="E124" s="39" t="s">
        <v>39</v>
      </c>
      <c r="F124" s="45">
        <v>1.0</v>
      </c>
      <c r="G124" s="41" t="str">
        <f t="shared" si="24"/>
        <v>-</v>
      </c>
      <c r="H124" s="16">
        <f t="shared" si="23"/>
        <v>0</v>
      </c>
      <c r="I124" s="16"/>
      <c r="J124" s="16"/>
      <c r="K124" s="53"/>
      <c r="L124" s="97"/>
      <c r="M124" s="9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6.5" customHeight="1">
      <c r="A125" s="1"/>
      <c r="B125" s="78" t="s">
        <v>48</v>
      </c>
      <c r="C125" s="45"/>
      <c r="D125" s="39" t="s">
        <v>8</v>
      </c>
      <c r="E125" s="39" t="s">
        <v>39</v>
      </c>
      <c r="F125" s="45">
        <v>1.0</v>
      </c>
      <c r="G125" s="41" t="str">
        <f>IF(C125="o",ROUNDDOWN(16200000/F125,0),"-")</f>
        <v>-</v>
      </c>
      <c r="H125" s="16">
        <f>IF(C125="o",1,0)</f>
        <v>0</v>
      </c>
      <c r="I125" s="16"/>
      <c r="J125" s="16"/>
      <c r="K125" s="53"/>
      <c r="L125" s="97"/>
      <c r="M125" s="9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6.5" customHeight="1">
      <c r="A126" s="1"/>
      <c r="B126" s="79" t="s">
        <v>49</v>
      </c>
      <c r="C126" s="45"/>
      <c r="D126" s="45" t="s">
        <v>42</v>
      </c>
      <c r="E126" s="39" t="s">
        <v>54</v>
      </c>
      <c r="F126" s="45">
        <v>1.0</v>
      </c>
      <c r="G126" s="41" t="str">
        <f>IF(C126="o",ROUNDDOWN(IF(E126="노멀",14450000,9112500)/F126,0)*IF(D126="o",2,1),"-")</f>
        <v>-</v>
      </c>
      <c r="H126" s="16">
        <f>IF(C126="o",1,0)*IF(D126="o",2,1)</f>
        <v>0</v>
      </c>
      <c r="I126" s="16"/>
      <c r="J126" s="16"/>
      <c r="K126" s="53"/>
      <c r="L126" s="97"/>
      <c r="M126" s="9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6.5" customHeight="1">
      <c r="A127" s="1"/>
      <c r="B127" s="80" t="s">
        <v>50</v>
      </c>
      <c r="C127" s="45"/>
      <c r="D127" s="39" t="s">
        <v>8</v>
      </c>
      <c r="E127" s="39" t="s">
        <v>39</v>
      </c>
      <c r="F127" s="45">
        <v>1.0</v>
      </c>
      <c r="G127" s="41" t="str">
        <f>IF(C127="o",ROUNDDOWN(12800000/F127,0),"-")</f>
        <v>-</v>
      </c>
      <c r="H127" s="16">
        <f t="shared" ref="H127:H128" si="25">IF(C127="o",1,0)</f>
        <v>0</v>
      </c>
      <c r="I127" s="16"/>
      <c r="J127" s="16"/>
      <c r="K127" s="53"/>
      <c r="L127" s="16"/>
      <c r="M127" s="6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6.5" customHeight="1">
      <c r="A128" s="1"/>
      <c r="B128" s="81" t="s">
        <v>51</v>
      </c>
      <c r="C128" s="82"/>
      <c r="D128" s="59" t="s">
        <v>8</v>
      </c>
      <c r="E128" s="59" t="s">
        <v>9</v>
      </c>
      <c r="F128" s="82">
        <v>1.0</v>
      </c>
      <c r="G128" s="83" t="str">
        <f>IF(C128="o",ROUNDDOWN(11250000/F128,0),"-")</f>
        <v>-</v>
      </c>
      <c r="H128" s="16">
        <f t="shared" si="25"/>
        <v>0</v>
      </c>
      <c r="I128" s="16"/>
      <c r="J128" s="16"/>
      <c r="K128" s="98"/>
      <c r="L128" s="99"/>
      <c r="M128" s="10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6.5" customHeight="1">
      <c r="A129" s="1"/>
      <c r="B129" s="84"/>
      <c r="C129" s="16"/>
      <c r="D129" s="16"/>
      <c r="E129" s="16"/>
      <c r="F129" s="16"/>
      <c r="G129" s="23"/>
      <c r="H129" s="16">
        <f>SUM(H108:H128)</f>
        <v>0</v>
      </c>
      <c r="I129" s="16"/>
      <c r="J129" s="16"/>
      <c r="K129" s="101"/>
      <c r="L129" s="102"/>
      <c r="M129" s="6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6.5" customHeight="1">
      <c r="A130" s="1"/>
      <c r="B130" s="85" t="s">
        <v>34</v>
      </c>
      <c r="C130" s="86"/>
      <c r="D130" s="86"/>
      <c r="E130" s="86"/>
      <c r="F130" s="87"/>
      <c r="G130" s="103">
        <f>SUM(G108:G128)</f>
        <v>0</v>
      </c>
      <c r="H130" s="89"/>
      <c r="I130" s="89"/>
      <c r="J130" s="89"/>
      <c r="K130" s="104"/>
      <c r="L130" s="105"/>
      <c r="M130" s="6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6.5" customHeight="1">
      <c r="A133" s="1"/>
      <c r="B133" s="2" t="s">
        <v>59</v>
      </c>
      <c r="C133" s="3" t="s">
        <v>1</v>
      </c>
      <c r="D133" s="3" t="s">
        <v>2</v>
      </c>
      <c r="E133" s="3" t="s">
        <v>3</v>
      </c>
      <c r="F133" s="3" t="s">
        <v>4</v>
      </c>
      <c r="G133" s="4" t="s">
        <v>5</v>
      </c>
      <c r="H133" s="5"/>
      <c r="I133" s="5"/>
      <c r="J133" s="5"/>
      <c r="K133" s="6"/>
      <c r="L133" s="7"/>
      <c r="M133" s="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6.5" customHeight="1">
      <c r="A134" s="1"/>
      <c r="B134" s="12" t="s">
        <v>7</v>
      </c>
      <c r="C134" s="13"/>
      <c r="D134" s="14" t="s">
        <v>8</v>
      </c>
      <c r="E134" s="14" t="s">
        <v>9</v>
      </c>
      <c r="F134" s="13">
        <v>6.0</v>
      </c>
      <c r="G134" s="15" t="str">
        <f>IF(C134="o",500000000/F134,"-")</f>
        <v>-</v>
      </c>
      <c r="H134" s="16">
        <f>IF(C134="o",1,0)</f>
        <v>0</v>
      </c>
      <c r="I134" s="16"/>
      <c r="J134" s="16"/>
      <c r="K134" s="17"/>
      <c r="L134" s="17"/>
      <c r="M134" s="1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6.5" customHeight="1">
      <c r="A135" s="1"/>
      <c r="B135" s="22"/>
      <c r="C135" s="17"/>
      <c r="D135" s="17"/>
      <c r="E135" s="17"/>
      <c r="F135" s="17"/>
      <c r="G135" s="23"/>
      <c r="H135" s="16"/>
      <c r="I135" s="16"/>
      <c r="J135" s="16"/>
      <c r="K135" s="24" t="s">
        <v>11</v>
      </c>
      <c r="L135" s="25"/>
      <c r="M135" s="26" t="s">
        <v>5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6.5" customHeight="1">
      <c r="A136" s="1"/>
      <c r="B136" s="30" t="s">
        <v>13</v>
      </c>
      <c r="C136" s="10"/>
      <c r="D136" s="10"/>
      <c r="E136" s="10"/>
      <c r="F136" s="10"/>
      <c r="G136" s="31"/>
      <c r="H136" s="16"/>
      <c r="I136" s="16"/>
      <c r="J136" s="16"/>
      <c r="K136" s="32" t="s">
        <v>14</v>
      </c>
      <c r="L136" s="33">
        <v>0.0</v>
      </c>
      <c r="M136" s="34">
        <f>2664500*L136</f>
        <v>0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6.5" customHeight="1">
      <c r="A137" s="1"/>
      <c r="B137" s="36" t="s">
        <v>16</v>
      </c>
      <c r="C137" s="37"/>
      <c r="D137" s="38" t="s">
        <v>8</v>
      </c>
      <c r="E137" s="39" t="s">
        <v>9</v>
      </c>
      <c r="F137" s="40">
        <v>6.0</v>
      </c>
      <c r="G137" s="41" t="str">
        <f>IF(C137="o",ROUNDDOWN(IF(E137="하드",110450000,46512500)/F137,0),"-")</f>
        <v>-</v>
      </c>
      <c r="H137" s="16">
        <f t="shared" ref="H137:H141" si="26">IF(C137="o",1,0)</f>
        <v>0</v>
      </c>
      <c r="I137" s="16"/>
      <c r="J137" s="16"/>
      <c r="K137" s="42" t="s">
        <v>17</v>
      </c>
      <c r="L137" s="39">
        <v>0.0</v>
      </c>
      <c r="M137" s="43">
        <f>2592000*L137</f>
        <v>0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6.5" customHeight="1">
      <c r="A138" s="1"/>
      <c r="B138" s="44" t="s">
        <v>19</v>
      </c>
      <c r="C138" s="45"/>
      <c r="D138" s="39" t="s">
        <v>8</v>
      </c>
      <c r="E138" s="45" t="s">
        <v>9</v>
      </c>
      <c r="F138" s="45">
        <v>6.0</v>
      </c>
      <c r="G138" s="41" t="str">
        <f>IF(C138="o",ROUNDDOWN(IF(E138="하드",96800000,52812500)/F138,0),"-")</f>
        <v>-</v>
      </c>
      <c r="H138" s="16">
        <f t="shared" si="26"/>
        <v>0</v>
      </c>
      <c r="I138" s="16"/>
      <c r="J138" s="16"/>
      <c r="K138" s="42" t="s">
        <v>20</v>
      </c>
      <c r="L138" s="39">
        <v>0.0</v>
      </c>
      <c r="M138" s="43">
        <f>2520500*L138</f>
        <v>0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6.5" customHeight="1">
      <c r="A139" s="1"/>
      <c r="B139" s="46" t="s">
        <v>22</v>
      </c>
      <c r="C139" s="45"/>
      <c r="D139" s="39" t="s">
        <v>8</v>
      </c>
      <c r="E139" s="45" t="s">
        <v>9</v>
      </c>
      <c r="F139" s="45">
        <v>6.0</v>
      </c>
      <c r="G139" s="41" t="str">
        <f>IF(C139="o",ROUNDDOWN(IF(E139="하드",92450000,49612500)/F139,0),"-")</f>
        <v>-</v>
      </c>
      <c r="H139" s="16">
        <f t="shared" si="26"/>
        <v>0</v>
      </c>
      <c r="I139" s="16"/>
      <c r="J139" s="16"/>
      <c r="K139" s="42" t="s">
        <v>23</v>
      </c>
      <c r="L139" s="39">
        <v>0.0</v>
      </c>
      <c r="M139" s="43">
        <f>2450000*L139</f>
        <v>0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6.5" customHeight="1">
      <c r="A140" s="1"/>
      <c r="B140" s="47" t="s">
        <v>25</v>
      </c>
      <c r="C140" s="45"/>
      <c r="D140" s="39" t="s">
        <v>8</v>
      </c>
      <c r="E140" s="45" t="s">
        <v>26</v>
      </c>
      <c r="F140" s="45">
        <v>6.0</v>
      </c>
      <c r="G140" s="41" t="str">
        <f>IF(C140="o",ROUNDDOWN(IF(E140="하드",88200000,46512500)/F140,0),"-")</f>
        <v>-</v>
      </c>
      <c r="H140" s="16">
        <f t="shared" si="26"/>
        <v>0</v>
      </c>
      <c r="I140" s="16"/>
      <c r="J140" s="16"/>
      <c r="K140" s="42" t="s">
        <v>27</v>
      </c>
      <c r="L140" s="39">
        <v>0.0</v>
      </c>
      <c r="M140" s="43">
        <f>1404500*L140</f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6.5" customHeight="1">
      <c r="A141" s="1"/>
      <c r="B141" s="51" t="s">
        <v>29</v>
      </c>
      <c r="C141" s="45"/>
      <c r="D141" s="39" t="s">
        <v>8</v>
      </c>
      <c r="E141" s="52" t="s">
        <v>9</v>
      </c>
      <c r="F141" s="92">
        <v>4.0</v>
      </c>
      <c r="G141" s="41" t="str">
        <f>IF(C141="o",ROUNDDOWN(IF(E141="하드",80000000,if(E141="노멀",40612500,35112500))/F141,0),"-")</f>
        <v>-</v>
      </c>
      <c r="H141" s="16">
        <f t="shared" si="26"/>
        <v>0</v>
      </c>
      <c r="I141" s="16"/>
      <c r="J141" s="16"/>
      <c r="K141" s="42" t="s">
        <v>31</v>
      </c>
      <c r="L141" s="39">
        <v>0.0</v>
      </c>
      <c r="M141" s="43">
        <f>1352000*L141</f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6.5" customHeight="1">
      <c r="A142" s="1"/>
      <c r="B142" s="51" t="s">
        <v>32</v>
      </c>
      <c r="C142" s="45"/>
      <c r="D142" s="39" t="s">
        <v>8</v>
      </c>
      <c r="E142" s="45" t="s">
        <v>26</v>
      </c>
      <c r="F142" s="45">
        <v>4.0</v>
      </c>
      <c r="G142" s="41" t="str">
        <f>IF(C142="o",ROUNDDOWN(IF(E142="하드",90312500,34322000)/F142,0),"-")</f>
        <v>-</v>
      </c>
      <c r="H142" s="16"/>
      <c r="I142" s="16"/>
      <c r="J142" s="16"/>
      <c r="K142" s="42" t="s">
        <v>33</v>
      </c>
      <c r="L142" s="39">
        <v>0.0</v>
      </c>
      <c r="M142" s="43">
        <f>1250000*L142</f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6.5" customHeight="1">
      <c r="A143" s="1"/>
      <c r="B143" s="57" t="s">
        <v>35</v>
      </c>
      <c r="C143" s="45"/>
      <c r="D143" s="39" t="s">
        <v>8</v>
      </c>
      <c r="E143" s="45" t="s">
        <v>26</v>
      </c>
      <c r="F143" s="45">
        <v>1.0</v>
      </c>
      <c r="G143" s="41" t="str">
        <f>IF(C143="o",ROUNDDOWN(IF(E143="하드",70312500,33800000)/F143,0),"-")</f>
        <v>-</v>
      </c>
      <c r="H143" s="16">
        <f t="shared" ref="H143:H145" si="27">IF(C143="o",1,0)</f>
        <v>0</v>
      </c>
      <c r="I143" s="16"/>
      <c r="J143" s="16"/>
      <c r="K143" s="58" t="s">
        <v>36</v>
      </c>
      <c r="L143" s="59">
        <v>0.0</v>
      </c>
      <c r="M143" s="60">
        <f>968000*L143</f>
        <v>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6.5" customHeight="1">
      <c r="A144" s="1"/>
      <c r="B144" s="64" t="s">
        <v>37</v>
      </c>
      <c r="C144" s="45"/>
      <c r="D144" s="39" t="s">
        <v>8</v>
      </c>
      <c r="E144" s="45" t="s">
        <v>26</v>
      </c>
      <c r="F144" s="45">
        <v>1.0</v>
      </c>
      <c r="G144" s="41" t="str">
        <f>IF(C144="o",ROUNDDOWN(IF(E144="하드",74112500,32512500)/F144,0),"-")</f>
        <v>-</v>
      </c>
      <c r="H144" s="16">
        <f t="shared" si="27"/>
        <v>0</v>
      </c>
      <c r="I144" s="16"/>
      <c r="J144" s="16"/>
      <c r="K144" s="1"/>
      <c r="L144" s="1"/>
      <c r="M144" s="6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6.5" customHeight="1">
      <c r="A145" s="1"/>
      <c r="B145" s="69" t="s">
        <v>38</v>
      </c>
      <c r="C145" s="45"/>
      <c r="D145" s="39" t="s">
        <v>8</v>
      </c>
      <c r="E145" s="39" t="s">
        <v>39</v>
      </c>
      <c r="F145" s="45">
        <v>1.0</v>
      </c>
      <c r="G145" s="41" t="str">
        <f>IF(C145="o",ROUNDDOWN(26450000/F145,0),"-")</f>
        <v>-</v>
      </c>
      <c r="H145" s="16">
        <f t="shared" si="27"/>
        <v>0</v>
      </c>
      <c r="I145" s="16"/>
      <c r="J145" s="16"/>
      <c r="K145" s="16"/>
      <c r="L145" s="16"/>
      <c r="M145" s="6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6.5" customHeight="1">
      <c r="A146" s="1"/>
      <c r="B146" s="71" t="s">
        <v>41</v>
      </c>
      <c r="C146" s="45"/>
      <c r="D146" s="45" t="s">
        <v>42</v>
      </c>
      <c r="E146" s="39" t="s">
        <v>39</v>
      </c>
      <c r="F146" s="45">
        <v>1.0</v>
      </c>
      <c r="G146" s="41" t="str">
        <f>IF(C146="o",ROUNDDOWN(21012500/F146,0)*IF(D146="o",2,1),"-")</f>
        <v>-</v>
      </c>
      <c r="H146" s="16">
        <f t="shared" ref="H146:H150" si="28">IF(C146="o",1,0)*IF(D146="o",2,1)</f>
        <v>0</v>
      </c>
      <c r="I146" s="16"/>
      <c r="J146" s="16"/>
      <c r="K146" s="72" t="s">
        <v>34</v>
      </c>
      <c r="L146" s="73">
        <f>SUM(M136:M143)</f>
        <v>0</v>
      </c>
      <c r="M146" s="7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6.5" customHeight="1">
      <c r="A147" s="1"/>
      <c r="B147" s="71" t="s">
        <v>43</v>
      </c>
      <c r="C147" s="45"/>
      <c r="D147" s="45" t="s">
        <v>42</v>
      </c>
      <c r="E147" s="39" t="s">
        <v>9</v>
      </c>
      <c r="F147" s="45">
        <v>1.0</v>
      </c>
      <c r="G147" s="41" t="str">
        <f>IF(C147="o",ROUNDDOWN(19012500/F147,0)*IF(D147="o",2,1),"-")</f>
        <v>-</v>
      </c>
      <c r="H147" s="16">
        <f t="shared" si="28"/>
        <v>0</v>
      </c>
      <c r="I147" s="16"/>
      <c r="J147" s="16"/>
      <c r="K147" s="72" t="s">
        <v>44</v>
      </c>
      <c r="L147" s="73">
        <f>SUM(L136:L143)+COUNTA(C137:C134:C154)</f>
        <v>0</v>
      </c>
      <c r="M147" s="7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6.5" customHeight="1">
      <c r="A148" s="1"/>
      <c r="B148" s="75" t="s">
        <v>45</v>
      </c>
      <c r="C148" s="45"/>
      <c r="D148" s="45" t="s">
        <v>42</v>
      </c>
      <c r="E148" s="39" t="s">
        <v>39</v>
      </c>
      <c r="F148" s="45">
        <v>1.0</v>
      </c>
      <c r="G148" s="41" t="str">
        <f t="shared" ref="G148:G150" si="29">IF(C148="o",ROUNDDOWN(16200000/F148,0)*IF(D148="o",2,1),"-")</f>
        <v>-</v>
      </c>
      <c r="H148" s="16">
        <f t="shared" si="28"/>
        <v>0</v>
      </c>
      <c r="I148" s="16"/>
      <c r="J148" s="16"/>
      <c r="K148" s="16"/>
      <c r="L148" s="16"/>
      <c r="M148" s="6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6.5" customHeight="1">
      <c r="A149" s="1"/>
      <c r="B149" s="76" t="s">
        <v>61</v>
      </c>
      <c r="C149" s="45"/>
      <c r="D149" s="45" t="s">
        <v>42</v>
      </c>
      <c r="E149" s="39" t="s">
        <v>39</v>
      </c>
      <c r="F149" s="45">
        <v>1.0</v>
      </c>
      <c r="G149" s="41" t="str">
        <f t="shared" si="29"/>
        <v>-</v>
      </c>
      <c r="H149" s="16">
        <f t="shared" si="28"/>
        <v>0</v>
      </c>
      <c r="I149" s="16"/>
      <c r="J149" s="16"/>
      <c r="K149" s="94"/>
      <c r="L149" s="95"/>
      <c r="M149" s="9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6.5" customHeight="1">
      <c r="A150" s="1"/>
      <c r="B150" s="77" t="s">
        <v>47</v>
      </c>
      <c r="C150" s="45"/>
      <c r="D150" s="45" t="s">
        <v>42</v>
      </c>
      <c r="E150" s="39" t="s">
        <v>39</v>
      </c>
      <c r="F150" s="45">
        <v>1.0</v>
      </c>
      <c r="G150" s="41" t="str">
        <f t="shared" si="29"/>
        <v>-</v>
      </c>
      <c r="H150" s="16">
        <f t="shared" si="28"/>
        <v>0</v>
      </c>
      <c r="I150" s="16"/>
      <c r="J150" s="16"/>
      <c r="K150" s="53"/>
      <c r="L150" s="97"/>
      <c r="M150" s="9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6.5" customHeight="1">
      <c r="A151" s="1"/>
      <c r="B151" s="78" t="s">
        <v>48</v>
      </c>
      <c r="C151" s="45"/>
      <c r="D151" s="39" t="s">
        <v>8</v>
      </c>
      <c r="E151" s="39" t="s">
        <v>39</v>
      </c>
      <c r="F151" s="45">
        <v>1.0</v>
      </c>
      <c r="G151" s="41" t="str">
        <f>IF(C151="o",ROUNDDOWN(16200000/F151,0),"-")</f>
        <v>-</v>
      </c>
      <c r="H151" s="16">
        <f>IF(C151="o",1,0)</f>
        <v>0</v>
      </c>
      <c r="I151" s="16"/>
      <c r="J151" s="16"/>
      <c r="K151" s="53"/>
      <c r="L151" s="97"/>
      <c r="M151" s="9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6.5" customHeight="1">
      <c r="A152" s="1"/>
      <c r="B152" s="79" t="s">
        <v>49</v>
      </c>
      <c r="C152" s="45"/>
      <c r="D152" s="45" t="s">
        <v>42</v>
      </c>
      <c r="E152" s="39" t="s">
        <v>54</v>
      </c>
      <c r="F152" s="45">
        <v>1.0</v>
      </c>
      <c r="G152" s="41" t="str">
        <f>IF(C152="o",ROUNDDOWN(IF(E152="노멀",14450000,9112500)/F152,0)*IF(D152="o",2,1),"-")</f>
        <v>-</v>
      </c>
      <c r="H152" s="16">
        <f>IF(C152="o",1,0)*IF(D152="o",2,1)</f>
        <v>0</v>
      </c>
      <c r="I152" s="16"/>
      <c r="J152" s="16"/>
      <c r="K152" s="53"/>
      <c r="L152" s="97"/>
      <c r="M152" s="9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6.5" customHeight="1">
      <c r="A153" s="1"/>
      <c r="B153" s="80" t="s">
        <v>50</v>
      </c>
      <c r="C153" s="45"/>
      <c r="D153" s="39" t="s">
        <v>8</v>
      </c>
      <c r="E153" s="39" t="s">
        <v>39</v>
      </c>
      <c r="F153" s="45">
        <v>1.0</v>
      </c>
      <c r="G153" s="41" t="str">
        <f>IF(C153="o",ROUNDDOWN(12800000/F153,0),"-")</f>
        <v>-</v>
      </c>
      <c r="H153" s="16">
        <f t="shared" ref="H153:H154" si="30">IF(C153="o",1,0)</f>
        <v>0</v>
      </c>
      <c r="I153" s="16"/>
      <c r="J153" s="16"/>
      <c r="K153" s="53"/>
      <c r="L153" s="16"/>
      <c r="M153" s="6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6.5" customHeight="1">
      <c r="A154" s="1"/>
      <c r="B154" s="81" t="s">
        <v>51</v>
      </c>
      <c r="C154" s="82"/>
      <c r="D154" s="59" t="s">
        <v>8</v>
      </c>
      <c r="E154" s="59" t="s">
        <v>9</v>
      </c>
      <c r="F154" s="82">
        <v>1.0</v>
      </c>
      <c r="G154" s="83" t="str">
        <f>IF(C154="o",ROUNDDOWN(11250000/F154,0),"-")</f>
        <v>-</v>
      </c>
      <c r="H154" s="16">
        <f t="shared" si="30"/>
        <v>0</v>
      </c>
      <c r="I154" s="16"/>
      <c r="J154" s="16"/>
      <c r="K154" s="98"/>
      <c r="L154" s="99"/>
      <c r="M154" s="10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6.5" customHeight="1">
      <c r="A155" s="1"/>
      <c r="B155" s="84"/>
      <c r="C155" s="16"/>
      <c r="D155" s="16"/>
      <c r="E155" s="16"/>
      <c r="F155" s="16"/>
      <c r="G155" s="23"/>
      <c r="H155" s="16">
        <f>SUM(H134:H154)</f>
        <v>0</v>
      </c>
      <c r="I155" s="16"/>
      <c r="J155" s="16"/>
      <c r="K155" s="101"/>
      <c r="L155" s="102"/>
      <c r="M155" s="6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6.5" customHeight="1">
      <c r="A156" s="1"/>
      <c r="B156" s="85" t="s">
        <v>34</v>
      </c>
      <c r="C156" s="86"/>
      <c r="D156" s="86"/>
      <c r="E156" s="86"/>
      <c r="F156" s="87"/>
      <c r="G156" s="103">
        <f>SUM(G134:G154)</f>
        <v>0</v>
      </c>
      <c r="H156" s="89"/>
      <c r="I156" s="89"/>
      <c r="J156" s="89"/>
      <c r="K156" s="104"/>
      <c r="L156" s="105"/>
      <c r="M156" s="6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6.5" customHeight="1">
      <c r="A159" s="1"/>
      <c r="B159" s="2" t="s">
        <v>59</v>
      </c>
      <c r="C159" s="3" t="s">
        <v>1</v>
      </c>
      <c r="D159" s="3" t="s">
        <v>2</v>
      </c>
      <c r="E159" s="3" t="s">
        <v>3</v>
      </c>
      <c r="F159" s="3" t="s">
        <v>4</v>
      </c>
      <c r="G159" s="4" t="s">
        <v>5</v>
      </c>
      <c r="H159" s="5"/>
      <c r="I159" s="5"/>
      <c r="J159" s="5"/>
      <c r="K159" s="6"/>
      <c r="L159" s="7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6.5" customHeight="1">
      <c r="A160" s="1"/>
      <c r="B160" s="12" t="s">
        <v>7</v>
      </c>
      <c r="C160" s="13"/>
      <c r="D160" s="14" t="s">
        <v>8</v>
      </c>
      <c r="E160" s="14" t="s">
        <v>9</v>
      </c>
      <c r="F160" s="13">
        <v>6.0</v>
      </c>
      <c r="G160" s="15" t="str">
        <f>IF(C160="o",500000000/F160,"-")</f>
        <v>-</v>
      </c>
      <c r="H160" s="16">
        <f>IF(C160="o",1,0)</f>
        <v>0</v>
      </c>
      <c r="I160" s="16"/>
      <c r="J160" s="16"/>
      <c r="K160" s="17"/>
      <c r="L160" s="17"/>
      <c r="M160" s="1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6.5" customHeight="1">
      <c r="A161" s="1"/>
      <c r="B161" s="22"/>
      <c r="C161" s="17"/>
      <c r="D161" s="17"/>
      <c r="E161" s="17"/>
      <c r="F161" s="17"/>
      <c r="G161" s="23"/>
      <c r="H161" s="16"/>
      <c r="I161" s="16"/>
      <c r="J161" s="16"/>
      <c r="K161" s="24" t="s">
        <v>11</v>
      </c>
      <c r="L161" s="25"/>
      <c r="M161" s="26" t="s">
        <v>5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6.5" customHeight="1">
      <c r="A162" s="1"/>
      <c r="B162" s="30" t="s">
        <v>13</v>
      </c>
      <c r="C162" s="10"/>
      <c r="D162" s="10"/>
      <c r="E162" s="10"/>
      <c r="F162" s="10"/>
      <c r="G162" s="31"/>
      <c r="H162" s="16"/>
      <c r="I162" s="16"/>
      <c r="J162" s="16"/>
      <c r="K162" s="32" t="s">
        <v>14</v>
      </c>
      <c r="L162" s="33">
        <v>0.0</v>
      </c>
      <c r="M162" s="34">
        <f>2664500*L162</f>
        <v>0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6.5" customHeight="1">
      <c r="A163" s="1"/>
      <c r="B163" s="36" t="s">
        <v>16</v>
      </c>
      <c r="C163" s="37"/>
      <c r="D163" s="38" t="s">
        <v>8</v>
      </c>
      <c r="E163" s="39" t="s">
        <v>9</v>
      </c>
      <c r="F163" s="40">
        <v>6.0</v>
      </c>
      <c r="G163" s="41" t="str">
        <f>IF(C163="o",ROUNDDOWN(IF(E163="하드",110450000,46512500)/F163,0),"-")</f>
        <v>-</v>
      </c>
      <c r="H163" s="16">
        <f t="shared" ref="H163:H167" si="31">IF(C163="o",1,0)</f>
        <v>0</v>
      </c>
      <c r="I163" s="16"/>
      <c r="J163" s="16"/>
      <c r="K163" s="42" t="s">
        <v>17</v>
      </c>
      <c r="L163" s="39">
        <v>0.0</v>
      </c>
      <c r="M163" s="43">
        <f>2592000*L163</f>
        <v>0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6.5" customHeight="1">
      <c r="A164" s="1"/>
      <c r="B164" s="44" t="s">
        <v>19</v>
      </c>
      <c r="C164" s="45"/>
      <c r="D164" s="39" t="s">
        <v>8</v>
      </c>
      <c r="E164" s="45" t="s">
        <v>9</v>
      </c>
      <c r="F164" s="45">
        <v>6.0</v>
      </c>
      <c r="G164" s="41" t="str">
        <f>IF(C164="o",ROUNDDOWN(IF(E164="하드",96800000,52812500)/F164,0),"-")</f>
        <v>-</v>
      </c>
      <c r="H164" s="16">
        <f t="shared" si="31"/>
        <v>0</v>
      </c>
      <c r="I164" s="16"/>
      <c r="J164" s="16"/>
      <c r="K164" s="42" t="s">
        <v>20</v>
      </c>
      <c r="L164" s="39">
        <v>0.0</v>
      </c>
      <c r="M164" s="43">
        <f>2520500*L164</f>
        <v>0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6.5" customHeight="1">
      <c r="A165" s="1"/>
      <c r="B165" s="46" t="s">
        <v>22</v>
      </c>
      <c r="C165" s="45"/>
      <c r="D165" s="39" t="s">
        <v>8</v>
      </c>
      <c r="E165" s="45" t="s">
        <v>9</v>
      </c>
      <c r="F165" s="45">
        <v>6.0</v>
      </c>
      <c r="G165" s="41" t="str">
        <f>IF(C165="o",ROUNDDOWN(IF(E165="하드",92450000,49612500)/F165,0),"-")</f>
        <v>-</v>
      </c>
      <c r="H165" s="16">
        <f t="shared" si="31"/>
        <v>0</v>
      </c>
      <c r="I165" s="16"/>
      <c r="J165" s="16"/>
      <c r="K165" s="42" t="s">
        <v>23</v>
      </c>
      <c r="L165" s="39">
        <v>0.0</v>
      </c>
      <c r="M165" s="43">
        <f>2450000*L165</f>
        <v>0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6.5" customHeight="1">
      <c r="A166" s="1"/>
      <c r="B166" s="47" t="s">
        <v>25</v>
      </c>
      <c r="C166" s="45"/>
      <c r="D166" s="39" t="s">
        <v>8</v>
      </c>
      <c r="E166" s="45" t="s">
        <v>26</v>
      </c>
      <c r="F166" s="45">
        <v>6.0</v>
      </c>
      <c r="G166" s="41" t="str">
        <f>IF(C166="o",ROUNDDOWN(IF(E166="하드",88200000,46512500)/F166,0),"-")</f>
        <v>-</v>
      </c>
      <c r="H166" s="16">
        <f t="shared" si="31"/>
        <v>0</v>
      </c>
      <c r="I166" s="16"/>
      <c r="J166" s="16"/>
      <c r="K166" s="42" t="s">
        <v>27</v>
      </c>
      <c r="L166" s="39">
        <v>0.0</v>
      </c>
      <c r="M166" s="43">
        <f>1404500*L166</f>
        <v>0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6.5" customHeight="1">
      <c r="A167" s="1"/>
      <c r="B167" s="51" t="s">
        <v>29</v>
      </c>
      <c r="C167" s="45"/>
      <c r="D167" s="39" t="s">
        <v>8</v>
      </c>
      <c r="E167" s="52" t="s">
        <v>9</v>
      </c>
      <c r="F167" s="92">
        <v>4.0</v>
      </c>
      <c r="G167" s="41" t="str">
        <f>IF(C167="o",ROUNDDOWN(IF(E167="하드",80000000,if(E167="노멀",40612500,35112500))/F167,0),"-")</f>
        <v>-</v>
      </c>
      <c r="H167" s="16">
        <f t="shared" si="31"/>
        <v>0</v>
      </c>
      <c r="I167" s="16"/>
      <c r="J167" s="16"/>
      <c r="K167" s="42" t="s">
        <v>31</v>
      </c>
      <c r="L167" s="39">
        <v>0.0</v>
      </c>
      <c r="M167" s="43">
        <f>1352000*L167</f>
        <v>0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6.5" customHeight="1">
      <c r="A168" s="1"/>
      <c r="B168" s="51" t="s">
        <v>32</v>
      </c>
      <c r="C168" s="45"/>
      <c r="D168" s="39" t="s">
        <v>8</v>
      </c>
      <c r="E168" s="45" t="s">
        <v>26</v>
      </c>
      <c r="F168" s="45">
        <v>4.0</v>
      </c>
      <c r="G168" s="41" t="str">
        <f>IF(C168="o",ROUNDDOWN(IF(E168="하드",90312500,34322000)/F168,0),"-")</f>
        <v>-</v>
      </c>
      <c r="H168" s="16"/>
      <c r="I168" s="16"/>
      <c r="J168" s="16"/>
      <c r="K168" s="42" t="s">
        <v>33</v>
      </c>
      <c r="L168" s="39">
        <v>0.0</v>
      </c>
      <c r="M168" s="43">
        <f>1250000*L168</f>
        <v>0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6.5" customHeight="1">
      <c r="A169" s="1"/>
      <c r="B169" s="57" t="s">
        <v>35</v>
      </c>
      <c r="C169" s="45"/>
      <c r="D169" s="39" t="s">
        <v>8</v>
      </c>
      <c r="E169" s="45" t="s">
        <v>26</v>
      </c>
      <c r="F169" s="45">
        <v>1.0</v>
      </c>
      <c r="G169" s="41" t="str">
        <f>IF(C169="o",ROUNDDOWN(IF(E169="하드",70312500,33800000)/F169,0),"-")</f>
        <v>-</v>
      </c>
      <c r="H169" s="16">
        <f t="shared" ref="H169:H171" si="32">IF(C169="o",1,0)</f>
        <v>0</v>
      </c>
      <c r="I169" s="16"/>
      <c r="J169" s="16"/>
      <c r="K169" s="58" t="s">
        <v>36</v>
      </c>
      <c r="L169" s="59">
        <v>0.0</v>
      </c>
      <c r="M169" s="60">
        <f>968000*L169</f>
        <v>0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6.5" customHeight="1">
      <c r="A170" s="1"/>
      <c r="B170" s="64" t="s">
        <v>37</v>
      </c>
      <c r="C170" s="45"/>
      <c r="D170" s="39" t="s">
        <v>8</v>
      </c>
      <c r="E170" s="45" t="s">
        <v>26</v>
      </c>
      <c r="F170" s="45">
        <v>1.0</v>
      </c>
      <c r="G170" s="41" t="str">
        <f>IF(C170="o",ROUNDDOWN(IF(E170="하드",74112500,32512500)/F170,0),"-")</f>
        <v>-</v>
      </c>
      <c r="H170" s="16">
        <f t="shared" si="32"/>
        <v>0</v>
      </c>
      <c r="I170" s="16"/>
      <c r="J170" s="16"/>
      <c r="K170" s="1"/>
      <c r="L170" s="1"/>
      <c r="M170" s="6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6.5" customHeight="1">
      <c r="A171" s="1"/>
      <c r="B171" s="69" t="s">
        <v>38</v>
      </c>
      <c r="C171" s="45"/>
      <c r="D171" s="39" t="s">
        <v>8</v>
      </c>
      <c r="E171" s="39" t="s">
        <v>39</v>
      </c>
      <c r="F171" s="45">
        <v>1.0</v>
      </c>
      <c r="G171" s="41" t="str">
        <f>IF(C171="o",ROUNDDOWN(26450000/F171,0),"-")</f>
        <v>-</v>
      </c>
      <c r="H171" s="16">
        <f t="shared" si="32"/>
        <v>0</v>
      </c>
      <c r="I171" s="16"/>
      <c r="J171" s="16"/>
      <c r="K171" s="16"/>
      <c r="L171" s="16"/>
      <c r="M171" s="6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6.5" customHeight="1">
      <c r="A172" s="1"/>
      <c r="B172" s="71" t="s">
        <v>41</v>
      </c>
      <c r="C172" s="45"/>
      <c r="D172" s="45" t="s">
        <v>42</v>
      </c>
      <c r="E172" s="39" t="s">
        <v>39</v>
      </c>
      <c r="F172" s="45">
        <v>1.0</v>
      </c>
      <c r="G172" s="41" t="str">
        <f>IF(C172="o",ROUNDDOWN(21012500/F172,0)*IF(D172="o",2,1),"-")</f>
        <v>-</v>
      </c>
      <c r="H172" s="16">
        <f t="shared" ref="H172:H176" si="33">IF(C172="o",1,0)*IF(D172="o",2,1)</f>
        <v>0</v>
      </c>
      <c r="I172" s="16"/>
      <c r="J172" s="16"/>
      <c r="K172" s="72" t="s">
        <v>34</v>
      </c>
      <c r="L172" s="73">
        <f>SUM(M162:M169)</f>
        <v>0</v>
      </c>
      <c r="M172" s="7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6.5" customHeight="1">
      <c r="A173" s="1"/>
      <c r="B173" s="71" t="s">
        <v>43</v>
      </c>
      <c r="C173" s="45"/>
      <c r="D173" s="45" t="s">
        <v>42</v>
      </c>
      <c r="E173" s="39" t="s">
        <v>9</v>
      </c>
      <c r="F173" s="45">
        <v>1.0</v>
      </c>
      <c r="G173" s="41" t="str">
        <f>IF(C173="o",ROUNDDOWN(19012500/F173,0)*IF(D173="o",2,1),"-")</f>
        <v>-</v>
      </c>
      <c r="H173" s="16">
        <f t="shared" si="33"/>
        <v>0</v>
      </c>
      <c r="I173" s="16"/>
      <c r="J173" s="16"/>
      <c r="K173" s="72" t="s">
        <v>44</v>
      </c>
      <c r="L173" s="73">
        <f>SUM(L162:L169)+COUNTA(C163:C160:C180)</f>
        <v>0</v>
      </c>
      <c r="M173" s="7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6.5" customHeight="1">
      <c r="A174" s="1"/>
      <c r="B174" s="75" t="s">
        <v>45</v>
      </c>
      <c r="C174" s="45"/>
      <c r="D174" s="45" t="s">
        <v>42</v>
      </c>
      <c r="E174" s="39" t="s">
        <v>39</v>
      </c>
      <c r="F174" s="45">
        <v>1.0</v>
      </c>
      <c r="G174" s="41" t="str">
        <f t="shared" ref="G174:G176" si="34">IF(C174="o",ROUNDDOWN(16200000/F174,0)*IF(D174="o",2,1),"-")</f>
        <v>-</v>
      </c>
      <c r="H174" s="16">
        <f t="shared" si="33"/>
        <v>0</v>
      </c>
      <c r="I174" s="16"/>
      <c r="J174" s="16"/>
      <c r="K174" s="16"/>
      <c r="L174" s="16"/>
      <c r="M174" s="6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6.5" customHeight="1">
      <c r="A175" s="1"/>
      <c r="B175" s="76" t="s">
        <v>62</v>
      </c>
      <c r="C175" s="45"/>
      <c r="D175" s="45" t="s">
        <v>42</v>
      </c>
      <c r="E175" s="39" t="s">
        <v>39</v>
      </c>
      <c r="F175" s="45">
        <v>1.0</v>
      </c>
      <c r="G175" s="41" t="str">
        <f t="shared" si="34"/>
        <v>-</v>
      </c>
      <c r="H175" s="16">
        <f t="shared" si="33"/>
        <v>0</v>
      </c>
      <c r="I175" s="16"/>
      <c r="J175" s="16"/>
      <c r="K175" s="94"/>
      <c r="L175" s="95"/>
      <c r="M175" s="9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77" t="s">
        <v>47</v>
      </c>
      <c r="C176" s="45"/>
      <c r="D176" s="45" t="s">
        <v>42</v>
      </c>
      <c r="E176" s="39" t="s">
        <v>39</v>
      </c>
      <c r="F176" s="45">
        <v>1.0</v>
      </c>
      <c r="G176" s="41" t="str">
        <f t="shared" si="34"/>
        <v>-</v>
      </c>
      <c r="H176" s="16">
        <f t="shared" si="33"/>
        <v>0</v>
      </c>
      <c r="I176" s="16"/>
      <c r="J176" s="16"/>
      <c r="K176" s="53"/>
      <c r="L176" s="97"/>
      <c r="M176" s="9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6.5" customHeight="1">
      <c r="A177" s="1"/>
      <c r="B177" s="78" t="s">
        <v>48</v>
      </c>
      <c r="C177" s="45"/>
      <c r="D177" s="39" t="s">
        <v>8</v>
      </c>
      <c r="E177" s="39" t="s">
        <v>39</v>
      </c>
      <c r="F177" s="45">
        <v>1.0</v>
      </c>
      <c r="G177" s="41" t="str">
        <f>IF(C177="o",ROUNDDOWN(16200000/F177,0),"-")</f>
        <v>-</v>
      </c>
      <c r="H177" s="16">
        <f>IF(C177="o",1,0)</f>
        <v>0</v>
      </c>
      <c r="I177" s="16"/>
      <c r="J177" s="16"/>
      <c r="K177" s="53"/>
      <c r="L177" s="97"/>
      <c r="M177" s="9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6.5" customHeight="1">
      <c r="A178" s="1"/>
      <c r="B178" s="79" t="s">
        <v>49</v>
      </c>
      <c r="C178" s="45"/>
      <c r="D178" s="45" t="s">
        <v>42</v>
      </c>
      <c r="E178" s="39" t="s">
        <v>54</v>
      </c>
      <c r="F178" s="45">
        <v>1.0</v>
      </c>
      <c r="G178" s="41" t="str">
        <f>IF(C178="o",ROUNDDOWN(IF(E178="노멀",14450000,9112500)/F178,0)*IF(D178="o",2,1),"-")</f>
        <v>-</v>
      </c>
      <c r="H178" s="16">
        <f>IF(C178="o",1,0)*IF(D178="o",2,1)</f>
        <v>0</v>
      </c>
      <c r="I178" s="16"/>
      <c r="J178" s="16"/>
      <c r="K178" s="53"/>
      <c r="L178" s="97"/>
      <c r="M178" s="9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6.5" customHeight="1">
      <c r="A179" s="1"/>
      <c r="B179" s="80" t="s">
        <v>50</v>
      </c>
      <c r="C179" s="45"/>
      <c r="D179" s="39" t="s">
        <v>8</v>
      </c>
      <c r="E179" s="39" t="s">
        <v>39</v>
      </c>
      <c r="F179" s="45">
        <v>1.0</v>
      </c>
      <c r="G179" s="41" t="str">
        <f>IF(C179="o",ROUNDDOWN(12800000/F179,0),"-")</f>
        <v>-</v>
      </c>
      <c r="H179" s="16">
        <f t="shared" ref="H179:H180" si="35">IF(C179="o",1,0)</f>
        <v>0</v>
      </c>
      <c r="I179" s="16"/>
      <c r="J179" s="16"/>
      <c r="K179" s="53"/>
      <c r="L179" s="16"/>
      <c r="M179" s="6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6.5" customHeight="1">
      <c r="A180" s="1"/>
      <c r="B180" s="81" t="s">
        <v>51</v>
      </c>
      <c r="C180" s="82"/>
      <c r="D180" s="59" t="s">
        <v>8</v>
      </c>
      <c r="E180" s="59" t="s">
        <v>9</v>
      </c>
      <c r="F180" s="82">
        <v>1.0</v>
      </c>
      <c r="G180" s="83" t="str">
        <f>IF(C180="o",ROUNDDOWN(11250000/F180,0),"-")</f>
        <v>-</v>
      </c>
      <c r="H180" s="16">
        <f t="shared" si="35"/>
        <v>0</v>
      </c>
      <c r="I180" s="16"/>
      <c r="J180" s="16"/>
      <c r="K180" s="98"/>
      <c r="L180" s="99"/>
      <c r="M180" s="10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6.5" customHeight="1">
      <c r="A181" s="1"/>
      <c r="B181" s="84"/>
      <c r="C181" s="16"/>
      <c r="D181" s="16"/>
      <c r="E181" s="16"/>
      <c r="F181" s="16"/>
      <c r="G181" s="23"/>
      <c r="H181" s="16">
        <f>SUM(H160:H180)</f>
        <v>0</v>
      </c>
      <c r="I181" s="16"/>
      <c r="J181" s="16"/>
      <c r="K181" s="101"/>
      <c r="L181" s="102"/>
      <c r="M181" s="6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6.5" customHeight="1">
      <c r="A182" s="1"/>
      <c r="B182" s="85" t="s">
        <v>34</v>
      </c>
      <c r="C182" s="86"/>
      <c r="D182" s="86"/>
      <c r="E182" s="86"/>
      <c r="F182" s="87"/>
      <c r="G182" s="103">
        <f>SUM(G160:G180)</f>
        <v>0</v>
      </c>
      <c r="H182" s="89"/>
      <c r="I182" s="89"/>
      <c r="J182" s="89"/>
      <c r="K182" s="104"/>
      <c r="L182" s="105"/>
      <c r="M182" s="6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1">
    <mergeCell ref="L120:M120"/>
    <mergeCell ref="L121:M121"/>
    <mergeCell ref="K123:M123"/>
    <mergeCell ref="L124:M124"/>
    <mergeCell ref="L125:M125"/>
    <mergeCell ref="L126:M126"/>
    <mergeCell ref="L128:M130"/>
    <mergeCell ref="L146:M146"/>
    <mergeCell ref="L147:M147"/>
    <mergeCell ref="K149:M149"/>
    <mergeCell ref="L150:M150"/>
    <mergeCell ref="L151:M151"/>
    <mergeCell ref="L152:M152"/>
    <mergeCell ref="L154:M156"/>
    <mergeCell ref="L178:M178"/>
    <mergeCell ref="K180:K182"/>
    <mergeCell ref="L180:M182"/>
    <mergeCell ref="L159:M159"/>
    <mergeCell ref="K161:L161"/>
    <mergeCell ref="L172:M172"/>
    <mergeCell ref="L173:M173"/>
    <mergeCell ref="K175:M175"/>
    <mergeCell ref="L176:M176"/>
    <mergeCell ref="L177:M177"/>
    <mergeCell ref="B78:F78"/>
    <mergeCell ref="B84:G84"/>
    <mergeCell ref="L3:M3"/>
    <mergeCell ref="P3:R3"/>
    <mergeCell ref="Q4:R4"/>
    <mergeCell ref="K5:L5"/>
    <mergeCell ref="Q5:R5"/>
    <mergeCell ref="Q6:R6"/>
    <mergeCell ref="B6:G6"/>
    <mergeCell ref="Q7:R7"/>
    <mergeCell ref="Q8:R8"/>
    <mergeCell ref="Q9:R9"/>
    <mergeCell ref="Q10:R10"/>
    <mergeCell ref="P12:P14"/>
    <mergeCell ref="Q12:R14"/>
    <mergeCell ref="Q15:R17"/>
    <mergeCell ref="P15:P17"/>
    <mergeCell ref="L16:M16"/>
    <mergeCell ref="L17:M17"/>
    <mergeCell ref="L27:M27"/>
    <mergeCell ref="K31:L31"/>
    <mergeCell ref="B26:F26"/>
    <mergeCell ref="B32:G32"/>
    <mergeCell ref="K50:K52"/>
    <mergeCell ref="L50:M52"/>
    <mergeCell ref="B52:F52"/>
    <mergeCell ref="L55:M55"/>
    <mergeCell ref="K57:L57"/>
    <mergeCell ref="B58:G58"/>
    <mergeCell ref="L29:M29"/>
    <mergeCell ref="L42:M42"/>
    <mergeCell ref="L43:M43"/>
    <mergeCell ref="K45:M45"/>
    <mergeCell ref="L46:M46"/>
    <mergeCell ref="L47:M47"/>
    <mergeCell ref="L48:M48"/>
    <mergeCell ref="K76:K78"/>
    <mergeCell ref="K154:K156"/>
    <mergeCell ref="B156:F156"/>
    <mergeCell ref="B162:G162"/>
    <mergeCell ref="B182:F182"/>
    <mergeCell ref="L68:M68"/>
    <mergeCell ref="L69:M69"/>
    <mergeCell ref="K71:M71"/>
    <mergeCell ref="L72:M72"/>
    <mergeCell ref="L73:M73"/>
    <mergeCell ref="L74:M74"/>
    <mergeCell ref="L76:M78"/>
    <mergeCell ref="L100:M100"/>
    <mergeCell ref="K102:K104"/>
    <mergeCell ref="L102:M104"/>
    <mergeCell ref="B104:F104"/>
    <mergeCell ref="L107:M107"/>
    <mergeCell ref="K109:L109"/>
    <mergeCell ref="B110:G110"/>
    <mergeCell ref="L81:M81"/>
    <mergeCell ref="K83:L83"/>
    <mergeCell ref="L94:M94"/>
    <mergeCell ref="L95:M95"/>
    <mergeCell ref="K97:M97"/>
    <mergeCell ref="L98:M98"/>
    <mergeCell ref="L99:M99"/>
    <mergeCell ref="L133:M133"/>
    <mergeCell ref="K135:L135"/>
    <mergeCell ref="B136:G136"/>
    <mergeCell ref="K128:K130"/>
    <mergeCell ref="B130:F130"/>
  </mergeCells>
  <conditionalFormatting sqref="Q15:R17">
    <cfRule type="cellIs" dxfId="0" priority="1" operator="greaterThan">
      <formula>180</formula>
    </cfRule>
  </conditionalFormatting>
  <dataValidations>
    <dataValidation type="list" allowBlank="1" showErrorMessage="1" sqref="E22 E48 E74 E100 E126 E152 E178">
      <formula1>"노멀,이지"</formula1>
    </dataValidation>
    <dataValidation type="list" allowBlank="1" showErrorMessage="1" sqref="E8:E10 E12:E14 E34:E36 E38:E40 E60:E62 E64:E66 E86:E88 E90:E92 E112:E114 E116:E118 E138:E140 E142:E144 E164:E166 E168:E170">
      <formula1>"노멀,하드"</formula1>
    </dataValidation>
    <dataValidation type="list" allowBlank="1" showErrorMessage="1" sqref="L3 L29 L55 L81 L107 L133 L159">
      <formula1>"잡는다,안 잡는다"</formula1>
    </dataValidation>
    <dataValidation type="list" allowBlank="1" showErrorMessage="1" sqref="C4 C7:C15 C16:D20 C21 C22:D22 C23:C24 C30 C33:C41 C42:D46 C47 C48:D48 C49:C50 C56 C59:C67 C68:D72 C73 C74:D74 C75:C76 C82 C85:C93 C94:D98 C99 C100:D100 C101:C102 C108 C111:C119 C120:D124 C125 C126:D126 C127:C128 C134 C137:C145 C146:D150 C151 C152:D152 C153:C154 C160 C163:C171 C172:D176 C177 C178:D178 C179:C180">
      <formula1>"o,x"</formula1>
    </dataValidation>
    <dataValidation type="list" allowBlank="1" showErrorMessage="1" sqref="E11 E37 E63 E89 E115 E141 E167">
      <formula1>"노멀,하드,이지"</formula1>
    </dataValidation>
  </dataValidations>
  <printOptions/>
  <pageMargins bottom="0.75" footer="0.0" header="0.0" left="0.7" right="0.7" top="0.75"/>
  <pageSetup paperSize="9" orientation="portrait"/>
  <drawing r:id="rId1"/>
</worksheet>
</file>