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3"/>
  </bookViews>
  <sheets>
    <sheet name="설명서" sheetId="7" r:id="rId1"/>
    <sheet name="체크리스트" sheetId="4" r:id="rId2"/>
    <sheet name="캐릭터입력창" sheetId="3" r:id="rId3"/>
    <sheet name="재료 가격" sheetId="2" r:id="rId4"/>
    <sheet name="버스비 및 수익" sheetId="1" r:id="rId5"/>
    <sheet name="예상골드획득량" sheetId="5" r:id="rId6"/>
  </sheets>
  <calcPr calcId="144525"/>
</workbook>
</file>

<file path=xl/calcChain.xml><?xml version="1.0" encoding="utf-8"?>
<calcChain xmlns="http://schemas.openxmlformats.org/spreadsheetml/2006/main">
  <c r="AG34" i="3" l="1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D7" i="4" l="1"/>
  <c r="AE7" i="4" s="1"/>
  <c r="D8" i="4"/>
  <c r="AC8" i="4" s="1"/>
  <c r="C11" i="5"/>
  <c r="C29" i="4"/>
  <c r="AH7" i="4" l="1"/>
  <c r="AF7" i="4"/>
  <c r="AG7" i="4"/>
  <c r="AI7" i="4"/>
  <c r="AA8" i="4"/>
  <c r="AA7" i="4"/>
  <c r="AD7" i="4"/>
  <c r="AB7" i="4"/>
  <c r="AI8" i="4"/>
  <c r="AH8" i="4"/>
  <c r="AB8" i="4"/>
  <c r="AF8" i="4"/>
  <c r="AE8" i="4"/>
  <c r="AD8" i="4"/>
  <c r="B34" i="4"/>
  <c r="C34" i="4"/>
  <c r="D34" i="4"/>
  <c r="B35" i="4"/>
  <c r="C35" i="4"/>
  <c r="D35" i="4"/>
  <c r="B36" i="4"/>
  <c r="C36" i="4"/>
  <c r="D36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30" i="4"/>
  <c r="C31" i="4"/>
  <c r="C32" i="4"/>
  <c r="C33" i="4"/>
  <c r="C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8" i="4"/>
  <c r="C7" i="4"/>
  <c r="B7" i="4"/>
  <c r="D3" i="1"/>
  <c r="AG15" i="4" l="1"/>
  <c r="AF15" i="4"/>
  <c r="AI15" i="4"/>
  <c r="AD15" i="4"/>
  <c r="AE15" i="4"/>
  <c r="AB15" i="4"/>
  <c r="AA15" i="4"/>
  <c r="AC15" i="4"/>
  <c r="AI16" i="4"/>
  <c r="AA16" i="4"/>
  <c r="AB16" i="4"/>
  <c r="AC16" i="4"/>
  <c r="AD16" i="4"/>
  <c r="AE16" i="4"/>
  <c r="AF16" i="4"/>
  <c r="AG16" i="4"/>
  <c r="AC14" i="4"/>
  <c r="AD14" i="4"/>
  <c r="AE14" i="4"/>
  <c r="AF14" i="4"/>
  <c r="AI14" i="4"/>
  <c r="AH14" i="4"/>
  <c r="AB14" i="4"/>
  <c r="AA14" i="4"/>
  <c r="AD13" i="4"/>
  <c r="AI13" i="4"/>
  <c r="AA13" i="4"/>
  <c r="AB13" i="4"/>
  <c r="AH13" i="4"/>
  <c r="AC13" i="4"/>
  <c r="AF13" i="4"/>
  <c r="AE13" i="4"/>
  <c r="AH12" i="4"/>
  <c r="AI12" i="4"/>
  <c r="AB12" i="4"/>
  <c r="AC12" i="4"/>
  <c r="AD12" i="4"/>
  <c r="AE12" i="4"/>
  <c r="AA12" i="4"/>
  <c r="AF12" i="4"/>
  <c r="AC11" i="4"/>
  <c r="AD11" i="4"/>
  <c r="AE11" i="4"/>
  <c r="AI11" i="4"/>
  <c r="AB11" i="4"/>
  <c r="AG11" i="4"/>
  <c r="AH11" i="4"/>
  <c r="AA11" i="4"/>
  <c r="AD10" i="4"/>
  <c r="AI10" i="4"/>
  <c r="AA10" i="4"/>
  <c r="AB10" i="4"/>
  <c r="AC10" i="4"/>
  <c r="AE10" i="4"/>
  <c r="AF10" i="4"/>
  <c r="AH10" i="4"/>
  <c r="AH21" i="4"/>
  <c r="AI21" i="4"/>
  <c r="AC21" i="4"/>
  <c r="AD21" i="4"/>
  <c r="AA21" i="4"/>
  <c r="AG21" i="4"/>
  <c r="AB21" i="4"/>
  <c r="AF21" i="4"/>
  <c r="AH9" i="4"/>
  <c r="AI9" i="4"/>
  <c r="AF9" i="4"/>
  <c r="AE9" i="4"/>
  <c r="AB9" i="4"/>
  <c r="AC9" i="4"/>
  <c r="AA9" i="4"/>
  <c r="AD9" i="4"/>
  <c r="AC20" i="4"/>
  <c r="AE20" i="4"/>
  <c r="AB20" i="4"/>
  <c r="AD20" i="4"/>
  <c r="AF20" i="4"/>
  <c r="AI20" i="4"/>
  <c r="AH20" i="4"/>
  <c r="AA20" i="4"/>
  <c r="AC17" i="4"/>
  <c r="AE17" i="4"/>
  <c r="AI17" i="4"/>
  <c r="AD17" i="4"/>
  <c r="AA17" i="4"/>
  <c r="AF17" i="4"/>
  <c r="AH17" i="4"/>
  <c r="AB17" i="4"/>
  <c r="AB19" i="4"/>
  <c r="AI19" i="4"/>
  <c r="AA19" i="4"/>
  <c r="AD19" i="4"/>
  <c r="AC19" i="4"/>
  <c r="AF19" i="4"/>
  <c r="AH19" i="4"/>
  <c r="AE19" i="4"/>
  <c r="AH18" i="4"/>
  <c r="AC18" i="4"/>
  <c r="AI18" i="4"/>
  <c r="AF18" i="4"/>
  <c r="AB18" i="4"/>
  <c r="AD18" i="4"/>
  <c r="AA18" i="4"/>
  <c r="AE18" i="4"/>
  <c r="C10" i="5"/>
  <c r="C9" i="5"/>
  <c r="AA32" i="4"/>
  <c r="AB32" i="4"/>
  <c r="AF32" i="4"/>
  <c r="AG32" i="4"/>
  <c r="AH32" i="4"/>
  <c r="AC32" i="4"/>
  <c r="AE32" i="4"/>
  <c r="AD32" i="4"/>
  <c r="AI32" i="4"/>
  <c r="AC31" i="4"/>
  <c r="AD31" i="4"/>
  <c r="AE31" i="4"/>
  <c r="AG31" i="4"/>
  <c r="AA31" i="4"/>
  <c r="AB31" i="4"/>
  <c r="AH31" i="4"/>
  <c r="AF31" i="4"/>
  <c r="AI31" i="4"/>
  <c r="AG30" i="4"/>
  <c r="AB30" i="4"/>
  <c r="AH30" i="4"/>
  <c r="AA30" i="4"/>
  <c r="AE30" i="4"/>
  <c r="AI30" i="4"/>
  <c r="AF30" i="4"/>
  <c r="AD30" i="4"/>
  <c r="AC30" i="4"/>
  <c r="AG22" i="4"/>
  <c r="AH22" i="4"/>
  <c r="AF22" i="4"/>
  <c r="AI22" i="4"/>
  <c r="AB22" i="4"/>
  <c r="AA22" i="4"/>
  <c r="AC22" i="4"/>
  <c r="AD22" i="4"/>
  <c r="AE22" i="4"/>
  <c r="AA36" i="4"/>
  <c r="AF36" i="4"/>
  <c r="AB36" i="4"/>
  <c r="AC36" i="4"/>
  <c r="AE36" i="4"/>
  <c r="AD36" i="4"/>
  <c r="AG36" i="4"/>
  <c r="AH36" i="4"/>
  <c r="AI36" i="4"/>
  <c r="AD29" i="4"/>
  <c r="AC29" i="4"/>
  <c r="AE29" i="4"/>
  <c r="AF29" i="4"/>
  <c r="AH29" i="4"/>
  <c r="AG29" i="4"/>
  <c r="AI29" i="4"/>
  <c r="AA29" i="4"/>
  <c r="AB29" i="4"/>
  <c r="AB35" i="4"/>
  <c r="AE35" i="4"/>
  <c r="AG35" i="4"/>
  <c r="AD35" i="4"/>
  <c r="AA35" i="4"/>
  <c r="AC35" i="4"/>
  <c r="AH35" i="4"/>
  <c r="AF35" i="4"/>
  <c r="AI35" i="4"/>
  <c r="AD33" i="4"/>
  <c r="AE33" i="4"/>
  <c r="AC33" i="4"/>
  <c r="AF33" i="4"/>
  <c r="AI33" i="4"/>
  <c r="AB33" i="4"/>
  <c r="AG33" i="4"/>
  <c r="AH33" i="4"/>
  <c r="AA33" i="4"/>
  <c r="AA28" i="4"/>
  <c r="AE28" i="4"/>
  <c r="AB28" i="4"/>
  <c r="AC28" i="4"/>
  <c r="AF28" i="4"/>
  <c r="AD28" i="4"/>
  <c r="AG28" i="4"/>
  <c r="AH28" i="4"/>
  <c r="AI28" i="4"/>
  <c r="AG26" i="4"/>
  <c r="AD26" i="4"/>
  <c r="AH26" i="4"/>
  <c r="AA26" i="4"/>
  <c r="AI26" i="4"/>
  <c r="AB26" i="4"/>
  <c r="AE26" i="4"/>
  <c r="AC26" i="4"/>
  <c r="AF26" i="4"/>
  <c r="AG34" i="4"/>
  <c r="AA34" i="4"/>
  <c r="AE34" i="4"/>
  <c r="AH34" i="4"/>
  <c r="AD34" i="4"/>
  <c r="AI34" i="4"/>
  <c r="AB34" i="4"/>
  <c r="AF34" i="4"/>
  <c r="AC34" i="4"/>
  <c r="AD25" i="4"/>
  <c r="AB25" i="4"/>
  <c r="AC25" i="4"/>
  <c r="AE25" i="4"/>
  <c r="AF25" i="4"/>
  <c r="AH25" i="4"/>
  <c r="AA25" i="4"/>
  <c r="AG25" i="4"/>
  <c r="AI25" i="4"/>
  <c r="AC27" i="4"/>
  <c r="AE27" i="4"/>
  <c r="AG27" i="4"/>
  <c r="AB27" i="4"/>
  <c r="AD27" i="4"/>
  <c r="AA27" i="4"/>
  <c r="AH27" i="4"/>
  <c r="AI27" i="4"/>
  <c r="AF27" i="4"/>
  <c r="AA24" i="4"/>
  <c r="AB24" i="4"/>
  <c r="AC24" i="4"/>
  <c r="AF24" i="4"/>
  <c r="AD24" i="4"/>
  <c r="AE24" i="4"/>
  <c r="AG24" i="4"/>
  <c r="AH24" i="4"/>
  <c r="AI24" i="4"/>
  <c r="AD23" i="4"/>
  <c r="AE23" i="4"/>
  <c r="AB23" i="4"/>
  <c r="AI23" i="4"/>
  <c r="AA23" i="4"/>
  <c r="AH23" i="4"/>
  <c r="AC23" i="4"/>
  <c r="AF23" i="4"/>
  <c r="AG23" i="4"/>
  <c r="D6" i="1"/>
  <c r="D5" i="1"/>
  <c r="D4" i="1"/>
  <c r="C3" i="5" l="1"/>
  <c r="AA34" i="3"/>
  <c r="AK36" i="4" s="1"/>
  <c r="AA22" i="3"/>
  <c r="AK24" i="4" s="1"/>
  <c r="AA10" i="3"/>
  <c r="AK12" i="4" s="1"/>
  <c r="AA12" i="3"/>
  <c r="AK14" i="4" s="1"/>
  <c r="AA33" i="3"/>
  <c r="AK35" i="4" s="1"/>
  <c r="AA21" i="3"/>
  <c r="AK23" i="4" s="1"/>
  <c r="AA9" i="3"/>
  <c r="AK11" i="4" s="1"/>
  <c r="AA32" i="3"/>
  <c r="AK34" i="4" s="1"/>
  <c r="AA20" i="3"/>
  <c r="AK22" i="4" s="1"/>
  <c r="AA8" i="3"/>
  <c r="AK10" i="4" s="1"/>
  <c r="AA31" i="3"/>
  <c r="AK33" i="4" s="1"/>
  <c r="AA19" i="3"/>
  <c r="AK21" i="4" s="1"/>
  <c r="AA7" i="3"/>
  <c r="AK9" i="4" s="1"/>
  <c r="AA30" i="3"/>
  <c r="AK32" i="4" s="1"/>
  <c r="AA18" i="3"/>
  <c r="AK20" i="4" s="1"/>
  <c r="AA6" i="3"/>
  <c r="AK8" i="4" s="1"/>
  <c r="AA24" i="3"/>
  <c r="AK26" i="4" s="1"/>
  <c r="AA29" i="3"/>
  <c r="AK31" i="4" s="1"/>
  <c r="AA17" i="3"/>
  <c r="AK19" i="4" s="1"/>
  <c r="AA5" i="3"/>
  <c r="AK7" i="4" s="1"/>
  <c r="AA11" i="3"/>
  <c r="AK13" i="4" s="1"/>
  <c r="AA28" i="3"/>
  <c r="AK30" i="4" s="1"/>
  <c r="AA16" i="3"/>
  <c r="AK18" i="4" s="1"/>
  <c r="AA26" i="3"/>
  <c r="AK28" i="4" s="1"/>
  <c r="AA23" i="3"/>
  <c r="AK25" i="4" s="1"/>
  <c r="AA27" i="3"/>
  <c r="AK29" i="4" s="1"/>
  <c r="AA15" i="3"/>
  <c r="AK17" i="4" s="1"/>
  <c r="AA14" i="3"/>
  <c r="AK16" i="4" s="1"/>
  <c r="AA25" i="3"/>
  <c r="AK27" i="4" s="1"/>
  <c r="AA13" i="3"/>
  <c r="AK15" i="4" s="1"/>
  <c r="AJ36" i="4"/>
  <c r="C6" i="5"/>
  <c r="C7" i="5"/>
  <c r="AE21" i="4" s="1"/>
  <c r="AJ21" i="4" s="1"/>
  <c r="C8" i="5"/>
  <c r="AF11" i="4" s="1"/>
  <c r="AJ11" i="4" s="1"/>
  <c r="AG10" i="4"/>
  <c r="AJ10" i="4" s="1"/>
  <c r="AG14" i="4"/>
  <c r="AJ14" i="4" s="1"/>
  <c r="AG18" i="4"/>
  <c r="AJ18" i="4" s="1"/>
  <c r="AG9" i="4"/>
  <c r="AJ9" i="4" s="1"/>
  <c r="AG13" i="4"/>
  <c r="AJ13" i="4" s="1"/>
  <c r="AG17" i="4"/>
  <c r="AJ17" i="4" s="1"/>
  <c r="AG20" i="4"/>
  <c r="AJ20" i="4" s="1"/>
  <c r="AG12" i="4"/>
  <c r="AJ12" i="4" s="1"/>
  <c r="AG8" i="4"/>
  <c r="AJ8" i="4" s="1"/>
  <c r="AG19" i="4"/>
  <c r="AJ19" i="4" s="1"/>
  <c r="C5" i="5"/>
  <c r="AC7" i="4" s="1"/>
  <c r="AJ7" i="4" s="1"/>
  <c r="C4" i="5"/>
  <c r="AH15" i="4"/>
  <c r="AJ15" i="4" s="1"/>
  <c r="AH16" i="4"/>
  <c r="AJ16" i="4" s="1"/>
  <c r="AJ33" i="4"/>
  <c r="AJ22" i="4"/>
  <c r="AJ35" i="4"/>
  <c r="AJ34" i="4"/>
  <c r="AJ28" i="4"/>
  <c r="AJ27" i="4"/>
  <c r="AJ23" i="4"/>
  <c r="AJ30" i="4"/>
  <c r="AJ25" i="4"/>
  <c r="AJ29" i="4"/>
  <c r="AJ24" i="4"/>
  <c r="AJ26" i="4"/>
  <c r="AJ31" i="4"/>
  <c r="AJ32" i="4"/>
  <c r="D1" i="4" l="1"/>
  <c r="D2" i="4"/>
</calcChain>
</file>

<file path=xl/sharedStrings.xml><?xml version="1.0" encoding="utf-8"?>
<sst xmlns="http://schemas.openxmlformats.org/spreadsheetml/2006/main" count="187" uniqueCount="147">
  <si>
    <t>완료</t>
    <phoneticPr fontId="2" type="noConversion"/>
  </si>
  <si>
    <t>닉네임</t>
    <phoneticPr fontId="2" type="noConversion"/>
  </si>
  <si>
    <t>클래스</t>
    <phoneticPr fontId="2" type="noConversion"/>
  </si>
  <si>
    <t>아이템레벨</t>
    <phoneticPr fontId="2" type="noConversion"/>
  </si>
  <si>
    <t>카던</t>
    <phoneticPr fontId="2" type="noConversion"/>
  </si>
  <si>
    <t>가디언</t>
    <phoneticPr fontId="2" type="noConversion"/>
  </si>
  <si>
    <t>오레하</t>
    <phoneticPr fontId="2" type="noConversion"/>
  </si>
  <si>
    <t>아르고스</t>
    <phoneticPr fontId="2" type="noConversion"/>
  </si>
  <si>
    <t>도전
가디언</t>
    <phoneticPr fontId="2" type="noConversion"/>
  </si>
  <si>
    <t>군단장 컨텐츠</t>
    <phoneticPr fontId="2" type="noConversion"/>
  </si>
  <si>
    <t>발탄</t>
    <phoneticPr fontId="2" type="noConversion"/>
  </si>
  <si>
    <t>비아키스</t>
    <phoneticPr fontId="2" type="noConversion"/>
  </si>
  <si>
    <t>쿠크세이튼</t>
    <phoneticPr fontId="2" type="noConversion"/>
  </si>
  <si>
    <t>아브렐슈드</t>
    <phoneticPr fontId="2" type="noConversion"/>
  </si>
  <si>
    <t>던전 이름</t>
    <phoneticPr fontId="2" type="noConversion"/>
  </si>
  <si>
    <t>가격</t>
    <phoneticPr fontId="2" type="noConversion"/>
  </si>
  <si>
    <t>발탄 노말</t>
    <phoneticPr fontId="2" type="noConversion"/>
  </si>
  <si>
    <t>골드 획득량</t>
    <phoneticPr fontId="2" type="noConversion"/>
  </si>
  <si>
    <t>버스비</t>
    <phoneticPr fontId="2" type="noConversion"/>
  </si>
  <si>
    <t>가디언</t>
    <phoneticPr fontId="2" type="noConversion"/>
  </si>
  <si>
    <t>데스칼루다</t>
    <phoneticPr fontId="2" type="noConversion"/>
  </si>
  <si>
    <t>쿤겔라니움</t>
    <phoneticPr fontId="2" type="noConversion"/>
  </si>
  <si>
    <t>칼엘리고스</t>
    <phoneticPr fontId="2" type="noConversion"/>
  </si>
  <si>
    <t>이름</t>
    <phoneticPr fontId="2" type="noConversion"/>
  </si>
  <si>
    <t>위대한 명예의 돌파석</t>
    <phoneticPr fontId="2" type="noConversion"/>
  </si>
  <si>
    <t>경이로운 명예의 돌파석</t>
    <phoneticPr fontId="2" type="noConversion"/>
  </si>
  <si>
    <t>파괴석 결정</t>
    <phoneticPr fontId="2" type="noConversion"/>
  </si>
  <si>
    <t>수호강석</t>
    <phoneticPr fontId="2" type="noConversion"/>
  </si>
  <si>
    <t>파괴강석</t>
    <phoneticPr fontId="2" type="noConversion"/>
  </si>
  <si>
    <t>흑야의 요호(휴게)</t>
    <phoneticPr fontId="2" type="noConversion"/>
  </si>
  <si>
    <t>주간
어비스</t>
    <phoneticPr fontId="2" type="noConversion"/>
  </si>
  <si>
    <t>오레하 노말</t>
    <phoneticPr fontId="2" type="noConversion"/>
  </si>
  <si>
    <t>오레하 하드</t>
    <phoneticPr fontId="2" type="noConversion"/>
  </si>
  <si>
    <t>군단장</t>
    <phoneticPr fontId="2" type="noConversion"/>
  </si>
  <si>
    <t>발탄 하드</t>
    <phoneticPr fontId="2" type="noConversion"/>
  </si>
  <si>
    <t>비아키스 노말</t>
    <phoneticPr fontId="2" type="noConversion"/>
  </si>
  <si>
    <t>비아키스 하드</t>
    <phoneticPr fontId="2" type="noConversion"/>
  </si>
  <si>
    <t>쿠크세이튼</t>
    <phoneticPr fontId="2" type="noConversion"/>
  </si>
  <si>
    <t>아브렐슈드 1/2관문</t>
    <phoneticPr fontId="2" type="noConversion"/>
  </si>
  <si>
    <t>아브렐슈드 3/4관문</t>
    <phoneticPr fontId="2" type="noConversion"/>
  </si>
  <si>
    <t>아브렐슈드 5/6관문</t>
    <phoneticPr fontId="2" type="noConversion"/>
  </si>
  <si>
    <t>요호 버스</t>
    <phoneticPr fontId="2" type="noConversion"/>
  </si>
  <si>
    <t>쿤겔</t>
    <phoneticPr fontId="2" type="noConversion"/>
  </si>
  <si>
    <t>데칼</t>
    <phoneticPr fontId="2" type="noConversion"/>
  </si>
  <si>
    <t>칼엘</t>
    <phoneticPr fontId="2" type="noConversion"/>
  </si>
  <si>
    <t>노말</t>
    <phoneticPr fontId="2" type="noConversion"/>
  </si>
  <si>
    <t>하드</t>
    <phoneticPr fontId="2" type="noConversion"/>
  </si>
  <si>
    <t>노말버스</t>
    <phoneticPr fontId="2" type="noConversion"/>
  </si>
  <si>
    <t>하드버스</t>
    <phoneticPr fontId="2" type="noConversion"/>
  </si>
  <si>
    <t>버스탑승</t>
    <phoneticPr fontId="2" type="noConversion"/>
  </si>
  <si>
    <t>1페</t>
    <phoneticPr fontId="2" type="noConversion"/>
  </si>
  <si>
    <t>3페</t>
    <phoneticPr fontId="2" type="noConversion"/>
  </si>
  <si>
    <t>3페버스탑승</t>
    <phoneticPr fontId="2" type="noConversion"/>
  </si>
  <si>
    <t>노말버스탑승</t>
    <phoneticPr fontId="2" type="noConversion"/>
  </si>
  <si>
    <t>템레벨</t>
    <phoneticPr fontId="2" type="noConversion"/>
  </si>
  <si>
    <t>*아브렐슈드는 1/2관문만 체크</t>
    <phoneticPr fontId="2" type="noConversion"/>
  </si>
  <si>
    <t>1490이상</t>
    <phoneticPr fontId="2" type="noConversion"/>
  </si>
  <si>
    <t>1475~1490</t>
    <phoneticPr fontId="2" type="noConversion"/>
  </si>
  <si>
    <t>1460~1475</t>
    <phoneticPr fontId="2" type="noConversion"/>
  </si>
  <si>
    <t>1445~1460</t>
    <phoneticPr fontId="2" type="noConversion"/>
  </si>
  <si>
    <t>1430~1445</t>
    <phoneticPr fontId="2" type="noConversion"/>
  </si>
  <si>
    <t>1415~1430</t>
    <phoneticPr fontId="2" type="noConversion"/>
  </si>
  <si>
    <t>1355~1370</t>
    <phoneticPr fontId="2" type="noConversion"/>
  </si>
  <si>
    <t>1355이하</t>
    <phoneticPr fontId="2" type="noConversion"/>
  </si>
  <si>
    <t>1370~1415</t>
    <phoneticPr fontId="2" type="noConversion"/>
  </si>
  <si>
    <t>수</t>
    <phoneticPr fontId="2" type="noConversion"/>
  </si>
  <si>
    <t>목</t>
    <phoneticPr fontId="2" type="noConversion"/>
  </si>
  <si>
    <t>금</t>
    <phoneticPr fontId="2" type="noConversion"/>
  </si>
  <si>
    <t>토</t>
    <phoneticPr fontId="2" type="noConversion"/>
  </si>
  <si>
    <t>일</t>
    <phoneticPr fontId="2" type="noConversion"/>
  </si>
  <si>
    <t>월</t>
    <phoneticPr fontId="2" type="noConversion"/>
  </si>
  <si>
    <t>화</t>
    <phoneticPr fontId="2" type="noConversion"/>
  </si>
  <si>
    <t>1490이상</t>
    <phoneticPr fontId="2" type="noConversion"/>
  </si>
  <si>
    <t>1475~1490</t>
    <phoneticPr fontId="2" type="noConversion"/>
  </si>
  <si>
    <t>1460~1475</t>
    <phoneticPr fontId="2" type="noConversion"/>
  </si>
  <si>
    <t>1445~1460</t>
    <phoneticPr fontId="2" type="noConversion"/>
  </si>
  <si>
    <t>1430~1445</t>
    <phoneticPr fontId="2" type="noConversion"/>
  </si>
  <si>
    <t>1415~1430</t>
    <phoneticPr fontId="2" type="noConversion"/>
  </si>
  <si>
    <t>1370~1415</t>
    <phoneticPr fontId="2" type="noConversion"/>
  </si>
  <si>
    <t>1355~1370</t>
    <phoneticPr fontId="2" type="noConversion"/>
  </si>
  <si>
    <t>1355이하</t>
    <phoneticPr fontId="2" type="noConversion"/>
  </si>
  <si>
    <t>주간 배럭 체크리스트</t>
    <phoneticPr fontId="2" type="noConversion"/>
  </si>
  <si>
    <t>주간 예상 골드 획득량 :</t>
    <phoneticPr fontId="2" type="noConversion"/>
  </si>
  <si>
    <t>완료한 던전 골드 획득량 :</t>
    <phoneticPr fontId="2" type="noConversion"/>
  </si>
  <si>
    <t>완료한 던전 골드획득량</t>
    <phoneticPr fontId="2" type="noConversion"/>
  </si>
  <si>
    <t>주간 예상 골드 획득량</t>
    <phoneticPr fontId="2" type="noConversion"/>
  </si>
  <si>
    <t>아르고스3페</t>
    <phoneticPr fontId="2" type="noConversion"/>
  </si>
  <si>
    <t>아르고스1페</t>
    <phoneticPr fontId="2" type="noConversion"/>
  </si>
  <si>
    <t>4인버스</t>
    <phoneticPr fontId="2" type="noConversion"/>
  </si>
  <si>
    <t>2인버스</t>
    <phoneticPr fontId="2" type="noConversion"/>
  </si>
  <si>
    <t>오레하 (캐릭터당 1개씩 선택)</t>
    <phoneticPr fontId="2" type="noConversion"/>
  </si>
  <si>
    <t>아르고스 (캐릭터당 1개씩 선택)</t>
    <phoneticPr fontId="2" type="noConversion"/>
  </si>
  <si>
    <t>군단장 컨텐츠(캐릭터당 최대 3개씩 선택)</t>
    <phoneticPr fontId="2" type="noConversion"/>
  </si>
  <si>
    <t>1~2관문</t>
    <phoneticPr fontId="2" type="noConversion"/>
  </si>
  <si>
    <t>1~4관문</t>
    <phoneticPr fontId="2" type="noConversion"/>
  </si>
  <si>
    <t>1~6관문</t>
    <phoneticPr fontId="2" type="noConversion"/>
  </si>
  <si>
    <t>설명서</t>
    <phoneticPr fontId="2" type="noConversion"/>
  </si>
  <si>
    <t>-</t>
    <phoneticPr fontId="2" type="noConversion"/>
  </si>
  <si>
    <t>1. 캐릭터 입력창 시트로 갑니다</t>
    <phoneticPr fontId="2" type="noConversion"/>
  </si>
  <si>
    <t>본인의 캐릭터 닉네임, 클래스, 아이템레벨을 적습니다</t>
    <phoneticPr fontId="2" type="noConversion"/>
  </si>
  <si>
    <t>본인이 돌아야할 가디언, 오레하던전, 아르고스, 군단장 컨텐츠에 1이라고 체크를 합니다.</t>
    <phoneticPr fontId="2" type="noConversion"/>
  </si>
  <si>
    <t>1 이라고 입력을 하지 않을시 에러가 뜨니 꼭 1만 입력해주세요!</t>
    <phoneticPr fontId="2" type="noConversion"/>
  </si>
  <si>
    <t>*</t>
    <phoneticPr fontId="2" type="noConversion"/>
  </si>
  <si>
    <t>이 작업은 캐릭터의 아이템레벨이 변경되었을시 바로바로 체크해주면 빠른 반영이 됩니다.</t>
    <phoneticPr fontId="2" type="noConversion"/>
  </si>
  <si>
    <t>2. 재료 가격 시트로 갑니다</t>
    <phoneticPr fontId="2" type="noConversion"/>
  </si>
  <si>
    <t>적혀있는 위명돌, 경명돌, 파괴석결정, 파괴강석, 수호강석 경매장 현 가격을 입력해줍니다.</t>
    <phoneticPr fontId="2" type="noConversion"/>
  </si>
  <si>
    <t>재료가격은 나중 가디언 골드 획득량에 반영됩니다</t>
    <phoneticPr fontId="2" type="noConversion"/>
  </si>
  <si>
    <t>3. 버스비 및 수익 시트에 가서, 버스비가 현재 서버나 현재 시간에 비해 차이가 많이 난다면 본인이 생각하는 버스비를 입력해줍니다.</t>
    <phoneticPr fontId="2" type="noConversion"/>
  </si>
  <si>
    <t>4. 준비가 모두 완료되었습니다. 체크리스트에서는 자동으로 본인의 캐릭터들이 반영되어있습니다.</t>
    <phoneticPr fontId="2" type="noConversion"/>
  </si>
  <si>
    <t>5. 본인의 아이템 레벨에 따라 골드 예상 획득량이 표시되며, 클리어한 컨텐츠에 1이라고 표시하면 현재 완료한 던전중 기본 획득량을 표시해줍니다.</t>
    <phoneticPr fontId="2" type="noConversion"/>
  </si>
  <si>
    <t>*</t>
    <phoneticPr fontId="2" type="noConversion"/>
  </si>
  <si>
    <t>가디언 토벌중 요호버스를 제외한 휴식게이지가 있을경우 2로 입력해주세요</t>
    <phoneticPr fontId="2" type="noConversion"/>
  </si>
  <si>
    <t>가디언 (캐릭터당 1개씩 선택)
* 휴게 사용시 요호는 1, 나머지 가디언은 2 체크</t>
    <phoneticPr fontId="2" type="noConversion"/>
  </si>
  <si>
    <t>*</t>
    <phoneticPr fontId="2" type="noConversion"/>
  </si>
  <si>
    <t>재료를 팔지 않으시는분은, 모두 0으로 맞춰주시면 됩니다.</t>
    <phoneticPr fontId="2" type="noConversion"/>
  </si>
  <si>
    <t>6. 체크리스트에 표시된 금액은 정확하게 표시된 금액이 아닌 대략적인 금액입니다.</t>
    <phoneticPr fontId="2" type="noConversion"/>
  </si>
  <si>
    <t>모코코in모코코</t>
    <phoneticPr fontId="2" type="noConversion"/>
  </si>
  <si>
    <t>워로드</t>
    <phoneticPr fontId="2" type="noConversion"/>
  </si>
  <si>
    <t>차뮤트</t>
    <phoneticPr fontId="2" type="noConversion"/>
  </si>
  <si>
    <t>배틀마스터</t>
    <phoneticPr fontId="2" type="noConversion"/>
  </si>
  <si>
    <t>귀요미요정이</t>
    <phoneticPr fontId="2" type="noConversion"/>
  </si>
  <si>
    <t>데모닉</t>
    <phoneticPr fontId="2" type="noConversion"/>
  </si>
  <si>
    <t>이쁘니요정</t>
    <phoneticPr fontId="2" type="noConversion"/>
  </si>
  <si>
    <t>차뮤트배럭1</t>
    <phoneticPr fontId="2" type="noConversion"/>
  </si>
  <si>
    <t>차뮤트배럭2</t>
    <phoneticPr fontId="2" type="noConversion"/>
  </si>
  <si>
    <t>건슬링어</t>
    <phoneticPr fontId="2" type="noConversion"/>
  </si>
  <si>
    <t>차뮤트배럭3</t>
  </si>
  <si>
    <t>차뮤트배럭4</t>
  </si>
  <si>
    <t>차뮤트배럭5</t>
  </si>
  <si>
    <t>차뮤트배럭6</t>
  </si>
  <si>
    <t>차뮤트배럭7</t>
  </si>
  <si>
    <t>차뮤트배럭8</t>
  </si>
  <si>
    <t>차뮤트창고배럭캐릭</t>
    <phoneticPr fontId="2" type="noConversion"/>
  </si>
  <si>
    <t>차뮤트배럭10</t>
    <phoneticPr fontId="2" type="noConversion"/>
  </si>
  <si>
    <t>귀여운요정이</t>
    <phoneticPr fontId="2" type="noConversion"/>
  </si>
  <si>
    <t>바드</t>
    <phoneticPr fontId="2" type="noConversion"/>
  </si>
  <si>
    <t>차뮤트배럭9</t>
  </si>
  <si>
    <t>차뮤트배럭12</t>
  </si>
  <si>
    <t>차뮤트배럭13</t>
  </si>
  <si>
    <t>차뮤트배럭14</t>
  </si>
  <si>
    <t>차뮤트배럭15</t>
  </si>
  <si>
    <t>차뮤트배럭16</t>
  </si>
  <si>
    <t>차뮤트배럭17</t>
  </si>
  <si>
    <t>차뮤트배럭18</t>
  </si>
  <si>
    <t>차뮤트배럭19</t>
  </si>
  <si>
    <t>워로드</t>
    <phoneticPr fontId="2" type="noConversion"/>
  </si>
  <si>
    <t>*** 카던, 도전가디언은 따로 골드를 책정하지 않습니다.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</si>
</sst>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>
    <font>
      <sz val="11"/>
      <color theme="1"/>
      <name val="맑은 고딕"/>
      <family val="2"/>
      <scheme val="minor"/>
    </font>
    <font>
      <b/>
      <sz val="11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name val="맑은 고딕"/>
      <family val="2"/>
      <scheme val="minor"/>
    </font>
    <font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28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72"/>
      <color theme="1"/>
      <name val="맑은 고딕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1" fontId="5" fillId="0" borderId="0" applyFont="0" applyFill="0" applyBorder="0" applyAlignment="0" applyProtection="0">
      <alignment vertical="center"/>
    </xf>
  </cellStyleXfs>
  <cellXfs count="313">
    <xf numFmtId="0" fontId="0" fillId="0" borderId="0" xfId="0"/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41" fontId="0" fillId="0" borderId="24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41" fontId="3" fillId="2" borderId="0" xfId="1" applyFont="1" applyFill="1" applyAlignment="1" applyProtection="1">
      <alignment horizontal="center" vertical="center"/>
      <protection locked="0"/>
    </xf>
    <xf numFmtId="41" fontId="3" fillId="0" borderId="0" xfId="1" applyFont="1" applyAlignment="1" applyProtection="1">
      <alignment horizontal="center" vertical="center"/>
      <protection locked="0"/>
    </xf>
    <xf numFmtId="41" fontId="3" fillId="0" borderId="1" xfId="1" applyFont="1" applyBorder="1" applyAlignment="1" applyProtection="1">
      <alignment horizontal="center" vertical="center"/>
    </xf>
    <xf numFmtId="41" fontId="3" fillId="0" borderId="2" xfId="1" applyFont="1" applyBorder="1" applyAlignment="1" applyProtection="1">
      <alignment horizontal="center" vertical="center"/>
    </xf>
    <xf numFmtId="41" fontId="3" fillId="0" borderId="17" xfId="1" applyFont="1" applyBorder="1" applyAlignment="1" applyProtection="1">
      <alignment horizontal="center" vertical="center"/>
    </xf>
    <xf numFmtId="41" fontId="3" fillId="0" borderId="18" xfId="1" applyFont="1" applyBorder="1" applyAlignment="1" applyProtection="1">
      <alignment horizontal="center" vertical="center"/>
    </xf>
    <xf numFmtId="41" fontId="3" fillId="0" borderId="41" xfId="1" applyFont="1" applyBorder="1" applyAlignment="1" applyProtection="1">
      <alignment horizontal="center" vertical="center"/>
    </xf>
    <xf numFmtId="41" fontId="3" fillId="0" borderId="42" xfId="1" applyFont="1" applyBorder="1" applyAlignment="1" applyProtection="1">
      <alignment horizontal="center" vertical="center"/>
    </xf>
    <xf numFmtId="41" fontId="3" fillId="0" borderId="0" xfId="1" applyFont="1" applyAlignment="1" applyProtection="1">
      <alignment horizontal="left" vertical="center"/>
      <protection locked="0"/>
    </xf>
    <xf numFmtId="41" fontId="0" fillId="0" borderId="0" xfId="0" applyNumberFormat="1"/>
    <xf numFmtId="41" fontId="3" fillId="0" borderId="48" xfId="1" applyFont="1" applyBorder="1" applyAlignment="1" applyProtection="1">
      <alignment horizontal="center" vertical="center"/>
    </xf>
    <xf numFmtId="41" fontId="3" fillId="0" borderId="49" xfId="1" applyFont="1" applyBorder="1" applyAlignment="1" applyProtection="1">
      <alignment horizontal="center" vertical="center"/>
    </xf>
    <xf numFmtId="41" fontId="3" fillId="0" borderId="50" xfId="1" applyFont="1" applyBorder="1" applyAlignment="1" applyProtection="1">
      <alignment horizontal="center" vertical="center"/>
    </xf>
    <xf numFmtId="0" fontId="4" fillId="0" borderId="56" xfId="0" applyFont="1" applyFill="1" applyBorder="1" applyAlignment="1" applyProtection="1">
      <alignment horizontal="center" vertical="center"/>
      <protection locked="0"/>
    </xf>
    <xf numFmtId="0" fontId="4" fillId="0" borderId="57" xfId="0" applyFont="1" applyFill="1" applyBorder="1" applyAlignment="1" applyProtection="1">
      <alignment horizontal="center" vertical="center"/>
      <protection locked="0"/>
    </xf>
    <xf numFmtId="0" fontId="4" fillId="0" borderId="58" xfId="0" applyFont="1" applyFill="1" applyBorder="1" applyAlignment="1" applyProtection="1">
      <alignment horizontal="center" vertical="center"/>
      <protection locked="0"/>
    </xf>
    <xf numFmtId="0" fontId="4" fillId="0" borderId="59" xfId="0" applyFont="1" applyFill="1" applyBorder="1" applyAlignment="1" applyProtection="1">
      <alignment horizontal="center" vertical="center"/>
      <protection locked="0"/>
    </xf>
    <xf numFmtId="0" fontId="11" fillId="5" borderId="17" xfId="0" applyFont="1" applyFill="1" applyBorder="1" applyAlignment="1" applyProtection="1">
      <alignment horizontal="center" vertical="center"/>
      <protection locked="0"/>
    </xf>
    <xf numFmtId="0" fontId="11" fillId="5" borderId="36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horizontal="center" vertical="center"/>
      <protection locked="0"/>
    </xf>
    <xf numFmtId="0" fontId="11" fillId="5" borderId="40" xfId="0" applyFont="1" applyFill="1" applyBorder="1" applyAlignment="1" applyProtection="1">
      <alignment horizontal="center" vertical="center"/>
      <protection locked="0"/>
    </xf>
    <xf numFmtId="0" fontId="11" fillId="5" borderId="31" xfId="0" applyFont="1" applyFill="1" applyBorder="1" applyAlignment="1" applyProtection="1">
      <alignment horizontal="center" vertical="center"/>
      <protection locked="0"/>
    </xf>
    <xf numFmtId="0" fontId="11" fillId="5" borderId="23" xfId="0" applyFont="1" applyFill="1" applyBorder="1" applyAlignment="1" applyProtection="1">
      <alignment horizontal="center" vertical="center"/>
      <protection locked="0"/>
    </xf>
    <xf numFmtId="0" fontId="11" fillId="5" borderId="24" xfId="0" applyFont="1" applyFill="1" applyBorder="1" applyAlignment="1" applyProtection="1">
      <alignment horizontal="center" vertical="center"/>
      <protection locked="0"/>
    </xf>
    <xf numFmtId="0" fontId="11" fillId="5" borderId="25" xfId="0" applyFont="1" applyFill="1" applyBorder="1" applyAlignment="1" applyProtection="1">
      <alignment horizontal="center" vertical="center"/>
      <protection locked="0"/>
    </xf>
    <xf numFmtId="0" fontId="11" fillId="5" borderId="51" xfId="0" applyFont="1" applyFill="1" applyBorder="1" applyAlignment="1" applyProtection="1">
      <alignment horizontal="center" vertical="center"/>
      <protection locked="0"/>
    </xf>
    <xf numFmtId="0" fontId="11" fillId="5" borderId="20" xfId="0" applyFont="1" applyFill="1" applyBorder="1" applyAlignment="1" applyProtection="1">
      <alignment horizontal="center" vertical="center"/>
      <protection locked="0"/>
    </xf>
    <xf numFmtId="0" fontId="11" fillId="5" borderId="21" xfId="0" applyFont="1" applyFill="1" applyBorder="1" applyAlignment="1" applyProtection="1">
      <alignment horizontal="center" vertical="center"/>
      <protection locked="0"/>
    </xf>
    <xf numFmtId="0" fontId="11" fillId="5" borderId="22" xfId="0" applyFont="1" applyFill="1" applyBorder="1" applyAlignment="1" applyProtection="1">
      <alignment horizontal="center" vertical="center"/>
      <protection locked="0"/>
    </xf>
    <xf numFmtId="0" fontId="11" fillId="5" borderId="9" xfId="0" applyFont="1" applyFill="1" applyBorder="1" applyAlignment="1" applyProtection="1">
      <alignment horizontal="center" vertical="center"/>
      <protection locked="0"/>
    </xf>
    <xf numFmtId="0" fontId="11" fillId="5" borderId="10" xfId="0" applyFont="1" applyFill="1" applyBorder="1" applyAlignment="1" applyProtection="1">
      <alignment horizontal="center" vertical="center"/>
      <protection locked="0"/>
    </xf>
    <xf numFmtId="0" fontId="11" fillId="5" borderId="11" xfId="0" applyFont="1" applyFill="1" applyBorder="1" applyAlignment="1" applyProtection="1">
      <alignment horizontal="center" vertical="center"/>
      <protection locked="0"/>
    </xf>
    <xf numFmtId="0" fontId="11" fillId="5" borderId="52" xfId="0" applyFont="1" applyFill="1" applyBorder="1" applyAlignment="1" applyProtection="1">
      <alignment horizontal="center" vertical="center"/>
      <protection locked="0"/>
    </xf>
    <xf numFmtId="0" fontId="11" fillId="5" borderId="41" xfId="0" applyFont="1" applyFill="1" applyBorder="1" applyAlignment="1" applyProtection="1">
      <alignment horizontal="center" vertical="center"/>
      <protection locked="0"/>
    </xf>
    <xf numFmtId="0" fontId="11" fillId="5" borderId="13" xfId="0" applyFont="1" applyFill="1" applyBorder="1" applyAlignment="1" applyProtection="1">
      <alignment horizontal="center" vertical="center"/>
      <protection locked="0"/>
    </xf>
    <xf numFmtId="0" fontId="11" fillId="5" borderId="44" xfId="0" applyFont="1" applyFill="1" applyBorder="1" applyAlignment="1" applyProtection="1">
      <alignment horizontal="center" vertical="center"/>
      <protection locked="0"/>
    </xf>
    <xf numFmtId="0" fontId="11" fillId="5" borderId="45" xfId="0" applyFont="1" applyFill="1" applyBorder="1" applyAlignment="1" applyProtection="1">
      <alignment horizontal="center" vertical="center"/>
      <protection locked="0"/>
    </xf>
    <xf numFmtId="0" fontId="11" fillId="6" borderId="17" xfId="0" applyFont="1" applyFill="1" applyBorder="1" applyAlignment="1" applyProtection="1">
      <alignment horizontal="center" vertical="center"/>
      <protection locked="0"/>
    </xf>
    <xf numFmtId="0" fontId="11" fillId="6" borderId="18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horizontal="center" vertical="center"/>
      <protection locked="0"/>
    </xf>
    <xf numFmtId="0" fontId="11" fillId="6" borderId="36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0" fontId="11" fillId="6" borderId="40" xfId="0" applyFont="1" applyFill="1" applyBorder="1" applyAlignment="1" applyProtection="1">
      <alignment horizontal="center" vertical="center"/>
      <protection locked="0"/>
    </xf>
    <xf numFmtId="0" fontId="11" fillId="6" borderId="31" xfId="0" applyFont="1" applyFill="1" applyBorder="1" applyAlignment="1" applyProtection="1">
      <alignment horizontal="center" vertical="center"/>
      <protection locked="0"/>
    </xf>
    <xf numFmtId="0" fontId="11" fillId="6" borderId="23" xfId="0" applyFont="1" applyFill="1" applyBorder="1" applyAlignment="1" applyProtection="1">
      <alignment horizontal="center" vertical="center"/>
      <protection locked="0"/>
    </xf>
    <xf numFmtId="0" fontId="11" fillId="6" borderId="24" xfId="0" applyFont="1" applyFill="1" applyBorder="1" applyAlignment="1" applyProtection="1">
      <alignment horizontal="center" vertical="center"/>
      <protection locked="0"/>
    </xf>
    <xf numFmtId="0" fontId="11" fillId="6" borderId="25" xfId="0" applyFont="1" applyFill="1" applyBorder="1" applyAlignment="1" applyProtection="1">
      <alignment horizontal="center" vertical="center"/>
      <protection locked="0"/>
    </xf>
    <xf numFmtId="0" fontId="11" fillId="6" borderId="51" xfId="0" applyFont="1" applyFill="1" applyBorder="1" applyAlignment="1" applyProtection="1">
      <alignment horizontal="center" vertical="center"/>
      <protection locked="0"/>
    </xf>
    <xf numFmtId="0" fontId="11" fillId="6" borderId="20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horizontal="center" vertical="center"/>
      <protection locked="0"/>
    </xf>
    <xf numFmtId="0" fontId="11" fillId="6" borderId="22" xfId="0" applyFont="1" applyFill="1" applyBorder="1" applyAlignment="1" applyProtection="1">
      <alignment horizontal="center" vertical="center"/>
      <protection locked="0"/>
    </xf>
    <xf numFmtId="0" fontId="11" fillId="6" borderId="9" xfId="0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 applyProtection="1">
      <alignment horizontal="center" vertical="center"/>
      <protection locked="0"/>
    </xf>
    <xf numFmtId="0" fontId="11" fillId="6" borderId="11" xfId="0" applyFont="1" applyFill="1" applyBorder="1" applyAlignment="1" applyProtection="1">
      <alignment horizontal="center" vertical="center"/>
      <protection locked="0"/>
    </xf>
    <xf numFmtId="0" fontId="11" fillId="6" borderId="52" xfId="0" applyFont="1" applyFill="1" applyBorder="1" applyAlignment="1" applyProtection="1">
      <alignment horizontal="center" vertical="center"/>
      <protection locked="0"/>
    </xf>
    <xf numFmtId="0" fontId="11" fillId="6" borderId="41" xfId="0" applyFont="1" applyFill="1" applyBorder="1" applyAlignment="1" applyProtection="1">
      <alignment horizontal="center" vertical="center"/>
      <protection locked="0"/>
    </xf>
    <xf numFmtId="0" fontId="11" fillId="6" borderId="13" xfId="0" applyFont="1" applyFill="1" applyBorder="1" applyAlignment="1" applyProtection="1">
      <alignment horizontal="center" vertical="center"/>
      <protection locked="0"/>
    </xf>
    <xf numFmtId="0" fontId="11" fillId="6" borderId="44" xfId="0" applyFont="1" applyFill="1" applyBorder="1" applyAlignment="1" applyProtection="1">
      <alignment horizontal="center" vertical="center"/>
      <protection locked="0"/>
    </xf>
    <xf numFmtId="0" fontId="11" fillId="6" borderId="45" xfId="0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1" fillId="7" borderId="2" xfId="0" applyFont="1" applyFill="1" applyBorder="1" applyAlignment="1" applyProtection="1">
      <alignment horizontal="center" vertical="center"/>
      <protection locked="0"/>
    </xf>
    <xf numFmtId="0" fontId="11" fillId="7" borderId="3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8" xfId="0" applyFont="1" applyFill="1" applyBorder="1" applyAlignment="1" applyProtection="1">
      <alignment horizontal="center" vertical="center"/>
      <protection locked="0"/>
    </xf>
    <xf numFmtId="0" fontId="11" fillId="7" borderId="19" xfId="0" applyFont="1" applyFill="1" applyBorder="1" applyAlignment="1" applyProtection="1">
      <alignment horizontal="center" vertical="center"/>
      <protection locked="0"/>
    </xf>
    <xf numFmtId="0" fontId="11" fillId="7" borderId="36" xfId="0" applyFont="1" applyFill="1" applyBorder="1" applyAlignment="1" applyProtection="1">
      <alignment horizontal="center" vertical="center"/>
      <protection locked="0"/>
    </xf>
    <xf numFmtId="0" fontId="11" fillId="7" borderId="4" xfId="0" applyFont="1" applyFill="1" applyBorder="1" applyAlignment="1" applyProtection="1">
      <alignment horizontal="center" vertical="center"/>
      <protection locked="0"/>
    </xf>
    <xf numFmtId="0" fontId="11" fillId="7" borderId="40" xfId="0" applyFont="1" applyFill="1" applyBorder="1" applyAlignment="1" applyProtection="1">
      <alignment horizontal="center" vertical="center"/>
      <protection locked="0"/>
    </xf>
    <xf numFmtId="0" fontId="11" fillId="7" borderId="31" xfId="0" applyFont="1" applyFill="1" applyBorder="1" applyAlignment="1" applyProtection="1">
      <alignment horizontal="center" vertical="center"/>
      <protection locked="0"/>
    </xf>
    <xf numFmtId="0" fontId="11" fillId="7" borderId="23" xfId="0" applyFont="1" applyFill="1" applyBorder="1" applyAlignment="1" applyProtection="1">
      <alignment horizontal="center" vertical="center"/>
      <protection locked="0"/>
    </xf>
    <xf numFmtId="0" fontId="11" fillId="7" borderId="24" xfId="0" applyFont="1" applyFill="1" applyBorder="1" applyAlignment="1" applyProtection="1">
      <alignment horizontal="center" vertical="center"/>
      <protection locked="0"/>
    </xf>
    <xf numFmtId="0" fontId="11" fillId="7" borderId="25" xfId="0" applyFont="1" applyFill="1" applyBorder="1" applyAlignment="1" applyProtection="1">
      <alignment horizontal="center" vertical="center"/>
      <protection locked="0"/>
    </xf>
    <xf numFmtId="0" fontId="11" fillId="7" borderId="51" xfId="0" applyFont="1" applyFill="1" applyBorder="1" applyAlignment="1" applyProtection="1">
      <alignment horizontal="center" vertical="center"/>
      <protection locked="0"/>
    </xf>
    <xf numFmtId="0" fontId="11" fillId="7" borderId="20" xfId="0" applyFont="1" applyFill="1" applyBorder="1" applyAlignment="1" applyProtection="1">
      <alignment horizontal="center" vertical="center"/>
      <protection locked="0"/>
    </xf>
    <xf numFmtId="0" fontId="11" fillId="7" borderId="21" xfId="0" applyFont="1" applyFill="1" applyBorder="1" applyAlignment="1" applyProtection="1">
      <alignment horizontal="center" vertical="center"/>
      <protection locked="0"/>
    </xf>
    <xf numFmtId="0" fontId="11" fillId="7" borderId="22" xfId="0" applyFont="1" applyFill="1" applyBorder="1" applyAlignment="1" applyProtection="1">
      <alignment horizontal="center" vertical="center"/>
      <protection locked="0"/>
    </xf>
    <xf numFmtId="0" fontId="11" fillId="7" borderId="9" xfId="0" applyFont="1" applyFill="1" applyBorder="1" applyAlignment="1" applyProtection="1">
      <alignment horizontal="center" vertical="center"/>
      <protection locked="0"/>
    </xf>
    <xf numFmtId="0" fontId="11" fillId="7" borderId="10" xfId="0" applyFont="1" applyFill="1" applyBorder="1" applyAlignment="1" applyProtection="1">
      <alignment horizontal="center" vertical="center"/>
      <protection locked="0"/>
    </xf>
    <xf numFmtId="0" fontId="11" fillId="7" borderId="11" xfId="0" applyFont="1" applyFill="1" applyBorder="1" applyAlignment="1" applyProtection="1">
      <alignment horizontal="center" vertical="center"/>
      <protection locked="0"/>
    </xf>
    <xf numFmtId="0" fontId="11" fillId="7" borderId="53" xfId="0" applyFont="1" applyFill="1" applyBorder="1" applyAlignment="1" applyProtection="1">
      <alignment horizontal="center" vertical="center"/>
      <protection locked="0"/>
    </xf>
    <xf numFmtId="0" fontId="11" fillId="7" borderId="32" xfId="0" applyFont="1" applyFill="1" applyBorder="1" applyAlignment="1" applyProtection="1">
      <alignment horizontal="center" vertical="center"/>
      <protection locked="0"/>
    </xf>
    <xf numFmtId="0" fontId="11" fillId="7" borderId="54" xfId="0" applyFont="1" applyFill="1" applyBorder="1" applyAlignment="1" applyProtection="1">
      <alignment horizontal="center" vertical="center"/>
      <protection locked="0"/>
    </xf>
    <xf numFmtId="0" fontId="11" fillId="7" borderId="52" xfId="0" applyFont="1" applyFill="1" applyBorder="1" applyAlignment="1" applyProtection="1">
      <alignment horizontal="center" vertical="center"/>
      <protection locked="0"/>
    </xf>
    <xf numFmtId="0" fontId="11" fillId="7" borderId="41" xfId="0" applyFont="1" applyFill="1" applyBorder="1" applyAlignment="1" applyProtection="1">
      <alignment horizontal="center" vertical="center"/>
      <protection locked="0"/>
    </xf>
    <xf numFmtId="0" fontId="11" fillId="7" borderId="13" xfId="0" applyFont="1" applyFill="1" applyBorder="1" applyAlignment="1" applyProtection="1">
      <alignment horizontal="center" vertical="center"/>
      <protection locked="0"/>
    </xf>
    <xf numFmtId="0" fontId="11" fillId="7" borderId="44" xfId="0" applyFont="1" applyFill="1" applyBorder="1" applyAlignment="1" applyProtection="1">
      <alignment horizontal="center" vertical="center"/>
      <protection locked="0"/>
    </xf>
    <xf numFmtId="0" fontId="11" fillId="7" borderId="45" xfId="0" applyFont="1" applyFill="1" applyBorder="1" applyAlignment="1" applyProtection="1">
      <alignment horizontal="center" vertical="center"/>
      <protection locked="0"/>
    </xf>
    <xf numFmtId="0" fontId="11" fillId="8" borderId="1" xfId="0" applyFont="1" applyFill="1" applyBorder="1" applyAlignment="1" applyProtection="1">
      <alignment horizontal="center" vertical="center"/>
      <protection locked="0"/>
    </xf>
    <xf numFmtId="0" fontId="11" fillId="8" borderId="2" xfId="0" applyFont="1" applyFill="1" applyBorder="1" applyAlignment="1" applyProtection="1">
      <alignment horizontal="center" vertical="center"/>
      <protection locked="0"/>
    </xf>
    <xf numFmtId="0" fontId="11" fillId="8" borderId="3" xfId="0" applyFont="1" applyFill="1" applyBorder="1" applyAlignment="1" applyProtection="1">
      <alignment horizontal="center" vertical="center"/>
      <protection locked="0"/>
    </xf>
    <xf numFmtId="0" fontId="11" fillId="8" borderId="36" xfId="0" applyFont="1" applyFill="1" applyBorder="1" applyAlignment="1" applyProtection="1">
      <alignment horizontal="center" vertical="center"/>
      <protection locked="0"/>
    </xf>
    <xf numFmtId="0" fontId="11" fillId="8" borderId="4" xfId="0" applyFont="1" applyFill="1" applyBorder="1" applyAlignment="1" applyProtection="1">
      <alignment horizontal="center" vertical="center"/>
      <protection locked="0"/>
    </xf>
    <xf numFmtId="0" fontId="11" fillId="8" borderId="40" xfId="0" applyFont="1" applyFill="1" applyBorder="1" applyAlignment="1" applyProtection="1">
      <alignment horizontal="center" vertical="center"/>
      <protection locked="0"/>
    </xf>
    <xf numFmtId="0" fontId="11" fillId="8" borderId="31" xfId="0" applyFont="1" applyFill="1" applyBorder="1" applyAlignment="1" applyProtection="1">
      <alignment horizontal="center" vertical="center"/>
      <protection locked="0"/>
    </xf>
    <xf numFmtId="0" fontId="11" fillId="8" borderId="23" xfId="0" applyFont="1" applyFill="1" applyBorder="1" applyAlignment="1" applyProtection="1">
      <alignment horizontal="center" vertical="center"/>
      <protection locked="0"/>
    </xf>
    <xf numFmtId="0" fontId="11" fillId="8" borderId="24" xfId="0" applyFont="1" applyFill="1" applyBorder="1" applyAlignment="1" applyProtection="1">
      <alignment horizontal="center" vertical="center"/>
      <protection locked="0"/>
    </xf>
    <xf numFmtId="0" fontId="11" fillId="8" borderId="25" xfId="0" applyFont="1" applyFill="1" applyBorder="1" applyAlignment="1" applyProtection="1">
      <alignment horizontal="center" vertical="center"/>
      <protection locked="0"/>
    </xf>
    <xf numFmtId="0" fontId="11" fillId="8" borderId="9" xfId="0" applyFont="1" applyFill="1" applyBorder="1" applyAlignment="1" applyProtection="1">
      <alignment horizontal="center" vertical="center"/>
      <protection locked="0"/>
    </xf>
    <xf numFmtId="0" fontId="11" fillId="8" borderId="10" xfId="0" applyFont="1" applyFill="1" applyBorder="1" applyAlignment="1" applyProtection="1">
      <alignment horizontal="center" vertical="center"/>
      <protection locked="0"/>
    </xf>
    <xf numFmtId="0" fontId="11" fillId="8" borderId="11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4" borderId="36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40" xfId="0" applyFont="1" applyFill="1" applyBorder="1" applyAlignment="1" applyProtection="1">
      <alignment horizontal="center" vertical="center"/>
      <protection locked="0"/>
    </xf>
    <xf numFmtId="0" fontId="11" fillId="4" borderId="31" xfId="0" applyFont="1" applyFill="1" applyBorder="1" applyAlignment="1" applyProtection="1">
      <alignment horizontal="center" vertical="center"/>
      <protection locked="0"/>
    </xf>
    <xf numFmtId="0" fontId="11" fillId="4" borderId="23" xfId="0" applyFont="1" applyFill="1" applyBorder="1" applyAlignment="1" applyProtection="1">
      <alignment horizontal="center" vertical="center"/>
      <protection locked="0"/>
    </xf>
    <xf numFmtId="0" fontId="11" fillId="4" borderId="24" xfId="0" applyFont="1" applyFill="1" applyBorder="1" applyAlignment="1" applyProtection="1">
      <alignment horizontal="center" vertical="center"/>
      <protection locked="0"/>
    </xf>
    <xf numFmtId="0" fontId="11" fillId="4" borderId="25" xfId="0" applyFont="1" applyFill="1" applyBorder="1" applyAlignment="1" applyProtection="1">
      <alignment horizontal="center" vertical="center"/>
      <protection locked="0"/>
    </xf>
    <xf numFmtId="0" fontId="11" fillId="4" borderId="17" xfId="0" applyFont="1" applyFill="1" applyBorder="1" applyAlignment="1" applyProtection="1">
      <alignment horizontal="center" vertical="center"/>
      <protection locked="0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 applyProtection="1">
      <alignment horizontal="center" vertical="center"/>
      <protection locked="0"/>
    </xf>
    <xf numFmtId="0" fontId="11" fillId="4" borderId="18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11" fillId="4" borderId="35" xfId="0" applyFont="1" applyFill="1" applyBorder="1" applyAlignment="1" applyProtection="1">
      <alignment horizontal="center" vertical="center"/>
      <protection locked="0"/>
    </xf>
    <xf numFmtId="0" fontId="11" fillId="4" borderId="26" xfId="0" applyFont="1" applyFill="1" applyBorder="1" applyAlignment="1" applyProtection="1">
      <alignment horizontal="center" vertical="center"/>
      <protection locked="0"/>
    </xf>
    <xf numFmtId="0" fontId="11" fillId="4" borderId="27" xfId="0" applyFont="1" applyFill="1" applyBorder="1" applyAlignment="1" applyProtection="1">
      <alignment horizontal="center" vertical="center"/>
      <protection locked="0"/>
    </xf>
    <xf numFmtId="0" fontId="11" fillId="4" borderId="28" xfId="0" applyFont="1" applyFill="1" applyBorder="1" applyAlignment="1" applyProtection="1">
      <alignment horizontal="center" vertical="center"/>
      <protection locked="0"/>
    </xf>
    <xf numFmtId="0" fontId="11" fillId="4" borderId="53" xfId="0" applyFont="1" applyFill="1" applyBorder="1" applyAlignment="1" applyProtection="1">
      <alignment horizontal="center" vertical="center"/>
      <protection locked="0"/>
    </xf>
    <xf numFmtId="0" fontId="11" fillId="4" borderId="32" xfId="0" applyFont="1" applyFill="1" applyBorder="1" applyAlignment="1" applyProtection="1">
      <alignment horizontal="center" vertical="center"/>
      <protection locked="0"/>
    </xf>
    <xf numFmtId="0" fontId="11" fillId="4" borderId="54" xfId="0" applyFont="1" applyFill="1" applyBorder="1" applyAlignment="1" applyProtection="1">
      <alignment horizontal="center" vertical="center"/>
      <protection locked="0"/>
    </xf>
    <xf numFmtId="0" fontId="11" fillId="4" borderId="37" xfId="0" applyFont="1" applyFill="1" applyBorder="1" applyAlignment="1" applyProtection="1">
      <alignment horizontal="center" vertical="center"/>
      <protection locked="0"/>
    </xf>
    <xf numFmtId="0" fontId="11" fillId="4" borderId="12" xfId="0" applyFont="1" applyFill="1" applyBorder="1" applyAlignment="1" applyProtection="1">
      <alignment horizontal="center" vertical="center"/>
      <protection locked="0"/>
    </xf>
    <xf numFmtId="0" fontId="11" fillId="4" borderId="29" xfId="0" applyFont="1" applyFill="1" applyBorder="1" applyAlignment="1" applyProtection="1">
      <alignment horizontal="center" vertical="center"/>
      <protection locked="0"/>
    </xf>
    <xf numFmtId="0" fontId="11" fillId="4" borderId="30" xfId="0" applyFont="1" applyFill="1" applyBorder="1" applyAlignment="1" applyProtection="1">
      <alignment horizontal="center" vertical="center"/>
      <protection locked="0"/>
    </xf>
    <xf numFmtId="0" fontId="11" fillId="9" borderId="23" xfId="0" applyFont="1" applyFill="1" applyBorder="1" applyAlignment="1" applyProtection="1">
      <alignment horizontal="center" vertical="center"/>
      <protection locked="0"/>
    </xf>
    <xf numFmtId="0" fontId="11" fillId="9" borderId="24" xfId="0" applyFont="1" applyFill="1" applyBorder="1" applyAlignment="1" applyProtection="1">
      <alignment horizontal="center" vertical="center"/>
      <protection locked="0"/>
    </xf>
    <xf numFmtId="0" fontId="11" fillId="9" borderId="25" xfId="0" applyFont="1" applyFill="1" applyBorder="1" applyAlignment="1" applyProtection="1">
      <alignment horizontal="center" vertical="center"/>
      <protection locked="0"/>
    </xf>
    <xf numFmtId="0" fontId="11" fillId="9" borderId="35" xfId="0" applyFont="1" applyFill="1" applyBorder="1" applyAlignment="1" applyProtection="1">
      <alignment horizontal="center" vertical="center"/>
      <protection locked="0"/>
    </xf>
    <xf numFmtId="0" fontId="11" fillId="9" borderId="26" xfId="0" applyFont="1" applyFill="1" applyBorder="1" applyAlignment="1" applyProtection="1">
      <alignment horizontal="center" vertical="center"/>
      <protection locked="0"/>
    </xf>
    <xf numFmtId="0" fontId="11" fillId="9" borderId="27" xfId="0" applyFont="1" applyFill="1" applyBorder="1" applyAlignment="1" applyProtection="1">
      <alignment horizontal="center" vertical="center"/>
      <protection locked="0"/>
    </xf>
    <xf numFmtId="0" fontId="11" fillId="9" borderId="28" xfId="0" applyFont="1" applyFill="1" applyBorder="1" applyAlignment="1" applyProtection="1">
      <alignment horizontal="center" vertical="center"/>
      <protection locked="0"/>
    </xf>
    <xf numFmtId="0" fontId="11" fillId="9" borderId="9" xfId="0" applyFont="1" applyFill="1" applyBorder="1" applyAlignment="1" applyProtection="1">
      <alignment horizontal="center" vertical="center"/>
      <protection locked="0"/>
    </xf>
    <xf numFmtId="0" fontId="11" fillId="9" borderId="10" xfId="0" applyFont="1" applyFill="1" applyBorder="1" applyAlignment="1" applyProtection="1">
      <alignment horizontal="center" vertical="center"/>
      <protection locked="0"/>
    </xf>
    <xf numFmtId="0" fontId="11" fillId="9" borderId="11" xfId="0" applyFont="1" applyFill="1" applyBorder="1" applyAlignment="1" applyProtection="1">
      <alignment horizontal="center" vertical="center"/>
      <protection locked="0"/>
    </xf>
    <xf numFmtId="0" fontId="11" fillId="9" borderId="37" xfId="0" applyFont="1" applyFill="1" applyBorder="1" applyAlignment="1" applyProtection="1">
      <alignment horizontal="center" vertical="center"/>
      <protection locked="0"/>
    </xf>
    <xf numFmtId="0" fontId="11" fillId="9" borderId="12" xfId="0" applyFont="1" applyFill="1" applyBorder="1" applyAlignment="1" applyProtection="1">
      <alignment horizontal="center" vertical="center"/>
      <protection locked="0"/>
    </xf>
    <xf numFmtId="0" fontId="11" fillId="9" borderId="29" xfId="0" applyFont="1" applyFill="1" applyBorder="1" applyAlignment="1" applyProtection="1">
      <alignment horizontal="center" vertical="center"/>
      <protection locked="0"/>
    </xf>
    <xf numFmtId="0" fontId="11" fillId="9" borderId="30" xfId="0" applyFont="1" applyFill="1" applyBorder="1" applyAlignment="1" applyProtection="1">
      <alignment horizontal="center" vertical="center"/>
      <protection locked="0"/>
    </xf>
    <xf numFmtId="0" fontId="11" fillId="8" borderId="35" xfId="0" applyFont="1" applyFill="1" applyBorder="1" applyAlignment="1" applyProtection="1">
      <alignment horizontal="center" vertical="center"/>
      <protection locked="0"/>
    </xf>
    <xf numFmtId="0" fontId="11" fillId="8" borderId="26" xfId="0" applyFont="1" applyFill="1" applyBorder="1" applyAlignment="1" applyProtection="1">
      <alignment horizontal="center" vertical="center"/>
      <protection locked="0"/>
    </xf>
    <xf numFmtId="0" fontId="11" fillId="8" borderId="27" xfId="0" applyFont="1" applyFill="1" applyBorder="1" applyAlignment="1" applyProtection="1">
      <alignment horizontal="center" vertical="center"/>
      <protection locked="0"/>
    </xf>
    <xf numFmtId="0" fontId="11" fillId="8" borderId="28" xfId="0" applyFont="1" applyFill="1" applyBorder="1" applyAlignment="1" applyProtection="1">
      <alignment horizontal="center" vertical="center"/>
      <protection locked="0"/>
    </xf>
    <xf numFmtId="0" fontId="11" fillId="8" borderId="37" xfId="0" applyFont="1" applyFill="1" applyBorder="1" applyAlignment="1" applyProtection="1">
      <alignment horizontal="center" vertical="center"/>
      <protection locked="0"/>
    </xf>
    <xf numFmtId="0" fontId="11" fillId="8" borderId="12" xfId="0" applyFont="1" applyFill="1" applyBorder="1" applyAlignment="1" applyProtection="1">
      <alignment horizontal="center" vertical="center"/>
      <protection locked="0"/>
    </xf>
    <xf numFmtId="0" fontId="11" fillId="8" borderId="29" xfId="0" applyFont="1" applyFill="1" applyBorder="1" applyAlignment="1" applyProtection="1">
      <alignment horizontal="center" vertical="center"/>
      <protection locked="0"/>
    </xf>
    <xf numFmtId="0" fontId="11" fillId="8" borderId="30" xfId="0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0" fontId="11" fillId="9" borderId="18" xfId="0" applyFont="1" applyFill="1" applyBorder="1" applyAlignment="1" applyProtection="1">
      <alignment horizontal="center" vertical="center"/>
      <protection locked="0"/>
    </xf>
    <xf numFmtId="0" fontId="11" fillId="9" borderId="19" xfId="0" applyFont="1" applyFill="1" applyBorder="1" applyAlignment="1" applyProtection="1">
      <alignment horizontal="center" vertical="center"/>
      <protection locked="0"/>
    </xf>
    <xf numFmtId="0" fontId="11" fillId="9" borderId="51" xfId="0" applyFont="1" applyFill="1" applyBorder="1" applyAlignment="1" applyProtection="1">
      <alignment horizontal="center" vertical="center"/>
      <protection locked="0"/>
    </xf>
    <xf numFmtId="0" fontId="11" fillId="9" borderId="20" xfId="0" applyFont="1" applyFill="1" applyBorder="1" applyAlignment="1" applyProtection="1">
      <alignment horizontal="center" vertical="center"/>
      <protection locked="0"/>
    </xf>
    <xf numFmtId="0" fontId="11" fillId="9" borderId="21" xfId="0" applyFont="1" applyFill="1" applyBorder="1" applyAlignment="1" applyProtection="1">
      <alignment horizontal="center" vertical="center"/>
      <protection locked="0"/>
    </xf>
    <xf numFmtId="0" fontId="11" fillId="9" borderId="22" xfId="0" applyFont="1" applyFill="1" applyBorder="1" applyAlignment="1" applyProtection="1">
      <alignment horizontal="center" vertical="center"/>
      <protection locked="0"/>
    </xf>
    <xf numFmtId="41" fontId="6" fillId="3" borderId="24" xfId="1" applyFont="1" applyFill="1" applyBorder="1" applyAlignment="1">
      <alignment horizontal="center" vertical="center"/>
    </xf>
    <xf numFmtId="0" fontId="4" fillId="9" borderId="9" xfId="0" applyFont="1" applyFill="1" applyBorder="1" applyAlignment="1" applyProtection="1">
      <alignment horizontal="center" vertical="center"/>
      <protection locked="0"/>
    </xf>
    <xf numFmtId="0" fontId="4" fillId="9" borderId="10" xfId="0" applyFont="1" applyFill="1" applyBorder="1" applyAlignment="1" applyProtection="1">
      <alignment horizontal="center" vertical="center"/>
      <protection locked="0"/>
    </xf>
    <xf numFmtId="0" fontId="4" fillId="9" borderId="11" xfId="0" applyFont="1" applyFill="1" applyBorder="1" applyAlignment="1" applyProtection="1">
      <alignment horizontal="center" vertical="center"/>
      <protection locked="0"/>
    </xf>
    <xf numFmtId="0" fontId="3" fillId="9" borderId="17" xfId="0" applyFont="1" applyFill="1" applyBorder="1" applyAlignment="1" applyProtection="1">
      <alignment horizontal="center" vertical="center"/>
      <protection locked="0"/>
    </xf>
    <xf numFmtId="0" fontId="3" fillId="9" borderId="18" xfId="0" applyFont="1" applyFill="1" applyBorder="1" applyAlignment="1" applyProtection="1">
      <alignment horizontal="center" vertical="center"/>
      <protection locked="0"/>
    </xf>
    <xf numFmtId="0" fontId="3" fillId="9" borderId="19" xfId="0" applyFont="1" applyFill="1" applyBorder="1" applyAlignment="1" applyProtection="1">
      <alignment horizontal="center" vertical="center"/>
      <protection locked="0"/>
    </xf>
    <xf numFmtId="0" fontId="3" fillId="9" borderId="23" xfId="0" applyFont="1" applyFill="1" applyBorder="1" applyAlignment="1" applyProtection="1">
      <alignment horizontal="center" vertical="center"/>
      <protection locked="0"/>
    </xf>
    <xf numFmtId="0" fontId="3" fillId="9" borderId="24" xfId="0" applyFont="1" applyFill="1" applyBorder="1" applyAlignment="1" applyProtection="1">
      <alignment horizontal="center" vertical="center"/>
      <protection locked="0"/>
    </xf>
    <xf numFmtId="0" fontId="3" fillId="9" borderId="25" xfId="0" applyFont="1" applyFill="1" applyBorder="1" applyAlignment="1" applyProtection="1">
      <alignment horizontal="center" vertical="center"/>
      <protection locked="0"/>
    </xf>
    <xf numFmtId="0" fontId="3" fillId="9" borderId="9" xfId="0" applyFont="1" applyFill="1" applyBorder="1" applyAlignment="1" applyProtection="1">
      <alignment horizontal="center" vertical="center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11" xfId="0" applyFont="1" applyFill="1" applyBorder="1" applyAlignment="1" applyProtection="1">
      <alignment horizontal="center" vertical="center"/>
      <protection locked="0"/>
    </xf>
    <xf numFmtId="0" fontId="3" fillId="8" borderId="17" xfId="0" applyFont="1" applyFill="1" applyBorder="1" applyAlignment="1" applyProtection="1">
      <alignment horizontal="center" vertical="center"/>
      <protection locked="0"/>
    </xf>
    <xf numFmtId="0" fontId="3" fillId="8" borderId="18" xfId="0" applyFont="1" applyFill="1" applyBorder="1" applyAlignment="1" applyProtection="1">
      <alignment horizontal="center" vertical="center"/>
      <protection locked="0"/>
    </xf>
    <xf numFmtId="0" fontId="3" fillId="8" borderId="23" xfId="0" applyFont="1" applyFill="1" applyBorder="1" applyAlignment="1" applyProtection="1">
      <alignment horizontal="center" vertical="center"/>
      <protection locked="0"/>
    </xf>
    <xf numFmtId="0" fontId="3" fillId="8" borderId="24" xfId="0" applyFont="1" applyFill="1" applyBorder="1" applyAlignment="1" applyProtection="1">
      <alignment horizontal="center" vertical="center"/>
      <protection locked="0"/>
    </xf>
    <xf numFmtId="0" fontId="3" fillId="8" borderId="25" xfId="0" applyFont="1" applyFill="1" applyBorder="1" applyAlignment="1" applyProtection="1">
      <alignment horizontal="center" vertical="center"/>
      <protection locked="0"/>
    </xf>
    <xf numFmtId="0" fontId="3" fillId="8" borderId="9" xfId="0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11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3" fillId="5" borderId="17" xfId="0" applyFont="1" applyFill="1" applyBorder="1" applyAlignment="1" applyProtection="1">
      <alignment horizontal="center" vertical="center"/>
      <protection locked="0"/>
    </xf>
    <xf numFmtId="0" fontId="3" fillId="5" borderId="18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 applyProtection="1">
      <alignment horizontal="center" vertical="center"/>
      <protection locked="0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0" fontId="3" fillId="5" borderId="25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4" fillId="10" borderId="41" xfId="0" applyFont="1" applyFill="1" applyBorder="1" applyAlignment="1" applyProtection="1">
      <alignment horizontal="center" vertical="center"/>
      <protection locked="0"/>
    </xf>
    <xf numFmtId="0" fontId="4" fillId="10" borderId="42" xfId="0" applyFont="1" applyFill="1" applyBorder="1" applyAlignment="1" applyProtection="1">
      <alignment horizontal="center" vertical="center"/>
      <protection locked="0"/>
    </xf>
    <xf numFmtId="0" fontId="4" fillId="10" borderId="50" xfId="0" applyFont="1" applyFill="1" applyBorder="1" applyAlignment="1" applyProtection="1">
      <alignment horizontal="center" vertical="center"/>
      <protection locked="0"/>
    </xf>
    <xf numFmtId="0" fontId="4" fillId="10" borderId="43" xfId="0" applyFont="1" applyFill="1" applyBorder="1" applyAlignment="1" applyProtection="1">
      <alignment horizontal="center" vertical="center"/>
      <protection locked="0"/>
    </xf>
    <xf numFmtId="0" fontId="3" fillId="10" borderId="17" xfId="0" applyFont="1" applyFill="1" applyBorder="1" applyAlignment="1" applyProtection="1">
      <alignment horizontal="center" vertical="center"/>
      <protection locked="0"/>
    </xf>
    <xf numFmtId="0" fontId="3" fillId="10" borderId="18" xfId="0" applyFont="1" applyFill="1" applyBorder="1" applyAlignment="1" applyProtection="1">
      <alignment horizontal="center" vertical="center"/>
      <protection locked="0"/>
    </xf>
    <xf numFmtId="0" fontId="3" fillId="10" borderId="49" xfId="0" applyFont="1" applyFill="1" applyBorder="1" applyAlignment="1" applyProtection="1">
      <alignment horizontal="center" vertical="center"/>
      <protection locked="0"/>
    </xf>
    <xf numFmtId="0" fontId="3" fillId="10" borderId="19" xfId="0" applyFont="1" applyFill="1" applyBorder="1" applyAlignment="1" applyProtection="1">
      <alignment horizontal="center" vertical="center"/>
      <protection locked="0"/>
    </xf>
    <xf numFmtId="0" fontId="3" fillId="10" borderId="23" xfId="0" applyFont="1" applyFill="1" applyBorder="1" applyAlignment="1" applyProtection="1">
      <alignment horizontal="center" vertical="center"/>
      <protection locked="0"/>
    </xf>
    <xf numFmtId="0" fontId="3" fillId="10" borderId="24" xfId="0" applyFont="1" applyFill="1" applyBorder="1" applyAlignment="1" applyProtection="1">
      <alignment horizontal="center" vertical="center"/>
      <protection locked="0"/>
    </xf>
    <xf numFmtId="0" fontId="3" fillId="10" borderId="34" xfId="0" applyFont="1" applyFill="1" applyBorder="1" applyAlignment="1" applyProtection="1">
      <alignment horizontal="center" vertical="center"/>
      <protection locked="0"/>
    </xf>
    <xf numFmtId="0" fontId="3" fillId="10" borderId="25" xfId="0" applyFont="1" applyFill="1" applyBorder="1" applyAlignment="1" applyProtection="1">
      <alignment horizontal="center" vertical="center"/>
      <protection locked="0"/>
    </xf>
    <xf numFmtId="0" fontId="3" fillId="10" borderId="9" xfId="0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center" vertical="center"/>
      <protection locked="0"/>
    </xf>
    <xf numFmtId="0" fontId="3" fillId="10" borderId="55" xfId="0" applyFont="1" applyFill="1" applyBorder="1" applyAlignment="1" applyProtection="1">
      <alignment horizontal="center" vertical="center"/>
      <protection locked="0"/>
    </xf>
    <xf numFmtId="0" fontId="3" fillId="10" borderId="11" xfId="0" applyFont="1" applyFill="1" applyBorder="1" applyAlignment="1" applyProtection="1">
      <alignment horizontal="center" vertical="center"/>
      <protection locked="0"/>
    </xf>
    <xf numFmtId="0" fontId="4" fillId="7" borderId="57" xfId="0" applyFont="1" applyFill="1" applyBorder="1" applyAlignment="1" applyProtection="1">
      <alignment horizontal="center" vertical="center"/>
      <protection locked="0"/>
    </xf>
    <xf numFmtId="0" fontId="4" fillId="7" borderId="56" xfId="0" applyFont="1" applyFill="1" applyBorder="1" applyAlignment="1" applyProtection="1">
      <alignment horizontal="center" vertical="center"/>
      <protection locked="0"/>
    </xf>
    <xf numFmtId="0" fontId="4" fillId="7" borderId="58" xfId="0" applyFont="1" applyFill="1" applyBorder="1" applyAlignment="1" applyProtection="1">
      <alignment horizontal="center" vertical="center"/>
      <protection locked="0"/>
    </xf>
    <xf numFmtId="0" fontId="3" fillId="7" borderId="51" xfId="0" applyFont="1" applyFill="1" applyBorder="1" applyAlignment="1" applyProtection="1">
      <alignment horizontal="center" vertical="center"/>
      <protection locked="0"/>
    </xf>
    <xf numFmtId="0" fontId="3" fillId="7" borderId="18" xfId="0" applyFont="1" applyFill="1" applyBorder="1" applyAlignment="1" applyProtection="1">
      <alignment horizontal="center" vertical="center"/>
      <protection locked="0"/>
    </xf>
    <xf numFmtId="0" fontId="3" fillId="7" borderId="19" xfId="0" applyFont="1" applyFill="1" applyBorder="1" applyAlignment="1" applyProtection="1">
      <alignment horizontal="center" vertical="center"/>
      <protection locked="0"/>
    </xf>
    <xf numFmtId="0" fontId="3" fillId="7" borderId="35" xfId="0" applyFont="1" applyFill="1" applyBorder="1" applyAlignment="1" applyProtection="1">
      <alignment horizontal="center" vertical="center"/>
      <protection locked="0"/>
    </xf>
    <xf numFmtId="0" fontId="3" fillId="7" borderId="24" xfId="0" applyFont="1" applyFill="1" applyBorder="1" applyAlignment="1" applyProtection="1">
      <alignment horizontal="center" vertical="center"/>
      <protection locked="0"/>
    </xf>
    <xf numFmtId="0" fontId="3" fillId="7" borderId="25" xfId="0" applyFont="1" applyFill="1" applyBorder="1" applyAlignment="1" applyProtection="1">
      <alignment horizontal="center" vertical="center"/>
      <protection locked="0"/>
    </xf>
    <xf numFmtId="0" fontId="3" fillId="7" borderId="37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7" borderId="0" xfId="0" applyFont="1" applyFill="1" applyAlignment="1" applyProtection="1">
      <alignment vertical="center"/>
      <protection locked="0"/>
    </xf>
    <xf numFmtId="41" fontId="3" fillId="9" borderId="20" xfId="0" applyNumberFormat="1" applyFont="1" applyFill="1" applyBorder="1" applyAlignment="1" applyProtection="1">
      <alignment horizontal="center" vertical="center"/>
    </xf>
    <xf numFmtId="41" fontId="3" fillId="5" borderId="21" xfId="0" applyNumberFormat="1" applyFont="1" applyFill="1" applyBorder="1" applyAlignment="1" applyProtection="1">
      <alignment horizontal="center" vertical="center"/>
    </xf>
    <xf numFmtId="41" fontId="3" fillId="10" borderId="22" xfId="0" applyNumberFormat="1" applyFont="1" applyFill="1" applyBorder="1" applyAlignment="1" applyProtection="1">
      <alignment horizontal="center" vertical="center"/>
    </xf>
    <xf numFmtId="41" fontId="3" fillId="7" borderId="18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Border="1" applyAlignment="1" applyProtection="1">
      <alignment horizontal="center" vertical="center"/>
    </xf>
    <xf numFmtId="41" fontId="3" fillId="0" borderId="1" xfId="1" applyFont="1" applyBorder="1" applyAlignment="1" applyProtection="1">
      <alignment horizontal="center" vertical="center"/>
      <protection locked="0"/>
    </xf>
    <xf numFmtId="41" fontId="3" fillId="0" borderId="3" xfId="0" applyNumberFormat="1" applyFont="1" applyBorder="1" applyAlignment="1" applyProtection="1">
      <alignment horizontal="center" vertical="center"/>
      <protection locked="0"/>
    </xf>
    <xf numFmtId="41" fontId="3" fillId="0" borderId="23" xfId="1" applyFont="1" applyBorder="1" applyAlignment="1" applyProtection="1">
      <alignment horizontal="center" vertical="center"/>
      <protection locked="0"/>
    </xf>
    <xf numFmtId="41" fontId="3" fillId="0" borderId="25" xfId="0" applyNumberFormat="1" applyFont="1" applyBorder="1" applyAlignment="1" applyProtection="1">
      <alignment horizontal="center" vertical="center"/>
      <protection locked="0"/>
    </xf>
    <xf numFmtId="41" fontId="3" fillId="0" borderId="9" xfId="1" applyFont="1" applyBorder="1" applyAlignment="1" applyProtection="1">
      <alignment horizontal="center" vertical="center"/>
      <protection locked="0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1" fillId="2" borderId="0" xfId="0" applyNumberFormat="1" applyFont="1" applyFill="1" applyAlignment="1" applyProtection="1">
      <alignment horizontal="center" vertical="center"/>
      <protection locked="0"/>
    </xf>
    <xf numFmtId="41" fontId="4" fillId="0" borderId="0" xfId="1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41" fontId="10" fillId="0" borderId="4" xfId="1" applyFont="1" applyBorder="1" applyAlignment="1" applyProtection="1">
      <alignment horizontal="center" vertical="center"/>
      <protection locked="0"/>
    </xf>
    <xf numFmtId="41" fontId="10" fillId="0" borderId="38" xfId="1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41" fontId="1" fillId="2" borderId="0" xfId="1" applyFont="1" applyFill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41" fontId="4" fillId="0" borderId="1" xfId="1" applyFont="1" applyFill="1" applyBorder="1" applyAlignment="1" applyProtection="1">
      <alignment horizontal="center" vertical="center"/>
      <protection locked="0"/>
    </xf>
    <xf numFmtId="41" fontId="4" fillId="0" borderId="9" xfId="1" applyFont="1" applyFill="1" applyBorder="1" applyAlignment="1" applyProtection="1">
      <alignment horizontal="center" vertical="center"/>
      <protection locked="0"/>
    </xf>
    <xf numFmtId="41" fontId="4" fillId="0" borderId="2" xfId="1" applyFont="1" applyFill="1" applyBorder="1" applyAlignment="1" applyProtection="1">
      <alignment horizontal="center" vertical="center"/>
      <protection locked="0"/>
    </xf>
    <xf numFmtId="41" fontId="4" fillId="0" borderId="10" xfId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55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0" fontId="4" fillId="8" borderId="23" xfId="0" applyFont="1" applyFill="1" applyBorder="1" applyAlignment="1" applyProtection="1">
      <alignment horizontal="center" vertical="center"/>
      <protection locked="0"/>
    </xf>
    <xf numFmtId="0" fontId="4" fillId="8" borderId="9" xfId="0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24" xfId="0" applyFont="1" applyFill="1" applyBorder="1" applyAlignment="1" applyProtection="1">
      <alignment horizontal="center" vertical="center"/>
      <protection locked="0"/>
    </xf>
    <xf numFmtId="0" fontId="4" fillId="8" borderId="10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4" fillId="8" borderId="25" xfId="0" applyFont="1" applyFill="1" applyBorder="1" applyAlignment="1" applyProtection="1">
      <alignment horizontal="center" vertical="center"/>
      <protection locked="0"/>
    </xf>
    <xf numFmtId="0" fontId="4" fillId="8" borderId="11" xfId="0" applyFont="1" applyFill="1" applyBorder="1" applyAlignment="1" applyProtection="1">
      <alignment horizontal="center" vertical="center"/>
      <protection locked="0"/>
    </xf>
    <xf numFmtId="0" fontId="4" fillId="7" borderId="57" xfId="0" applyFont="1" applyFill="1" applyBorder="1" applyAlignment="1" applyProtection="1">
      <alignment horizontal="center" vertical="center"/>
      <protection locked="0"/>
    </xf>
    <xf numFmtId="0" fontId="4" fillId="7" borderId="58" xfId="0" applyFont="1" applyFill="1" applyBorder="1" applyAlignment="1" applyProtection="1">
      <alignment horizontal="center" vertical="center"/>
      <protection locked="0"/>
    </xf>
    <xf numFmtId="0" fontId="4" fillId="7" borderId="56" xfId="0" applyFont="1" applyFill="1" applyBorder="1" applyAlignment="1" applyProtection="1">
      <alignment horizontal="center" vertical="center"/>
      <protection locked="0"/>
    </xf>
    <xf numFmtId="0" fontId="4" fillId="9" borderId="6" xfId="0" applyFont="1" applyFill="1" applyBorder="1" applyAlignment="1" applyProtection="1">
      <alignment horizontal="center" vertical="center" wrapText="1"/>
      <protection locked="0"/>
    </xf>
    <xf numFmtId="0" fontId="4" fillId="9" borderId="7" xfId="0" applyFont="1" applyFill="1" applyBorder="1" applyAlignment="1" applyProtection="1">
      <alignment horizontal="center" vertical="center"/>
      <protection locked="0"/>
    </xf>
    <xf numFmtId="0" fontId="4" fillId="9" borderId="46" xfId="0" applyFont="1" applyFill="1" applyBorder="1" applyAlignment="1" applyProtection="1">
      <alignment horizontal="center" vertical="center"/>
      <protection locked="0"/>
    </xf>
    <xf numFmtId="0" fontId="4" fillId="9" borderId="21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" fillId="5" borderId="46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 applyProtection="1">
      <alignment horizontal="center" vertical="center"/>
      <protection locked="0"/>
    </xf>
    <xf numFmtId="0" fontId="4" fillId="10" borderId="7" xfId="0" applyFont="1" applyFill="1" applyBorder="1" applyAlignment="1" applyProtection="1">
      <alignment horizontal="center" vertical="center"/>
      <protection locked="0"/>
    </xf>
    <xf numFmtId="0" fontId="4" fillId="10" borderId="47" xfId="0" applyFont="1" applyFill="1" applyBorder="1" applyAlignment="1" applyProtection="1">
      <alignment horizontal="center" vertical="center"/>
      <protection locked="0"/>
    </xf>
    <xf numFmtId="0" fontId="4" fillId="10" borderId="44" xfId="0" applyFont="1" applyFill="1" applyBorder="1" applyAlignment="1" applyProtection="1">
      <alignment horizontal="center" vertical="center"/>
      <protection locked="0"/>
    </xf>
    <xf numFmtId="0" fontId="4" fillId="7" borderId="60" xfId="0" applyFont="1" applyFill="1" applyBorder="1" applyAlignment="1" applyProtection="1">
      <alignment horizontal="center" vertical="center"/>
      <protection locked="0"/>
    </xf>
    <xf numFmtId="0" fontId="4" fillId="7" borderId="61" xfId="0" applyFont="1" applyFill="1" applyBorder="1" applyAlignment="1" applyProtection="1">
      <alignment horizontal="center" vertical="center"/>
      <protection locked="0"/>
    </xf>
    <xf numFmtId="0" fontId="4" fillId="7" borderId="62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="85" zoomScaleNormal="85" workbookViewId="0">
      <selection activeCell="N17" sqref="N16:N17"/>
    </sheetView>
  </sheetViews>
  <sheetFormatPr defaultRowHeight="16.5"/>
  <cols>
    <col min="1" max="1" width="9" style="240"/>
    <col min="2" max="2" width="3.25" style="240" customWidth="1"/>
    <col min="3" max="4" width="2.25" style="240" customWidth="1"/>
    <col min="5" max="16384" width="9" style="240"/>
  </cols>
  <sheetData>
    <row r="1" spans="2:14" ht="42.95" customHeight="1">
      <c r="B1" s="258" t="s">
        <v>96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2:14" ht="42.95" customHeight="1"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</row>
    <row r="3" spans="2:14" s="241" customFormat="1" ht="21.75" customHeight="1"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2:14" s="242" customFormat="1" ht="21.75" customHeight="1"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</row>
    <row r="5" spans="2:14" s="242" customFormat="1" ht="21.75" customHeight="1"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</row>
    <row r="6" spans="2:14" s="242" customFormat="1" ht="21.75" customHeight="1">
      <c r="B6" s="242" t="s">
        <v>98</v>
      </c>
    </row>
    <row r="7" spans="2:14" s="242" customFormat="1" ht="21.75" customHeight="1">
      <c r="C7" s="242" t="s">
        <v>97</v>
      </c>
      <c r="D7" s="242" t="s">
        <v>99</v>
      </c>
    </row>
    <row r="8" spans="2:14" s="242" customFormat="1" ht="21.75" customHeight="1">
      <c r="C8" s="242" t="s">
        <v>97</v>
      </c>
      <c r="D8" s="242" t="s">
        <v>100</v>
      </c>
    </row>
    <row r="9" spans="2:14" s="242" customFormat="1" ht="21.75" customHeight="1">
      <c r="D9" s="242" t="s">
        <v>102</v>
      </c>
      <c r="E9" s="242" t="s">
        <v>101</v>
      </c>
    </row>
    <row r="10" spans="2:14" s="242" customFormat="1" ht="21.75" customHeight="1">
      <c r="D10" s="242" t="s">
        <v>110</v>
      </c>
      <c r="E10" s="242" t="s">
        <v>111</v>
      </c>
    </row>
    <row r="11" spans="2:14" s="242" customFormat="1" ht="21.75" customHeight="1">
      <c r="C11" s="242" t="s">
        <v>97</v>
      </c>
      <c r="D11" s="242" t="s">
        <v>103</v>
      </c>
    </row>
    <row r="12" spans="2:14" s="242" customFormat="1" ht="21.75" customHeight="1"/>
    <row r="13" spans="2:14" s="242" customFormat="1" ht="21.75" customHeight="1">
      <c r="B13" s="242" t="s">
        <v>104</v>
      </c>
    </row>
    <row r="14" spans="2:14" s="242" customFormat="1" ht="21.75" customHeight="1">
      <c r="C14" s="242" t="s">
        <v>97</v>
      </c>
      <c r="D14" s="242" t="s">
        <v>105</v>
      </c>
    </row>
    <row r="15" spans="2:14" s="242" customFormat="1" ht="21.75" customHeight="1">
      <c r="D15" s="242" t="s">
        <v>102</v>
      </c>
      <c r="E15" s="242" t="s">
        <v>106</v>
      </c>
    </row>
    <row r="16" spans="2:14" s="242" customFormat="1" ht="21.75" customHeight="1">
      <c r="D16" s="242" t="s">
        <v>113</v>
      </c>
      <c r="E16" s="242" t="s">
        <v>114</v>
      </c>
    </row>
    <row r="17" spans="2:2" s="242" customFormat="1" ht="21.75" customHeight="1"/>
    <row r="18" spans="2:2" s="242" customFormat="1" ht="21.75" customHeight="1">
      <c r="B18" s="242" t="s">
        <v>107</v>
      </c>
    </row>
    <row r="19" spans="2:2" s="242" customFormat="1" ht="21.75" customHeight="1"/>
    <row r="20" spans="2:2" s="242" customFormat="1" ht="21.75" customHeight="1">
      <c r="B20" s="242" t="s">
        <v>108</v>
      </c>
    </row>
    <row r="21" spans="2:2" s="242" customFormat="1" ht="21.75" customHeight="1"/>
    <row r="22" spans="2:2" s="242" customFormat="1" ht="21.75" customHeight="1">
      <c r="B22" s="242" t="s">
        <v>109</v>
      </c>
    </row>
    <row r="23" spans="2:2" s="242" customFormat="1" ht="21.75" customHeight="1"/>
    <row r="24" spans="2:2" s="242" customFormat="1" ht="21.75" customHeight="1">
      <c r="B24" s="242" t="s">
        <v>115</v>
      </c>
    </row>
    <row r="25" spans="2:2" s="242" customFormat="1" ht="21.75" customHeight="1"/>
    <row r="26" spans="2:2" s="242" customFormat="1" ht="21.75" customHeight="1"/>
    <row r="27" spans="2:2" s="242" customFormat="1" ht="21.75" customHeight="1"/>
    <row r="28" spans="2:2" s="242" customFormat="1" ht="21.75" customHeight="1"/>
    <row r="29" spans="2:2" s="242" customFormat="1" ht="21.75" customHeight="1"/>
    <row r="30" spans="2:2" s="242" customFormat="1" ht="21.75" customHeight="1"/>
    <row r="31" spans="2:2" s="242" customFormat="1" ht="21.75" customHeight="1"/>
    <row r="32" spans="2:2" s="242" customFormat="1" ht="21.75" customHeight="1"/>
    <row r="33" spans="1:1" s="242" customFormat="1" ht="21.75" customHeight="1"/>
    <row r="34" spans="1:1" s="242" customFormat="1" ht="21.75" customHeight="1"/>
    <row r="35" spans="1:1" s="242" customFormat="1" ht="21.75" customHeight="1">
      <c r="A35" s="244"/>
    </row>
    <row r="36" spans="1:1" s="242" customFormat="1" ht="21.75" customHeight="1"/>
    <row r="37" spans="1:1" s="242" customFormat="1" ht="21.75" customHeight="1"/>
    <row r="38" spans="1:1" s="242" customFormat="1" ht="21.75" customHeight="1"/>
    <row r="39" spans="1:1" s="242" customFormat="1" ht="21.75" customHeight="1"/>
    <row r="40" spans="1:1" s="242" customFormat="1" ht="21.75" customHeight="1"/>
    <row r="41" spans="1:1" s="242" customFormat="1" ht="21.75" customHeight="1"/>
    <row r="42" spans="1:1" s="242" customFormat="1" ht="21.75" customHeight="1"/>
    <row r="43" spans="1:1" s="242" customFormat="1" ht="21.75" customHeight="1"/>
    <row r="44" spans="1:1" s="242" customFormat="1" ht="21.75" customHeight="1"/>
    <row r="45" spans="1:1" s="242" customFormat="1" ht="21.75" customHeight="1"/>
    <row r="46" spans="1:1" s="242" customFormat="1" ht="21.75" customHeight="1"/>
    <row r="47" spans="1:1" s="242" customFormat="1" ht="21.75" customHeight="1"/>
    <row r="48" spans="1:1" s="242" customFormat="1" ht="21.75" customHeight="1"/>
    <row r="49" s="242" customFormat="1" ht="21.75" customHeight="1"/>
    <row r="50" s="242" customFormat="1" ht="21.75" customHeight="1"/>
    <row r="51" s="242" customFormat="1" ht="21.75" customHeight="1"/>
    <row r="52" s="242" customFormat="1" ht="21.75" customHeight="1"/>
    <row r="53" s="242" customFormat="1" ht="21.75" customHeight="1"/>
    <row r="54" s="242" customFormat="1" ht="21.75" customHeight="1"/>
    <row r="55" s="242" customFormat="1" ht="21.75" customHeight="1"/>
    <row r="56" s="242" customFormat="1" ht="21.75" customHeight="1"/>
    <row r="57" s="242" customFormat="1" ht="21.75" customHeight="1"/>
    <row r="58" s="243" customFormat="1" ht="26.25"/>
    <row r="59" s="243" customFormat="1" ht="26.25"/>
    <row r="60" s="243" customFormat="1" ht="26.25"/>
    <row r="61" s="243" customFormat="1" ht="26.25"/>
    <row r="62" s="243" customFormat="1" ht="26.25"/>
    <row r="63" s="243" customFormat="1" ht="26.25"/>
    <row r="64" s="243" customFormat="1" ht="26.25"/>
  </sheetData>
  <mergeCells count="1">
    <mergeCell ref="B1:N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showGridLines="0" zoomScaleNormal="100" workbookViewId="0">
      <selection activeCell="V38" sqref="V38"/>
    </sheetView>
  </sheetViews>
  <sheetFormatPr defaultRowHeight="16.5" customHeight="1"/>
  <cols>
    <col min="1" max="1" width="9" style="2"/>
    <col min="2" max="2" width="20.375" style="20" customWidth="1"/>
    <col min="3" max="3" width="11.375" style="20" customWidth="1"/>
    <col min="4" max="4" width="10.75" style="2" customWidth="1"/>
    <col min="5" max="18" width="3.625" style="2" customWidth="1"/>
    <col min="19" max="21" width="9" style="2" customWidth="1"/>
    <col min="22" max="26" width="10.625" style="2" customWidth="1"/>
    <col min="27" max="35" width="10.625" style="2" hidden="1" customWidth="1"/>
    <col min="36" max="36" width="22.625" style="20" customWidth="1"/>
    <col min="37" max="37" width="22.625" style="2" customWidth="1"/>
    <col min="38" max="16384" width="9" style="2"/>
  </cols>
  <sheetData>
    <row r="1" spans="1:37" ht="16.5" customHeight="1">
      <c r="B1" s="267" t="s">
        <v>82</v>
      </c>
      <c r="C1" s="267"/>
      <c r="D1" s="256">
        <f>SUM(AJ7:AJ36)</f>
        <v>120576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266" t="s">
        <v>81</v>
      </c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</row>
    <row r="2" spans="1:37" ht="16.5" customHeight="1">
      <c r="B2" s="267" t="s">
        <v>83</v>
      </c>
      <c r="C2" s="267"/>
      <c r="D2" s="256">
        <f>SUM(AK7:AK36)</f>
        <v>27222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</row>
    <row r="3" spans="1:37" ht="16.5" customHeight="1">
      <c r="B3" s="19"/>
      <c r="C3" s="1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</row>
    <row r="4" spans="1:37" ht="21.75" customHeight="1" thickBot="1">
      <c r="A4" s="1" t="s">
        <v>0</v>
      </c>
      <c r="B4" s="257" t="s">
        <v>146</v>
      </c>
    </row>
    <row r="5" spans="1:37" ht="16.5" customHeight="1" thickBot="1">
      <c r="A5" s="1"/>
      <c r="B5" s="275" t="s">
        <v>1</v>
      </c>
      <c r="C5" s="277" t="s">
        <v>2</v>
      </c>
      <c r="D5" s="279" t="s">
        <v>3</v>
      </c>
      <c r="E5" s="263" t="s">
        <v>4</v>
      </c>
      <c r="F5" s="264"/>
      <c r="G5" s="264"/>
      <c r="H5" s="264"/>
      <c r="I5" s="264"/>
      <c r="J5" s="264"/>
      <c r="K5" s="265"/>
      <c r="L5" s="263" t="s">
        <v>5</v>
      </c>
      <c r="M5" s="264"/>
      <c r="N5" s="264"/>
      <c r="O5" s="264"/>
      <c r="P5" s="264"/>
      <c r="Q5" s="264"/>
      <c r="R5" s="264"/>
      <c r="S5" s="268" t="s">
        <v>6</v>
      </c>
      <c r="T5" s="268" t="s">
        <v>7</v>
      </c>
      <c r="U5" s="270" t="s">
        <v>8</v>
      </c>
      <c r="V5" s="272" t="s">
        <v>9</v>
      </c>
      <c r="W5" s="273"/>
      <c r="X5" s="273"/>
      <c r="Y5" s="274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259" t="s">
        <v>85</v>
      </c>
      <c r="AK5" s="261" t="s">
        <v>84</v>
      </c>
    </row>
    <row r="6" spans="1:37" s="6" customFormat="1" ht="16.5" customHeight="1" thickBot="1">
      <c r="A6" s="1"/>
      <c r="B6" s="276"/>
      <c r="C6" s="278"/>
      <c r="D6" s="280"/>
      <c r="E6" s="32" t="s">
        <v>65</v>
      </c>
      <c r="F6" s="33" t="s">
        <v>66</v>
      </c>
      <c r="G6" s="33" t="s">
        <v>67</v>
      </c>
      <c r="H6" s="33" t="s">
        <v>68</v>
      </c>
      <c r="I6" s="33" t="s">
        <v>69</v>
      </c>
      <c r="J6" s="33" t="s">
        <v>70</v>
      </c>
      <c r="K6" s="35" t="s">
        <v>71</v>
      </c>
      <c r="L6" s="32" t="s">
        <v>65</v>
      </c>
      <c r="M6" s="33" t="s">
        <v>66</v>
      </c>
      <c r="N6" s="33" t="s">
        <v>67</v>
      </c>
      <c r="O6" s="33" t="s">
        <v>68</v>
      </c>
      <c r="P6" s="33" t="s">
        <v>69</v>
      </c>
      <c r="Q6" s="33" t="s">
        <v>70</v>
      </c>
      <c r="R6" s="34" t="s">
        <v>71</v>
      </c>
      <c r="S6" s="281"/>
      <c r="T6" s="269"/>
      <c r="U6" s="271"/>
      <c r="V6" s="3" t="s">
        <v>10</v>
      </c>
      <c r="W6" s="4" t="s">
        <v>11</v>
      </c>
      <c r="X6" s="3" t="s">
        <v>12</v>
      </c>
      <c r="Y6" s="5" t="s">
        <v>13</v>
      </c>
      <c r="Z6" s="15"/>
      <c r="AA6" s="15" t="s">
        <v>72</v>
      </c>
      <c r="AB6" s="15" t="s">
        <v>73</v>
      </c>
      <c r="AC6" s="15" t="s">
        <v>74</v>
      </c>
      <c r="AD6" s="15" t="s">
        <v>75</v>
      </c>
      <c r="AE6" s="15" t="s">
        <v>76</v>
      </c>
      <c r="AF6" s="15" t="s">
        <v>77</v>
      </c>
      <c r="AG6" s="15" t="s">
        <v>78</v>
      </c>
      <c r="AH6" s="15" t="s">
        <v>79</v>
      </c>
      <c r="AI6" s="15" t="s">
        <v>80</v>
      </c>
      <c r="AJ6" s="260"/>
      <c r="AK6" s="262"/>
    </row>
    <row r="7" spans="1:37" ht="15.95" customHeight="1">
      <c r="B7" s="21" t="str">
        <f>캐릭터입력창!A5</f>
        <v>모코코in모코코</v>
      </c>
      <c r="C7" s="22" t="str">
        <f>캐릭터입력창!B5</f>
        <v>워로드</v>
      </c>
      <c r="D7" s="29">
        <f>캐릭터입력창!C5</f>
        <v>1460</v>
      </c>
      <c r="E7" s="57"/>
      <c r="F7" s="58"/>
      <c r="G7" s="58"/>
      <c r="H7" s="58"/>
      <c r="I7" s="58"/>
      <c r="J7" s="58"/>
      <c r="K7" s="59"/>
      <c r="L7" s="57">
        <v>1</v>
      </c>
      <c r="M7" s="58"/>
      <c r="N7" s="58"/>
      <c r="O7" s="58"/>
      <c r="P7" s="58"/>
      <c r="Q7" s="58"/>
      <c r="R7" s="59"/>
      <c r="S7" s="60">
        <v>1</v>
      </c>
      <c r="T7" s="61"/>
      <c r="U7" s="62">
        <v>1</v>
      </c>
      <c r="V7" s="62">
        <v>1</v>
      </c>
      <c r="W7" s="63"/>
      <c r="X7" s="62"/>
      <c r="Y7" s="64"/>
      <c r="Z7" s="16"/>
      <c r="AA7" s="16">
        <f>IF(D7&gt;=1490,예상골드획득량!$C$3,0)</f>
        <v>0</v>
      </c>
      <c r="AB7" s="16">
        <f>IF(AND(D7&lt;1490,D7&gt;=1475),예상골드획득량!$C$4,0)</f>
        <v>0</v>
      </c>
      <c r="AC7" s="16">
        <f>IF(AND(D7&lt;1475,D7&gt;=1460),예상골드획득량!$C$5,0)</f>
        <v>18870</v>
      </c>
      <c r="AD7" s="16">
        <f>IF(AND(D7&lt;1460,D7&gt;=1445),예상골드획득량!$C$6,0)</f>
        <v>0</v>
      </c>
      <c r="AE7" s="16">
        <f>IF(AND(D7&lt;1445,D7&gt;=1430),예상골드획득량!$C$7,0)</f>
        <v>0</v>
      </c>
      <c r="AF7" s="16">
        <f>IF(AND(D7&lt;1430,D7&gt;=1415),예상골드획득량!$C$8,0)</f>
        <v>0</v>
      </c>
      <c r="AG7" s="16">
        <f>IF(AND(D7&lt;1415,D7&gt;=1370),예상골드획득량!$C$9,0)</f>
        <v>0</v>
      </c>
      <c r="AH7" s="16">
        <f>IF(AND(D7&lt;1370,D7&gt;=1355),예상골드획득량!$C$10,0)</f>
        <v>0</v>
      </c>
      <c r="AI7" s="16">
        <f>IF(D7&lt;1355,예상골드획득량!$C$11,0)</f>
        <v>0</v>
      </c>
      <c r="AJ7" s="250">
        <f>MAX(AA7:AH7)</f>
        <v>18870</v>
      </c>
      <c r="AK7" s="251">
        <f>COUNTIF(L7:R7,1)*캐릭터입력창!AA5+S7*캐릭터입력창!AB5+T7*캐릭터입력창!AC5+V7*캐릭터입력창!AD5+체크리스트!W7*캐릭터입력창!AE5+체크리스트!X7*캐릭터입력창!AF5+체크리스트!Y7*캐릭터입력창!AG5</f>
        <v>6210</v>
      </c>
    </row>
    <row r="8" spans="1:37" ht="15.95" customHeight="1">
      <c r="B8" s="23" t="str">
        <f>캐릭터입력창!A6</f>
        <v>차뮤트</v>
      </c>
      <c r="C8" s="24" t="str">
        <f>캐릭터입력창!B6</f>
        <v>배틀마스터</v>
      </c>
      <c r="D8" s="30">
        <f>캐릭터입력창!C6</f>
        <v>1370</v>
      </c>
      <c r="E8" s="65"/>
      <c r="F8" s="66"/>
      <c r="G8" s="66"/>
      <c r="H8" s="66"/>
      <c r="I8" s="66"/>
      <c r="J8" s="66"/>
      <c r="K8" s="67"/>
      <c r="L8" s="65"/>
      <c r="M8" s="66"/>
      <c r="N8" s="66"/>
      <c r="O8" s="66"/>
      <c r="P8" s="66"/>
      <c r="Q8" s="66"/>
      <c r="R8" s="67"/>
      <c r="S8" s="68">
        <v>1</v>
      </c>
      <c r="T8" s="57"/>
      <c r="U8" s="69"/>
      <c r="V8" s="69"/>
      <c r="W8" s="70"/>
      <c r="X8" s="69"/>
      <c r="Y8" s="71"/>
      <c r="Z8" s="16"/>
      <c r="AA8" s="16">
        <f>IF(D8&gt;=1490,예상골드획득량!$C$3,0)</f>
        <v>0</v>
      </c>
      <c r="AB8" s="16">
        <f>IF(AND(D8&lt;1490,D8&gt;=1475),예상골드획득량!$C$4,0)</f>
        <v>0</v>
      </c>
      <c r="AC8" s="16">
        <f>IF(AND(D8&lt;1475,D8&gt;=1460),예상골드획득량!$C$5,0)</f>
        <v>0</v>
      </c>
      <c r="AD8" s="16">
        <f>IF(AND(D8&lt;1460,D8&gt;=1445),예상골드획득량!$C$6,0)</f>
        <v>0</v>
      </c>
      <c r="AE8" s="16">
        <f>IF(AND(D8&lt;1445,D8&gt;=1430),예상골드획득량!$C$7,0)</f>
        <v>0</v>
      </c>
      <c r="AF8" s="16">
        <f>IF(AND(D8&lt;1430,D8&gt;=1415),예상골드획득량!$C$8,0)</f>
        <v>0</v>
      </c>
      <c r="AG8" s="16">
        <f>IF(AND(D8&lt;1415,D8&gt;=1370),예상골드획득량!$C$9,0)</f>
        <v>3534</v>
      </c>
      <c r="AH8" s="16">
        <f>IF(AND(D8&lt;1370,D8&gt;=1355),예상골드획득량!$C$10,0)</f>
        <v>0</v>
      </c>
      <c r="AI8" s="16">
        <f>IF(D8&lt;1355,예상골드획득량!$C$11,0)</f>
        <v>0</v>
      </c>
      <c r="AJ8" s="252">
        <f t="shared" ref="AJ8:AJ36" si="0">MAX(AA8:AH8)</f>
        <v>3534</v>
      </c>
      <c r="AK8" s="253">
        <f>COUNTIF(L8:R8,1)*캐릭터입력창!AA6+S8*캐릭터입력창!AB6+T8*캐릭터입력창!AC6+V8*캐릭터입력창!AD6+체크리스트!W8*캐릭터입력창!AE6+체크리스트!X8*캐릭터입력창!AF6+체크리스트!Y8*캐릭터입력창!AG6</f>
        <v>1100</v>
      </c>
    </row>
    <row r="9" spans="1:37" ht="15.95" customHeight="1">
      <c r="B9" s="23" t="str">
        <f>캐릭터입력창!A7</f>
        <v>귀요미요정이</v>
      </c>
      <c r="C9" s="24" t="str">
        <f>캐릭터입력창!B7</f>
        <v>데모닉</v>
      </c>
      <c r="D9" s="30">
        <f>캐릭터입력창!C7</f>
        <v>1370</v>
      </c>
      <c r="E9" s="65"/>
      <c r="F9" s="66"/>
      <c r="G9" s="66"/>
      <c r="H9" s="66"/>
      <c r="I9" s="66"/>
      <c r="J9" s="66"/>
      <c r="K9" s="67"/>
      <c r="L9" s="65"/>
      <c r="M9" s="66"/>
      <c r="N9" s="66"/>
      <c r="O9" s="66"/>
      <c r="P9" s="66"/>
      <c r="Q9" s="66"/>
      <c r="R9" s="67"/>
      <c r="S9" s="68">
        <v>1</v>
      </c>
      <c r="T9" s="57"/>
      <c r="U9" s="69"/>
      <c r="V9" s="69"/>
      <c r="W9" s="70"/>
      <c r="X9" s="69"/>
      <c r="Y9" s="71"/>
      <c r="Z9" s="16"/>
      <c r="AA9" s="16">
        <f>IF(D9&gt;=1490,예상골드획득량!$C$3,0)</f>
        <v>0</v>
      </c>
      <c r="AB9" s="16">
        <f>IF(AND(D9&lt;1490,D9&gt;=1475),예상골드획득량!$C$4,0)</f>
        <v>0</v>
      </c>
      <c r="AC9" s="16">
        <f>IF(AND(D9&lt;1475,D9&gt;=1460),예상골드획득량!$C$5,0)</f>
        <v>0</v>
      </c>
      <c r="AD9" s="16">
        <f>IF(AND(D9&lt;1460,D9&gt;=1445),예상골드획득량!$C$6,0)</f>
        <v>0</v>
      </c>
      <c r="AE9" s="16">
        <f>IF(AND(D9&lt;1445,D9&gt;=1430),예상골드획득량!$C$7,0)</f>
        <v>0</v>
      </c>
      <c r="AF9" s="16">
        <f>IF(AND(D9&lt;1430,D9&gt;=1415),예상골드획득량!$C$8,0)</f>
        <v>0</v>
      </c>
      <c r="AG9" s="16">
        <f>IF(AND(D9&lt;1415,D9&gt;=1370),예상골드획득량!$C$9,0)</f>
        <v>3534</v>
      </c>
      <c r="AH9" s="16">
        <f>IF(AND(D9&lt;1370,D9&gt;=1355),예상골드획득량!$C$10,0)</f>
        <v>0</v>
      </c>
      <c r="AI9" s="16">
        <f>IF(D9&lt;1355,예상골드획득량!$C$11,0)</f>
        <v>0</v>
      </c>
      <c r="AJ9" s="252">
        <f t="shared" si="0"/>
        <v>3534</v>
      </c>
      <c r="AK9" s="253">
        <f>COUNTIF(L9:R9,1)*캐릭터입력창!AA7+S9*캐릭터입력창!AB7+T9*캐릭터입력창!AC7+V9*캐릭터입력창!AD7+체크리스트!W9*캐릭터입력창!AE7+체크리스트!X9*캐릭터입력창!AF7+체크리스트!Y9*캐릭터입력창!AG7</f>
        <v>1100</v>
      </c>
    </row>
    <row r="10" spans="1:37" ht="15.95" customHeight="1">
      <c r="B10" s="23" t="str">
        <f>캐릭터입력창!A8</f>
        <v>이쁘니요정</v>
      </c>
      <c r="C10" s="24" t="str">
        <f>캐릭터입력창!B8</f>
        <v>데모닉</v>
      </c>
      <c r="D10" s="30">
        <f>캐릭터입력창!C8</f>
        <v>1370</v>
      </c>
      <c r="E10" s="65"/>
      <c r="F10" s="66"/>
      <c r="G10" s="66"/>
      <c r="H10" s="66"/>
      <c r="I10" s="66"/>
      <c r="J10" s="66"/>
      <c r="K10" s="67"/>
      <c r="L10" s="65"/>
      <c r="M10" s="66"/>
      <c r="N10" s="66"/>
      <c r="O10" s="66"/>
      <c r="P10" s="66"/>
      <c r="Q10" s="66"/>
      <c r="R10" s="67"/>
      <c r="S10" s="68">
        <v>1</v>
      </c>
      <c r="T10" s="57"/>
      <c r="U10" s="69"/>
      <c r="V10" s="69"/>
      <c r="W10" s="70"/>
      <c r="X10" s="69"/>
      <c r="Y10" s="71"/>
      <c r="Z10" s="16"/>
      <c r="AA10" s="16">
        <f>IF(D10&gt;=1490,예상골드획득량!$C$3,0)</f>
        <v>0</v>
      </c>
      <c r="AB10" s="16">
        <f>IF(AND(D10&lt;1490,D10&gt;=1475),예상골드획득량!$C$4,0)</f>
        <v>0</v>
      </c>
      <c r="AC10" s="16">
        <f>IF(AND(D10&lt;1475,D10&gt;=1460),예상골드획득량!$C$5,0)</f>
        <v>0</v>
      </c>
      <c r="AD10" s="16">
        <f>IF(AND(D10&lt;1460,D10&gt;=1445),예상골드획득량!$C$6,0)</f>
        <v>0</v>
      </c>
      <c r="AE10" s="16">
        <f>IF(AND(D10&lt;1445,D10&gt;=1430),예상골드획득량!$C$7,0)</f>
        <v>0</v>
      </c>
      <c r="AF10" s="16">
        <f>IF(AND(D10&lt;1430,D10&gt;=1415),예상골드획득량!$C$8,0)</f>
        <v>0</v>
      </c>
      <c r="AG10" s="16">
        <f>IF(AND(D10&lt;1415,D10&gt;=1370),예상골드획득량!$C$9,0)</f>
        <v>3534</v>
      </c>
      <c r="AH10" s="16">
        <f>IF(AND(D10&lt;1370,D10&gt;=1355),예상골드획득량!$C$10,0)</f>
        <v>0</v>
      </c>
      <c r="AI10" s="16">
        <f>IF(D10&lt;1355,예상골드획득량!$C$11,0)</f>
        <v>0</v>
      </c>
      <c r="AJ10" s="252">
        <f t="shared" si="0"/>
        <v>3534</v>
      </c>
      <c r="AK10" s="253">
        <f>COUNTIF(L10:R10,1)*캐릭터입력창!AA8+S10*캐릭터입력창!AB8+T10*캐릭터입력창!AC8+V10*캐릭터입력창!AD8+체크리스트!W10*캐릭터입력창!AE8+체크리스트!X10*캐릭터입력창!AF8+체크리스트!Y10*캐릭터입력창!AG8</f>
        <v>1100</v>
      </c>
    </row>
    <row r="11" spans="1:37" ht="15.95" customHeight="1" thickBot="1">
      <c r="B11" s="25" t="str">
        <f>캐릭터입력창!A9</f>
        <v>차뮤트배럭1</v>
      </c>
      <c r="C11" s="26" t="str">
        <f>캐릭터입력창!B9</f>
        <v>워로드</v>
      </c>
      <c r="D11" s="31">
        <f>캐릭터입력창!C9</f>
        <v>1415</v>
      </c>
      <c r="E11" s="72"/>
      <c r="F11" s="73"/>
      <c r="G11" s="73"/>
      <c r="H11" s="73"/>
      <c r="I11" s="73"/>
      <c r="J11" s="73"/>
      <c r="K11" s="74"/>
      <c r="L11" s="72">
        <v>1</v>
      </c>
      <c r="M11" s="73"/>
      <c r="N11" s="73"/>
      <c r="O11" s="73"/>
      <c r="P11" s="73"/>
      <c r="Q11" s="73"/>
      <c r="R11" s="74"/>
      <c r="S11" s="75"/>
      <c r="T11" s="76">
        <v>1</v>
      </c>
      <c r="U11" s="77"/>
      <c r="V11" s="77">
        <v>1</v>
      </c>
      <c r="W11" s="78"/>
      <c r="X11" s="77"/>
      <c r="Y11" s="79"/>
      <c r="Z11" s="16"/>
      <c r="AA11" s="16">
        <f>IF(D11&gt;=1490,예상골드획득량!$C$3,0)</f>
        <v>0</v>
      </c>
      <c r="AB11" s="16">
        <f>IF(AND(D11&lt;1490,D11&gt;=1475),예상골드획득량!$C$4,0)</f>
        <v>0</v>
      </c>
      <c r="AC11" s="16">
        <f>IF(AND(D11&lt;1475,D11&gt;=1460),예상골드획득량!$C$5,0)</f>
        <v>0</v>
      </c>
      <c r="AD11" s="16">
        <f>IF(AND(D11&lt;1460,D11&gt;=1445),예상골드획득량!$C$6,0)</f>
        <v>0</v>
      </c>
      <c r="AE11" s="16">
        <f>IF(AND(D11&lt;1445,D11&gt;=1430),예상골드획득량!$C$7,0)</f>
        <v>0</v>
      </c>
      <c r="AF11" s="16">
        <f>IF(AND(D11&lt;1430,D11&gt;=1415),예상골드획득량!$C$8,0)</f>
        <v>11742</v>
      </c>
      <c r="AG11" s="16">
        <f>IF(AND(D11&lt;1415,D11&gt;=1370),예상골드획득량!$C$9,0)</f>
        <v>0</v>
      </c>
      <c r="AH11" s="16">
        <f>IF(AND(D11&lt;1370,D11&gt;=1355),예상골드획득량!$C$10,0)</f>
        <v>0</v>
      </c>
      <c r="AI11" s="16">
        <f>IF(D11&lt;1355,예상골드획득량!$C$11,0)</f>
        <v>0</v>
      </c>
      <c r="AJ11" s="252">
        <f t="shared" si="0"/>
        <v>11742</v>
      </c>
      <c r="AK11" s="253">
        <f>COUNTIF(L11:R11,1)*캐릭터입력창!AA9+S11*캐릭터입력창!AB9+T11*캐릭터입력창!AC9+V11*캐릭터입력창!AD9+체크리스트!W11*캐릭터입력창!AE9+체크리스트!X11*캐릭터입력창!AF9+체크리스트!Y11*캐릭터입력창!AG9</f>
        <v>7206</v>
      </c>
    </row>
    <row r="12" spans="1:37" ht="15.95" customHeight="1">
      <c r="B12" s="21" t="str">
        <f>캐릭터입력창!A10</f>
        <v>차뮤트배럭2</v>
      </c>
      <c r="C12" s="22" t="str">
        <f>캐릭터입력창!B10</f>
        <v>건슬링어</v>
      </c>
      <c r="D12" s="29">
        <f>캐릭터입력창!C10</f>
        <v>1370</v>
      </c>
      <c r="E12" s="80"/>
      <c r="F12" s="81"/>
      <c r="G12" s="81"/>
      <c r="H12" s="81"/>
      <c r="I12" s="81"/>
      <c r="J12" s="81"/>
      <c r="K12" s="82"/>
      <c r="L12" s="83"/>
      <c r="M12" s="84"/>
      <c r="N12" s="84"/>
      <c r="O12" s="84"/>
      <c r="P12" s="84"/>
      <c r="Q12" s="84"/>
      <c r="R12" s="85"/>
      <c r="S12" s="86">
        <v>1</v>
      </c>
      <c r="T12" s="80"/>
      <c r="U12" s="87"/>
      <c r="V12" s="87"/>
      <c r="W12" s="88"/>
      <c r="X12" s="87"/>
      <c r="Y12" s="89"/>
      <c r="Z12" s="16"/>
      <c r="AA12" s="16">
        <f>IF(D12&gt;=1490,예상골드획득량!$C$3,0)</f>
        <v>0</v>
      </c>
      <c r="AB12" s="16">
        <f>IF(AND(D12&lt;1490,D12&gt;=1475),예상골드획득량!$C$4,0)</f>
        <v>0</v>
      </c>
      <c r="AC12" s="16">
        <f>IF(AND(D12&lt;1475,D12&gt;=1460),예상골드획득량!$C$5,0)</f>
        <v>0</v>
      </c>
      <c r="AD12" s="16">
        <f>IF(AND(D12&lt;1460,D12&gt;=1445),예상골드획득량!$C$6,0)</f>
        <v>0</v>
      </c>
      <c r="AE12" s="16">
        <f>IF(AND(D12&lt;1445,D12&gt;=1430),예상골드획득량!$C$7,0)</f>
        <v>0</v>
      </c>
      <c r="AF12" s="16">
        <f>IF(AND(D12&lt;1430,D12&gt;=1415),예상골드획득량!$C$8,0)</f>
        <v>0</v>
      </c>
      <c r="AG12" s="16">
        <f>IF(AND(D12&lt;1415,D12&gt;=1370),예상골드획득량!$C$9,0)</f>
        <v>3534</v>
      </c>
      <c r="AH12" s="16">
        <f>IF(AND(D12&lt;1370,D12&gt;=1355),예상골드획득량!$C$10,0)</f>
        <v>0</v>
      </c>
      <c r="AI12" s="16">
        <f>IF(D12&lt;1355,예상골드획득량!$C$11,0)</f>
        <v>0</v>
      </c>
      <c r="AJ12" s="252">
        <f t="shared" si="0"/>
        <v>3534</v>
      </c>
      <c r="AK12" s="253">
        <f>COUNTIF(L12:R12,1)*캐릭터입력창!AA10+S12*캐릭터입력창!AB10+T12*캐릭터입력창!AC10+V12*캐릭터입력창!AD10+체크리스트!W12*캐릭터입력창!AE10+체크리스트!X12*캐릭터입력창!AF10+체크리스트!Y12*캐릭터입력창!AG10</f>
        <v>1100</v>
      </c>
    </row>
    <row r="13" spans="1:37" ht="15.95" customHeight="1">
      <c r="B13" s="23" t="str">
        <f>캐릭터입력창!A11</f>
        <v>차뮤트배럭3</v>
      </c>
      <c r="C13" s="24" t="str">
        <f>캐릭터입력창!B11</f>
        <v>워로드</v>
      </c>
      <c r="D13" s="30">
        <f>캐릭터입력창!C11</f>
        <v>1370</v>
      </c>
      <c r="E13" s="90"/>
      <c r="F13" s="91"/>
      <c r="G13" s="91"/>
      <c r="H13" s="91"/>
      <c r="I13" s="91"/>
      <c r="J13" s="91"/>
      <c r="K13" s="92"/>
      <c r="L13" s="90"/>
      <c r="M13" s="91"/>
      <c r="N13" s="91"/>
      <c r="O13" s="91"/>
      <c r="P13" s="91"/>
      <c r="Q13" s="91"/>
      <c r="R13" s="92"/>
      <c r="S13" s="93">
        <v>1</v>
      </c>
      <c r="T13" s="83"/>
      <c r="U13" s="94"/>
      <c r="V13" s="94"/>
      <c r="W13" s="95"/>
      <c r="X13" s="94"/>
      <c r="Y13" s="96"/>
      <c r="Z13" s="16"/>
      <c r="AA13" s="16">
        <f>IF(D13&gt;=1490,예상골드획득량!$C$3,0)</f>
        <v>0</v>
      </c>
      <c r="AB13" s="16">
        <f>IF(AND(D13&lt;1490,D13&gt;=1475),예상골드획득량!$C$4,0)</f>
        <v>0</v>
      </c>
      <c r="AC13" s="16">
        <f>IF(AND(D13&lt;1475,D13&gt;=1460),예상골드획득량!$C$5,0)</f>
        <v>0</v>
      </c>
      <c r="AD13" s="16">
        <f>IF(AND(D13&lt;1460,D13&gt;=1445),예상골드획득량!$C$6,0)</f>
        <v>0</v>
      </c>
      <c r="AE13" s="16">
        <f>IF(AND(D13&lt;1445,D13&gt;=1430),예상골드획득량!$C$7,0)</f>
        <v>0</v>
      </c>
      <c r="AF13" s="16">
        <f>IF(AND(D13&lt;1430,D13&gt;=1415),예상골드획득량!$C$8,0)</f>
        <v>0</v>
      </c>
      <c r="AG13" s="16">
        <f>IF(AND(D13&lt;1415,D13&gt;=1370),예상골드획득량!$C$9,0)</f>
        <v>3534</v>
      </c>
      <c r="AH13" s="16">
        <f>IF(AND(D13&lt;1370,D13&gt;=1355),예상골드획득량!$C$10,0)</f>
        <v>0</v>
      </c>
      <c r="AI13" s="16">
        <f>IF(D13&lt;1355,예상골드획득량!$C$11,0)</f>
        <v>0</v>
      </c>
      <c r="AJ13" s="252">
        <f t="shared" si="0"/>
        <v>3534</v>
      </c>
      <c r="AK13" s="253">
        <f>COUNTIF(L13:R13,1)*캐릭터입력창!AA11+S13*캐릭터입력창!AB11+T13*캐릭터입력창!AC11+V13*캐릭터입력창!AD11+체크리스트!W13*캐릭터입력창!AE11+체크리스트!X13*캐릭터입력창!AF11+체크리스트!Y13*캐릭터입력창!AG11</f>
        <v>1100</v>
      </c>
    </row>
    <row r="14" spans="1:37" ht="15.95" customHeight="1">
      <c r="B14" s="23" t="str">
        <f>캐릭터입력창!A12</f>
        <v>차뮤트배럭4</v>
      </c>
      <c r="C14" s="24" t="str">
        <f>캐릭터입력창!B12</f>
        <v>워로드</v>
      </c>
      <c r="D14" s="30">
        <f>캐릭터입력창!C12</f>
        <v>1385</v>
      </c>
      <c r="E14" s="90"/>
      <c r="F14" s="91"/>
      <c r="G14" s="91"/>
      <c r="H14" s="91"/>
      <c r="I14" s="91"/>
      <c r="J14" s="91"/>
      <c r="K14" s="92"/>
      <c r="L14" s="90"/>
      <c r="M14" s="91"/>
      <c r="N14" s="91"/>
      <c r="O14" s="91"/>
      <c r="P14" s="91"/>
      <c r="Q14" s="91"/>
      <c r="R14" s="92"/>
      <c r="S14" s="93">
        <v>1</v>
      </c>
      <c r="T14" s="83"/>
      <c r="U14" s="94"/>
      <c r="V14" s="94"/>
      <c r="W14" s="95"/>
      <c r="X14" s="94"/>
      <c r="Y14" s="96"/>
      <c r="Z14" s="16"/>
      <c r="AA14" s="16">
        <f>IF(D14&gt;=1490,예상골드획득량!$C$3,0)</f>
        <v>0</v>
      </c>
      <c r="AB14" s="16">
        <f>IF(AND(D14&lt;1490,D14&gt;=1475),예상골드획득량!$C$4,0)</f>
        <v>0</v>
      </c>
      <c r="AC14" s="16">
        <f>IF(AND(D14&lt;1475,D14&gt;=1460),예상골드획득량!$C$5,0)</f>
        <v>0</v>
      </c>
      <c r="AD14" s="16">
        <f>IF(AND(D14&lt;1460,D14&gt;=1445),예상골드획득량!$C$6,0)</f>
        <v>0</v>
      </c>
      <c r="AE14" s="16">
        <f>IF(AND(D14&lt;1445,D14&gt;=1430),예상골드획득량!$C$7,0)</f>
        <v>0</v>
      </c>
      <c r="AF14" s="16">
        <f>IF(AND(D14&lt;1430,D14&gt;=1415),예상골드획득량!$C$8,0)</f>
        <v>0</v>
      </c>
      <c r="AG14" s="16">
        <f>IF(AND(D14&lt;1415,D14&gt;=1370),예상골드획득량!$C$9,0)</f>
        <v>3534</v>
      </c>
      <c r="AH14" s="16">
        <f>IF(AND(D14&lt;1370,D14&gt;=1355),예상골드획득량!$C$10,0)</f>
        <v>0</v>
      </c>
      <c r="AI14" s="16">
        <f>IF(D14&lt;1355,예상골드획득량!$C$11,0)</f>
        <v>0</v>
      </c>
      <c r="AJ14" s="252">
        <f t="shared" si="0"/>
        <v>3534</v>
      </c>
      <c r="AK14" s="253">
        <f>COUNTIF(L14:R14,1)*캐릭터입력창!AA12+S14*캐릭터입력창!AB12+T14*캐릭터입력창!AC12+V14*캐릭터입력창!AD12+체크리스트!W14*캐릭터입력창!AE12+체크리스트!X14*캐릭터입력창!AF12+체크리스트!Y14*캐릭터입력창!AG12</f>
        <v>1100</v>
      </c>
    </row>
    <row r="15" spans="1:37" ht="15.95" customHeight="1">
      <c r="B15" s="23" t="str">
        <f>캐릭터입력창!A13</f>
        <v>차뮤트배럭5</v>
      </c>
      <c r="C15" s="24" t="str">
        <f>캐릭터입력창!B13</f>
        <v>워로드</v>
      </c>
      <c r="D15" s="30">
        <f>캐릭터입력창!C13</f>
        <v>1355</v>
      </c>
      <c r="E15" s="90"/>
      <c r="F15" s="91"/>
      <c r="G15" s="91"/>
      <c r="H15" s="91"/>
      <c r="I15" s="91"/>
      <c r="J15" s="91"/>
      <c r="K15" s="92"/>
      <c r="L15" s="90"/>
      <c r="M15" s="91"/>
      <c r="N15" s="91"/>
      <c r="O15" s="91"/>
      <c r="P15" s="91"/>
      <c r="Q15" s="91"/>
      <c r="R15" s="92"/>
      <c r="S15" s="93"/>
      <c r="T15" s="83"/>
      <c r="U15" s="94"/>
      <c r="V15" s="94"/>
      <c r="W15" s="95"/>
      <c r="X15" s="94"/>
      <c r="Y15" s="96"/>
      <c r="Z15" s="16"/>
      <c r="AA15" s="16">
        <f>IF(D15&gt;=1490,예상골드획득량!$C$3,0)</f>
        <v>0</v>
      </c>
      <c r="AB15" s="16">
        <f>IF(AND(D15&lt;1490,D15&gt;=1475),예상골드획득량!$C$4,0)</f>
        <v>0</v>
      </c>
      <c r="AC15" s="16">
        <f>IF(AND(D15&lt;1475,D15&gt;=1460),예상골드획득량!$C$5,0)</f>
        <v>0</v>
      </c>
      <c r="AD15" s="16">
        <f>IF(AND(D15&lt;1460,D15&gt;=1445),예상골드획득량!$C$6,0)</f>
        <v>0</v>
      </c>
      <c r="AE15" s="16">
        <f>IF(AND(D15&lt;1445,D15&gt;=1430),예상골드획득량!$C$7,0)</f>
        <v>0</v>
      </c>
      <c r="AF15" s="16">
        <f>IF(AND(D15&lt;1430,D15&gt;=1415),예상골드획득량!$C$8,0)</f>
        <v>0</v>
      </c>
      <c r="AG15" s="16">
        <f>IF(AND(D15&lt;1415,D15&gt;=1370),예상골드획득량!$C$9,0)</f>
        <v>0</v>
      </c>
      <c r="AH15" s="16">
        <f>IF(AND(D15&lt;1370,D15&gt;=1355),예상골드획득량!$C$10,0)</f>
        <v>2334</v>
      </c>
      <c r="AI15" s="16">
        <f>IF(D15&lt;1355,예상골드획득량!$C$11,0)</f>
        <v>0</v>
      </c>
      <c r="AJ15" s="252">
        <f t="shared" si="0"/>
        <v>2334</v>
      </c>
      <c r="AK15" s="253">
        <f>COUNTIF(L15:R15,1)*캐릭터입력창!AA13+S15*캐릭터입력창!AB13+T15*캐릭터입력창!AC13+V15*캐릭터입력창!AD13+체크리스트!W15*캐릭터입력창!AE13+체크리스트!X15*캐릭터입력창!AF13+체크리스트!Y15*캐릭터입력창!AG13</f>
        <v>0</v>
      </c>
    </row>
    <row r="16" spans="1:37" ht="15.95" customHeight="1" thickBot="1">
      <c r="B16" s="25" t="str">
        <f>캐릭터입력창!A14</f>
        <v>차뮤트배럭6</v>
      </c>
      <c r="C16" s="26" t="str">
        <f>캐릭터입력창!B14</f>
        <v>워로드</v>
      </c>
      <c r="D16" s="31">
        <f>캐릭터입력창!C14</f>
        <v>1355</v>
      </c>
      <c r="E16" s="97"/>
      <c r="F16" s="98"/>
      <c r="G16" s="98"/>
      <c r="H16" s="98"/>
      <c r="I16" s="98"/>
      <c r="J16" s="98"/>
      <c r="K16" s="99"/>
      <c r="L16" s="100"/>
      <c r="M16" s="101"/>
      <c r="N16" s="101"/>
      <c r="O16" s="101"/>
      <c r="P16" s="101"/>
      <c r="Q16" s="101"/>
      <c r="R16" s="102"/>
      <c r="S16" s="103"/>
      <c r="T16" s="104"/>
      <c r="U16" s="105"/>
      <c r="V16" s="105"/>
      <c r="W16" s="106"/>
      <c r="X16" s="105"/>
      <c r="Y16" s="107"/>
      <c r="Z16" s="16"/>
      <c r="AA16" s="16">
        <f>IF(D16&gt;=1490,예상골드획득량!$C$3,0)</f>
        <v>0</v>
      </c>
      <c r="AB16" s="16">
        <f>IF(AND(D16&lt;1490,D16&gt;=1475),예상골드획득량!$C$4,0)</f>
        <v>0</v>
      </c>
      <c r="AC16" s="16">
        <f>IF(AND(D16&lt;1475,D16&gt;=1460),예상골드획득량!$C$5,0)</f>
        <v>0</v>
      </c>
      <c r="AD16" s="16">
        <f>IF(AND(D16&lt;1460,D16&gt;=1445),예상골드획득량!$C$6,0)</f>
        <v>0</v>
      </c>
      <c r="AE16" s="16">
        <f>IF(AND(D16&lt;1445,D16&gt;=1430),예상골드획득량!$C$7,0)</f>
        <v>0</v>
      </c>
      <c r="AF16" s="16">
        <f>IF(AND(D16&lt;1430,D16&gt;=1415),예상골드획득량!$C$8,0)</f>
        <v>0</v>
      </c>
      <c r="AG16" s="16">
        <f>IF(AND(D16&lt;1415,D16&gt;=1370),예상골드획득량!$C$9,0)</f>
        <v>0</v>
      </c>
      <c r="AH16" s="16">
        <f>IF(AND(D16&lt;1370,D16&gt;=1355),예상골드획득량!$C$10,0)</f>
        <v>2334</v>
      </c>
      <c r="AI16" s="16">
        <f>IF(D16&lt;1355,예상골드획득량!$C$11,0)</f>
        <v>0</v>
      </c>
      <c r="AJ16" s="252">
        <f t="shared" si="0"/>
        <v>2334</v>
      </c>
      <c r="AK16" s="253">
        <f>COUNTIF(L16:R16,1)*캐릭터입력창!AA14+S16*캐릭터입력창!AB14+T16*캐릭터입력창!AC14+V16*캐릭터입력창!AD14+체크리스트!W16*캐릭터입력창!AE14+체크리스트!X16*캐릭터입력창!AF14+체크리스트!Y16*캐릭터입력창!AG14</f>
        <v>0</v>
      </c>
    </row>
    <row r="17" spans="2:37" ht="15.95" customHeight="1">
      <c r="B17" s="21" t="str">
        <f>캐릭터입력창!A15</f>
        <v>차뮤트배럭7</v>
      </c>
      <c r="C17" s="22" t="str">
        <f>캐릭터입력창!B15</f>
        <v>워로드</v>
      </c>
      <c r="D17" s="29">
        <f>캐릭터입력창!C15</f>
        <v>1370</v>
      </c>
      <c r="E17" s="38"/>
      <c r="F17" s="135"/>
      <c r="G17" s="135"/>
      <c r="H17" s="135"/>
      <c r="I17" s="135"/>
      <c r="J17" s="135"/>
      <c r="K17" s="136"/>
      <c r="L17" s="38"/>
      <c r="M17" s="135"/>
      <c r="N17" s="135"/>
      <c r="O17" s="135"/>
      <c r="P17" s="135"/>
      <c r="Q17" s="135"/>
      <c r="R17" s="136"/>
      <c r="S17" s="37"/>
      <c r="T17" s="38"/>
      <c r="U17" s="39"/>
      <c r="V17" s="39"/>
      <c r="W17" s="40"/>
      <c r="X17" s="39"/>
      <c r="Y17" s="41"/>
      <c r="Z17" s="16"/>
      <c r="AA17" s="16">
        <f>IF(D17&gt;=1490,예상골드획득량!$C$3,0)</f>
        <v>0</v>
      </c>
      <c r="AB17" s="16">
        <f>IF(AND(D17&lt;1490,D17&gt;=1475),예상골드획득량!$C$4,0)</f>
        <v>0</v>
      </c>
      <c r="AC17" s="16">
        <f>IF(AND(D17&lt;1475,D17&gt;=1460),예상골드획득량!$C$5,0)</f>
        <v>0</v>
      </c>
      <c r="AD17" s="16">
        <f>IF(AND(D17&lt;1460,D17&gt;=1445),예상골드획득량!$C$6,0)</f>
        <v>0</v>
      </c>
      <c r="AE17" s="16">
        <f>IF(AND(D17&lt;1445,D17&gt;=1430),예상골드획득량!$C$7,0)</f>
        <v>0</v>
      </c>
      <c r="AF17" s="16">
        <f>IF(AND(D17&lt;1430,D17&gt;=1415),예상골드획득량!$C$8,0)</f>
        <v>0</v>
      </c>
      <c r="AG17" s="16">
        <f>IF(AND(D17&lt;1415,D17&gt;=1370),예상골드획득량!$C$9,0)</f>
        <v>3534</v>
      </c>
      <c r="AH17" s="16">
        <f>IF(AND(D17&lt;1370,D17&gt;=1355),예상골드획득량!$C$10,0)</f>
        <v>0</v>
      </c>
      <c r="AI17" s="16">
        <f>IF(D17&lt;1355,예상골드획득량!$C$11,0)</f>
        <v>0</v>
      </c>
      <c r="AJ17" s="252">
        <f t="shared" si="0"/>
        <v>3534</v>
      </c>
      <c r="AK17" s="253">
        <f>COUNTIF(L17:R17,1)*캐릭터입력창!AA15+S17*캐릭터입력창!AB15+T17*캐릭터입력창!AC15+V17*캐릭터입력창!AD15+체크리스트!W17*캐릭터입력창!AE15+체크리스트!X17*캐릭터입력창!AF15+체크리스트!Y17*캐릭터입력창!AG15</f>
        <v>0</v>
      </c>
    </row>
    <row r="18" spans="2:37" ht="15.95" customHeight="1">
      <c r="B18" s="23" t="str">
        <f>캐릭터입력창!A16</f>
        <v>차뮤트배럭8</v>
      </c>
      <c r="C18" s="24" t="str">
        <f>캐릭터입력창!B16</f>
        <v>워로드</v>
      </c>
      <c r="D18" s="30">
        <f>캐릭터입력창!C16</f>
        <v>1370</v>
      </c>
      <c r="E18" s="42"/>
      <c r="F18" s="43"/>
      <c r="G18" s="43"/>
      <c r="H18" s="43"/>
      <c r="I18" s="43"/>
      <c r="J18" s="43"/>
      <c r="K18" s="44"/>
      <c r="L18" s="42"/>
      <c r="M18" s="43"/>
      <c r="N18" s="43"/>
      <c r="O18" s="43"/>
      <c r="P18" s="43"/>
      <c r="Q18" s="43"/>
      <c r="R18" s="44"/>
      <c r="S18" s="45"/>
      <c r="T18" s="36"/>
      <c r="U18" s="46"/>
      <c r="V18" s="46"/>
      <c r="W18" s="47"/>
      <c r="X18" s="46"/>
      <c r="Y18" s="48"/>
      <c r="Z18" s="16"/>
      <c r="AA18" s="16">
        <f>IF(D18&gt;=1490,예상골드획득량!$C$3,0)</f>
        <v>0</v>
      </c>
      <c r="AB18" s="16">
        <f>IF(AND(D18&lt;1490,D18&gt;=1475),예상골드획득량!$C$4,0)</f>
        <v>0</v>
      </c>
      <c r="AC18" s="16">
        <f>IF(AND(D18&lt;1475,D18&gt;=1460),예상골드획득량!$C$5,0)</f>
        <v>0</v>
      </c>
      <c r="AD18" s="16">
        <f>IF(AND(D18&lt;1460,D18&gt;=1445),예상골드획득량!$C$6,0)</f>
        <v>0</v>
      </c>
      <c r="AE18" s="16">
        <f>IF(AND(D18&lt;1445,D18&gt;=1430),예상골드획득량!$C$7,0)</f>
        <v>0</v>
      </c>
      <c r="AF18" s="16">
        <f>IF(AND(D18&lt;1430,D18&gt;=1415),예상골드획득량!$C$8,0)</f>
        <v>0</v>
      </c>
      <c r="AG18" s="16">
        <f>IF(AND(D18&lt;1415,D18&gt;=1370),예상골드획득량!$C$9,0)</f>
        <v>3534</v>
      </c>
      <c r="AH18" s="16">
        <f>IF(AND(D18&lt;1370,D18&gt;=1355),예상골드획득량!$C$10,0)</f>
        <v>0</v>
      </c>
      <c r="AI18" s="16">
        <f>IF(D18&lt;1355,예상골드획득량!$C$11,0)</f>
        <v>0</v>
      </c>
      <c r="AJ18" s="252">
        <f t="shared" si="0"/>
        <v>3534</v>
      </c>
      <c r="AK18" s="253">
        <f>COUNTIF(L18:R18,1)*캐릭터입력창!AA16+S18*캐릭터입력창!AB16+T18*캐릭터입력창!AC16+V18*캐릭터입력창!AD16+체크리스트!W18*캐릭터입력창!AE16+체크리스트!X18*캐릭터입력창!AF16+체크리스트!Y18*캐릭터입력창!AG16</f>
        <v>0</v>
      </c>
    </row>
    <row r="19" spans="2:37" ht="15.95" customHeight="1">
      <c r="B19" s="23" t="str">
        <f>캐릭터입력창!A17</f>
        <v>차뮤트창고배럭캐릭</v>
      </c>
      <c r="C19" s="24" t="str">
        <f>캐릭터입력창!B17</f>
        <v>워로드</v>
      </c>
      <c r="D19" s="30">
        <f>캐릭터입력창!C17</f>
        <v>1370</v>
      </c>
      <c r="E19" s="42"/>
      <c r="F19" s="43"/>
      <c r="G19" s="43"/>
      <c r="H19" s="43"/>
      <c r="I19" s="43"/>
      <c r="J19" s="43"/>
      <c r="K19" s="44"/>
      <c r="L19" s="42"/>
      <c r="M19" s="43"/>
      <c r="N19" s="43"/>
      <c r="O19" s="43"/>
      <c r="P19" s="43"/>
      <c r="Q19" s="43"/>
      <c r="R19" s="44"/>
      <c r="S19" s="45"/>
      <c r="T19" s="36"/>
      <c r="U19" s="46"/>
      <c r="V19" s="46"/>
      <c r="W19" s="47"/>
      <c r="X19" s="46"/>
      <c r="Y19" s="48"/>
      <c r="Z19" s="16"/>
      <c r="AA19" s="16">
        <f>IF(D19&gt;=1490,예상골드획득량!$C$3,0)</f>
        <v>0</v>
      </c>
      <c r="AB19" s="16">
        <f>IF(AND(D19&lt;1490,D19&gt;=1475),예상골드획득량!$C$4,0)</f>
        <v>0</v>
      </c>
      <c r="AC19" s="16">
        <f>IF(AND(D19&lt;1475,D19&gt;=1460),예상골드획득량!$C$5,0)</f>
        <v>0</v>
      </c>
      <c r="AD19" s="16">
        <f>IF(AND(D19&lt;1460,D19&gt;=1445),예상골드획득량!$C$6,0)</f>
        <v>0</v>
      </c>
      <c r="AE19" s="16">
        <f>IF(AND(D19&lt;1445,D19&gt;=1430),예상골드획득량!$C$7,0)</f>
        <v>0</v>
      </c>
      <c r="AF19" s="16">
        <f>IF(AND(D19&lt;1430,D19&gt;=1415),예상골드획득량!$C$8,0)</f>
        <v>0</v>
      </c>
      <c r="AG19" s="16">
        <f>IF(AND(D19&lt;1415,D19&gt;=1370),예상골드획득량!$C$9,0)</f>
        <v>3534</v>
      </c>
      <c r="AH19" s="16">
        <f>IF(AND(D19&lt;1370,D19&gt;=1355),예상골드획득량!$C$10,0)</f>
        <v>0</v>
      </c>
      <c r="AI19" s="16">
        <f>IF(D19&lt;1355,예상골드획득량!$C$11,0)</f>
        <v>0</v>
      </c>
      <c r="AJ19" s="252">
        <f t="shared" si="0"/>
        <v>3534</v>
      </c>
      <c r="AK19" s="253">
        <f>COUNTIF(L19:R19,1)*캐릭터입력창!AA17+S19*캐릭터입력창!AB17+T19*캐릭터입력창!AC17+V19*캐릭터입력창!AD17+체크리스트!W19*캐릭터입력창!AE17+체크리스트!X19*캐릭터입력창!AF17+체크리스트!Y19*캐릭터입력창!AG17</f>
        <v>0</v>
      </c>
    </row>
    <row r="20" spans="2:37" ht="15.95" customHeight="1">
      <c r="B20" s="23" t="str">
        <f>캐릭터입력창!A18</f>
        <v>차뮤트배럭10</v>
      </c>
      <c r="C20" s="24" t="str">
        <f>캐릭터입력창!B18</f>
        <v>워로드</v>
      </c>
      <c r="D20" s="30">
        <f>캐릭터입력창!C18</f>
        <v>1370</v>
      </c>
      <c r="E20" s="42"/>
      <c r="F20" s="43"/>
      <c r="G20" s="43"/>
      <c r="H20" s="43"/>
      <c r="I20" s="43"/>
      <c r="J20" s="43"/>
      <c r="K20" s="44"/>
      <c r="L20" s="42"/>
      <c r="M20" s="43"/>
      <c r="N20" s="43"/>
      <c r="O20" s="43"/>
      <c r="P20" s="43"/>
      <c r="Q20" s="43"/>
      <c r="R20" s="44"/>
      <c r="S20" s="45"/>
      <c r="T20" s="36"/>
      <c r="U20" s="46"/>
      <c r="V20" s="46"/>
      <c r="W20" s="47"/>
      <c r="X20" s="46"/>
      <c r="Y20" s="48"/>
      <c r="Z20" s="16"/>
      <c r="AA20" s="16">
        <f>IF(D20&gt;=1490,예상골드획득량!$C$3,0)</f>
        <v>0</v>
      </c>
      <c r="AB20" s="16">
        <f>IF(AND(D20&lt;1490,D20&gt;=1475),예상골드획득량!$C$4,0)</f>
        <v>0</v>
      </c>
      <c r="AC20" s="16">
        <f>IF(AND(D20&lt;1475,D20&gt;=1460),예상골드획득량!$C$5,0)</f>
        <v>0</v>
      </c>
      <c r="AD20" s="16">
        <f>IF(AND(D20&lt;1460,D20&gt;=1445),예상골드획득량!$C$6,0)</f>
        <v>0</v>
      </c>
      <c r="AE20" s="16">
        <f>IF(AND(D20&lt;1445,D20&gt;=1430),예상골드획득량!$C$7,0)</f>
        <v>0</v>
      </c>
      <c r="AF20" s="16">
        <f>IF(AND(D20&lt;1430,D20&gt;=1415),예상골드획득량!$C$8,0)</f>
        <v>0</v>
      </c>
      <c r="AG20" s="16">
        <f>IF(AND(D20&lt;1415,D20&gt;=1370),예상골드획득량!$C$9,0)</f>
        <v>3534</v>
      </c>
      <c r="AH20" s="16">
        <f>IF(AND(D20&lt;1370,D20&gt;=1355),예상골드획득량!$C$10,0)</f>
        <v>0</v>
      </c>
      <c r="AI20" s="16">
        <f>IF(D20&lt;1355,예상골드획득량!$C$11,0)</f>
        <v>0</v>
      </c>
      <c r="AJ20" s="252">
        <f t="shared" si="0"/>
        <v>3534</v>
      </c>
      <c r="AK20" s="253">
        <f>COUNTIF(L20:R20,1)*캐릭터입력창!AA18+S20*캐릭터입력창!AB18+T20*캐릭터입력창!AC18+V20*캐릭터입력창!AD18+체크리스트!W20*캐릭터입력창!AE18+체크리스트!X20*캐릭터입력창!AF18+체크리스트!Y20*캐릭터입력창!AG18</f>
        <v>0</v>
      </c>
    </row>
    <row r="21" spans="2:37" ht="15.95" customHeight="1" thickBot="1">
      <c r="B21" s="25" t="str">
        <f>캐릭터입력창!A19</f>
        <v>귀여운요정이</v>
      </c>
      <c r="C21" s="26" t="str">
        <f>캐릭터입력창!B19</f>
        <v>바드</v>
      </c>
      <c r="D21" s="31">
        <f>캐릭터입력창!C19</f>
        <v>1440</v>
      </c>
      <c r="E21" s="49"/>
      <c r="F21" s="50"/>
      <c r="G21" s="50"/>
      <c r="H21" s="50"/>
      <c r="I21" s="50"/>
      <c r="J21" s="50"/>
      <c r="K21" s="51"/>
      <c r="L21" s="49">
        <v>1</v>
      </c>
      <c r="M21" s="50"/>
      <c r="N21" s="50"/>
      <c r="O21" s="50"/>
      <c r="P21" s="50"/>
      <c r="Q21" s="50"/>
      <c r="R21" s="51"/>
      <c r="S21" s="52"/>
      <c r="T21" s="53">
        <v>1</v>
      </c>
      <c r="U21" s="54"/>
      <c r="V21" s="54">
        <v>1</v>
      </c>
      <c r="W21" s="55"/>
      <c r="X21" s="54"/>
      <c r="Y21" s="56"/>
      <c r="Z21" s="16"/>
      <c r="AA21" s="16">
        <f>IF(D21&gt;=1490,예상골드획득량!$C$3,0)</f>
        <v>0</v>
      </c>
      <c r="AB21" s="16">
        <f>IF(AND(D21&lt;1490,D21&gt;=1475),예상골드획득량!$C$4,0)</f>
        <v>0</v>
      </c>
      <c r="AC21" s="16">
        <f>IF(AND(D21&lt;1475,D21&gt;=1460),예상골드획득량!$C$5,0)</f>
        <v>0</v>
      </c>
      <c r="AD21" s="16">
        <f>IF(AND(D21&lt;1460,D21&gt;=1445),예상골드획득량!$C$6,0)</f>
        <v>0</v>
      </c>
      <c r="AE21" s="16">
        <f>IF(AND(D21&lt;1445,D21&gt;=1430),예상골드획득량!$C$7,0)</f>
        <v>15042</v>
      </c>
      <c r="AF21" s="16">
        <f>IF(AND(D21&lt;1430,D21&gt;=1415),예상골드획득량!$C$8,0)</f>
        <v>0</v>
      </c>
      <c r="AG21" s="16">
        <f>IF(AND(D21&lt;1415,D21&gt;=1370),예상골드획득량!$C$9,0)</f>
        <v>0</v>
      </c>
      <c r="AH21" s="16">
        <f>IF(AND(D21&lt;1370,D21&gt;=1355),예상골드획득량!$C$10,0)</f>
        <v>0</v>
      </c>
      <c r="AI21" s="16">
        <f>IF(D21&lt;1355,예상골드획득량!$C$11,0)</f>
        <v>0</v>
      </c>
      <c r="AJ21" s="252">
        <f t="shared" si="0"/>
        <v>15042</v>
      </c>
      <c r="AK21" s="253">
        <f>COUNTIF(L21:R21,1)*캐릭터입력창!AA19+S21*캐릭터입력창!AB19+T21*캐릭터입력창!AC19+V21*캐릭터입력창!AD19+체크리스트!W21*캐릭터입력창!AE19+체크리스트!X21*캐릭터입력창!AF19+체크리스트!Y21*캐릭터입력창!AG19</f>
        <v>7206</v>
      </c>
    </row>
    <row r="22" spans="2:37" ht="15.95" customHeight="1">
      <c r="B22" s="21" t="str">
        <f>캐릭터입력창!A20</f>
        <v>차뮤트배럭9</v>
      </c>
      <c r="C22" s="22" t="str">
        <f>캐릭터입력창!B20</f>
        <v>워로드</v>
      </c>
      <c r="D22" s="29">
        <f>캐릭터입력창!C20</f>
        <v>1445</v>
      </c>
      <c r="E22" s="121"/>
      <c r="F22" s="122"/>
      <c r="G22" s="122"/>
      <c r="H22" s="122"/>
      <c r="I22" s="122"/>
      <c r="J22" s="122"/>
      <c r="K22" s="123"/>
      <c r="L22" s="131"/>
      <c r="M22" s="137"/>
      <c r="N22" s="137"/>
      <c r="O22" s="137"/>
      <c r="P22" s="137"/>
      <c r="Q22" s="137"/>
      <c r="R22" s="138"/>
      <c r="S22" s="124"/>
      <c r="T22" s="121"/>
      <c r="U22" s="125"/>
      <c r="V22" s="125"/>
      <c r="W22" s="126"/>
      <c r="X22" s="125"/>
      <c r="Y22" s="127"/>
      <c r="Z22" s="16"/>
      <c r="AA22" s="16">
        <f>IF(D22&gt;=1490,예상골드획득량!$C$3,0)</f>
        <v>0</v>
      </c>
      <c r="AB22" s="16">
        <f>IF(AND(D22&lt;1490,D22&gt;=1475),예상골드획득량!$C$4,0)</f>
        <v>0</v>
      </c>
      <c r="AC22" s="16">
        <f>IF(AND(D22&lt;1475,D22&gt;=1460),예상골드획득량!$C$5,0)</f>
        <v>0</v>
      </c>
      <c r="AD22" s="16">
        <f>IF(AND(D22&lt;1460,D22&gt;=1445),예상골드획득량!$C$6,0)</f>
        <v>16242</v>
      </c>
      <c r="AE22" s="16">
        <f>IF(AND(D22&lt;1445,D22&gt;=1430),예상골드획득량!$C$7,0)</f>
        <v>0</v>
      </c>
      <c r="AF22" s="16">
        <f>IF(AND(D22&lt;1430,D22&gt;=1415),예상골드획득량!$C$8,0)</f>
        <v>0</v>
      </c>
      <c r="AG22" s="16">
        <f>IF(AND(D22&lt;1415,D22&gt;=1370),예상골드획득량!$C$9,0)</f>
        <v>0</v>
      </c>
      <c r="AH22" s="16">
        <f>IF(AND(D22&lt;1370,D22&gt;=1355),예상골드획득량!$C$10,0)</f>
        <v>0</v>
      </c>
      <c r="AI22" s="16">
        <f>IF(D22&lt;1355,예상골드획득량!$C$11,0)</f>
        <v>0</v>
      </c>
      <c r="AJ22" s="252">
        <f t="shared" si="0"/>
        <v>16242</v>
      </c>
      <c r="AK22" s="253">
        <f>COUNTIF(L22:R22,1)*캐릭터입력창!AA20+S22*캐릭터입력창!AB20+T22*캐릭터입력창!AC20+V22*캐릭터입력창!AD20+체크리스트!W22*캐릭터입력창!AE20+체크리스트!X22*캐릭터입력창!AF20+체크리스트!Y22*캐릭터입력창!AG20</f>
        <v>0</v>
      </c>
    </row>
    <row r="23" spans="2:37" ht="15.95" customHeight="1">
      <c r="B23" s="23" t="str">
        <f>캐릭터입력창!A21</f>
        <v>차뮤트배럭12</v>
      </c>
      <c r="C23" s="24" t="str">
        <f>캐릭터입력창!B21</f>
        <v>워로드</v>
      </c>
      <c r="D23" s="30">
        <f>캐릭터입력창!C21</f>
        <v>1355</v>
      </c>
      <c r="E23" s="128"/>
      <c r="F23" s="129"/>
      <c r="G23" s="129"/>
      <c r="H23" s="129"/>
      <c r="I23" s="129"/>
      <c r="J23" s="129"/>
      <c r="K23" s="130"/>
      <c r="L23" s="128"/>
      <c r="M23" s="129"/>
      <c r="N23" s="129"/>
      <c r="O23" s="129"/>
      <c r="P23" s="129"/>
      <c r="Q23" s="129"/>
      <c r="R23" s="130"/>
      <c r="S23" s="139"/>
      <c r="T23" s="128"/>
      <c r="U23" s="140"/>
      <c r="V23" s="140"/>
      <c r="W23" s="141"/>
      <c r="X23" s="140"/>
      <c r="Y23" s="142"/>
      <c r="Z23" s="16"/>
      <c r="AA23" s="16">
        <f>IF(D23&gt;=1490,예상골드획득량!$C$3,0)</f>
        <v>0</v>
      </c>
      <c r="AB23" s="16">
        <f>IF(AND(D23&lt;1490,D23&gt;=1475),예상골드획득량!$C$4,0)</f>
        <v>0</v>
      </c>
      <c r="AC23" s="16">
        <f>IF(AND(D23&lt;1475,D23&gt;=1460),예상골드획득량!$C$5,0)</f>
        <v>0</v>
      </c>
      <c r="AD23" s="16">
        <f>IF(AND(D23&lt;1460,D23&gt;=1445),예상골드획득량!$C$6,0)</f>
        <v>0</v>
      </c>
      <c r="AE23" s="16">
        <f>IF(AND(D23&lt;1445,D23&gt;=1430),예상골드획득량!$C$7,0)</f>
        <v>0</v>
      </c>
      <c r="AF23" s="16">
        <f>IF(AND(D23&lt;1430,D23&gt;=1415),예상골드획득량!$C$8,0)</f>
        <v>0</v>
      </c>
      <c r="AG23" s="16">
        <f>IF(AND(D23&lt;1415,D23&gt;=1370),예상골드획득량!$C$9,0)</f>
        <v>0</v>
      </c>
      <c r="AH23" s="16">
        <f>IF(AND(D23&lt;1370,D23&gt;=1355),예상골드획득량!$C$10,0)</f>
        <v>2334</v>
      </c>
      <c r="AI23" s="16">
        <f>IF(D23&lt;1355,예상골드획득량!$C$11,0)</f>
        <v>0</v>
      </c>
      <c r="AJ23" s="252">
        <f t="shared" si="0"/>
        <v>2334</v>
      </c>
      <c r="AK23" s="253">
        <f>COUNTIF(L23:R23,1)*캐릭터입력창!AA21+S23*캐릭터입력창!AB21+T23*캐릭터입력창!AC21+V23*캐릭터입력창!AD21+체크리스트!W23*캐릭터입력창!AE21+체크리스트!X23*캐릭터입력창!AF21+체크리스트!Y23*캐릭터입력창!AG21</f>
        <v>0</v>
      </c>
    </row>
    <row r="24" spans="2:37" ht="15.95" customHeight="1">
      <c r="B24" s="23" t="str">
        <f>캐릭터입력창!A22</f>
        <v>차뮤트배럭13</v>
      </c>
      <c r="C24" s="24" t="str">
        <f>캐릭터입력창!B22</f>
        <v>워로드</v>
      </c>
      <c r="D24" s="30">
        <f>캐릭터입력창!C22</f>
        <v>1355</v>
      </c>
      <c r="E24" s="128"/>
      <c r="F24" s="129"/>
      <c r="G24" s="129"/>
      <c r="H24" s="129"/>
      <c r="I24" s="129"/>
      <c r="J24" s="129"/>
      <c r="K24" s="130"/>
      <c r="L24" s="128"/>
      <c r="M24" s="129"/>
      <c r="N24" s="129"/>
      <c r="O24" s="129"/>
      <c r="P24" s="129"/>
      <c r="Q24" s="129"/>
      <c r="R24" s="130"/>
      <c r="S24" s="139"/>
      <c r="T24" s="128"/>
      <c r="U24" s="140"/>
      <c r="V24" s="140"/>
      <c r="W24" s="141"/>
      <c r="X24" s="140"/>
      <c r="Y24" s="142"/>
      <c r="Z24" s="16"/>
      <c r="AA24" s="16">
        <f>IF(D24&gt;=1490,예상골드획득량!$C$3,0)</f>
        <v>0</v>
      </c>
      <c r="AB24" s="16">
        <f>IF(AND(D24&lt;1490,D24&gt;=1475),예상골드획득량!$C$4,0)</f>
        <v>0</v>
      </c>
      <c r="AC24" s="16">
        <f>IF(AND(D24&lt;1475,D24&gt;=1460),예상골드획득량!$C$5,0)</f>
        <v>0</v>
      </c>
      <c r="AD24" s="16">
        <f>IF(AND(D24&lt;1460,D24&gt;=1445),예상골드획득량!$C$6,0)</f>
        <v>0</v>
      </c>
      <c r="AE24" s="16">
        <f>IF(AND(D24&lt;1445,D24&gt;=1430),예상골드획득량!$C$7,0)</f>
        <v>0</v>
      </c>
      <c r="AF24" s="16">
        <f>IF(AND(D24&lt;1430,D24&gt;=1415),예상골드획득량!$C$8,0)</f>
        <v>0</v>
      </c>
      <c r="AG24" s="16">
        <f>IF(AND(D24&lt;1415,D24&gt;=1370),예상골드획득량!$C$9,0)</f>
        <v>0</v>
      </c>
      <c r="AH24" s="16">
        <f>IF(AND(D24&lt;1370,D24&gt;=1355),예상골드획득량!$C$10,0)</f>
        <v>2334</v>
      </c>
      <c r="AI24" s="16">
        <f>IF(D24&lt;1355,예상골드획득량!$C$11,0)</f>
        <v>0</v>
      </c>
      <c r="AJ24" s="252">
        <f t="shared" si="0"/>
        <v>2334</v>
      </c>
      <c r="AK24" s="253">
        <f>COUNTIF(L24:R24,1)*캐릭터입력창!AA22+S24*캐릭터입력창!AB22+T24*캐릭터입력창!AC22+V24*캐릭터입력창!AD22+체크리스트!W24*캐릭터입력창!AE22+체크리스트!X24*캐릭터입력창!AF22+체크리스트!Y24*캐릭터입력창!AG22</f>
        <v>0</v>
      </c>
    </row>
    <row r="25" spans="2:37" ht="15.95" customHeight="1">
      <c r="B25" s="23" t="str">
        <f>캐릭터입력창!A23</f>
        <v>차뮤트배럭14</v>
      </c>
      <c r="C25" s="24" t="str">
        <f>캐릭터입력창!B23</f>
        <v>워로드</v>
      </c>
      <c r="D25" s="30">
        <f>캐릭터입력창!C23</f>
        <v>1355</v>
      </c>
      <c r="E25" s="128"/>
      <c r="F25" s="129"/>
      <c r="G25" s="129"/>
      <c r="H25" s="129"/>
      <c r="I25" s="129"/>
      <c r="J25" s="129"/>
      <c r="K25" s="130"/>
      <c r="L25" s="128"/>
      <c r="M25" s="129"/>
      <c r="N25" s="129"/>
      <c r="O25" s="129"/>
      <c r="P25" s="129"/>
      <c r="Q25" s="129"/>
      <c r="R25" s="130"/>
      <c r="S25" s="139"/>
      <c r="T25" s="128"/>
      <c r="U25" s="140"/>
      <c r="V25" s="140"/>
      <c r="W25" s="141"/>
      <c r="X25" s="140"/>
      <c r="Y25" s="142"/>
      <c r="Z25" s="16"/>
      <c r="AA25" s="16">
        <f>IF(D25&gt;=1490,예상골드획득량!$C$3,0)</f>
        <v>0</v>
      </c>
      <c r="AB25" s="16">
        <f>IF(AND(D25&lt;1490,D25&gt;=1475),예상골드획득량!$C$4,0)</f>
        <v>0</v>
      </c>
      <c r="AC25" s="16">
        <f>IF(AND(D25&lt;1475,D25&gt;=1460),예상골드획득량!$C$5,0)</f>
        <v>0</v>
      </c>
      <c r="AD25" s="16">
        <f>IF(AND(D25&lt;1460,D25&gt;=1445),예상골드획득량!$C$6,0)</f>
        <v>0</v>
      </c>
      <c r="AE25" s="16">
        <f>IF(AND(D25&lt;1445,D25&gt;=1430),예상골드획득량!$C$7,0)</f>
        <v>0</v>
      </c>
      <c r="AF25" s="16">
        <f>IF(AND(D25&lt;1430,D25&gt;=1415),예상골드획득량!$C$8,0)</f>
        <v>0</v>
      </c>
      <c r="AG25" s="16">
        <f>IF(AND(D25&lt;1415,D25&gt;=1370),예상골드획득량!$C$9,0)</f>
        <v>0</v>
      </c>
      <c r="AH25" s="16">
        <f>IF(AND(D25&lt;1370,D25&gt;=1355),예상골드획득량!$C$10,0)</f>
        <v>2334</v>
      </c>
      <c r="AI25" s="16">
        <f>IF(D25&lt;1355,예상골드획득량!$C$11,0)</f>
        <v>0</v>
      </c>
      <c r="AJ25" s="252">
        <f t="shared" si="0"/>
        <v>2334</v>
      </c>
      <c r="AK25" s="253">
        <f>COUNTIF(L25:R25,1)*캐릭터입력창!AA23+S25*캐릭터입력창!AB23+T25*캐릭터입력창!AC23+V25*캐릭터입력창!AD23+체크리스트!W25*캐릭터입력창!AE23+체크리스트!X25*캐릭터입력창!AF23+체크리스트!Y25*캐릭터입력창!AG23</f>
        <v>0</v>
      </c>
    </row>
    <row r="26" spans="2:37" ht="15.95" customHeight="1" thickBot="1">
      <c r="B26" s="25" t="str">
        <f>캐릭터입력창!A24</f>
        <v>차뮤트배럭15</v>
      </c>
      <c r="C26" s="26" t="str">
        <f>캐릭터입력창!B24</f>
        <v>워로드</v>
      </c>
      <c r="D26" s="31">
        <f>캐릭터입력창!C24</f>
        <v>1355</v>
      </c>
      <c r="E26" s="132"/>
      <c r="F26" s="133"/>
      <c r="G26" s="133"/>
      <c r="H26" s="133"/>
      <c r="I26" s="133"/>
      <c r="J26" s="133"/>
      <c r="K26" s="134"/>
      <c r="L26" s="143"/>
      <c r="M26" s="144"/>
      <c r="N26" s="144"/>
      <c r="O26" s="144"/>
      <c r="P26" s="144"/>
      <c r="Q26" s="144"/>
      <c r="R26" s="145"/>
      <c r="S26" s="146"/>
      <c r="T26" s="132"/>
      <c r="U26" s="147"/>
      <c r="V26" s="147"/>
      <c r="W26" s="148"/>
      <c r="X26" s="147"/>
      <c r="Y26" s="149"/>
      <c r="Z26" s="16"/>
      <c r="AA26" s="16">
        <f>IF(D26&gt;=1490,예상골드획득량!$C$3,0)</f>
        <v>0</v>
      </c>
      <c r="AB26" s="16">
        <f>IF(AND(D26&lt;1490,D26&gt;=1475),예상골드획득량!$C$4,0)</f>
        <v>0</v>
      </c>
      <c r="AC26" s="16">
        <f>IF(AND(D26&lt;1475,D26&gt;=1460),예상골드획득량!$C$5,0)</f>
        <v>0</v>
      </c>
      <c r="AD26" s="16">
        <f>IF(AND(D26&lt;1460,D26&gt;=1445),예상골드획득량!$C$6,0)</f>
        <v>0</v>
      </c>
      <c r="AE26" s="16">
        <f>IF(AND(D26&lt;1445,D26&gt;=1430),예상골드획득량!$C$7,0)</f>
        <v>0</v>
      </c>
      <c r="AF26" s="16">
        <f>IF(AND(D26&lt;1430,D26&gt;=1415),예상골드획득량!$C$8,0)</f>
        <v>0</v>
      </c>
      <c r="AG26" s="16">
        <f>IF(AND(D26&lt;1415,D26&gt;=1370),예상골드획득량!$C$9,0)</f>
        <v>0</v>
      </c>
      <c r="AH26" s="16">
        <f>IF(AND(D26&lt;1370,D26&gt;=1355),예상골드획득량!$C$10,0)</f>
        <v>2334</v>
      </c>
      <c r="AI26" s="16">
        <f>IF(D26&lt;1355,예상골드획득량!$C$11,0)</f>
        <v>0</v>
      </c>
      <c r="AJ26" s="252">
        <f t="shared" si="0"/>
        <v>2334</v>
      </c>
      <c r="AK26" s="253">
        <f>COUNTIF(L26:R26,1)*캐릭터입력창!AA24+S26*캐릭터입력창!AB24+T26*캐릭터입력창!AC24+V26*캐릭터입력창!AD24+체크리스트!W26*캐릭터입력창!AE24+체크리스트!X26*캐릭터입력창!AF24+체크리스트!Y26*캐릭터입력창!AG24</f>
        <v>0</v>
      </c>
    </row>
    <row r="27" spans="2:37" ht="15.95" customHeight="1">
      <c r="B27" s="21" t="str">
        <f>캐릭터입력창!A25</f>
        <v>차뮤트배럭16</v>
      </c>
      <c r="C27" s="22" t="str">
        <f>캐릭터입력창!B25</f>
        <v>워로드</v>
      </c>
      <c r="D27" s="29">
        <f>캐릭터입력창!C25</f>
        <v>1355</v>
      </c>
      <c r="E27" s="108"/>
      <c r="F27" s="109"/>
      <c r="G27" s="109"/>
      <c r="H27" s="109"/>
      <c r="I27" s="109"/>
      <c r="J27" s="109"/>
      <c r="K27" s="110"/>
      <c r="L27" s="108"/>
      <c r="M27" s="109"/>
      <c r="N27" s="109"/>
      <c r="O27" s="109"/>
      <c r="P27" s="109"/>
      <c r="Q27" s="109"/>
      <c r="R27" s="110"/>
      <c r="S27" s="111"/>
      <c r="T27" s="108"/>
      <c r="U27" s="112"/>
      <c r="V27" s="112"/>
      <c r="W27" s="113"/>
      <c r="X27" s="112"/>
      <c r="Y27" s="114"/>
      <c r="Z27" s="16"/>
      <c r="AA27" s="16">
        <f>IF(D27&gt;=1490,예상골드획득량!$C$3,0)</f>
        <v>0</v>
      </c>
      <c r="AB27" s="16">
        <f>IF(AND(D27&lt;1490,D27&gt;=1475),예상골드획득량!$C$4,0)</f>
        <v>0</v>
      </c>
      <c r="AC27" s="16">
        <f>IF(AND(D27&lt;1475,D27&gt;=1460),예상골드획득량!$C$5,0)</f>
        <v>0</v>
      </c>
      <c r="AD27" s="16">
        <f>IF(AND(D27&lt;1460,D27&gt;=1445),예상골드획득량!$C$6,0)</f>
        <v>0</v>
      </c>
      <c r="AE27" s="16">
        <f>IF(AND(D27&lt;1445,D27&gt;=1430),예상골드획득량!$C$7,0)</f>
        <v>0</v>
      </c>
      <c r="AF27" s="16">
        <f>IF(AND(D27&lt;1430,D27&gt;=1415),예상골드획득량!$C$8,0)</f>
        <v>0</v>
      </c>
      <c r="AG27" s="16">
        <f>IF(AND(D27&lt;1415,D27&gt;=1370),예상골드획득량!$C$9,0)</f>
        <v>0</v>
      </c>
      <c r="AH27" s="16">
        <f>IF(AND(D27&lt;1370,D27&gt;=1355),예상골드획득량!$C$10,0)</f>
        <v>2334</v>
      </c>
      <c r="AI27" s="16">
        <f>IF(D27&lt;1355,예상골드획득량!$C$11,0)</f>
        <v>0</v>
      </c>
      <c r="AJ27" s="252">
        <f t="shared" si="0"/>
        <v>2334</v>
      </c>
      <c r="AK27" s="253">
        <f>COUNTIF(L27:R27,1)*캐릭터입력창!AA25+S27*캐릭터입력창!AB25+T27*캐릭터입력창!AC25+V27*캐릭터입력창!AD25+체크리스트!W27*캐릭터입력창!AE25+체크리스트!X27*캐릭터입력창!AF25+체크리스트!Y27*캐릭터입력창!AG25</f>
        <v>0</v>
      </c>
    </row>
    <row r="28" spans="2:37" ht="15.95" customHeight="1">
      <c r="B28" s="23" t="str">
        <f>캐릭터입력창!A26</f>
        <v>차뮤트배럭17</v>
      </c>
      <c r="C28" s="24" t="str">
        <f>캐릭터입력창!B26</f>
        <v>워로드</v>
      </c>
      <c r="D28" s="30">
        <f>캐릭터입력창!C26</f>
        <v>1355</v>
      </c>
      <c r="E28" s="115"/>
      <c r="F28" s="116"/>
      <c r="G28" s="116"/>
      <c r="H28" s="116"/>
      <c r="I28" s="116"/>
      <c r="J28" s="116"/>
      <c r="K28" s="117"/>
      <c r="L28" s="115"/>
      <c r="M28" s="116"/>
      <c r="N28" s="116"/>
      <c r="O28" s="116"/>
      <c r="P28" s="116"/>
      <c r="Q28" s="116"/>
      <c r="R28" s="117"/>
      <c r="S28" s="164"/>
      <c r="T28" s="115"/>
      <c r="U28" s="165"/>
      <c r="V28" s="165"/>
      <c r="W28" s="166"/>
      <c r="X28" s="165"/>
      <c r="Y28" s="167"/>
      <c r="Z28" s="16"/>
      <c r="AA28" s="16">
        <f>IF(D28&gt;=1490,예상골드획득량!$C$3,0)</f>
        <v>0</v>
      </c>
      <c r="AB28" s="16">
        <f>IF(AND(D28&lt;1490,D28&gt;=1475),예상골드획득량!$C$4,0)</f>
        <v>0</v>
      </c>
      <c r="AC28" s="16">
        <f>IF(AND(D28&lt;1475,D28&gt;=1460),예상골드획득량!$C$5,0)</f>
        <v>0</v>
      </c>
      <c r="AD28" s="16">
        <f>IF(AND(D28&lt;1460,D28&gt;=1445),예상골드획득량!$C$6,0)</f>
        <v>0</v>
      </c>
      <c r="AE28" s="16">
        <f>IF(AND(D28&lt;1445,D28&gt;=1430),예상골드획득량!$C$7,0)</f>
        <v>0</v>
      </c>
      <c r="AF28" s="16">
        <f>IF(AND(D28&lt;1430,D28&gt;=1415),예상골드획득량!$C$8,0)</f>
        <v>0</v>
      </c>
      <c r="AG28" s="16">
        <f>IF(AND(D28&lt;1415,D28&gt;=1370),예상골드획득량!$C$9,0)</f>
        <v>0</v>
      </c>
      <c r="AH28" s="16">
        <f>IF(AND(D28&lt;1370,D28&gt;=1355),예상골드획득량!$C$10,0)</f>
        <v>2334</v>
      </c>
      <c r="AI28" s="16">
        <f>IF(D28&lt;1355,예상골드획득량!$C$11,0)</f>
        <v>0</v>
      </c>
      <c r="AJ28" s="252">
        <f t="shared" si="0"/>
        <v>2334</v>
      </c>
      <c r="AK28" s="253">
        <f>COUNTIF(L28:R28,1)*캐릭터입력창!AA26+S28*캐릭터입력창!AB26+T28*캐릭터입력창!AC26+V28*캐릭터입력창!AD26+체크리스트!W28*캐릭터입력창!AE26+체크리스트!X28*캐릭터입력창!AF26+체크리스트!Y28*캐릭터입력창!AG26</f>
        <v>0</v>
      </c>
    </row>
    <row r="29" spans="2:37" ht="15.95" customHeight="1">
      <c r="B29" s="23" t="str">
        <f>캐릭터입력창!A27</f>
        <v>차뮤트배럭18</v>
      </c>
      <c r="C29" s="24" t="str">
        <f>캐릭터입력창!B27</f>
        <v>워로드</v>
      </c>
      <c r="D29" s="30">
        <f>캐릭터입력창!C27</f>
        <v>1355</v>
      </c>
      <c r="E29" s="115"/>
      <c r="F29" s="116"/>
      <c r="G29" s="116"/>
      <c r="H29" s="116"/>
      <c r="I29" s="116"/>
      <c r="J29" s="116"/>
      <c r="K29" s="117"/>
      <c r="L29" s="115"/>
      <c r="M29" s="116"/>
      <c r="N29" s="116"/>
      <c r="O29" s="116"/>
      <c r="P29" s="116"/>
      <c r="Q29" s="116"/>
      <c r="R29" s="117"/>
      <c r="S29" s="164"/>
      <c r="T29" s="115"/>
      <c r="U29" s="165"/>
      <c r="V29" s="165"/>
      <c r="W29" s="166"/>
      <c r="X29" s="165"/>
      <c r="Y29" s="167"/>
      <c r="Z29" s="16"/>
      <c r="AA29" s="16">
        <f>IF(D29&gt;=1490,예상골드획득량!$C$3,0)</f>
        <v>0</v>
      </c>
      <c r="AB29" s="16">
        <f>IF(AND(D29&lt;1490,D29&gt;=1475),예상골드획득량!$C$4,0)</f>
        <v>0</v>
      </c>
      <c r="AC29" s="16">
        <f>IF(AND(D29&lt;1475,D29&gt;=1460),예상골드획득량!$C$5,0)</f>
        <v>0</v>
      </c>
      <c r="AD29" s="16">
        <f>IF(AND(D29&lt;1460,D29&gt;=1445),예상골드획득량!$C$6,0)</f>
        <v>0</v>
      </c>
      <c r="AE29" s="16">
        <f>IF(AND(D29&lt;1445,D29&gt;=1430),예상골드획득량!$C$7,0)</f>
        <v>0</v>
      </c>
      <c r="AF29" s="16">
        <f>IF(AND(D29&lt;1430,D29&gt;=1415),예상골드획득량!$C$8,0)</f>
        <v>0</v>
      </c>
      <c r="AG29" s="16">
        <f>IF(AND(D29&lt;1415,D29&gt;=1370),예상골드획득량!$C$9,0)</f>
        <v>0</v>
      </c>
      <c r="AH29" s="16">
        <f>IF(AND(D29&lt;1370,D29&gt;=1355),예상골드획득량!$C$10,0)</f>
        <v>2334</v>
      </c>
      <c r="AI29" s="16">
        <f>IF(D29&lt;1355,예상골드획득량!$C$11,0)</f>
        <v>0</v>
      </c>
      <c r="AJ29" s="252">
        <f t="shared" si="0"/>
        <v>2334</v>
      </c>
      <c r="AK29" s="253">
        <f>COUNTIF(L29:R29,1)*캐릭터입력창!AA27+S29*캐릭터입력창!AB27+T29*캐릭터입력창!AC27+V29*캐릭터입력창!AD27+체크리스트!W29*캐릭터입력창!AE27+체크리스트!X29*캐릭터입력창!AF27+체크리스트!Y29*캐릭터입력창!AG27</f>
        <v>0</v>
      </c>
    </row>
    <row r="30" spans="2:37" ht="15.95" customHeight="1">
      <c r="B30" s="23" t="str">
        <f>캐릭터입력창!A28</f>
        <v>차뮤트배럭19</v>
      </c>
      <c r="C30" s="24" t="str">
        <f>캐릭터입력창!B28</f>
        <v>워로드</v>
      </c>
      <c r="D30" s="30">
        <f>캐릭터입력창!C28</f>
        <v>1355</v>
      </c>
      <c r="E30" s="115"/>
      <c r="F30" s="116"/>
      <c r="G30" s="116"/>
      <c r="H30" s="116"/>
      <c r="I30" s="116"/>
      <c r="J30" s="116"/>
      <c r="K30" s="117"/>
      <c r="L30" s="115"/>
      <c r="M30" s="116"/>
      <c r="N30" s="116"/>
      <c r="O30" s="116"/>
      <c r="P30" s="116"/>
      <c r="Q30" s="116"/>
      <c r="R30" s="117"/>
      <c r="S30" s="164"/>
      <c r="T30" s="115"/>
      <c r="U30" s="165"/>
      <c r="V30" s="165"/>
      <c r="W30" s="166"/>
      <c r="X30" s="165"/>
      <c r="Y30" s="167"/>
      <c r="Z30" s="16"/>
      <c r="AA30" s="16">
        <f>IF(D30&gt;=1490,예상골드획득량!$C$3,0)</f>
        <v>0</v>
      </c>
      <c r="AB30" s="16">
        <f>IF(AND(D30&lt;1490,D30&gt;=1475),예상골드획득량!$C$4,0)</f>
        <v>0</v>
      </c>
      <c r="AC30" s="16">
        <f>IF(AND(D30&lt;1475,D30&gt;=1460),예상골드획득량!$C$5,0)</f>
        <v>0</v>
      </c>
      <c r="AD30" s="16">
        <f>IF(AND(D30&lt;1460,D30&gt;=1445),예상골드획득량!$C$6,0)</f>
        <v>0</v>
      </c>
      <c r="AE30" s="16">
        <f>IF(AND(D30&lt;1445,D30&gt;=1430),예상골드획득량!$C$7,0)</f>
        <v>0</v>
      </c>
      <c r="AF30" s="16">
        <f>IF(AND(D30&lt;1430,D30&gt;=1415),예상골드획득량!$C$8,0)</f>
        <v>0</v>
      </c>
      <c r="AG30" s="16">
        <f>IF(AND(D30&lt;1415,D30&gt;=1370),예상골드획득량!$C$9,0)</f>
        <v>0</v>
      </c>
      <c r="AH30" s="16">
        <f>IF(AND(D30&lt;1370,D30&gt;=1355),예상골드획득량!$C$10,0)</f>
        <v>2334</v>
      </c>
      <c r="AI30" s="16">
        <f>IF(D30&lt;1355,예상골드획득량!$C$11,0)</f>
        <v>0</v>
      </c>
      <c r="AJ30" s="252">
        <f t="shared" si="0"/>
        <v>2334</v>
      </c>
      <c r="AK30" s="253">
        <f>COUNTIF(L30:R30,1)*캐릭터입력창!AA28+S30*캐릭터입력창!AB28+T30*캐릭터입력창!AC28+V30*캐릭터입력창!AD28+체크리스트!W30*캐릭터입력창!AE28+체크리스트!X30*캐릭터입력창!AF28+체크리스트!Y30*캐릭터입력창!AG28</f>
        <v>0</v>
      </c>
    </row>
    <row r="31" spans="2:37" ht="15.95" customHeight="1" thickBot="1">
      <c r="B31" s="25">
        <f>캐릭터입력창!A29</f>
        <v>0</v>
      </c>
      <c r="C31" s="26">
        <f>캐릭터입력창!B29</f>
        <v>0</v>
      </c>
      <c r="D31" s="31">
        <f>캐릭터입력창!C29</f>
        <v>0</v>
      </c>
      <c r="E31" s="118"/>
      <c r="F31" s="119"/>
      <c r="G31" s="119"/>
      <c r="H31" s="119"/>
      <c r="I31" s="119"/>
      <c r="J31" s="119"/>
      <c r="K31" s="120"/>
      <c r="L31" s="118"/>
      <c r="M31" s="119"/>
      <c r="N31" s="119"/>
      <c r="O31" s="119"/>
      <c r="P31" s="119"/>
      <c r="Q31" s="119"/>
      <c r="R31" s="120"/>
      <c r="S31" s="168"/>
      <c r="T31" s="118"/>
      <c r="U31" s="169"/>
      <c r="V31" s="169"/>
      <c r="W31" s="170"/>
      <c r="X31" s="169"/>
      <c r="Y31" s="171"/>
      <c r="Z31" s="16"/>
      <c r="AA31" s="16">
        <f>IF(D31&gt;=1490,예상골드획득량!$C$3,0)</f>
        <v>0</v>
      </c>
      <c r="AB31" s="16">
        <f>IF(AND(D31&lt;1490,D31&gt;=1475),예상골드획득량!$C$4,0)</f>
        <v>0</v>
      </c>
      <c r="AC31" s="16">
        <f>IF(AND(D31&lt;1475,D31&gt;=1460),예상골드획득량!$C$5,0)</f>
        <v>0</v>
      </c>
      <c r="AD31" s="16">
        <f>IF(AND(D31&lt;1460,D31&gt;=1445),예상골드획득량!$C$6,0)</f>
        <v>0</v>
      </c>
      <c r="AE31" s="16">
        <f>IF(AND(D31&lt;1445,D31&gt;=1430),예상골드획득량!$C$7,0)</f>
        <v>0</v>
      </c>
      <c r="AF31" s="16">
        <f>IF(AND(D31&lt;1430,D31&gt;=1415),예상골드획득량!$C$8,0)</f>
        <v>0</v>
      </c>
      <c r="AG31" s="16">
        <f>IF(AND(D31&lt;1415,D31&gt;=1370),예상골드획득량!$C$9,0)</f>
        <v>0</v>
      </c>
      <c r="AH31" s="16">
        <f>IF(AND(D31&lt;1370,D31&gt;=1355),예상골드획득량!$C$10,0)</f>
        <v>0</v>
      </c>
      <c r="AI31" s="16">
        <f>IF(D31&lt;1355,예상골드획득량!$C$11,0)</f>
        <v>1200</v>
      </c>
      <c r="AJ31" s="252">
        <f t="shared" si="0"/>
        <v>0</v>
      </c>
      <c r="AK31" s="253">
        <f>COUNTIF(L31:R31,1)*캐릭터입력창!AA29+S31*캐릭터입력창!AB29+T31*캐릭터입력창!AC29+V31*캐릭터입력창!AD29+체크리스트!W31*캐릭터입력창!AE29+체크리스트!X31*캐릭터입력창!AF29+체크리스트!Y31*캐릭터입력창!AG29</f>
        <v>0</v>
      </c>
    </row>
    <row r="32" spans="2:37" ht="15.95" customHeight="1">
      <c r="B32" s="23">
        <f>캐릭터입력창!A30</f>
        <v>0</v>
      </c>
      <c r="C32" s="24">
        <f>캐릭터입력창!B30</f>
        <v>0</v>
      </c>
      <c r="D32" s="30">
        <f>캐릭터입력창!C30</f>
        <v>0</v>
      </c>
      <c r="E32" s="172"/>
      <c r="F32" s="173"/>
      <c r="G32" s="173"/>
      <c r="H32" s="173"/>
      <c r="I32" s="173"/>
      <c r="J32" s="173"/>
      <c r="K32" s="174"/>
      <c r="L32" s="172"/>
      <c r="M32" s="173"/>
      <c r="N32" s="173"/>
      <c r="O32" s="173"/>
      <c r="P32" s="173"/>
      <c r="Q32" s="173"/>
      <c r="R32" s="174"/>
      <c r="S32" s="175"/>
      <c r="T32" s="172"/>
      <c r="U32" s="176"/>
      <c r="V32" s="176"/>
      <c r="W32" s="177"/>
      <c r="X32" s="176"/>
      <c r="Y32" s="178"/>
      <c r="Z32" s="16"/>
      <c r="AA32" s="16">
        <f>IF(D32&gt;=1490,예상골드획득량!$C$3,0)</f>
        <v>0</v>
      </c>
      <c r="AB32" s="16">
        <f>IF(AND(D32&lt;1490,D32&gt;=1475),예상골드획득량!$C$4,0)</f>
        <v>0</v>
      </c>
      <c r="AC32" s="16">
        <f>IF(AND(D32&lt;1475,D32&gt;=1460),예상골드획득량!$C$5,0)</f>
        <v>0</v>
      </c>
      <c r="AD32" s="16">
        <f>IF(AND(D32&lt;1460,D32&gt;=1445),예상골드획득량!$C$6,0)</f>
        <v>0</v>
      </c>
      <c r="AE32" s="16">
        <f>IF(AND(D32&lt;1445,D32&gt;=1430),예상골드획득량!$C$7,0)</f>
        <v>0</v>
      </c>
      <c r="AF32" s="16">
        <f>IF(AND(D32&lt;1430,D32&gt;=1415),예상골드획득량!$C$8,0)</f>
        <v>0</v>
      </c>
      <c r="AG32" s="16">
        <f>IF(AND(D32&lt;1415,D32&gt;=1370),예상골드획득량!$C$9,0)</f>
        <v>0</v>
      </c>
      <c r="AH32" s="16">
        <f>IF(AND(D32&lt;1370,D32&gt;=1355),예상골드획득량!$C$10,0)</f>
        <v>0</v>
      </c>
      <c r="AI32" s="16">
        <f>IF(D32&lt;1355,예상골드획득량!$C$11,0)</f>
        <v>1200</v>
      </c>
      <c r="AJ32" s="252">
        <f t="shared" si="0"/>
        <v>0</v>
      </c>
      <c r="AK32" s="253">
        <f>COUNTIF(L32:R32,1)*캐릭터입력창!AA30+S32*캐릭터입력창!AB30+T32*캐릭터입력창!AC30+V32*캐릭터입력창!AD30+체크리스트!W32*캐릭터입력창!AE30+체크리스트!X32*캐릭터입력창!AF30+체크리스트!Y32*캐릭터입력창!AG30</f>
        <v>0</v>
      </c>
    </row>
    <row r="33" spans="2:37" ht="15.95" customHeight="1">
      <c r="B33" s="23">
        <f>캐릭터입력창!A31</f>
        <v>0</v>
      </c>
      <c r="C33" s="24">
        <f>캐릭터입력창!B31</f>
        <v>0</v>
      </c>
      <c r="D33" s="30">
        <f>캐릭터입력창!C31</f>
        <v>0</v>
      </c>
      <c r="E33" s="150"/>
      <c r="F33" s="151"/>
      <c r="G33" s="151"/>
      <c r="H33" s="151"/>
      <c r="I33" s="151"/>
      <c r="J33" s="151"/>
      <c r="K33" s="152"/>
      <c r="L33" s="150"/>
      <c r="M33" s="151"/>
      <c r="N33" s="151"/>
      <c r="O33" s="151"/>
      <c r="P33" s="151"/>
      <c r="Q33" s="151"/>
      <c r="R33" s="152"/>
      <c r="S33" s="153"/>
      <c r="T33" s="150"/>
      <c r="U33" s="154"/>
      <c r="V33" s="154"/>
      <c r="W33" s="155"/>
      <c r="X33" s="154"/>
      <c r="Y33" s="156"/>
      <c r="Z33" s="16"/>
      <c r="AA33" s="16">
        <f>IF(D33&gt;=1490,예상골드획득량!$C$3,0)</f>
        <v>0</v>
      </c>
      <c r="AB33" s="16">
        <f>IF(AND(D33&lt;1490,D33&gt;=1475),예상골드획득량!$C$4,0)</f>
        <v>0</v>
      </c>
      <c r="AC33" s="16">
        <f>IF(AND(D33&lt;1475,D33&gt;=1460),예상골드획득량!$C$5,0)</f>
        <v>0</v>
      </c>
      <c r="AD33" s="16">
        <f>IF(AND(D33&lt;1460,D33&gt;=1445),예상골드획득량!$C$6,0)</f>
        <v>0</v>
      </c>
      <c r="AE33" s="16">
        <f>IF(AND(D33&lt;1445,D33&gt;=1430),예상골드획득량!$C$7,0)</f>
        <v>0</v>
      </c>
      <c r="AF33" s="16">
        <f>IF(AND(D33&lt;1430,D33&gt;=1415),예상골드획득량!$C$8,0)</f>
        <v>0</v>
      </c>
      <c r="AG33" s="16">
        <f>IF(AND(D33&lt;1415,D33&gt;=1370),예상골드획득량!$C$9,0)</f>
        <v>0</v>
      </c>
      <c r="AH33" s="16">
        <f>IF(AND(D33&lt;1370,D33&gt;=1355),예상골드획득량!$C$10,0)</f>
        <v>0</v>
      </c>
      <c r="AI33" s="16">
        <f>IF(D33&lt;1355,예상골드획득량!$C$11,0)</f>
        <v>1200</v>
      </c>
      <c r="AJ33" s="252">
        <f t="shared" si="0"/>
        <v>0</v>
      </c>
      <c r="AK33" s="253">
        <f>COUNTIF(L33:R33,1)*캐릭터입력창!AA31+S33*캐릭터입력창!AB31+T33*캐릭터입력창!AC31+V33*캐릭터입력창!AD31+체크리스트!W33*캐릭터입력창!AE31+체크리스트!X33*캐릭터입력창!AF31+체크리스트!Y33*캐릭터입력창!AG31</f>
        <v>0</v>
      </c>
    </row>
    <row r="34" spans="2:37" ht="15.95" customHeight="1">
      <c r="B34" s="23">
        <f>캐릭터입력창!A32</f>
        <v>0</v>
      </c>
      <c r="C34" s="24">
        <f>캐릭터입력창!B32</f>
        <v>0</v>
      </c>
      <c r="D34" s="30">
        <f>캐릭터입력창!C32</f>
        <v>0</v>
      </c>
      <c r="E34" s="150"/>
      <c r="F34" s="151"/>
      <c r="G34" s="151"/>
      <c r="H34" s="151"/>
      <c r="I34" s="151"/>
      <c r="J34" s="151"/>
      <c r="K34" s="152"/>
      <c r="L34" s="150"/>
      <c r="M34" s="151"/>
      <c r="N34" s="151"/>
      <c r="O34" s="151"/>
      <c r="P34" s="151"/>
      <c r="Q34" s="151"/>
      <c r="R34" s="152"/>
      <c r="S34" s="153"/>
      <c r="T34" s="150"/>
      <c r="U34" s="154"/>
      <c r="V34" s="154"/>
      <c r="W34" s="155"/>
      <c r="X34" s="154"/>
      <c r="Y34" s="156"/>
      <c r="Z34" s="16"/>
      <c r="AA34" s="16">
        <f>IF(D34&gt;=1490,예상골드획득량!$C$3,0)</f>
        <v>0</v>
      </c>
      <c r="AB34" s="16">
        <f>IF(AND(D34&lt;1490,D34&gt;=1475),예상골드획득량!$C$4,0)</f>
        <v>0</v>
      </c>
      <c r="AC34" s="16">
        <f>IF(AND(D34&lt;1475,D34&gt;=1460),예상골드획득량!$C$5,0)</f>
        <v>0</v>
      </c>
      <c r="AD34" s="16">
        <f>IF(AND(D34&lt;1460,D34&gt;=1445),예상골드획득량!$C$6,0)</f>
        <v>0</v>
      </c>
      <c r="AE34" s="16">
        <f>IF(AND(D34&lt;1445,D34&gt;=1430),예상골드획득량!$C$7,0)</f>
        <v>0</v>
      </c>
      <c r="AF34" s="16">
        <f>IF(AND(D34&lt;1430,D34&gt;=1415),예상골드획득량!$C$8,0)</f>
        <v>0</v>
      </c>
      <c r="AG34" s="16">
        <f>IF(AND(D34&lt;1415,D34&gt;=1370),예상골드획득량!$C$9,0)</f>
        <v>0</v>
      </c>
      <c r="AH34" s="16">
        <f>IF(AND(D34&lt;1370,D34&gt;=1355),예상골드획득량!$C$10,0)</f>
        <v>0</v>
      </c>
      <c r="AI34" s="16">
        <f>IF(D34&lt;1355,예상골드획득량!$C$11,0)</f>
        <v>1200</v>
      </c>
      <c r="AJ34" s="252">
        <f t="shared" si="0"/>
        <v>0</v>
      </c>
      <c r="AK34" s="253">
        <f>COUNTIF(L34:R34,1)*캐릭터입력창!AA32+S34*캐릭터입력창!AB32+T34*캐릭터입력창!AC32+V34*캐릭터입력창!AD32+체크리스트!W34*캐릭터입력창!AE32+체크리스트!X34*캐릭터입력창!AF32+체크리스트!Y34*캐릭터입력창!AG32</f>
        <v>0</v>
      </c>
    </row>
    <row r="35" spans="2:37" ht="15.95" customHeight="1">
      <c r="B35" s="23">
        <f>캐릭터입력창!A33</f>
        <v>0</v>
      </c>
      <c r="C35" s="24">
        <f>캐릭터입력창!B33</f>
        <v>0</v>
      </c>
      <c r="D35" s="30">
        <f>캐릭터입력창!C33</f>
        <v>0</v>
      </c>
      <c r="E35" s="150"/>
      <c r="F35" s="151"/>
      <c r="G35" s="151"/>
      <c r="H35" s="151"/>
      <c r="I35" s="151"/>
      <c r="J35" s="151"/>
      <c r="K35" s="152"/>
      <c r="L35" s="150"/>
      <c r="M35" s="151"/>
      <c r="N35" s="151"/>
      <c r="O35" s="151"/>
      <c r="P35" s="151"/>
      <c r="Q35" s="151"/>
      <c r="R35" s="152"/>
      <c r="S35" s="153"/>
      <c r="T35" s="150"/>
      <c r="U35" s="154"/>
      <c r="V35" s="154"/>
      <c r="W35" s="155"/>
      <c r="X35" s="154"/>
      <c r="Y35" s="156"/>
      <c r="Z35" s="16"/>
      <c r="AA35" s="16">
        <f>IF(D35&gt;=1490,예상골드획득량!$C$3,0)</f>
        <v>0</v>
      </c>
      <c r="AB35" s="16">
        <f>IF(AND(D35&lt;1490,D35&gt;=1475),예상골드획득량!$C$4,0)</f>
        <v>0</v>
      </c>
      <c r="AC35" s="16">
        <f>IF(AND(D35&lt;1475,D35&gt;=1460),예상골드획득량!$C$5,0)</f>
        <v>0</v>
      </c>
      <c r="AD35" s="16">
        <f>IF(AND(D35&lt;1460,D35&gt;=1445),예상골드획득량!$C$6,0)</f>
        <v>0</v>
      </c>
      <c r="AE35" s="16">
        <f>IF(AND(D35&lt;1445,D35&gt;=1430),예상골드획득량!$C$7,0)</f>
        <v>0</v>
      </c>
      <c r="AF35" s="16">
        <f>IF(AND(D35&lt;1430,D35&gt;=1415),예상골드획득량!$C$8,0)</f>
        <v>0</v>
      </c>
      <c r="AG35" s="16">
        <f>IF(AND(D35&lt;1415,D35&gt;=1370),예상골드획득량!$C$9,0)</f>
        <v>0</v>
      </c>
      <c r="AH35" s="16">
        <f>IF(AND(D35&lt;1370,D35&gt;=1355),예상골드획득량!$C$10,0)</f>
        <v>0</v>
      </c>
      <c r="AI35" s="16">
        <f>IF(D35&lt;1355,예상골드획득량!$C$11,0)</f>
        <v>1200</v>
      </c>
      <c r="AJ35" s="252">
        <f t="shared" si="0"/>
        <v>0</v>
      </c>
      <c r="AK35" s="253">
        <f>COUNTIF(L35:R35,1)*캐릭터입력창!AA33+S35*캐릭터입력창!AB33+T35*캐릭터입력창!AC33+V35*캐릭터입력창!AD33+체크리스트!W35*캐릭터입력창!AE33+체크리스트!X35*캐릭터입력창!AF33+체크리스트!Y35*캐릭터입력창!AG33</f>
        <v>0</v>
      </c>
    </row>
    <row r="36" spans="2:37" ht="15.95" customHeight="1" thickBot="1">
      <c r="B36" s="25">
        <f>캐릭터입력창!A34</f>
        <v>0</v>
      </c>
      <c r="C36" s="26">
        <f>캐릭터입력창!B34</f>
        <v>0</v>
      </c>
      <c r="D36" s="31">
        <f>캐릭터입력창!C34</f>
        <v>0</v>
      </c>
      <c r="E36" s="157"/>
      <c r="F36" s="158"/>
      <c r="G36" s="158"/>
      <c r="H36" s="158"/>
      <c r="I36" s="158"/>
      <c r="J36" s="158"/>
      <c r="K36" s="159"/>
      <c r="L36" s="157"/>
      <c r="M36" s="158"/>
      <c r="N36" s="158"/>
      <c r="O36" s="158"/>
      <c r="P36" s="158"/>
      <c r="Q36" s="158"/>
      <c r="R36" s="159"/>
      <c r="S36" s="160"/>
      <c r="T36" s="157"/>
      <c r="U36" s="161"/>
      <c r="V36" s="161"/>
      <c r="W36" s="162"/>
      <c r="X36" s="161"/>
      <c r="Y36" s="163"/>
      <c r="Z36" s="16"/>
      <c r="AA36" s="16">
        <f>IF(D36&gt;=1490,예상골드획득량!$C$3,0)</f>
        <v>0</v>
      </c>
      <c r="AB36" s="16">
        <f>IF(AND(D36&lt;1490,D36&gt;=1475),예상골드획득량!$C$4,0)</f>
        <v>0</v>
      </c>
      <c r="AC36" s="16">
        <f>IF(AND(D36&lt;1475,D36&gt;=1460),예상골드획득량!$C$5,0)</f>
        <v>0</v>
      </c>
      <c r="AD36" s="16">
        <f>IF(AND(D36&lt;1460,D36&gt;=1445),예상골드획득량!$C$6,0)</f>
        <v>0</v>
      </c>
      <c r="AE36" s="16">
        <f>IF(AND(D36&lt;1445,D36&gt;=1430),예상골드획득량!$C$7,0)</f>
        <v>0</v>
      </c>
      <c r="AF36" s="16">
        <f>IF(AND(D36&lt;1430,D36&gt;=1415),예상골드획득량!$C$8,0)</f>
        <v>0</v>
      </c>
      <c r="AG36" s="16">
        <f>IF(AND(D36&lt;1415,D36&gt;=1370),예상골드획득량!$C$9,0)</f>
        <v>0</v>
      </c>
      <c r="AH36" s="16">
        <f>IF(AND(D36&lt;1370,D36&gt;=1355),예상골드획득량!$C$10,0)</f>
        <v>0</v>
      </c>
      <c r="AI36" s="16">
        <f>IF(D36&lt;1355,예상골드획득량!$C$11,0)</f>
        <v>1200</v>
      </c>
      <c r="AJ36" s="254">
        <f t="shared" si="0"/>
        <v>0</v>
      </c>
      <c r="AK36" s="255">
        <f>COUNTIF(L36:R36,1)*캐릭터입력창!AA34+S36*캐릭터입력창!AB34+T36*캐릭터입력창!AC34+V36*캐릭터입력창!AD34+체크리스트!W36*캐릭터입력창!AE34+체크리스트!X36*캐릭터입력창!AF34+체크리스트!Y36*캐릭터입력창!AG34</f>
        <v>0</v>
      </c>
    </row>
    <row r="39" spans="2:37" ht="16.5" customHeight="1">
      <c r="B39" s="27" t="s">
        <v>55</v>
      </c>
    </row>
  </sheetData>
  <mergeCells count="14">
    <mergeCell ref="B1:C1"/>
    <mergeCell ref="B2:C2"/>
    <mergeCell ref="T5:T6"/>
    <mergeCell ref="U5:U6"/>
    <mergeCell ref="V5:Y5"/>
    <mergeCell ref="B5:B6"/>
    <mergeCell ref="C5:C6"/>
    <mergeCell ref="D5:D6"/>
    <mergeCell ref="S5:S6"/>
    <mergeCell ref="AJ5:AJ6"/>
    <mergeCell ref="AK5:AK6"/>
    <mergeCell ref="L5:R5"/>
    <mergeCell ref="E5:K5"/>
    <mergeCell ref="S1:AK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workbookViewId="0">
      <pane xSplit="3" topLeftCell="D1" activePane="topRight" state="frozen"/>
      <selection pane="topRight" activeCell="F21" sqref="F21"/>
    </sheetView>
  </sheetViews>
  <sheetFormatPr defaultRowHeight="16.5"/>
  <cols>
    <col min="1" max="1" width="19.25" style="9" customWidth="1"/>
    <col min="2" max="2" width="12.25" style="9" customWidth="1"/>
    <col min="3" max="3" width="7.75" style="9" customWidth="1"/>
    <col min="4" max="7" width="10.625" style="9" customWidth="1"/>
    <col min="8" max="14" width="9" style="9"/>
    <col min="15" max="15" width="9" style="9" customWidth="1"/>
    <col min="16" max="16" width="9" style="9"/>
    <col min="17" max="17" width="14.25" style="9" customWidth="1"/>
    <col min="18" max="19" width="11.5" style="9" customWidth="1"/>
    <col min="20" max="20" width="13.875" style="9" customWidth="1"/>
    <col min="21" max="26" width="11.5" style="9" customWidth="1"/>
    <col min="27" max="28" width="0" style="9" hidden="1" customWidth="1"/>
    <col min="29" max="29" width="9" style="9" hidden="1" customWidth="1"/>
    <col min="30" max="33" width="0" style="9" hidden="1" customWidth="1"/>
    <col min="34" max="16384" width="9" style="9"/>
  </cols>
  <sheetData>
    <row r="1" spans="1:33" ht="17.25" thickBot="1"/>
    <row r="2" spans="1:33" ht="16.5" customHeight="1" thickBot="1">
      <c r="A2" s="282" t="s">
        <v>1</v>
      </c>
      <c r="B2" s="285" t="s">
        <v>2</v>
      </c>
      <c r="C2" s="288" t="s">
        <v>54</v>
      </c>
      <c r="D2" s="294" t="s">
        <v>112</v>
      </c>
      <c r="E2" s="295"/>
      <c r="F2" s="295"/>
      <c r="G2" s="295"/>
      <c r="H2" s="298" t="s">
        <v>90</v>
      </c>
      <c r="I2" s="299"/>
      <c r="J2" s="299"/>
      <c r="K2" s="299"/>
      <c r="L2" s="299"/>
      <c r="M2" s="302" t="s">
        <v>91</v>
      </c>
      <c r="N2" s="303"/>
      <c r="O2" s="303"/>
      <c r="P2" s="303"/>
      <c r="Q2" s="303"/>
      <c r="R2" s="306" t="s">
        <v>92</v>
      </c>
      <c r="S2" s="307"/>
      <c r="T2" s="307"/>
      <c r="U2" s="307"/>
      <c r="V2" s="307"/>
      <c r="W2" s="307"/>
      <c r="X2" s="307"/>
      <c r="Y2" s="307"/>
      <c r="Z2" s="308"/>
    </row>
    <row r="3" spans="1:33" ht="17.25" thickBot="1">
      <c r="A3" s="283"/>
      <c r="B3" s="286"/>
      <c r="C3" s="289"/>
      <c r="D3" s="296"/>
      <c r="E3" s="297"/>
      <c r="F3" s="297"/>
      <c r="G3" s="297"/>
      <c r="H3" s="300"/>
      <c r="I3" s="301"/>
      <c r="J3" s="301"/>
      <c r="K3" s="301"/>
      <c r="L3" s="301"/>
      <c r="M3" s="304"/>
      <c r="N3" s="305"/>
      <c r="O3" s="305"/>
      <c r="P3" s="305"/>
      <c r="Q3" s="305"/>
      <c r="R3" s="293" t="s">
        <v>10</v>
      </c>
      <c r="S3" s="291"/>
      <c r="T3" s="291"/>
      <c r="U3" s="291" t="s">
        <v>11</v>
      </c>
      <c r="V3" s="291"/>
      <c r="W3" s="228" t="s">
        <v>12</v>
      </c>
      <c r="X3" s="291" t="s">
        <v>13</v>
      </c>
      <c r="Y3" s="291"/>
      <c r="Z3" s="292"/>
    </row>
    <row r="4" spans="1:33" ht="17.25" thickBot="1">
      <c r="A4" s="284"/>
      <c r="B4" s="287"/>
      <c r="C4" s="290"/>
      <c r="D4" s="180" t="s">
        <v>41</v>
      </c>
      <c r="E4" s="181" t="s">
        <v>43</v>
      </c>
      <c r="F4" s="181" t="s">
        <v>42</v>
      </c>
      <c r="G4" s="182" t="s">
        <v>44</v>
      </c>
      <c r="H4" s="200" t="s">
        <v>45</v>
      </c>
      <c r="I4" s="201" t="s">
        <v>46</v>
      </c>
      <c r="J4" s="201" t="s">
        <v>47</v>
      </c>
      <c r="K4" s="201" t="s">
        <v>48</v>
      </c>
      <c r="L4" s="202" t="s">
        <v>49</v>
      </c>
      <c r="M4" s="212" t="s">
        <v>50</v>
      </c>
      <c r="N4" s="213" t="s">
        <v>51</v>
      </c>
      <c r="O4" s="213" t="s">
        <v>88</v>
      </c>
      <c r="P4" s="214" t="s">
        <v>89</v>
      </c>
      <c r="Q4" s="215" t="s">
        <v>52</v>
      </c>
      <c r="R4" s="229" t="s">
        <v>45</v>
      </c>
      <c r="S4" s="228" t="s">
        <v>46</v>
      </c>
      <c r="T4" s="228" t="s">
        <v>53</v>
      </c>
      <c r="U4" s="228" t="s">
        <v>45</v>
      </c>
      <c r="V4" s="228" t="s">
        <v>46</v>
      </c>
      <c r="W4" s="228" t="s">
        <v>45</v>
      </c>
      <c r="X4" s="228" t="s">
        <v>93</v>
      </c>
      <c r="Y4" s="228" t="s">
        <v>94</v>
      </c>
      <c r="Z4" s="230" t="s">
        <v>95</v>
      </c>
    </row>
    <row r="5" spans="1:33">
      <c r="A5" s="192" t="s">
        <v>116</v>
      </c>
      <c r="B5" s="193" t="s">
        <v>117</v>
      </c>
      <c r="C5" s="193">
        <v>1460</v>
      </c>
      <c r="D5" s="183"/>
      <c r="E5" s="184"/>
      <c r="F5" s="184">
        <v>1</v>
      </c>
      <c r="G5" s="185"/>
      <c r="H5" s="203"/>
      <c r="I5" s="204"/>
      <c r="J5" s="204">
        <v>1</v>
      </c>
      <c r="K5" s="204"/>
      <c r="L5" s="205"/>
      <c r="M5" s="216"/>
      <c r="N5" s="217">
        <v>1</v>
      </c>
      <c r="O5" s="217"/>
      <c r="P5" s="218"/>
      <c r="Q5" s="219"/>
      <c r="R5" s="231"/>
      <c r="S5" s="232">
        <v>1</v>
      </c>
      <c r="T5" s="232"/>
      <c r="U5" s="232">
        <v>1</v>
      </c>
      <c r="V5" s="232"/>
      <c r="W5" s="232"/>
      <c r="X5" s="232"/>
      <c r="Y5" s="232"/>
      <c r="Z5" s="233"/>
      <c r="AA5" s="245">
        <f>$D5*('버스비 및 수익'!$D$3-'버스비 및 수익'!$E$3)+$E5*'버스비 및 수익'!$D$4+캐릭터입력창!$F5*'버스비 및 수익'!$D$5+캐릭터입력창!$G5*'버스비 및 수익'!$D$6</f>
        <v>810</v>
      </c>
      <c r="AB5" s="246">
        <f>$H5*'버스비 및 수익'!$D$7+$I5*'버스비 및 수익'!$D$8+$J5*'버스비 및 수익'!$E$7*3+$K5*'버스비 및 수익'!$E$8*3+$L5*('버스비 및 수익'!$D$8-'버스비 및 수익'!$E$8)</f>
        <v>900</v>
      </c>
      <c r="AC5" s="247">
        <f>$M5*'버스비 및 수익'!$D$10+캐릭터입력창!$N5*'버스비 및 수익'!$D$9+$O5*'버스비 및 수익'!$E$9+$P5*'버스비 및 수익'!$E$9*3+$Q5*('버스비 및 수익'!$D$9-'버스비 및 수익'!$E$9)</f>
        <v>3300</v>
      </c>
      <c r="AD5" s="248">
        <f>$R5*'버스비 및 수익'!$D$11+$S5*'버스비 및 수익'!$D$12+캐릭터입력창!$T5*('버스비 및 수익'!$D$11-'버스비 및 수익'!$E$11)</f>
        <v>4500</v>
      </c>
      <c r="AE5" s="248">
        <f>$U5*'버스비 및 수익'!$D$13+캐릭터입력창!$V5*'버스비 및 수익'!$D$14</f>
        <v>3300</v>
      </c>
      <c r="AF5" s="248">
        <f>$W5*'버스비 및 수익'!$D$15</f>
        <v>0</v>
      </c>
      <c r="AG5" s="249">
        <f>$X5*'버스비 및 수익'!$D$16+캐릭터입력창!$Y5*('버스비 및 수익'!$D$16+'버스비 및 수익'!$D$17)+캐릭터입력창!$Z5*('버스비 및 수익'!$D$16+'버스비 및 수익'!$D$17+'버스비 및 수익'!$D$18)</f>
        <v>0</v>
      </c>
    </row>
    <row r="6" spans="1:33">
      <c r="A6" s="194" t="s">
        <v>118</v>
      </c>
      <c r="B6" s="195" t="s">
        <v>119</v>
      </c>
      <c r="C6" s="195">
        <v>1370</v>
      </c>
      <c r="D6" s="186">
        <v>1</v>
      </c>
      <c r="E6" s="187"/>
      <c r="F6" s="187"/>
      <c r="G6" s="188"/>
      <c r="H6" s="206"/>
      <c r="I6" s="207"/>
      <c r="J6" s="207"/>
      <c r="K6" s="207"/>
      <c r="L6" s="208">
        <v>1</v>
      </c>
      <c r="M6" s="220"/>
      <c r="N6" s="221"/>
      <c r="O6" s="221"/>
      <c r="P6" s="222"/>
      <c r="Q6" s="223">
        <v>1</v>
      </c>
      <c r="R6" s="234"/>
      <c r="S6" s="235"/>
      <c r="T6" s="235"/>
      <c r="U6" s="235"/>
      <c r="V6" s="235"/>
      <c r="W6" s="235"/>
      <c r="X6" s="235"/>
      <c r="Y6" s="235"/>
      <c r="Z6" s="236"/>
      <c r="AA6" s="245">
        <f>$D6*('버스비 및 수익'!$D$3-'버스비 및 수익'!$E$3)+$E6*'버스비 및 수익'!$D$4+캐릭터입력창!$F6*'버스비 및 수익'!$D$5+캐릭터입력창!$G6*'버스비 및 수익'!$D$6</f>
        <v>617</v>
      </c>
      <c r="AB6" s="246">
        <f>$H6*'버스비 및 수익'!$D$7+$I6*'버스비 및 수익'!$D$8+$J6*'버스비 및 수익'!$E$7*3+$K6*'버스비 및 수익'!$E$8*3+$L6*('버스비 및 수익'!$D$8-'버스비 및 수익'!$E$8)</f>
        <v>1100</v>
      </c>
      <c r="AC6" s="247">
        <f>$M6*'버스비 및 수익'!$D$10+캐릭터입력창!$N6*'버스비 및 수익'!$D$9+$O6*'버스비 및 수익'!$E$9+$P6*'버스비 및 수익'!$E$9*3+$Q6*('버스비 및 수익'!$D$9-'버스비 및 수익'!$E$9)</f>
        <v>800</v>
      </c>
      <c r="AD6" s="248">
        <f>$R6*'버스비 및 수익'!$D$11+$S6*'버스비 및 수익'!$D$12+캐릭터입력창!$T6*('버스비 및 수익'!$D$11-'버스비 및 수익'!$E$11)</f>
        <v>0</v>
      </c>
      <c r="AE6" s="248">
        <f>$U6*'버스비 및 수익'!$D$13+캐릭터입력창!$V6*'버스비 및 수익'!$D$14</f>
        <v>0</v>
      </c>
      <c r="AF6" s="248">
        <f>$W6*'버스비 및 수익'!$D$15</f>
        <v>0</v>
      </c>
      <c r="AG6" s="249">
        <f>$X6*'버스비 및 수익'!$D$16+캐릭터입력창!$Y6*('버스비 및 수익'!$D$16+'버스비 및 수익'!$D$17)+캐릭터입력창!$Z6*('버스비 및 수익'!$D$16+'버스비 및 수익'!$D$17+'버스비 및 수익'!$D$18)</f>
        <v>0</v>
      </c>
    </row>
    <row r="7" spans="1:33">
      <c r="A7" s="194" t="s">
        <v>120</v>
      </c>
      <c r="B7" s="195" t="s">
        <v>121</v>
      </c>
      <c r="C7" s="195">
        <v>1370</v>
      </c>
      <c r="D7" s="186">
        <v>1</v>
      </c>
      <c r="E7" s="187"/>
      <c r="F7" s="187"/>
      <c r="G7" s="188"/>
      <c r="H7" s="206"/>
      <c r="I7" s="207"/>
      <c r="J7" s="207"/>
      <c r="K7" s="207"/>
      <c r="L7" s="208">
        <v>1</v>
      </c>
      <c r="M7" s="220"/>
      <c r="N7" s="221"/>
      <c r="O7" s="221"/>
      <c r="P7" s="222"/>
      <c r="Q7" s="223">
        <v>1</v>
      </c>
      <c r="R7" s="234"/>
      <c r="S7" s="235"/>
      <c r="T7" s="235"/>
      <c r="U7" s="235"/>
      <c r="V7" s="235"/>
      <c r="W7" s="235"/>
      <c r="X7" s="235"/>
      <c r="Y7" s="235"/>
      <c r="Z7" s="236"/>
      <c r="AA7" s="245">
        <f>$D7*('버스비 및 수익'!$D$3-'버스비 및 수익'!$E$3)+$E7*'버스비 및 수익'!$D$4+캐릭터입력창!$F7*'버스비 및 수익'!$D$5+캐릭터입력창!$G7*'버스비 및 수익'!$D$6</f>
        <v>617</v>
      </c>
      <c r="AB7" s="246">
        <f>$H7*'버스비 및 수익'!$D$7+$I7*'버스비 및 수익'!$D$8+$J7*'버스비 및 수익'!$E$7*3+$K7*'버스비 및 수익'!$E$8*3+$L7*('버스비 및 수익'!$D$8-'버스비 및 수익'!$E$8)</f>
        <v>1100</v>
      </c>
      <c r="AC7" s="247">
        <f>$M7*'버스비 및 수익'!$D$10+캐릭터입력창!$N7*'버스비 및 수익'!$D$9+$O7*'버스비 및 수익'!$E$9+$P7*'버스비 및 수익'!$E$9*3+$Q7*('버스비 및 수익'!$D$9-'버스비 및 수익'!$E$9)</f>
        <v>800</v>
      </c>
      <c r="AD7" s="248">
        <f>$R7*'버스비 및 수익'!$D$11+$S7*'버스비 및 수익'!$D$12+캐릭터입력창!$T7*('버스비 및 수익'!$D$11-'버스비 및 수익'!$E$11)</f>
        <v>0</v>
      </c>
      <c r="AE7" s="248">
        <f>$U7*'버스비 및 수익'!$D$13+캐릭터입력창!$V7*'버스비 및 수익'!$D$14</f>
        <v>0</v>
      </c>
      <c r="AF7" s="248">
        <f>$W7*'버스비 및 수익'!$D$15</f>
        <v>0</v>
      </c>
      <c r="AG7" s="249">
        <f>$X7*'버스비 및 수익'!$D$16+캐릭터입력창!$Y7*('버스비 및 수익'!$D$16+'버스비 및 수익'!$D$17)+캐릭터입력창!$Z7*('버스비 및 수익'!$D$16+'버스비 및 수익'!$D$17+'버스비 및 수익'!$D$18)</f>
        <v>0</v>
      </c>
    </row>
    <row r="8" spans="1:33">
      <c r="A8" s="194" t="s">
        <v>122</v>
      </c>
      <c r="B8" s="195" t="s">
        <v>121</v>
      </c>
      <c r="C8" s="195">
        <v>1370</v>
      </c>
      <c r="D8" s="186">
        <v>1</v>
      </c>
      <c r="E8" s="187"/>
      <c r="F8" s="187"/>
      <c r="G8" s="188"/>
      <c r="H8" s="206"/>
      <c r="I8" s="207"/>
      <c r="J8" s="207"/>
      <c r="K8" s="207"/>
      <c r="L8" s="208">
        <v>1</v>
      </c>
      <c r="M8" s="220"/>
      <c r="N8" s="221"/>
      <c r="O8" s="221"/>
      <c r="P8" s="222"/>
      <c r="Q8" s="223">
        <v>1</v>
      </c>
      <c r="R8" s="234"/>
      <c r="S8" s="235"/>
      <c r="T8" s="235"/>
      <c r="U8" s="235"/>
      <c r="V8" s="235"/>
      <c r="W8" s="235"/>
      <c r="X8" s="235"/>
      <c r="Y8" s="235"/>
      <c r="Z8" s="236"/>
      <c r="AA8" s="245">
        <f>$D8*('버스비 및 수익'!$D$3-'버스비 및 수익'!$E$3)+$E8*'버스비 및 수익'!$D$4+캐릭터입력창!$F8*'버스비 및 수익'!$D$5+캐릭터입력창!$G8*'버스비 및 수익'!$D$6</f>
        <v>617</v>
      </c>
      <c r="AB8" s="246">
        <f>$H8*'버스비 및 수익'!$D$7+$I8*'버스비 및 수익'!$D$8+$J8*'버스비 및 수익'!$E$7*3+$K8*'버스비 및 수익'!$E$8*3+$L8*('버스비 및 수익'!$D$8-'버스비 및 수익'!$E$8)</f>
        <v>1100</v>
      </c>
      <c r="AC8" s="247">
        <f>$M8*'버스비 및 수익'!$D$10+캐릭터입력창!$N8*'버스비 및 수익'!$D$9+$O8*'버스비 및 수익'!$E$9+$P8*'버스비 및 수익'!$E$9*3+$Q8*('버스비 및 수익'!$D$9-'버스비 및 수익'!$E$9)</f>
        <v>800</v>
      </c>
      <c r="AD8" s="248">
        <f>$R8*'버스비 및 수익'!$D$11+$S8*'버스비 및 수익'!$D$12+캐릭터입력창!$T8*('버스비 및 수익'!$D$11-'버스비 및 수익'!$E$11)</f>
        <v>0</v>
      </c>
      <c r="AE8" s="248">
        <f>$U8*'버스비 및 수익'!$D$13+캐릭터입력창!$V8*'버스비 및 수익'!$D$14</f>
        <v>0</v>
      </c>
      <c r="AF8" s="248">
        <f>$W8*'버스비 및 수익'!$D$15</f>
        <v>0</v>
      </c>
      <c r="AG8" s="249">
        <f>$X8*'버스비 및 수익'!$D$16+캐릭터입력창!$Y8*('버스비 및 수익'!$D$16+'버스비 및 수익'!$D$17)+캐릭터입력창!$Z8*('버스비 및 수익'!$D$16+'버스비 및 수익'!$D$17+'버스비 및 수익'!$D$18)</f>
        <v>0</v>
      </c>
    </row>
    <row r="9" spans="1:33">
      <c r="A9" s="194" t="s">
        <v>123</v>
      </c>
      <c r="B9" s="195" t="s">
        <v>117</v>
      </c>
      <c r="C9" s="195">
        <v>1415</v>
      </c>
      <c r="D9" s="186"/>
      <c r="E9" s="187">
        <v>1</v>
      </c>
      <c r="F9" s="187"/>
      <c r="G9" s="188"/>
      <c r="H9" s="206"/>
      <c r="I9" s="207"/>
      <c r="J9" s="207"/>
      <c r="K9" s="207"/>
      <c r="L9" s="208"/>
      <c r="M9" s="220"/>
      <c r="N9" s="221">
        <v>1</v>
      </c>
      <c r="O9" s="221"/>
      <c r="P9" s="222"/>
      <c r="Q9" s="223"/>
      <c r="R9" s="234">
        <v>1</v>
      </c>
      <c r="S9" s="235"/>
      <c r="T9" s="235"/>
      <c r="U9" s="235"/>
      <c r="V9" s="235"/>
      <c r="W9" s="235"/>
      <c r="X9" s="235"/>
      <c r="Y9" s="235"/>
      <c r="Z9" s="236"/>
      <c r="AA9" s="245">
        <f>$D9*('버스비 및 수익'!$D$3-'버스비 및 수익'!$E$3)+$E9*'버스비 및 수익'!$D$4+캐릭터입력창!$F9*'버스비 및 수익'!$D$5+캐릭터입력창!$G9*'버스비 및 수익'!$D$6</f>
        <v>606</v>
      </c>
      <c r="AB9" s="246">
        <f>$H9*'버스비 및 수익'!$D$7+$I9*'버스비 및 수익'!$D$8+$J9*'버스비 및 수익'!$E$7*3+$K9*'버스비 및 수익'!$E$8*3+$L9*('버스비 및 수익'!$D$8-'버스비 및 수익'!$E$8)</f>
        <v>0</v>
      </c>
      <c r="AC9" s="247">
        <f>$M9*'버스비 및 수익'!$D$10+캐릭터입력창!$N9*'버스비 및 수익'!$D$9+$O9*'버스비 및 수익'!$E$9+$P9*'버스비 및 수익'!$E$9*3+$Q9*('버스비 및 수익'!$D$9-'버스비 및 수익'!$E$9)</f>
        <v>3300</v>
      </c>
      <c r="AD9" s="248">
        <f>$R9*'버스비 및 수익'!$D$11+$S9*'버스비 및 수익'!$D$12+캐릭터입력창!$T9*('버스비 및 수익'!$D$11-'버스비 및 수익'!$E$11)</f>
        <v>3300</v>
      </c>
      <c r="AE9" s="248">
        <f>$U9*'버스비 및 수익'!$D$13+캐릭터입력창!$V9*'버스비 및 수익'!$D$14</f>
        <v>0</v>
      </c>
      <c r="AF9" s="248">
        <f>$W9*'버스비 및 수익'!$D$15</f>
        <v>0</v>
      </c>
      <c r="AG9" s="249">
        <f>$X9*'버스비 및 수익'!$D$16+캐릭터입력창!$Y9*('버스비 및 수익'!$D$16+'버스비 및 수익'!$D$17)+캐릭터입력창!$Z9*('버스비 및 수익'!$D$16+'버스비 및 수익'!$D$17+'버스비 및 수익'!$D$18)</f>
        <v>0</v>
      </c>
    </row>
    <row r="10" spans="1:33">
      <c r="A10" s="194" t="s">
        <v>124</v>
      </c>
      <c r="B10" s="195" t="s">
        <v>125</v>
      </c>
      <c r="C10" s="195">
        <v>1370</v>
      </c>
      <c r="D10" s="186">
        <v>1</v>
      </c>
      <c r="E10" s="187"/>
      <c r="F10" s="187"/>
      <c r="G10" s="188"/>
      <c r="H10" s="206"/>
      <c r="I10" s="207"/>
      <c r="J10" s="207"/>
      <c r="K10" s="207"/>
      <c r="L10" s="208">
        <v>1</v>
      </c>
      <c r="M10" s="220"/>
      <c r="N10" s="221"/>
      <c r="O10" s="221"/>
      <c r="P10" s="222"/>
      <c r="Q10" s="223">
        <v>1</v>
      </c>
      <c r="R10" s="234"/>
      <c r="S10" s="235"/>
      <c r="T10" s="235"/>
      <c r="U10" s="235"/>
      <c r="V10" s="235"/>
      <c r="W10" s="235"/>
      <c r="X10" s="235"/>
      <c r="Y10" s="235"/>
      <c r="Z10" s="236"/>
      <c r="AA10" s="245">
        <f>$D10*('버스비 및 수익'!$D$3-'버스비 및 수익'!$E$3)+$E10*'버스비 및 수익'!$D$4+캐릭터입력창!$F10*'버스비 및 수익'!$D$5+캐릭터입력창!$G10*'버스비 및 수익'!$D$6</f>
        <v>617</v>
      </c>
      <c r="AB10" s="246">
        <f>$H10*'버스비 및 수익'!$D$7+$I10*'버스비 및 수익'!$D$8+$J10*'버스비 및 수익'!$E$7*3+$K10*'버스비 및 수익'!$E$8*3+$L10*('버스비 및 수익'!$D$8-'버스비 및 수익'!$E$8)</f>
        <v>1100</v>
      </c>
      <c r="AC10" s="247">
        <f>$M10*'버스비 및 수익'!$D$10+캐릭터입력창!$N10*'버스비 및 수익'!$D$9+$O10*'버스비 및 수익'!$E$9+$P10*'버스비 및 수익'!$E$9*3+$Q10*('버스비 및 수익'!$D$9-'버스비 및 수익'!$E$9)</f>
        <v>800</v>
      </c>
      <c r="AD10" s="248">
        <f>$R10*'버스비 및 수익'!$D$11+$S10*'버스비 및 수익'!$D$12+캐릭터입력창!$T10*('버스비 및 수익'!$D$11-'버스비 및 수익'!$E$11)</f>
        <v>0</v>
      </c>
      <c r="AE10" s="248">
        <f>$U10*'버스비 및 수익'!$D$13+캐릭터입력창!$V10*'버스비 및 수익'!$D$14</f>
        <v>0</v>
      </c>
      <c r="AF10" s="248">
        <f>$W10*'버스비 및 수익'!$D$15</f>
        <v>0</v>
      </c>
      <c r="AG10" s="249">
        <f>$X10*'버스비 및 수익'!$D$16+캐릭터입력창!$Y10*('버스비 및 수익'!$D$16+'버스비 및 수익'!$D$17)+캐릭터입력창!$Z10*('버스비 및 수익'!$D$16+'버스비 및 수익'!$D$17+'버스비 및 수익'!$D$18)</f>
        <v>0</v>
      </c>
    </row>
    <row r="11" spans="1:33">
      <c r="A11" s="194" t="s">
        <v>126</v>
      </c>
      <c r="B11" s="195" t="s">
        <v>117</v>
      </c>
      <c r="C11" s="195">
        <v>1370</v>
      </c>
      <c r="D11" s="186">
        <v>1</v>
      </c>
      <c r="E11" s="187"/>
      <c r="F11" s="187"/>
      <c r="G11" s="188"/>
      <c r="H11" s="206"/>
      <c r="I11" s="207"/>
      <c r="J11" s="207"/>
      <c r="K11" s="207"/>
      <c r="L11" s="208">
        <v>1</v>
      </c>
      <c r="M11" s="220"/>
      <c r="N11" s="221"/>
      <c r="O11" s="221"/>
      <c r="P11" s="222"/>
      <c r="Q11" s="223">
        <v>1</v>
      </c>
      <c r="R11" s="234"/>
      <c r="S11" s="235"/>
      <c r="T11" s="235"/>
      <c r="U11" s="235"/>
      <c r="V11" s="235"/>
      <c r="W11" s="235"/>
      <c r="X11" s="235"/>
      <c r="Y11" s="235"/>
      <c r="Z11" s="236"/>
      <c r="AA11" s="245">
        <f>$D11*('버스비 및 수익'!$D$3-'버스비 및 수익'!$E$3)+$E11*'버스비 및 수익'!$D$4+캐릭터입력창!$F11*'버스비 및 수익'!$D$5+캐릭터입력창!$G11*'버스비 및 수익'!$D$6</f>
        <v>617</v>
      </c>
      <c r="AB11" s="246">
        <f>$H11*'버스비 및 수익'!$D$7+$I11*'버스비 및 수익'!$D$8+$J11*'버스비 및 수익'!$E$7*3+$K11*'버스비 및 수익'!$E$8*3+$L11*('버스비 및 수익'!$D$8-'버스비 및 수익'!$E$8)</f>
        <v>1100</v>
      </c>
      <c r="AC11" s="247">
        <f>$M11*'버스비 및 수익'!$D$10+캐릭터입력창!$N11*'버스비 및 수익'!$D$9+$O11*'버스비 및 수익'!$E$9+$P11*'버스비 및 수익'!$E$9*3+$Q11*('버스비 및 수익'!$D$9-'버스비 및 수익'!$E$9)</f>
        <v>800</v>
      </c>
      <c r="AD11" s="248">
        <f>$R11*'버스비 및 수익'!$D$11+$S11*'버스비 및 수익'!$D$12+캐릭터입력창!$T11*('버스비 및 수익'!$D$11-'버스비 및 수익'!$E$11)</f>
        <v>0</v>
      </c>
      <c r="AE11" s="248">
        <f>$U11*'버스비 및 수익'!$D$13+캐릭터입력창!$V11*'버스비 및 수익'!$D$14</f>
        <v>0</v>
      </c>
      <c r="AF11" s="248">
        <f>$W11*'버스비 및 수익'!$D$15</f>
        <v>0</v>
      </c>
      <c r="AG11" s="249">
        <f>$X11*'버스비 및 수익'!$D$16+캐릭터입력창!$Y11*('버스비 및 수익'!$D$16+'버스비 및 수익'!$D$17)+캐릭터입력창!$Z11*('버스비 및 수익'!$D$16+'버스비 및 수익'!$D$17+'버스비 및 수익'!$D$18)</f>
        <v>0</v>
      </c>
    </row>
    <row r="12" spans="1:33">
      <c r="A12" s="194" t="s">
        <v>127</v>
      </c>
      <c r="B12" s="195" t="s">
        <v>117</v>
      </c>
      <c r="C12" s="195">
        <v>1385</v>
      </c>
      <c r="D12" s="186">
        <v>1</v>
      </c>
      <c r="E12" s="187"/>
      <c r="F12" s="187"/>
      <c r="G12" s="188"/>
      <c r="H12" s="206"/>
      <c r="I12" s="207"/>
      <c r="J12" s="207"/>
      <c r="K12" s="207"/>
      <c r="L12" s="208">
        <v>1</v>
      </c>
      <c r="M12" s="220"/>
      <c r="N12" s="221"/>
      <c r="O12" s="221"/>
      <c r="P12" s="222"/>
      <c r="Q12" s="223">
        <v>1</v>
      </c>
      <c r="R12" s="234"/>
      <c r="S12" s="235"/>
      <c r="T12" s="235"/>
      <c r="U12" s="235"/>
      <c r="V12" s="235"/>
      <c r="W12" s="235"/>
      <c r="X12" s="235"/>
      <c r="Y12" s="235"/>
      <c r="Z12" s="236"/>
      <c r="AA12" s="245">
        <f>$D12*('버스비 및 수익'!$D$3-'버스비 및 수익'!$E$3)+$E12*'버스비 및 수익'!$D$4+캐릭터입력창!$F12*'버스비 및 수익'!$D$5+캐릭터입력창!$G12*'버스비 및 수익'!$D$6</f>
        <v>617</v>
      </c>
      <c r="AB12" s="246">
        <f>$H12*'버스비 및 수익'!$D$7+$I12*'버스비 및 수익'!$D$8+$J12*'버스비 및 수익'!$E$7*3+$K12*'버스비 및 수익'!$E$8*3+$L12*('버스비 및 수익'!$D$8-'버스비 및 수익'!$E$8)</f>
        <v>1100</v>
      </c>
      <c r="AC12" s="247">
        <f>$M12*'버스비 및 수익'!$D$10+캐릭터입력창!$N12*'버스비 및 수익'!$D$9+$O12*'버스비 및 수익'!$E$9+$P12*'버스비 및 수익'!$E$9*3+$Q12*('버스비 및 수익'!$D$9-'버스비 및 수익'!$E$9)</f>
        <v>800</v>
      </c>
      <c r="AD12" s="248">
        <f>$R12*'버스비 및 수익'!$D$11+$S12*'버스비 및 수익'!$D$12+캐릭터입력창!$T12*('버스비 및 수익'!$D$11-'버스비 및 수익'!$E$11)</f>
        <v>0</v>
      </c>
      <c r="AE12" s="248">
        <f>$U12*'버스비 및 수익'!$D$13+캐릭터입력창!$V12*'버스비 및 수익'!$D$14</f>
        <v>0</v>
      </c>
      <c r="AF12" s="248">
        <f>$W12*'버스비 및 수익'!$D$15</f>
        <v>0</v>
      </c>
      <c r="AG12" s="249">
        <f>$X12*'버스비 및 수익'!$D$16+캐릭터입력창!$Y12*('버스비 및 수익'!$D$16+'버스비 및 수익'!$D$17)+캐릭터입력창!$Z12*('버스비 및 수익'!$D$16+'버스비 및 수익'!$D$17+'버스비 및 수익'!$D$18)</f>
        <v>0</v>
      </c>
    </row>
    <row r="13" spans="1:33">
      <c r="A13" s="194" t="s">
        <v>128</v>
      </c>
      <c r="B13" s="195" t="s">
        <v>117</v>
      </c>
      <c r="C13" s="195">
        <v>1355</v>
      </c>
      <c r="D13" s="186">
        <v>1</v>
      </c>
      <c r="E13" s="187"/>
      <c r="F13" s="187"/>
      <c r="G13" s="188"/>
      <c r="H13" s="206"/>
      <c r="I13" s="207"/>
      <c r="J13" s="207"/>
      <c r="K13" s="207"/>
      <c r="L13" s="208">
        <v>1</v>
      </c>
      <c r="M13" s="220"/>
      <c r="N13" s="221"/>
      <c r="O13" s="221"/>
      <c r="P13" s="222"/>
      <c r="Q13" s="223"/>
      <c r="R13" s="234"/>
      <c r="S13" s="235"/>
      <c r="T13" s="235"/>
      <c r="U13" s="235"/>
      <c r="V13" s="235"/>
      <c r="W13" s="235"/>
      <c r="X13" s="235"/>
      <c r="Y13" s="235"/>
      <c r="Z13" s="236"/>
      <c r="AA13" s="245">
        <f>$D13*('버스비 및 수익'!$D$3-'버스비 및 수익'!$E$3)+$E13*'버스비 및 수익'!$D$4+캐릭터입력창!$F13*'버스비 및 수익'!$D$5+캐릭터입력창!$G13*'버스비 및 수익'!$D$6</f>
        <v>617</v>
      </c>
      <c r="AB13" s="246">
        <f>$H13*'버스비 및 수익'!$D$7+$I13*'버스비 및 수익'!$D$8+$J13*'버스비 및 수익'!$E$7*3+$K13*'버스비 및 수익'!$E$8*3+$L13*('버스비 및 수익'!$D$8-'버스비 및 수익'!$E$8)</f>
        <v>1100</v>
      </c>
      <c r="AC13" s="247">
        <f>$M13*'버스비 및 수익'!$D$10+캐릭터입력창!$N13*'버스비 및 수익'!$D$9+$O13*'버스비 및 수익'!$E$9+$P13*'버스비 및 수익'!$E$9*3+$Q13*('버스비 및 수익'!$D$9-'버스비 및 수익'!$E$9)</f>
        <v>0</v>
      </c>
      <c r="AD13" s="248">
        <f>$R13*'버스비 및 수익'!$D$11+$S13*'버스비 및 수익'!$D$12+캐릭터입력창!$T13*('버스비 및 수익'!$D$11-'버스비 및 수익'!$E$11)</f>
        <v>0</v>
      </c>
      <c r="AE13" s="248">
        <f>$U13*'버스비 및 수익'!$D$13+캐릭터입력창!$V13*'버스비 및 수익'!$D$14</f>
        <v>0</v>
      </c>
      <c r="AF13" s="248">
        <f>$W13*'버스비 및 수익'!$D$15</f>
        <v>0</v>
      </c>
      <c r="AG13" s="249">
        <f>$X13*'버스비 및 수익'!$D$16+캐릭터입력창!$Y13*('버스비 및 수익'!$D$16+'버스비 및 수익'!$D$17)+캐릭터입력창!$Z13*('버스비 및 수익'!$D$16+'버스비 및 수익'!$D$17+'버스비 및 수익'!$D$18)</f>
        <v>0</v>
      </c>
    </row>
    <row r="14" spans="1:33">
      <c r="A14" s="194" t="s">
        <v>129</v>
      </c>
      <c r="B14" s="195" t="s">
        <v>117</v>
      </c>
      <c r="C14" s="195">
        <v>1355</v>
      </c>
      <c r="D14" s="186">
        <v>1</v>
      </c>
      <c r="E14" s="187"/>
      <c r="F14" s="187"/>
      <c r="G14" s="188"/>
      <c r="H14" s="206"/>
      <c r="I14" s="207"/>
      <c r="J14" s="207"/>
      <c r="K14" s="207"/>
      <c r="L14" s="208">
        <v>1</v>
      </c>
      <c r="M14" s="220"/>
      <c r="N14" s="221"/>
      <c r="O14" s="221"/>
      <c r="P14" s="222"/>
      <c r="Q14" s="223"/>
      <c r="R14" s="234"/>
      <c r="S14" s="235"/>
      <c r="T14" s="235"/>
      <c r="U14" s="235"/>
      <c r="V14" s="235"/>
      <c r="W14" s="235"/>
      <c r="X14" s="235"/>
      <c r="Y14" s="235"/>
      <c r="Z14" s="236"/>
      <c r="AA14" s="245">
        <f>$D14*('버스비 및 수익'!$D$3-'버스비 및 수익'!$E$3)+$E14*'버스비 및 수익'!$D$4+캐릭터입력창!$F14*'버스비 및 수익'!$D$5+캐릭터입력창!$G14*'버스비 및 수익'!$D$6</f>
        <v>617</v>
      </c>
      <c r="AB14" s="246">
        <f>$H14*'버스비 및 수익'!$D$7+$I14*'버스비 및 수익'!$D$8+$J14*'버스비 및 수익'!$E$7*3+$K14*'버스비 및 수익'!$E$8*3+$L14*('버스비 및 수익'!$D$8-'버스비 및 수익'!$E$8)</f>
        <v>1100</v>
      </c>
      <c r="AC14" s="247">
        <f>$M14*'버스비 및 수익'!$D$10+캐릭터입력창!$N14*'버스비 및 수익'!$D$9+$O14*'버스비 및 수익'!$E$9+$P14*'버스비 및 수익'!$E$9*3+$Q14*('버스비 및 수익'!$D$9-'버스비 및 수익'!$E$9)</f>
        <v>0</v>
      </c>
      <c r="AD14" s="248">
        <f>$R14*'버스비 및 수익'!$D$11+$S14*'버스비 및 수익'!$D$12+캐릭터입력창!$T14*('버스비 및 수익'!$D$11-'버스비 및 수익'!$E$11)</f>
        <v>0</v>
      </c>
      <c r="AE14" s="248">
        <f>$U14*'버스비 및 수익'!$D$13+캐릭터입력창!$V14*'버스비 및 수익'!$D$14</f>
        <v>0</v>
      </c>
      <c r="AF14" s="248">
        <f>$W14*'버스비 및 수익'!$D$15</f>
        <v>0</v>
      </c>
      <c r="AG14" s="249">
        <f>$X14*'버스비 및 수익'!$D$16+캐릭터입력창!$Y14*('버스비 및 수익'!$D$16+'버스비 및 수익'!$D$17)+캐릭터입력창!$Z14*('버스비 및 수익'!$D$16+'버스비 및 수익'!$D$17+'버스비 및 수익'!$D$18)</f>
        <v>0</v>
      </c>
    </row>
    <row r="15" spans="1:33">
      <c r="A15" s="194" t="s">
        <v>130</v>
      </c>
      <c r="B15" s="195" t="s">
        <v>117</v>
      </c>
      <c r="C15" s="195">
        <v>1370</v>
      </c>
      <c r="D15" s="186">
        <v>1</v>
      </c>
      <c r="E15" s="187"/>
      <c r="F15" s="187"/>
      <c r="G15" s="188"/>
      <c r="H15" s="206"/>
      <c r="I15" s="207"/>
      <c r="J15" s="207"/>
      <c r="K15" s="207"/>
      <c r="L15" s="208">
        <v>1</v>
      </c>
      <c r="M15" s="220"/>
      <c r="N15" s="221"/>
      <c r="O15" s="221"/>
      <c r="P15" s="222"/>
      <c r="Q15" s="223">
        <v>1</v>
      </c>
      <c r="R15" s="234"/>
      <c r="S15" s="235"/>
      <c r="T15" s="235"/>
      <c r="U15" s="235"/>
      <c r="V15" s="235"/>
      <c r="W15" s="235"/>
      <c r="X15" s="235"/>
      <c r="Y15" s="235"/>
      <c r="Z15" s="236"/>
      <c r="AA15" s="245">
        <f>$D15*('버스비 및 수익'!$D$3-'버스비 및 수익'!$E$3)+$E15*'버스비 및 수익'!$D$4+캐릭터입력창!$F15*'버스비 및 수익'!$D$5+캐릭터입력창!$G15*'버스비 및 수익'!$D$6</f>
        <v>617</v>
      </c>
      <c r="AB15" s="246">
        <f>$H15*'버스비 및 수익'!$D$7+$I15*'버스비 및 수익'!$D$8+$J15*'버스비 및 수익'!$E$7*3+$K15*'버스비 및 수익'!$E$8*3+$L15*('버스비 및 수익'!$D$8-'버스비 및 수익'!$E$8)</f>
        <v>1100</v>
      </c>
      <c r="AC15" s="247">
        <f>$M15*'버스비 및 수익'!$D$10+캐릭터입력창!$N15*'버스비 및 수익'!$D$9+$O15*'버스비 및 수익'!$E$9+$P15*'버스비 및 수익'!$E$9*3+$Q15*('버스비 및 수익'!$D$9-'버스비 및 수익'!$E$9)</f>
        <v>800</v>
      </c>
      <c r="AD15" s="248">
        <f>$R15*'버스비 및 수익'!$D$11+$S15*'버스비 및 수익'!$D$12+캐릭터입력창!$T15*('버스비 및 수익'!$D$11-'버스비 및 수익'!$E$11)</f>
        <v>0</v>
      </c>
      <c r="AE15" s="248">
        <f>$U15*'버스비 및 수익'!$D$13+캐릭터입력창!$V15*'버스비 및 수익'!$D$14</f>
        <v>0</v>
      </c>
      <c r="AF15" s="248">
        <f>$W15*'버스비 및 수익'!$D$15</f>
        <v>0</v>
      </c>
      <c r="AG15" s="249">
        <f>$X15*'버스비 및 수익'!$D$16+캐릭터입력창!$Y15*('버스비 및 수익'!$D$16+'버스비 및 수익'!$D$17)+캐릭터입력창!$Z15*('버스비 및 수익'!$D$16+'버스비 및 수익'!$D$17+'버스비 및 수익'!$D$18)</f>
        <v>0</v>
      </c>
    </row>
    <row r="16" spans="1:33">
      <c r="A16" s="194" t="s">
        <v>131</v>
      </c>
      <c r="B16" s="195" t="s">
        <v>117</v>
      </c>
      <c r="C16" s="195">
        <v>1370</v>
      </c>
      <c r="D16" s="186">
        <v>1</v>
      </c>
      <c r="E16" s="187"/>
      <c r="F16" s="187"/>
      <c r="G16" s="188"/>
      <c r="H16" s="206"/>
      <c r="I16" s="207"/>
      <c r="J16" s="207"/>
      <c r="K16" s="207"/>
      <c r="L16" s="208">
        <v>1</v>
      </c>
      <c r="M16" s="220"/>
      <c r="N16" s="221"/>
      <c r="O16" s="221"/>
      <c r="P16" s="222"/>
      <c r="Q16" s="223">
        <v>1</v>
      </c>
      <c r="R16" s="234"/>
      <c r="S16" s="235"/>
      <c r="T16" s="235"/>
      <c r="U16" s="235"/>
      <c r="V16" s="235"/>
      <c r="W16" s="235"/>
      <c r="X16" s="235"/>
      <c r="Y16" s="235"/>
      <c r="Z16" s="236"/>
      <c r="AA16" s="245">
        <f>$D16*('버스비 및 수익'!$D$3-'버스비 및 수익'!$E$3)+$E16*'버스비 및 수익'!$D$4+캐릭터입력창!$F16*'버스비 및 수익'!$D$5+캐릭터입력창!$G16*'버스비 및 수익'!$D$6</f>
        <v>617</v>
      </c>
      <c r="AB16" s="246">
        <f>$H16*'버스비 및 수익'!$D$7+$I16*'버스비 및 수익'!$D$8+$J16*'버스비 및 수익'!$E$7*3+$K16*'버스비 및 수익'!$E$8*3+$L16*('버스비 및 수익'!$D$8-'버스비 및 수익'!$E$8)</f>
        <v>1100</v>
      </c>
      <c r="AC16" s="247">
        <f>$M16*'버스비 및 수익'!$D$10+캐릭터입력창!$N16*'버스비 및 수익'!$D$9+$O16*'버스비 및 수익'!$E$9+$P16*'버스비 및 수익'!$E$9*3+$Q16*('버스비 및 수익'!$D$9-'버스비 및 수익'!$E$9)</f>
        <v>800</v>
      </c>
      <c r="AD16" s="248">
        <f>$R16*'버스비 및 수익'!$D$11+$S16*'버스비 및 수익'!$D$12+캐릭터입력창!$T16*('버스비 및 수익'!$D$11-'버스비 및 수익'!$E$11)</f>
        <v>0</v>
      </c>
      <c r="AE16" s="248">
        <f>$U16*'버스비 및 수익'!$D$13+캐릭터입력창!$V16*'버스비 및 수익'!$D$14</f>
        <v>0</v>
      </c>
      <c r="AF16" s="248">
        <f>$W16*'버스비 및 수익'!$D$15</f>
        <v>0</v>
      </c>
      <c r="AG16" s="249">
        <f>$X16*'버스비 및 수익'!$D$16+캐릭터입력창!$Y16*('버스비 및 수익'!$D$16+'버스비 및 수익'!$D$17)+캐릭터입력창!$Z16*('버스비 및 수익'!$D$16+'버스비 및 수익'!$D$17+'버스비 및 수익'!$D$18)</f>
        <v>0</v>
      </c>
    </row>
    <row r="17" spans="1:33">
      <c r="A17" s="194" t="s">
        <v>132</v>
      </c>
      <c r="B17" s="195" t="s">
        <v>117</v>
      </c>
      <c r="C17" s="195">
        <v>1370</v>
      </c>
      <c r="D17" s="186">
        <v>1</v>
      </c>
      <c r="E17" s="187"/>
      <c r="F17" s="187"/>
      <c r="G17" s="188"/>
      <c r="H17" s="206"/>
      <c r="I17" s="207"/>
      <c r="J17" s="207"/>
      <c r="K17" s="207"/>
      <c r="L17" s="208">
        <v>1</v>
      </c>
      <c r="M17" s="220"/>
      <c r="N17" s="221"/>
      <c r="O17" s="221"/>
      <c r="P17" s="222"/>
      <c r="Q17" s="223">
        <v>1</v>
      </c>
      <c r="R17" s="234"/>
      <c r="S17" s="235"/>
      <c r="T17" s="235"/>
      <c r="U17" s="235"/>
      <c r="V17" s="235"/>
      <c r="W17" s="235"/>
      <c r="X17" s="235"/>
      <c r="Y17" s="235"/>
      <c r="Z17" s="236"/>
      <c r="AA17" s="245">
        <f>$D17*('버스비 및 수익'!$D$3-'버스비 및 수익'!$E$3)+$E17*'버스비 및 수익'!$D$4+캐릭터입력창!$F17*'버스비 및 수익'!$D$5+캐릭터입력창!$G17*'버스비 및 수익'!$D$6</f>
        <v>617</v>
      </c>
      <c r="AB17" s="246">
        <f>$H17*'버스비 및 수익'!$D$7+$I17*'버스비 및 수익'!$D$8+$J17*'버스비 및 수익'!$E$7*3+$K17*'버스비 및 수익'!$E$8*3+$L17*('버스비 및 수익'!$D$8-'버스비 및 수익'!$E$8)</f>
        <v>1100</v>
      </c>
      <c r="AC17" s="247">
        <f>$M17*'버스비 및 수익'!$D$10+캐릭터입력창!$N17*'버스비 및 수익'!$D$9+$O17*'버스비 및 수익'!$E$9+$P17*'버스비 및 수익'!$E$9*3+$Q17*('버스비 및 수익'!$D$9-'버스비 및 수익'!$E$9)</f>
        <v>800</v>
      </c>
      <c r="AD17" s="248">
        <f>$R17*'버스비 및 수익'!$D$11+$S17*'버스비 및 수익'!$D$12+캐릭터입력창!$T17*('버스비 및 수익'!$D$11-'버스비 및 수익'!$E$11)</f>
        <v>0</v>
      </c>
      <c r="AE17" s="248">
        <f>$U17*'버스비 및 수익'!$D$13+캐릭터입력창!$V17*'버스비 및 수익'!$D$14</f>
        <v>0</v>
      </c>
      <c r="AF17" s="248">
        <f>$W17*'버스비 및 수익'!$D$15</f>
        <v>0</v>
      </c>
      <c r="AG17" s="249">
        <f>$X17*'버스비 및 수익'!$D$16+캐릭터입력창!$Y17*('버스비 및 수익'!$D$16+'버스비 및 수익'!$D$17)+캐릭터입력창!$Z17*('버스비 및 수익'!$D$16+'버스비 및 수익'!$D$17+'버스비 및 수익'!$D$18)</f>
        <v>0</v>
      </c>
    </row>
    <row r="18" spans="1:33">
      <c r="A18" s="194" t="s">
        <v>133</v>
      </c>
      <c r="B18" s="195" t="s">
        <v>117</v>
      </c>
      <c r="C18" s="195">
        <v>1370</v>
      </c>
      <c r="D18" s="186">
        <v>1</v>
      </c>
      <c r="E18" s="187"/>
      <c r="F18" s="187"/>
      <c r="G18" s="188"/>
      <c r="H18" s="206"/>
      <c r="I18" s="207"/>
      <c r="J18" s="207"/>
      <c r="K18" s="207"/>
      <c r="L18" s="208">
        <v>1</v>
      </c>
      <c r="M18" s="220"/>
      <c r="N18" s="221"/>
      <c r="O18" s="221"/>
      <c r="P18" s="222"/>
      <c r="Q18" s="223">
        <v>1</v>
      </c>
      <c r="R18" s="234"/>
      <c r="S18" s="235"/>
      <c r="T18" s="235"/>
      <c r="U18" s="235"/>
      <c r="V18" s="235"/>
      <c r="W18" s="235"/>
      <c r="X18" s="235"/>
      <c r="Y18" s="235"/>
      <c r="Z18" s="236"/>
      <c r="AA18" s="245">
        <f>$D18*('버스비 및 수익'!$D$3-'버스비 및 수익'!$E$3)+$E18*'버스비 및 수익'!$D$4+캐릭터입력창!$F18*'버스비 및 수익'!$D$5+캐릭터입력창!$G18*'버스비 및 수익'!$D$6</f>
        <v>617</v>
      </c>
      <c r="AB18" s="246">
        <f>$H18*'버스비 및 수익'!$D$7+$I18*'버스비 및 수익'!$D$8+$J18*'버스비 및 수익'!$E$7*3+$K18*'버스비 및 수익'!$E$8*3+$L18*('버스비 및 수익'!$D$8-'버스비 및 수익'!$E$8)</f>
        <v>1100</v>
      </c>
      <c r="AC18" s="247">
        <f>$M18*'버스비 및 수익'!$D$10+캐릭터입력창!$N18*'버스비 및 수익'!$D$9+$O18*'버스비 및 수익'!$E$9+$P18*'버스비 및 수익'!$E$9*3+$Q18*('버스비 및 수익'!$D$9-'버스비 및 수익'!$E$9)</f>
        <v>800</v>
      </c>
      <c r="AD18" s="248">
        <f>$R18*'버스비 및 수익'!$D$11+$S18*'버스비 및 수익'!$D$12+캐릭터입력창!$T18*('버스비 및 수익'!$D$11-'버스비 및 수익'!$E$11)</f>
        <v>0</v>
      </c>
      <c r="AE18" s="248">
        <f>$U18*'버스비 및 수익'!$D$13+캐릭터입력창!$V18*'버스비 및 수익'!$D$14</f>
        <v>0</v>
      </c>
      <c r="AF18" s="248">
        <f>$W18*'버스비 및 수익'!$D$15</f>
        <v>0</v>
      </c>
      <c r="AG18" s="249">
        <f>$X18*'버스비 및 수익'!$D$16+캐릭터입력창!$Y18*('버스비 및 수익'!$D$16+'버스비 및 수익'!$D$17)+캐릭터입력창!$Z18*('버스비 및 수익'!$D$16+'버스비 및 수익'!$D$17+'버스비 및 수익'!$D$18)</f>
        <v>0</v>
      </c>
    </row>
    <row r="19" spans="1:33">
      <c r="A19" s="194" t="s">
        <v>134</v>
      </c>
      <c r="B19" s="195" t="s">
        <v>135</v>
      </c>
      <c r="C19" s="195">
        <v>1440</v>
      </c>
      <c r="D19" s="186"/>
      <c r="E19" s="187">
        <v>1</v>
      </c>
      <c r="F19" s="187"/>
      <c r="G19" s="188"/>
      <c r="H19" s="206"/>
      <c r="I19" s="207"/>
      <c r="J19" s="207"/>
      <c r="K19" s="207"/>
      <c r="L19" s="208"/>
      <c r="M19" s="220"/>
      <c r="N19" s="221">
        <v>1</v>
      </c>
      <c r="O19" s="221"/>
      <c r="P19" s="222"/>
      <c r="Q19" s="223"/>
      <c r="R19" s="234">
        <v>1</v>
      </c>
      <c r="S19" s="235"/>
      <c r="T19" s="235"/>
      <c r="U19" s="235">
        <v>1</v>
      </c>
      <c r="V19" s="235"/>
      <c r="W19" s="235"/>
      <c r="X19" s="235"/>
      <c r="Y19" s="235"/>
      <c r="Z19" s="236"/>
      <c r="AA19" s="245">
        <f>$D19*('버스비 및 수익'!$D$3-'버스비 및 수익'!$E$3)+$E19*'버스비 및 수익'!$D$4+캐릭터입력창!$F19*'버스비 및 수익'!$D$5+캐릭터입력창!$G19*'버스비 및 수익'!$D$6</f>
        <v>606</v>
      </c>
      <c r="AB19" s="246">
        <f>$H19*'버스비 및 수익'!$D$7+$I19*'버스비 및 수익'!$D$8+$J19*'버스비 및 수익'!$E$7*3+$K19*'버스비 및 수익'!$E$8*3+$L19*('버스비 및 수익'!$D$8-'버스비 및 수익'!$E$8)</f>
        <v>0</v>
      </c>
      <c r="AC19" s="247">
        <f>$M19*'버스비 및 수익'!$D$10+캐릭터입력창!$N19*'버스비 및 수익'!$D$9+$O19*'버스비 및 수익'!$E$9+$P19*'버스비 및 수익'!$E$9*3+$Q19*('버스비 및 수익'!$D$9-'버스비 및 수익'!$E$9)</f>
        <v>3300</v>
      </c>
      <c r="AD19" s="248">
        <f>$R19*'버스비 및 수익'!$D$11+$S19*'버스비 및 수익'!$D$12+캐릭터입력창!$T19*('버스비 및 수익'!$D$11-'버스비 및 수익'!$E$11)</f>
        <v>3300</v>
      </c>
      <c r="AE19" s="248">
        <f>$U19*'버스비 및 수익'!$D$13+캐릭터입력창!$V19*'버스비 및 수익'!$D$14</f>
        <v>3300</v>
      </c>
      <c r="AF19" s="248">
        <f>$W19*'버스비 및 수익'!$D$15</f>
        <v>0</v>
      </c>
      <c r="AG19" s="249">
        <f>$X19*'버스비 및 수익'!$D$16+캐릭터입력창!$Y19*('버스비 및 수익'!$D$16+'버스비 및 수익'!$D$17)+캐릭터입력창!$Z19*('버스비 및 수익'!$D$16+'버스비 및 수익'!$D$17+'버스비 및 수익'!$D$18)</f>
        <v>0</v>
      </c>
    </row>
    <row r="20" spans="1:33">
      <c r="A20" s="194" t="s">
        <v>136</v>
      </c>
      <c r="B20" s="195" t="s">
        <v>145</v>
      </c>
      <c r="C20" s="196">
        <v>1445</v>
      </c>
      <c r="D20" s="186">
        <v>1</v>
      </c>
      <c r="E20" s="187"/>
      <c r="F20" s="187"/>
      <c r="G20" s="188"/>
      <c r="H20" s="206"/>
      <c r="I20" s="207"/>
      <c r="J20" s="207"/>
      <c r="K20" s="207"/>
      <c r="L20" s="208"/>
      <c r="M20" s="220"/>
      <c r="N20" s="221"/>
      <c r="O20" s="221"/>
      <c r="P20" s="222"/>
      <c r="Q20" s="223">
        <v>1</v>
      </c>
      <c r="R20" s="234"/>
      <c r="S20" s="235"/>
      <c r="T20" s="235">
        <v>1</v>
      </c>
      <c r="U20" s="235"/>
      <c r="V20" s="235"/>
      <c r="W20" s="235"/>
      <c r="X20" s="235"/>
      <c r="Y20" s="235"/>
      <c r="Z20" s="236"/>
      <c r="AA20" s="245">
        <f>$D20*('버스비 및 수익'!$D$3-'버스비 및 수익'!$E$3)+$E20*'버스비 및 수익'!$D$4+캐릭터입력창!$F20*'버스비 및 수익'!$D$5+캐릭터입력창!$G20*'버스비 및 수익'!$D$6</f>
        <v>617</v>
      </c>
      <c r="AB20" s="246">
        <f>$H20*'버스비 및 수익'!$D$7+$I20*'버스비 및 수익'!$D$8+$J20*'버스비 및 수익'!$E$7*3+$K20*'버스비 및 수익'!$E$8*3+$L20*('버스비 및 수익'!$D$8-'버스비 및 수익'!$E$8)</f>
        <v>0</v>
      </c>
      <c r="AC20" s="247">
        <f>$M20*'버스비 및 수익'!$D$10+캐릭터입력창!$N20*'버스비 및 수익'!$D$9+$O20*'버스비 및 수익'!$E$9+$P20*'버스비 및 수익'!$E$9*3+$Q20*('버스비 및 수익'!$D$9-'버스비 및 수익'!$E$9)</f>
        <v>800</v>
      </c>
      <c r="AD20" s="248">
        <f>$R20*'버스비 및 수익'!$D$11+$S20*'버스비 및 수익'!$D$12+캐릭터입력창!$T20*('버스비 및 수익'!$D$11-'버스비 및 수익'!$E$11)</f>
        <v>1300</v>
      </c>
      <c r="AE20" s="248">
        <f>$U20*'버스비 및 수익'!$D$13+캐릭터입력창!$V20*'버스비 및 수익'!$D$14</f>
        <v>0</v>
      </c>
      <c r="AF20" s="248">
        <f>$W20*'버스비 및 수익'!$D$15</f>
        <v>0</v>
      </c>
      <c r="AG20" s="249">
        <f>$X20*'버스비 및 수익'!$D$16+캐릭터입력창!$Y20*('버스비 및 수익'!$D$16+'버스비 및 수익'!$D$17)+캐릭터입력창!$Z20*('버스비 및 수익'!$D$16+'버스비 및 수익'!$D$17+'버스비 및 수익'!$D$18)</f>
        <v>0</v>
      </c>
    </row>
    <row r="21" spans="1:33">
      <c r="A21" s="194" t="s">
        <v>137</v>
      </c>
      <c r="B21" s="195" t="s">
        <v>145</v>
      </c>
      <c r="C21" s="196">
        <v>1355</v>
      </c>
      <c r="D21" s="186">
        <v>1</v>
      </c>
      <c r="E21" s="187"/>
      <c r="F21" s="187"/>
      <c r="G21" s="188"/>
      <c r="H21" s="206"/>
      <c r="I21" s="207"/>
      <c r="J21" s="207">
        <v>1</v>
      </c>
      <c r="K21" s="207"/>
      <c r="L21" s="208"/>
      <c r="M21" s="220"/>
      <c r="N21" s="221"/>
      <c r="O21" s="221"/>
      <c r="P21" s="222"/>
      <c r="Q21" s="223"/>
      <c r="R21" s="234"/>
      <c r="S21" s="235"/>
      <c r="T21" s="235"/>
      <c r="U21" s="235"/>
      <c r="V21" s="235"/>
      <c r="W21" s="235"/>
      <c r="X21" s="235"/>
      <c r="Y21" s="235"/>
      <c r="Z21" s="236"/>
      <c r="AA21" s="245">
        <f>$D21*('버스비 및 수익'!$D$3-'버스비 및 수익'!$E$3)+$E21*'버스비 및 수익'!$D$4+캐릭터입력창!$F21*'버스비 및 수익'!$D$5+캐릭터입력창!$G21*'버스비 및 수익'!$D$6</f>
        <v>617</v>
      </c>
      <c r="AB21" s="246">
        <f>$H21*'버스비 및 수익'!$D$7+$I21*'버스비 및 수익'!$D$8+$J21*'버스비 및 수익'!$E$7*3+$K21*'버스비 및 수익'!$E$8*3+$L21*('버스비 및 수익'!$D$8-'버스비 및 수익'!$E$8)</f>
        <v>900</v>
      </c>
      <c r="AC21" s="247">
        <f>$M21*'버스비 및 수익'!$D$10+캐릭터입력창!$N21*'버스비 및 수익'!$D$9+$O21*'버스비 및 수익'!$E$9+$P21*'버스비 및 수익'!$E$9*3+$Q21*('버스비 및 수익'!$D$9-'버스비 및 수익'!$E$9)</f>
        <v>0</v>
      </c>
      <c r="AD21" s="248">
        <f>$R21*'버스비 및 수익'!$D$11+$S21*'버스비 및 수익'!$D$12+캐릭터입력창!$T21*('버스비 및 수익'!$D$11-'버스비 및 수익'!$E$11)</f>
        <v>0</v>
      </c>
      <c r="AE21" s="248">
        <f>$U21*'버스비 및 수익'!$D$13+캐릭터입력창!$V21*'버스비 및 수익'!$D$14</f>
        <v>0</v>
      </c>
      <c r="AF21" s="248">
        <f>$W21*'버스비 및 수익'!$D$15</f>
        <v>0</v>
      </c>
      <c r="AG21" s="249">
        <f>$X21*'버스비 및 수익'!$D$16+캐릭터입력창!$Y21*('버스비 및 수익'!$D$16+'버스비 및 수익'!$D$17)+캐릭터입력창!$Z21*('버스비 및 수익'!$D$16+'버스비 및 수익'!$D$17+'버스비 및 수익'!$D$18)</f>
        <v>0</v>
      </c>
    </row>
    <row r="22" spans="1:33">
      <c r="A22" s="194" t="s">
        <v>138</v>
      </c>
      <c r="B22" s="195" t="s">
        <v>145</v>
      </c>
      <c r="C22" s="196">
        <v>1355</v>
      </c>
      <c r="D22" s="186">
        <v>1</v>
      </c>
      <c r="E22" s="187"/>
      <c r="F22" s="187"/>
      <c r="G22" s="188"/>
      <c r="H22" s="206"/>
      <c r="I22" s="207"/>
      <c r="J22" s="207">
        <v>1</v>
      </c>
      <c r="K22" s="207"/>
      <c r="L22" s="208"/>
      <c r="M22" s="220"/>
      <c r="N22" s="221"/>
      <c r="O22" s="221"/>
      <c r="P22" s="222"/>
      <c r="Q22" s="223"/>
      <c r="R22" s="234"/>
      <c r="S22" s="235"/>
      <c r="T22" s="235"/>
      <c r="U22" s="235"/>
      <c r="V22" s="235"/>
      <c r="W22" s="235"/>
      <c r="X22" s="235"/>
      <c r="Y22" s="235"/>
      <c r="Z22" s="236"/>
      <c r="AA22" s="245">
        <f>$D22*('버스비 및 수익'!$D$3-'버스비 및 수익'!$E$3)+$E22*'버스비 및 수익'!$D$4+캐릭터입력창!$F22*'버스비 및 수익'!$D$5+캐릭터입력창!$G22*'버스비 및 수익'!$D$6</f>
        <v>617</v>
      </c>
      <c r="AB22" s="246">
        <f>$H22*'버스비 및 수익'!$D$7+$I22*'버스비 및 수익'!$D$8+$J22*'버스비 및 수익'!$E$7*3+$K22*'버스비 및 수익'!$E$8*3+$L22*('버스비 및 수익'!$D$8-'버스비 및 수익'!$E$8)</f>
        <v>900</v>
      </c>
      <c r="AC22" s="247">
        <f>$M22*'버스비 및 수익'!$D$10+캐릭터입력창!$N22*'버스비 및 수익'!$D$9+$O22*'버스비 및 수익'!$E$9+$P22*'버스비 및 수익'!$E$9*3+$Q22*('버스비 및 수익'!$D$9-'버스비 및 수익'!$E$9)</f>
        <v>0</v>
      </c>
      <c r="AD22" s="248">
        <f>$R22*'버스비 및 수익'!$D$11+$S22*'버스비 및 수익'!$D$12+캐릭터입력창!$T22*('버스비 및 수익'!$D$11-'버스비 및 수익'!$E$11)</f>
        <v>0</v>
      </c>
      <c r="AE22" s="248">
        <f>$U22*'버스비 및 수익'!$D$13+캐릭터입력창!$V22*'버스비 및 수익'!$D$14</f>
        <v>0</v>
      </c>
      <c r="AF22" s="248">
        <f>$W22*'버스비 및 수익'!$D$15</f>
        <v>0</v>
      </c>
      <c r="AG22" s="249">
        <f>$X22*'버스비 및 수익'!$D$16+캐릭터입력창!$Y22*('버스비 및 수익'!$D$16+'버스비 및 수익'!$D$17)+캐릭터입력창!$Z22*('버스비 및 수익'!$D$16+'버스비 및 수익'!$D$17+'버스비 및 수익'!$D$18)</f>
        <v>0</v>
      </c>
    </row>
    <row r="23" spans="1:33">
      <c r="A23" s="194" t="s">
        <v>139</v>
      </c>
      <c r="B23" s="195" t="s">
        <v>145</v>
      </c>
      <c r="C23" s="196">
        <v>1355</v>
      </c>
      <c r="D23" s="186">
        <v>1</v>
      </c>
      <c r="E23" s="187"/>
      <c r="F23" s="187"/>
      <c r="G23" s="188"/>
      <c r="H23" s="206"/>
      <c r="I23" s="207"/>
      <c r="J23" s="207">
        <v>1</v>
      </c>
      <c r="K23" s="207"/>
      <c r="L23" s="208"/>
      <c r="M23" s="220"/>
      <c r="N23" s="221"/>
      <c r="O23" s="221"/>
      <c r="P23" s="222"/>
      <c r="Q23" s="223"/>
      <c r="R23" s="234"/>
      <c r="S23" s="235"/>
      <c r="T23" s="235"/>
      <c r="U23" s="235"/>
      <c r="V23" s="235"/>
      <c r="W23" s="235"/>
      <c r="X23" s="235"/>
      <c r="Y23" s="235"/>
      <c r="Z23" s="236"/>
      <c r="AA23" s="245">
        <f>$D23*('버스비 및 수익'!$D$3-'버스비 및 수익'!$E$3)+$E23*'버스비 및 수익'!$D$4+캐릭터입력창!$F23*'버스비 및 수익'!$D$5+캐릭터입력창!$G23*'버스비 및 수익'!$D$6</f>
        <v>617</v>
      </c>
      <c r="AB23" s="246">
        <f>$H23*'버스비 및 수익'!$D$7+$I23*'버스비 및 수익'!$D$8+$J23*'버스비 및 수익'!$E$7*3+$K23*'버스비 및 수익'!$E$8*3+$L23*('버스비 및 수익'!$D$8-'버스비 및 수익'!$E$8)</f>
        <v>900</v>
      </c>
      <c r="AC23" s="247">
        <f>$M23*'버스비 및 수익'!$D$10+캐릭터입력창!$N23*'버스비 및 수익'!$D$9+$O23*'버스비 및 수익'!$E$9+$P23*'버스비 및 수익'!$E$9*3+$Q23*('버스비 및 수익'!$D$9-'버스비 및 수익'!$E$9)</f>
        <v>0</v>
      </c>
      <c r="AD23" s="248">
        <f>$R23*'버스비 및 수익'!$D$11+$S23*'버스비 및 수익'!$D$12+캐릭터입력창!$T23*('버스비 및 수익'!$D$11-'버스비 및 수익'!$E$11)</f>
        <v>0</v>
      </c>
      <c r="AE23" s="248">
        <f>$U23*'버스비 및 수익'!$D$13+캐릭터입력창!$V23*'버스비 및 수익'!$D$14</f>
        <v>0</v>
      </c>
      <c r="AF23" s="248">
        <f>$W23*'버스비 및 수익'!$D$15</f>
        <v>0</v>
      </c>
      <c r="AG23" s="249">
        <f>$X23*'버스비 및 수익'!$D$16+캐릭터입력창!$Y23*('버스비 및 수익'!$D$16+'버스비 및 수익'!$D$17)+캐릭터입력창!$Z23*('버스비 및 수익'!$D$16+'버스비 및 수익'!$D$17+'버스비 및 수익'!$D$18)</f>
        <v>0</v>
      </c>
    </row>
    <row r="24" spans="1:33">
      <c r="A24" s="194" t="s">
        <v>140</v>
      </c>
      <c r="B24" s="195" t="s">
        <v>145</v>
      </c>
      <c r="C24" s="196">
        <v>1355</v>
      </c>
      <c r="D24" s="186">
        <v>1</v>
      </c>
      <c r="E24" s="187"/>
      <c r="F24" s="187"/>
      <c r="G24" s="188"/>
      <c r="H24" s="206"/>
      <c r="I24" s="207"/>
      <c r="J24" s="207">
        <v>1</v>
      </c>
      <c r="K24" s="207"/>
      <c r="L24" s="208"/>
      <c r="M24" s="220"/>
      <c r="N24" s="221"/>
      <c r="O24" s="221"/>
      <c r="P24" s="222"/>
      <c r="Q24" s="223"/>
      <c r="R24" s="234"/>
      <c r="S24" s="235"/>
      <c r="T24" s="235"/>
      <c r="U24" s="235"/>
      <c r="V24" s="235"/>
      <c r="W24" s="235"/>
      <c r="X24" s="235"/>
      <c r="Y24" s="235"/>
      <c r="Z24" s="236"/>
      <c r="AA24" s="245">
        <f>$D24*('버스비 및 수익'!$D$3-'버스비 및 수익'!$E$3)+$E24*'버스비 및 수익'!$D$4+캐릭터입력창!$F24*'버스비 및 수익'!$D$5+캐릭터입력창!$G24*'버스비 및 수익'!$D$6</f>
        <v>617</v>
      </c>
      <c r="AB24" s="246">
        <f>$H24*'버스비 및 수익'!$D$7+$I24*'버스비 및 수익'!$D$8+$J24*'버스비 및 수익'!$E$7*3+$K24*'버스비 및 수익'!$E$8*3+$L24*('버스비 및 수익'!$D$8-'버스비 및 수익'!$E$8)</f>
        <v>900</v>
      </c>
      <c r="AC24" s="247">
        <f>$M24*'버스비 및 수익'!$D$10+캐릭터입력창!$N24*'버스비 및 수익'!$D$9+$O24*'버스비 및 수익'!$E$9+$P24*'버스비 및 수익'!$E$9*3+$Q24*('버스비 및 수익'!$D$9-'버스비 및 수익'!$E$9)</f>
        <v>0</v>
      </c>
      <c r="AD24" s="248">
        <f>$R24*'버스비 및 수익'!$D$11+$S24*'버스비 및 수익'!$D$12+캐릭터입력창!$T24*('버스비 및 수익'!$D$11-'버스비 및 수익'!$E$11)</f>
        <v>0</v>
      </c>
      <c r="AE24" s="248">
        <f>$U24*'버스비 및 수익'!$D$13+캐릭터입력창!$V24*'버스비 및 수익'!$D$14</f>
        <v>0</v>
      </c>
      <c r="AF24" s="248">
        <f>$W24*'버스비 및 수익'!$D$15</f>
        <v>0</v>
      </c>
      <c r="AG24" s="249">
        <f>$X24*'버스비 및 수익'!$D$16+캐릭터입력창!$Y24*('버스비 및 수익'!$D$16+'버스비 및 수익'!$D$17)+캐릭터입력창!$Z24*('버스비 및 수익'!$D$16+'버스비 및 수익'!$D$17+'버스비 및 수익'!$D$18)</f>
        <v>0</v>
      </c>
    </row>
    <row r="25" spans="1:33">
      <c r="A25" s="194" t="s">
        <v>141</v>
      </c>
      <c r="B25" s="195" t="s">
        <v>145</v>
      </c>
      <c r="C25" s="196">
        <v>1355</v>
      </c>
      <c r="D25" s="186">
        <v>1</v>
      </c>
      <c r="E25" s="187"/>
      <c r="F25" s="187"/>
      <c r="G25" s="188"/>
      <c r="H25" s="206"/>
      <c r="I25" s="207"/>
      <c r="J25" s="207">
        <v>1</v>
      </c>
      <c r="K25" s="207"/>
      <c r="L25" s="208"/>
      <c r="M25" s="220"/>
      <c r="N25" s="221"/>
      <c r="O25" s="221"/>
      <c r="P25" s="222"/>
      <c r="Q25" s="223"/>
      <c r="R25" s="234"/>
      <c r="S25" s="235"/>
      <c r="T25" s="235"/>
      <c r="U25" s="235"/>
      <c r="V25" s="235"/>
      <c r="W25" s="235"/>
      <c r="X25" s="235"/>
      <c r="Y25" s="235"/>
      <c r="Z25" s="236"/>
      <c r="AA25" s="245">
        <f>$D25*('버스비 및 수익'!$D$3-'버스비 및 수익'!$E$3)+$E25*'버스비 및 수익'!$D$4+캐릭터입력창!$F25*'버스비 및 수익'!$D$5+캐릭터입력창!$G25*'버스비 및 수익'!$D$6</f>
        <v>617</v>
      </c>
      <c r="AB25" s="246">
        <f>$H25*'버스비 및 수익'!$D$7+$I25*'버스비 및 수익'!$D$8+$J25*'버스비 및 수익'!$E$7*3+$K25*'버스비 및 수익'!$E$8*3+$L25*('버스비 및 수익'!$D$8-'버스비 및 수익'!$E$8)</f>
        <v>900</v>
      </c>
      <c r="AC25" s="247">
        <f>$M25*'버스비 및 수익'!$D$10+캐릭터입력창!$N25*'버스비 및 수익'!$D$9+$O25*'버스비 및 수익'!$E$9+$P25*'버스비 및 수익'!$E$9*3+$Q25*('버스비 및 수익'!$D$9-'버스비 및 수익'!$E$9)</f>
        <v>0</v>
      </c>
      <c r="AD25" s="248">
        <f>$R25*'버스비 및 수익'!$D$11+$S25*'버스비 및 수익'!$D$12+캐릭터입력창!$T25*('버스비 및 수익'!$D$11-'버스비 및 수익'!$E$11)</f>
        <v>0</v>
      </c>
      <c r="AE25" s="248">
        <f>$U25*'버스비 및 수익'!$D$13+캐릭터입력창!$V25*'버스비 및 수익'!$D$14</f>
        <v>0</v>
      </c>
      <c r="AF25" s="248">
        <f>$W25*'버스비 및 수익'!$D$15</f>
        <v>0</v>
      </c>
      <c r="AG25" s="249">
        <f>$X25*'버스비 및 수익'!$D$16+캐릭터입력창!$Y25*('버스비 및 수익'!$D$16+'버스비 및 수익'!$D$17)+캐릭터입력창!$Z25*('버스비 및 수익'!$D$16+'버스비 및 수익'!$D$17+'버스비 및 수익'!$D$18)</f>
        <v>0</v>
      </c>
    </row>
    <row r="26" spans="1:33">
      <c r="A26" s="194" t="s">
        <v>142</v>
      </c>
      <c r="B26" s="195" t="s">
        <v>145</v>
      </c>
      <c r="C26" s="196">
        <v>1355</v>
      </c>
      <c r="D26" s="186">
        <v>1</v>
      </c>
      <c r="E26" s="187"/>
      <c r="F26" s="187"/>
      <c r="G26" s="188"/>
      <c r="H26" s="206"/>
      <c r="I26" s="207"/>
      <c r="J26" s="207">
        <v>1</v>
      </c>
      <c r="K26" s="207"/>
      <c r="L26" s="208"/>
      <c r="M26" s="220"/>
      <c r="N26" s="221"/>
      <c r="O26" s="221"/>
      <c r="P26" s="222"/>
      <c r="Q26" s="223"/>
      <c r="R26" s="234"/>
      <c r="S26" s="235"/>
      <c r="T26" s="235"/>
      <c r="U26" s="235"/>
      <c r="V26" s="235"/>
      <c r="W26" s="235"/>
      <c r="X26" s="235"/>
      <c r="Y26" s="235"/>
      <c r="Z26" s="236"/>
      <c r="AA26" s="245">
        <f>$D26*('버스비 및 수익'!$D$3-'버스비 및 수익'!$E$3)+$E26*'버스비 및 수익'!$D$4+캐릭터입력창!$F26*'버스비 및 수익'!$D$5+캐릭터입력창!$G26*'버스비 및 수익'!$D$6</f>
        <v>617</v>
      </c>
      <c r="AB26" s="246">
        <f>$H26*'버스비 및 수익'!$D$7+$I26*'버스비 및 수익'!$D$8+$J26*'버스비 및 수익'!$E$7*3+$K26*'버스비 및 수익'!$E$8*3+$L26*('버스비 및 수익'!$D$8-'버스비 및 수익'!$E$8)</f>
        <v>900</v>
      </c>
      <c r="AC26" s="247">
        <f>$M26*'버스비 및 수익'!$D$10+캐릭터입력창!$N26*'버스비 및 수익'!$D$9+$O26*'버스비 및 수익'!$E$9+$P26*'버스비 및 수익'!$E$9*3+$Q26*('버스비 및 수익'!$D$9-'버스비 및 수익'!$E$9)</f>
        <v>0</v>
      </c>
      <c r="AD26" s="248">
        <f>$R26*'버스비 및 수익'!$D$11+$S26*'버스비 및 수익'!$D$12+캐릭터입력창!$T26*('버스비 및 수익'!$D$11-'버스비 및 수익'!$E$11)</f>
        <v>0</v>
      </c>
      <c r="AE26" s="248">
        <f>$U26*'버스비 및 수익'!$D$13+캐릭터입력창!$V26*'버스비 및 수익'!$D$14</f>
        <v>0</v>
      </c>
      <c r="AF26" s="248">
        <f>$W26*'버스비 및 수익'!$D$15</f>
        <v>0</v>
      </c>
      <c r="AG26" s="249">
        <f>$X26*'버스비 및 수익'!$D$16+캐릭터입력창!$Y26*('버스비 및 수익'!$D$16+'버스비 및 수익'!$D$17)+캐릭터입력창!$Z26*('버스비 및 수익'!$D$16+'버스비 및 수익'!$D$17+'버스비 및 수익'!$D$18)</f>
        <v>0</v>
      </c>
    </row>
    <row r="27" spans="1:33">
      <c r="A27" s="194" t="s">
        <v>143</v>
      </c>
      <c r="B27" s="195" t="s">
        <v>145</v>
      </c>
      <c r="C27" s="196">
        <v>1355</v>
      </c>
      <c r="D27" s="186">
        <v>1</v>
      </c>
      <c r="E27" s="187"/>
      <c r="F27" s="187"/>
      <c r="G27" s="188"/>
      <c r="H27" s="206"/>
      <c r="I27" s="207"/>
      <c r="J27" s="207">
        <v>1</v>
      </c>
      <c r="K27" s="207"/>
      <c r="L27" s="208"/>
      <c r="M27" s="220"/>
      <c r="N27" s="221"/>
      <c r="O27" s="221"/>
      <c r="P27" s="222"/>
      <c r="Q27" s="223"/>
      <c r="R27" s="234"/>
      <c r="S27" s="235"/>
      <c r="T27" s="235"/>
      <c r="U27" s="235"/>
      <c r="V27" s="235"/>
      <c r="W27" s="235"/>
      <c r="X27" s="235"/>
      <c r="Y27" s="235"/>
      <c r="Z27" s="236"/>
      <c r="AA27" s="245">
        <f>$D27*('버스비 및 수익'!$D$3-'버스비 및 수익'!$E$3)+$E27*'버스비 및 수익'!$D$4+캐릭터입력창!$F27*'버스비 및 수익'!$D$5+캐릭터입력창!$G27*'버스비 및 수익'!$D$6</f>
        <v>617</v>
      </c>
      <c r="AB27" s="246">
        <f>$H27*'버스비 및 수익'!$D$7+$I27*'버스비 및 수익'!$D$8+$J27*'버스비 및 수익'!$E$7*3+$K27*'버스비 및 수익'!$E$8*3+$L27*('버스비 및 수익'!$D$8-'버스비 및 수익'!$E$8)</f>
        <v>900</v>
      </c>
      <c r="AC27" s="247">
        <f>$M27*'버스비 및 수익'!$D$10+캐릭터입력창!$N27*'버스비 및 수익'!$D$9+$O27*'버스비 및 수익'!$E$9+$P27*'버스비 및 수익'!$E$9*3+$Q27*('버스비 및 수익'!$D$9-'버스비 및 수익'!$E$9)</f>
        <v>0</v>
      </c>
      <c r="AD27" s="248">
        <f>$R27*'버스비 및 수익'!$D$11+$S27*'버스비 및 수익'!$D$12+캐릭터입력창!$T27*('버스비 및 수익'!$D$11-'버스비 및 수익'!$E$11)</f>
        <v>0</v>
      </c>
      <c r="AE27" s="248">
        <f>$U27*'버스비 및 수익'!$D$13+캐릭터입력창!$V27*'버스비 및 수익'!$D$14</f>
        <v>0</v>
      </c>
      <c r="AF27" s="248">
        <f>$W27*'버스비 및 수익'!$D$15</f>
        <v>0</v>
      </c>
      <c r="AG27" s="249">
        <f>$X27*'버스비 및 수익'!$D$16+캐릭터입력창!$Y27*('버스비 및 수익'!$D$16+'버스비 및 수익'!$D$17)+캐릭터입력창!$Z27*('버스비 및 수익'!$D$16+'버스비 및 수익'!$D$17+'버스비 및 수익'!$D$18)</f>
        <v>0</v>
      </c>
    </row>
    <row r="28" spans="1:33">
      <c r="A28" s="194" t="s">
        <v>144</v>
      </c>
      <c r="B28" s="195" t="s">
        <v>145</v>
      </c>
      <c r="C28" s="196">
        <v>1355</v>
      </c>
      <c r="D28" s="186">
        <v>1</v>
      </c>
      <c r="E28" s="187"/>
      <c r="F28" s="187"/>
      <c r="G28" s="188"/>
      <c r="H28" s="206"/>
      <c r="I28" s="207"/>
      <c r="J28" s="207">
        <v>1</v>
      </c>
      <c r="K28" s="207"/>
      <c r="L28" s="208"/>
      <c r="M28" s="220"/>
      <c r="N28" s="221"/>
      <c r="O28" s="221"/>
      <c r="P28" s="222"/>
      <c r="Q28" s="223"/>
      <c r="R28" s="234"/>
      <c r="S28" s="235"/>
      <c r="T28" s="235"/>
      <c r="U28" s="235"/>
      <c r="V28" s="235"/>
      <c r="W28" s="235"/>
      <c r="X28" s="235"/>
      <c r="Y28" s="235"/>
      <c r="Z28" s="236"/>
      <c r="AA28" s="245">
        <f>$D28*('버스비 및 수익'!$D$3-'버스비 및 수익'!$E$3)+$E28*'버스비 및 수익'!$D$4+캐릭터입력창!$F28*'버스비 및 수익'!$D$5+캐릭터입력창!$G28*'버스비 및 수익'!$D$6</f>
        <v>617</v>
      </c>
      <c r="AB28" s="246">
        <f>$H28*'버스비 및 수익'!$D$7+$I28*'버스비 및 수익'!$D$8+$J28*'버스비 및 수익'!$E$7*3+$K28*'버스비 및 수익'!$E$8*3+$L28*('버스비 및 수익'!$D$8-'버스비 및 수익'!$E$8)</f>
        <v>900</v>
      </c>
      <c r="AC28" s="247">
        <f>$M28*'버스비 및 수익'!$D$10+캐릭터입력창!$N28*'버스비 및 수익'!$D$9+$O28*'버스비 및 수익'!$E$9+$P28*'버스비 및 수익'!$E$9*3+$Q28*('버스비 및 수익'!$D$9-'버스비 및 수익'!$E$9)</f>
        <v>0</v>
      </c>
      <c r="AD28" s="248">
        <f>$R28*'버스비 및 수익'!$D$11+$S28*'버스비 및 수익'!$D$12+캐릭터입력창!$T28*('버스비 및 수익'!$D$11-'버스비 및 수익'!$E$11)</f>
        <v>0</v>
      </c>
      <c r="AE28" s="248">
        <f>$U28*'버스비 및 수익'!$D$13+캐릭터입력창!$V28*'버스비 및 수익'!$D$14</f>
        <v>0</v>
      </c>
      <c r="AF28" s="248">
        <f>$W28*'버스비 및 수익'!$D$15</f>
        <v>0</v>
      </c>
      <c r="AG28" s="249">
        <f>$X28*'버스비 및 수익'!$D$16+캐릭터입력창!$Y28*('버스비 및 수익'!$D$16+'버스비 및 수익'!$D$17)+캐릭터입력창!$Z28*('버스비 및 수익'!$D$16+'버스비 및 수익'!$D$17+'버스비 및 수익'!$D$18)</f>
        <v>0</v>
      </c>
    </row>
    <row r="29" spans="1:33">
      <c r="A29" s="194"/>
      <c r="B29" s="195"/>
      <c r="C29" s="196"/>
      <c r="D29" s="186"/>
      <c r="E29" s="187"/>
      <c r="F29" s="187"/>
      <c r="G29" s="188"/>
      <c r="H29" s="206"/>
      <c r="I29" s="207"/>
      <c r="J29" s="207"/>
      <c r="K29" s="207"/>
      <c r="L29" s="208"/>
      <c r="M29" s="220"/>
      <c r="N29" s="221"/>
      <c r="O29" s="221"/>
      <c r="P29" s="222"/>
      <c r="Q29" s="223"/>
      <c r="R29" s="234"/>
      <c r="S29" s="235"/>
      <c r="T29" s="235"/>
      <c r="U29" s="235"/>
      <c r="V29" s="235"/>
      <c r="W29" s="235"/>
      <c r="X29" s="235"/>
      <c r="Y29" s="235"/>
      <c r="Z29" s="236"/>
      <c r="AA29" s="245">
        <f>$D29*('버스비 및 수익'!$D$3-'버스비 및 수익'!$E$3)+$E29*'버스비 및 수익'!$D$4+캐릭터입력창!$F29*'버스비 및 수익'!$D$5+캐릭터입력창!$G29*'버스비 및 수익'!$D$6</f>
        <v>0</v>
      </c>
      <c r="AB29" s="246">
        <f>$H29*'버스비 및 수익'!$D$7+$I29*'버스비 및 수익'!$D$8+$J29*'버스비 및 수익'!$E$7*3+$K29*'버스비 및 수익'!$E$8*3+$L29*('버스비 및 수익'!$D$8-'버스비 및 수익'!$E$8)</f>
        <v>0</v>
      </c>
      <c r="AC29" s="247">
        <f>$M29*'버스비 및 수익'!$D$10+캐릭터입력창!$N29*'버스비 및 수익'!$D$9+$O29*'버스비 및 수익'!$E$9+$P29*'버스비 및 수익'!$E$9*3+$Q29*('버스비 및 수익'!$D$9-'버스비 및 수익'!$E$9)</f>
        <v>0</v>
      </c>
      <c r="AD29" s="248">
        <f>$R29*'버스비 및 수익'!$D$11+$S29*'버스비 및 수익'!$D$12+캐릭터입력창!$T29*('버스비 및 수익'!$D$11-'버스비 및 수익'!$E$11)</f>
        <v>0</v>
      </c>
      <c r="AE29" s="248">
        <f>$U29*'버스비 및 수익'!$D$13+캐릭터입력창!$V29*'버스비 및 수익'!$D$14</f>
        <v>0</v>
      </c>
      <c r="AF29" s="248">
        <f>$W29*'버스비 및 수익'!$D$15</f>
        <v>0</v>
      </c>
      <c r="AG29" s="249">
        <f>$X29*'버스비 및 수익'!$D$16+캐릭터입력창!$Y29*('버스비 및 수익'!$D$16+'버스비 및 수익'!$D$17)+캐릭터입력창!$Z29*('버스비 및 수익'!$D$16+'버스비 및 수익'!$D$17+'버스비 및 수익'!$D$18)</f>
        <v>0</v>
      </c>
    </row>
    <row r="30" spans="1:33">
      <c r="A30" s="194"/>
      <c r="B30" s="195"/>
      <c r="C30" s="196"/>
      <c r="D30" s="186"/>
      <c r="E30" s="187"/>
      <c r="F30" s="187"/>
      <c r="G30" s="188"/>
      <c r="H30" s="206"/>
      <c r="I30" s="207"/>
      <c r="J30" s="207"/>
      <c r="K30" s="207"/>
      <c r="L30" s="208"/>
      <c r="M30" s="220"/>
      <c r="N30" s="221"/>
      <c r="O30" s="221"/>
      <c r="P30" s="222"/>
      <c r="Q30" s="223"/>
      <c r="R30" s="234"/>
      <c r="S30" s="235"/>
      <c r="T30" s="235"/>
      <c r="U30" s="235"/>
      <c r="V30" s="235"/>
      <c r="W30" s="235"/>
      <c r="X30" s="235"/>
      <c r="Y30" s="235"/>
      <c r="Z30" s="236"/>
      <c r="AA30" s="245">
        <f>$D30*('버스비 및 수익'!$D$3-'버스비 및 수익'!$E$3)+$E30*'버스비 및 수익'!$D$4+캐릭터입력창!$F30*'버스비 및 수익'!$D$5+캐릭터입력창!$G30*'버스비 및 수익'!$D$6</f>
        <v>0</v>
      </c>
      <c r="AB30" s="246">
        <f>$H30*'버스비 및 수익'!$D$7+$I30*'버스비 및 수익'!$D$8+$J30*'버스비 및 수익'!$E$7*3+$K30*'버스비 및 수익'!$E$8*3+$L30*('버스비 및 수익'!$D$8-'버스비 및 수익'!$E$8)</f>
        <v>0</v>
      </c>
      <c r="AC30" s="247">
        <f>$M30*'버스비 및 수익'!$D$10+캐릭터입력창!$N30*'버스비 및 수익'!$D$9+$O30*'버스비 및 수익'!$E$9+$P30*'버스비 및 수익'!$E$9*3+$Q30*('버스비 및 수익'!$D$9-'버스비 및 수익'!$E$9)</f>
        <v>0</v>
      </c>
      <c r="AD30" s="248">
        <f>$R30*'버스비 및 수익'!$D$11+$S30*'버스비 및 수익'!$D$12+캐릭터입력창!$T30*('버스비 및 수익'!$D$11-'버스비 및 수익'!$E$11)</f>
        <v>0</v>
      </c>
      <c r="AE30" s="248">
        <f>$U30*'버스비 및 수익'!$D$13+캐릭터입력창!$V30*'버스비 및 수익'!$D$14</f>
        <v>0</v>
      </c>
      <c r="AF30" s="248">
        <f>$W30*'버스비 및 수익'!$D$15</f>
        <v>0</v>
      </c>
      <c r="AG30" s="249">
        <f>$X30*'버스비 및 수익'!$D$16+캐릭터입력창!$Y30*('버스비 및 수익'!$D$16+'버스비 및 수익'!$D$17)+캐릭터입력창!$Z30*('버스비 및 수익'!$D$16+'버스비 및 수익'!$D$17+'버스비 및 수익'!$D$18)</f>
        <v>0</v>
      </c>
    </row>
    <row r="31" spans="1:33">
      <c r="A31" s="194"/>
      <c r="B31" s="195"/>
      <c r="C31" s="196"/>
      <c r="D31" s="186"/>
      <c r="E31" s="187"/>
      <c r="F31" s="187"/>
      <c r="G31" s="188"/>
      <c r="H31" s="206"/>
      <c r="I31" s="207"/>
      <c r="J31" s="207"/>
      <c r="K31" s="207"/>
      <c r="L31" s="208"/>
      <c r="M31" s="220"/>
      <c r="N31" s="221"/>
      <c r="O31" s="221"/>
      <c r="P31" s="222"/>
      <c r="Q31" s="223"/>
      <c r="R31" s="234"/>
      <c r="S31" s="235"/>
      <c r="T31" s="235"/>
      <c r="U31" s="235"/>
      <c r="V31" s="235"/>
      <c r="W31" s="235"/>
      <c r="X31" s="235"/>
      <c r="Y31" s="235"/>
      <c r="Z31" s="236"/>
      <c r="AA31" s="245">
        <f>$D31*('버스비 및 수익'!$D$3-'버스비 및 수익'!$E$3)+$E31*'버스비 및 수익'!$D$4+캐릭터입력창!$F31*'버스비 및 수익'!$D$5+캐릭터입력창!$G31*'버스비 및 수익'!$D$6</f>
        <v>0</v>
      </c>
      <c r="AB31" s="246">
        <f>$H31*'버스비 및 수익'!$D$7+$I31*'버스비 및 수익'!$D$8+$J31*'버스비 및 수익'!$E$7*3+$K31*'버스비 및 수익'!$E$8*3+$L31*('버스비 및 수익'!$D$8-'버스비 및 수익'!$E$8)</f>
        <v>0</v>
      </c>
      <c r="AC31" s="247">
        <f>$M31*'버스비 및 수익'!$D$10+캐릭터입력창!$N31*'버스비 및 수익'!$D$9+$O31*'버스비 및 수익'!$E$9+$P31*'버스비 및 수익'!$E$9*3+$Q31*('버스비 및 수익'!$D$9-'버스비 및 수익'!$E$9)</f>
        <v>0</v>
      </c>
      <c r="AD31" s="248">
        <f>$R31*'버스비 및 수익'!$D$11+$S31*'버스비 및 수익'!$D$12+캐릭터입력창!$T31*('버스비 및 수익'!$D$11-'버스비 및 수익'!$E$11)</f>
        <v>0</v>
      </c>
      <c r="AE31" s="248">
        <f>$U31*'버스비 및 수익'!$D$13+캐릭터입력창!$V31*'버스비 및 수익'!$D$14</f>
        <v>0</v>
      </c>
      <c r="AF31" s="248">
        <f>$W31*'버스비 및 수익'!$D$15</f>
        <v>0</v>
      </c>
      <c r="AG31" s="249">
        <f>$X31*'버스비 및 수익'!$D$16+캐릭터입력창!$Y31*('버스비 및 수익'!$D$16+'버스비 및 수익'!$D$17)+캐릭터입력창!$Z31*('버스비 및 수익'!$D$16+'버스비 및 수익'!$D$17+'버스비 및 수익'!$D$18)</f>
        <v>0</v>
      </c>
    </row>
    <row r="32" spans="1:33">
      <c r="A32" s="194"/>
      <c r="B32" s="195"/>
      <c r="C32" s="196"/>
      <c r="D32" s="186"/>
      <c r="E32" s="187"/>
      <c r="F32" s="187"/>
      <c r="G32" s="188"/>
      <c r="H32" s="206"/>
      <c r="I32" s="207"/>
      <c r="J32" s="207"/>
      <c r="K32" s="207"/>
      <c r="L32" s="208"/>
      <c r="M32" s="220"/>
      <c r="N32" s="221"/>
      <c r="O32" s="221"/>
      <c r="P32" s="222"/>
      <c r="Q32" s="223"/>
      <c r="R32" s="234"/>
      <c r="S32" s="235"/>
      <c r="T32" s="235"/>
      <c r="U32" s="235"/>
      <c r="V32" s="235"/>
      <c r="W32" s="235"/>
      <c r="X32" s="235"/>
      <c r="Y32" s="235"/>
      <c r="Z32" s="236"/>
      <c r="AA32" s="245">
        <f>$D32*('버스비 및 수익'!$D$3-'버스비 및 수익'!$E$3)+$E32*'버스비 및 수익'!$D$4+캐릭터입력창!$F32*'버스비 및 수익'!$D$5+캐릭터입력창!$G32*'버스비 및 수익'!$D$6</f>
        <v>0</v>
      </c>
      <c r="AB32" s="246">
        <f>$H32*'버스비 및 수익'!$D$7+$I32*'버스비 및 수익'!$D$8+$J32*'버스비 및 수익'!$E$7*3+$K32*'버스비 및 수익'!$E$8*3+$L32*('버스비 및 수익'!$D$8-'버스비 및 수익'!$E$8)</f>
        <v>0</v>
      </c>
      <c r="AC32" s="247">
        <f>$M32*'버스비 및 수익'!$D$10+캐릭터입력창!$N32*'버스비 및 수익'!$D$9+$O32*'버스비 및 수익'!$E$9+$P32*'버스비 및 수익'!$E$9*3+$Q32*('버스비 및 수익'!$D$9-'버스비 및 수익'!$E$9)</f>
        <v>0</v>
      </c>
      <c r="AD32" s="248">
        <f>$R32*'버스비 및 수익'!$D$11+$S32*'버스비 및 수익'!$D$12+캐릭터입력창!$T32*('버스비 및 수익'!$D$11-'버스비 및 수익'!$E$11)</f>
        <v>0</v>
      </c>
      <c r="AE32" s="248">
        <f>$U32*'버스비 및 수익'!$D$13+캐릭터입력창!$V32*'버스비 및 수익'!$D$14</f>
        <v>0</v>
      </c>
      <c r="AF32" s="248">
        <f>$W32*'버스비 및 수익'!$D$15</f>
        <v>0</v>
      </c>
      <c r="AG32" s="249">
        <f>$X32*'버스비 및 수익'!$D$16+캐릭터입력창!$Y32*('버스비 및 수익'!$D$16+'버스비 및 수익'!$D$17)+캐릭터입력창!$Z32*('버스비 및 수익'!$D$16+'버스비 및 수익'!$D$17+'버스비 및 수익'!$D$18)</f>
        <v>0</v>
      </c>
    </row>
    <row r="33" spans="1:33">
      <c r="A33" s="194"/>
      <c r="B33" s="195"/>
      <c r="C33" s="196"/>
      <c r="D33" s="186"/>
      <c r="E33" s="187"/>
      <c r="F33" s="187"/>
      <c r="G33" s="188"/>
      <c r="H33" s="206"/>
      <c r="I33" s="207"/>
      <c r="J33" s="207"/>
      <c r="K33" s="207"/>
      <c r="L33" s="208"/>
      <c r="M33" s="220"/>
      <c r="N33" s="221"/>
      <c r="O33" s="221"/>
      <c r="P33" s="222"/>
      <c r="Q33" s="223"/>
      <c r="R33" s="234"/>
      <c r="S33" s="235"/>
      <c r="T33" s="235"/>
      <c r="U33" s="235"/>
      <c r="V33" s="235"/>
      <c r="W33" s="235"/>
      <c r="X33" s="235"/>
      <c r="Y33" s="235"/>
      <c r="Z33" s="236"/>
      <c r="AA33" s="245">
        <f>$D33*('버스비 및 수익'!$D$3-'버스비 및 수익'!$E$3)+$E33*'버스비 및 수익'!$D$4+캐릭터입력창!$F33*'버스비 및 수익'!$D$5+캐릭터입력창!$G33*'버스비 및 수익'!$D$6</f>
        <v>0</v>
      </c>
      <c r="AB33" s="246">
        <f>$H33*'버스비 및 수익'!$D$7+$I33*'버스비 및 수익'!$D$8+$J33*'버스비 및 수익'!$E$7*3+$K33*'버스비 및 수익'!$E$8*3+$L33*('버스비 및 수익'!$D$8-'버스비 및 수익'!$E$8)</f>
        <v>0</v>
      </c>
      <c r="AC33" s="247">
        <f>$M33*'버스비 및 수익'!$D$10+캐릭터입력창!$N33*'버스비 및 수익'!$D$9+$O33*'버스비 및 수익'!$E$9+$P33*'버스비 및 수익'!$E$9*3+$Q33*('버스비 및 수익'!$D$9-'버스비 및 수익'!$E$9)</f>
        <v>0</v>
      </c>
      <c r="AD33" s="248">
        <f>$R33*'버스비 및 수익'!$D$11+$S33*'버스비 및 수익'!$D$12+캐릭터입력창!$T33*('버스비 및 수익'!$D$11-'버스비 및 수익'!$E$11)</f>
        <v>0</v>
      </c>
      <c r="AE33" s="248">
        <f>$U33*'버스비 및 수익'!$D$13+캐릭터입력창!$V33*'버스비 및 수익'!$D$14</f>
        <v>0</v>
      </c>
      <c r="AF33" s="248">
        <f>$W33*'버스비 및 수익'!$D$15</f>
        <v>0</v>
      </c>
      <c r="AG33" s="249">
        <f>$X33*'버스비 및 수익'!$D$16+캐릭터입력창!$Y33*('버스비 및 수익'!$D$16+'버스비 및 수익'!$D$17)+캐릭터입력창!$Z33*('버스비 및 수익'!$D$16+'버스비 및 수익'!$D$17+'버스비 및 수익'!$D$18)</f>
        <v>0</v>
      </c>
    </row>
    <row r="34" spans="1:33" ht="17.25" thickBot="1">
      <c r="A34" s="197"/>
      <c r="B34" s="198"/>
      <c r="C34" s="199"/>
      <c r="D34" s="189"/>
      <c r="E34" s="190"/>
      <c r="F34" s="190"/>
      <c r="G34" s="191"/>
      <c r="H34" s="209"/>
      <c r="I34" s="210"/>
      <c r="J34" s="210"/>
      <c r="K34" s="210"/>
      <c r="L34" s="211"/>
      <c r="M34" s="224"/>
      <c r="N34" s="225"/>
      <c r="O34" s="225"/>
      <c r="P34" s="226"/>
      <c r="Q34" s="227"/>
      <c r="R34" s="237"/>
      <c r="S34" s="238"/>
      <c r="T34" s="238"/>
      <c r="U34" s="238"/>
      <c r="V34" s="238"/>
      <c r="W34" s="238"/>
      <c r="X34" s="238"/>
      <c r="Y34" s="238"/>
      <c r="Z34" s="239"/>
      <c r="AA34" s="245">
        <f>$D34*('버스비 및 수익'!$D$3-'버스비 및 수익'!$E$3)+$E34*'버스비 및 수익'!$D$4+캐릭터입력창!$F34*'버스비 및 수익'!$D$5+캐릭터입력창!$G34*'버스비 및 수익'!$D$6</f>
        <v>0</v>
      </c>
      <c r="AB34" s="246">
        <f>$H34*'버스비 및 수익'!$D$7+$I34*'버스비 및 수익'!$D$8+$J34*'버스비 및 수익'!$E$7*3+$K34*'버스비 및 수익'!$E$8*3+$L34*('버스비 및 수익'!$D$8-'버스비 및 수익'!$E$8)</f>
        <v>0</v>
      </c>
      <c r="AC34" s="247">
        <f>$M34*'버스비 및 수익'!$D$10+캐릭터입력창!$N34*'버스비 및 수익'!$D$9+$O34*'버스비 및 수익'!$E$9+$P34*'버스비 및 수익'!$E$9*3+$Q34*('버스비 및 수익'!$D$9-'버스비 및 수익'!$E$9)</f>
        <v>0</v>
      </c>
      <c r="AD34" s="248">
        <f>$R34*'버스비 및 수익'!$D$11+$S34*'버스비 및 수익'!$D$12+캐릭터입력창!$T34*('버스비 및 수익'!$D$11-'버스비 및 수익'!$E$11)</f>
        <v>0</v>
      </c>
      <c r="AE34" s="248">
        <f>$U34*'버스비 및 수익'!$D$13+캐릭터입력창!$V34*'버스비 및 수익'!$D$14</f>
        <v>0</v>
      </c>
      <c r="AF34" s="248">
        <f>$W34*'버스비 및 수익'!$D$15</f>
        <v>0</v>
      </c>
      <c r="AG34" s="249">
        <f>$X34*'버스비 및 수익'!$D$16+캐릭터입력창!$Y34*('버스비 및 수익'!$D$16+'버스비 및 수익'!$D$17)+캐릭터입력창!$Z34*('버스비 및 수익'!$D$16+'버스비 및 수익'!$D$17+'버스비 및 수익'!$D$18)</f>
        <v>0</v>
      </c>
    </row>
  </sheetData>
  <mergeCells count="10">
    <mergeCell ref="A2:A4"/>
    <mergeCell ref="B2:B4"/>
    <mergeCell ref="C2:C4"/>
    <mergeCell ref="X3:Z3"/>
    <mergeCell ref="R3:T3"/>
    <mergeCell ref="D2:G3"/>
    <mergeCell ref="H2:L3"/>
    <mergeCell ref="M2:Q3"/>
    <mergeCell ref="R2:Z2"/>
    <mergeCell ref="U3:V3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tabSelected="1" workbookViewId="0">
      <selection activeCell="I11" sqref="I11"/>
    </sheetView>
  </sheetViews>
  <sheetFormatPr defaultRowHeight="16.5"/>
  <cols>
    <col min="1" max="1" width="9" style="7"/>
    <col min="2" max="2" width="22.75" style="7" customWidth="1"/>
    <col min="3" max="16384" width="9" style="7"/>
  </cols>
  <sheetData>
    <row r="2" spans="2:3">
      <c r="B2" s="18" t="s">
        <v>23</v>
      </c>
      <c r="C2" s="18" t="s">
        <v>15</v>
      </c>
    </row>
    <row r="3" spans="2:3">
      <c r="B3" s="18" t="s">
        <v>24</v>
      </c>
      <c r="C3" s="18">
        <v>43</v>
      </c>
    </row>
    <row r="4" spans="2:3">
      <c r="B4" s="18" t="s">
        <v>25</v>
      </c>
      <c r="C4" s="18">
        <v>115</v>
      </c>
    </row>
    <row r="5" spans="2:3">
      <c r="B5" s="18" t="s">
        <v>26</v>
      </c>
      <c r="C5" s="18">
        <v>1.6</v>
      </c>
    </row>
    <row r="6" spans="2:3">
      <c r="B6" s="18" t="s">
        <v>28</v>
      </c>
      <c r="C6" s="18">
        <v>7.8</v>
      </c>
    </row>
    <row r="7" spans="2:3">
      <c r="B7" s="18" t="s">
        <v>27</v>
      </c>
      <c r="C7" s="18">
        <v>0.5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D4" sqref="D4"/>
    </sheetView>
  </sheetViews>
  <sheetFormatPr defaultRowHeight="16.5"/>
  <cols>
    <col min="1" max="2" width="9" style="8"/>
    <col min="3" max="3" width="18.875" style="9" customWidth="1"/>
    <col min="4" max="4" width="11.75" style="10" customWidth="1"/>
    <col min="5" max="5" width="9" style="10"/>
    <col min="6" max="16384" width="9" style="8"/>
  </cols>
  <sheetData>
    <row r="2" spans="2:5">
      <c r="B2" s="11"/>
      <c r="C2" s="12" t="s">
        <v>14</v>
      </c>
      <c r="D2" s="13" t="s">
        <v>17</v>
      </c>
      <c r="E2" s="13" t="s">
        <v>18</v>
      </c>
    </row>
    <row r="3" spans="2:5">
      <c r="B3" s="309" t="s">
        <v>19</v>
      </c>
      <c r="C3" s="12" t="s">
        <v>29</v>
      </c>
      <c r="D3" s="179">
        <f>'재료 가격'!C3*13+'재료 가격'!C5*180</f>
        <v>847</v>
      </c>
      <c r="E3" s="13">
        <v>230</v>
      </c>
    </row>
    <row r="4" spans="2:5">
      <c r="B4" s="309"/>
      <c r="C4" s="12" t="s">
        <v>20</v>
      </c>
      <c r="D4" s="179">
        <f>'재료 가격'!C3*10+'재료 가격'!C5*110</f>
        <v>606</v>
      </c>
      <c r="E4" s="13"/>
    </row>
    <row r="5" spans="2:5">
      <c r="B5" s="309"/>
      <c r="C5" s="12" t="s">
        <v>21</v>
      </c>
      <c r="D5" s="179">
        <f>'재료 가격'!C3*14+'재료 가격'!C5*130</f>
        <v>810</v>
      </c>
      <c r="E5" s="13"/>
    </row>
    <row r="6" spans="2:5">
      <c r="B6" s="309"/>
      <c r="C6" s="12" t="s">
        <v>22</v>
      </c>
      <c r="D6" s="179">
        <f>'재료 가격'!C4*6+'재료 가격'!C6*20+'재료 가격'!C7*40</f>
        <v>866</v>
      </c>
      <c r="E6" s="13"/>
    </row>
    <row r="7" spans="2:5" ht="16.5" customHeight="1">
      <c r="B7" s="310" t="s">
        <v>30</v>
      </c>
      <c r="C7" s="12" t="s">
        <v>31</v>
      </c>
      <c r="D7" s="179">
        <v>1500</v>
      </c>
      <c r="E7" s="13">
        <v>300</v>
      </c>
    </row>
    <row r="8" spans="2:5">
      <c r="B8" s="311"/>
      <c r="C8" s="12" t="s">
        <v>32</v>
      </c>
      <c r="D8" s="179">
        <v>1700</v>
      </c>
      <c r="E8" s="13">
        <v>600</v>
      </c>
    </row>
    <row r="9" spans="2:5">
      <c r="B9" s="311"/>
      <c r="C9" s="12" t="s">
        <v>86</v>
      </c>
      <c r="D9" s="179">
        <v>3300</v>
      </c>
      <c r="E9" s="13">
        <v>2500</v>
      </c>
    </row>
    <row r="10" spans="2:5">
      <c r="B10" s="312"/>
      <c r="C10" s="14" t="s">
        <v>87</v>
      </c>
      <c r="D10" s="179">
        <v>1500</v>
      </c>
      <c r="E10" s="13"/>
    </row>
    <row r="11" spans="2:5">
      <c r="B11" s="309" t="s">
        <v>33</v>
      </c>
      <c r="C11" s="12" t="s">
        <v>16</v>
      </c>
      <c r="D11" s="179">
        <v>3300</v>
      </c>
      <c r="E11" s="13">
        <v>2000</v>
      </c>
    </row>
    <row r="12" spans="2:5">
      <c r="B12" s="309"/>
      <c r="C12" s="12" t="s">
        <v>34</v>
      </c>
      <c r="D12" s="179">
        <v>4500</v>
      </c>
      <c r="E12" s="13"/>
    </row>
    <row r="13" spans="2:5">
      <c r="B13" s="309"/>
      <c r="C13" s="12" t="s">
        <v>35</v>
      </c>
      <c r="D13" s="179">
        <v>3300</v>
      </c>
      <c r="E13" s="13"/>
    </row>
    <row r="14" spans="2:5">
      <c r="B14" s="309"/>
      <c r="C14" s="12" t="s">
        <v>36</v>
      </c>
      <c r="D14" s="179">
        <v>4500</v>
      </c>
      <c r="E14" s="13"/>
    </row>
    <row r="15" spans="2:5">
      <c r="B15" s="309"/>
      <c r="C15" s="12" t="s">
        <v>37</v>
      </c>
      <c r="D15" s="179">
        <v>4500</v>
      </c>
      <c r="E15" s="13"/>
    </row>
    <row r="16" spans="2:5">
      <c r="B16" s="309"/>
      <c r="C16" s="12" t="s">
        <v>38</v>
      </c>
      <c r="D16" s="179">
        <v>4500</v>
      </c>
      <c r="E16" s="13"/>
    </row>
    <row r="17" spans="2:5">
      <c r="B17" s="309"/>
      <c r="C17" s="12" t="s">
        <v>39</v>
      </c>
      <c r="D17" s="179">
        <v>1500</v>
      </c>
      <c r="E17" s="13"/>
    </row>
    <row r="18" spans="2:5">
      <c r="B18" s="309"/>
      <c r="C18" s="12" t="s">
        <v>40</v>
      </c>
      <c r="D18" s="179">
        <v>1500</v>
      </c>
      <c r="E18" s="13"/>
    </row>
  </sheetData>
  <mergeCells count="3">
    <mergeCell ref="B3:B6"/>
    <mergeCell ref="B11:B18"/>
    <mergeCell ref="B7:B10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"/>
  <sheetViews>
    <sheetView workbookViewId="0">
      <selection activeCell="E4" sqref="E4"/>
    </sheetView>
  </sheetViews>
  <sheetFormatPr defaultRowHeight="16.5"/>
  <cols>
    <col min="2" max="2" width="12" customWidth="1"/>
  </cols>
  <sheetData>
    <row r="3" spans="2:3">
      <c r="B3" t="s">
        <v>56</v>
      </c>
      <c r="C3" s="28">
        <f>'버스비 및 수익'!D16+'버스비 및 수익'!D15+'버스비 및 수익'!D14+'버스비 및 수익'!E9*3+'버스비 및 수익'!D8*3+'버스비 및 수익'!D6*7</f>
        <v>32162</v>
      </c>
    </row>
    <row r="4" spans="2:3">
      <c r="B4" t="s">
        <v>57</v>
      </c>
      <c r="C4" s="28">
        <f>'버스비 및 수익'!D15+'버스비 및 수익'!D14+'버스비 및 수익'!D12+'버스비 및 수익'!E9+'버스비 및 수익'!E7*3+'버스비 및 수익'!D5*7</f>
        <v>22570</v>
      </c>
    </row>
    <row r="5" spans="2:3">
      <c r="B5" t="s">
        <v>58</v>
      </c>
      <c r="C5" s="28">
        <f>'버스비 및 수익'!D14+'버스비 및 수익'!D12+'버스비 및 수익'!D9+'버스비 및 수익'!E7*3+'버스비 및 수익'!D5*7</f>
        <v>18870</v>
      </c>
    </row>
    <row r="6" spans="2:3">
      <c r="B6" t="s">
        <v>59</v>
      </c>
      <c r="C6" s="28">
        <f>'버스비 및 수익'!D12+'버스비 및 수익'!D13+'버스비 및 수익'!D9+'버스비 및 수익'!E7*3+'버스비 및 수익'!D4*7</f>
        <v>16242</v>
      </c>
    </row>
    <row r="7" spans="2:3">
      <c r="B7" t="s">
        <v>60</v>
      </c>
      <c r="C7" s="28">
        <f>'버스비 및 수익'!D11+'버스비 및 수익'!D13+'버스비 및 수익'!E7*3+'버스비 및 수익'!D9+'버스비 및 수익'!D4*7</f>
        <v>15042</v>
      </c>
    </row>
    <row r="8" spans="2:3">
      <c r="B8" t="s">
        <v>61</v>
      </c>
      <c r="C8" s="28">
        <f>'버스비 및 수익'!D11+'버스비 및 수익'!D9+'버스비 및 수익'!E7*3+'버스비 및 수익'!D4*7</f>
        <v>11742</v>
      </c>
    </row>
    <row r="9" spans="2:3">
      <c r="B9" t="s">
        <v>64</v>
      </c>
      <c r="C9" s="28">
        <f>'버스비 및 수익'!D9-'버스비 및 수익'!E9+'버스비 및 수익'!D7+'버스비 및 수익'!D3*2-('버스비 및 수익'!E3*2)</f>
        <v>3534</v>
      </c>
    </row>
    <row r="10" spans="2:3">
      <c r="B10" t="s">
        <v>62</v>
      </c>
      <c r="C10" s="28">
        <f>'버스비 및 수익'!D8-'버스비 및 수익'!E8+'버스비 및 수익'!D3*2-'버스비 및 수익'!E3*2</f>
        <v>2334</v>
      </c>
    </row>
    <row r="11" spans="2:3">
      <c r="B11" t="s">
        <v>63</v>
      </c>
      <c r="C11" s="28">
        <f>'버스비 및 수익'!D7-'버스비 및 수익'!E7</f>
        <v>1200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설명서</vt:lpstr>
      <vt:lpstr>체크리스트</vt:lpstr>
      <vt:lpstr>캐릭터입력창</vt:lpstr>
      <vt:lpstr>재료 가격</vt:lpstr>
      <vt:lpstr>버스비 및 수익</vt:lpstr>
      <vt:lpstr>예상골드획득량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2021-09-01T17:51:36Z</dcterms:modified>
</cp:coreProperties>
</file>