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eWoog\Downloads\"/>
    </mc:Choice>
  </mc:AlternateContent>
  <bookViews>
    <workbookView xWindow="0" yWindow="0" windowWidth="21570" windowHeight="7890"/>
  </bookViews>
  <sheets>
    <sheet name="딜트포데미지" sheetId="2" r:id="rId1"/>
    <sheet name="바드세레수급" sheetId="4" r:id="rId2"/>
    <sheet name="신속vs.치명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2" l="1"/>
  <c r="Q5" i="2" l="1"/>
  <c r="Q6" i="2"/>
  <c r="Q4" i="2"/>
  <c r="AB20" i="4" l="1"/>
  <c r="AB21" i="4"/>
  <c r="AB12" i="4"/>
  <c r="AB11" i="4"/>
  <c r="AB10" i="4"/>
  <c r="AB9" i="4"/>
  <c r="AB8" i="4"/>
  <c r="AB7" i="4"/>
  <c r="Z19" i="4"/>
  <c r="AA19" i="4"/>
  <c r="AB19" i="4"/>
  <c r="Y19" i="4"/>
  <c r="Z22" i="4"/>
  <c r="AA22" i="4"/>
  <c r="AB22" i="4"/>
  <c r="Y22" i="4"/>
  <c r="Z27" i="4"/>
  <c r="AA27" i="4"/>
  <c r="AB27" i="4"/>
  <c r="Y27" i="4"/>
  <c r="Z26" i="4"/>
  <c r="AA26" i="4"/>
  <c r="AB26" i="4"/>
  <c r="Y26" i="4"/>
  <c r="Z12" i="4"/>
  <c r="AA12" i="4"/>
  <c r="Y12" i="4"/>
  <c r="Z11" i="4"/>
  <c r="AA11" i="4"/>
  <c r="Y11" i="4"/>
  <c r="Z10" i="4"/>
  <c r="AA10" i="4"/>
  <c r="Y10" i="4"/>
  <c r="Z9" i="4"/>
  <c r="AA9" i="4"/>
  <c r="Y9" i="4"/>
  <c r="Z4" i="4"/>
  <c r="AA4" i="4"/>
  <c r="AB4" i="4"/>
  <c r="Y4" i="4"/>
  <c r="AB30" i="4"/>
  <c r="AA30" i="4"/>
  <c r="Z30" i="4"/>
  <c r="Y30" i="4"/>
  <c r="AB29" i="4"/>
  <c r="AA29" i="4"/>
  <c r="Z29" i="4"/>
  <c r="Y29" i="4"/>
  <c r="AB28" i="4"/>
  <c r="AA28" i="4"/>
  <c r="Z28" i="4"/>
  <c r="Y28" i="4"/>
  <c r="AB25" i="4"/>
  <c r="AA25" i="4"/>
  <c r="Z25" i="4"/>
  <c r="Y25" i="4"/>
  <c r="AB24" i="4"/>
  <c r="AA24" i="4"/>
  <c r="Z24" i="4"/>
  <c r="Y24" i="4"/>
  <c r="AB23" i="4"/>
  <c r="AA23" i="4"/>
  <c r="Z23" i="4"/>
  <c r="Y23" i="4"/>
  <c r="AA21" i="4"/>
  <c r="Z21" i="4"/>
  <c r="Y21" i="4"/>
  <c r="AA20" i="4"/>
  <c r="Z20" i="4"/>
  <c r="Y20" i="4"/>
  <c r="AB18" i="4"/>
  <c r="AA18" i="4"/>
  <c r="Z18" i="4"/>
  <c r="Y18" i="4"/>
  <c r="AB17" i="4"/>
  <c r="AA17" i="4"/>
  <c r="Z17" i="4"/>
  <c r="Y17" i="4"/>
  <c r="AB16" i="4"/>
  <c r="AA16" i="4"/>
  <c r="Z16" i="4"/>
  <c r="Y16" i="4"/>
  <c r="AB15" i="4"/>
  <c r="AA15" i="4"/>
  <c r="Z15" i="4"/>
  <c r="Y15" i="4"/>
  <c r="AB14" i="4"/>
  <c r="AA14" i="4"/>
  <c r="Z14" i="4"/>
  <c r="Y14" i="4"/>
  <c r="AB13" i="4"/>
  <c r="AA13" i="4"/>
  <c r="Z13" i="4"/>
  <c r="Y13" i="4"/>
  <c r="AA8" i="4"/>
  <c r="Z8" i="4"/>
  <c r="Y8" i="4"/>
  <c r="AA7" i="4"/>
  <c r="Z7" i="4"/>
  <c r="Y7" i="4"/>
  <c r="AB6" i="4"/>
  <c r="AA6" i="4"/>
  <c r="Z6" i="4"/>
  <c r="Y6" i="4"/>
  <c r="AB5" i="4"/>
  <c r="AA5" i="4"/>
  <c r="Z5" i="4"/>
  <c r="Y5" i="4"/>
  <c r="N42" i="4"/>
  <c r="G42" i="4"/>
  <c r="F42" i="4"/>
  <c r="E42" i="4"/>
  <c r="L43" i="4"/>
  <c r="O42" i="4"/>
  <c r="O43" i="4" s="1"/>
  <c r="N43" i="4"/>
  <c r="M42" i="4"/>
  <c r="M43" i="4" s="1"/>
  <c r="L105" i="4"/>
  <c r="O105" i="4"/>
  <c r="N105" i="4"/>
  <c r="M105" i="4"/>
  <c r="G105" i="4"/>
  <c r="F105" i="4"/>
  <c r="E105" i="4"/>
  <c r="D105" i="4"/>
  <c r="AB56" i="4" l="1"/>
  <c r="AA56" i="4"/>
  <c r="Z56" i="4"/>
  <c r="Y56" i="4"/>
  <c r="M106" i="4"/>
  <c r="N106" i="4"/>
  <c r="O106" i="4"/>
  <c r="AB55" i="4"/>
  <c r="AA55" i="4"/>
  <c r="Z55" i="4"/>
  <c r="Y55" i="4"/>
  <c r="O7" i="4"/>
  <c r="N7" i="4"/>
  <c r="M7" i="4"/>
  <c r="S60" i="4" l="1"/>
  <c r="AB54" i="4"/>
  <c r="AA54" i="4"/>
  <c r="Z54" i="4"/>
  <c r="Y54" i="4"/>
  <c r="F92" i="4"/>
  <c r="G92" i="4"/>
  <c r="E92" i="4"/>
  <c r="N98" i="4"/>
  <c r="O98" i="4"/>
  <c r="M98" i="4"/>
  <c r="M99" i="4" s="1"/>
  <c r="N99" i="4"/>
  <c r="O99" i="4"/>
  <c r="L99" i="4"/>
  <c r="F91" i="4"/>
  <c r="G91" i="4"/>
  <c r="E91" i="4"/>
  <c r="AA53" i="4" l="1"/>
  <c r="Z46" i="4"/>
  <c r="AA41" i="4"/>
  <c r="AA47" i="4"/>
  <c r="AA36" i="4"/>
  <c r="AG3" i="4"/>
  <c r="AB37" i="4" s="1"/>
  <c r="AF3" i="4"/>
  <c r="AA60" i="4" s="1"/>
  <c r="AE3" i="4"/>
  <c r="Z60" i="4" s="1"/>
  <c r="AD3" i="4"/>
  <c r="Y57" i="4" s="1"/>
  <c r="M78" i="4"/>
  <c r="N78" i="4"/>
  <c r="O78" i="4"/>
  <c r="D22" i="4"/>
  <c r="E36" i="4"/>
  <c r="F36" i="4"/>
  <c r="G36" i="4"/>
  <c r="L36" i="4"/>
  <c r="N35" i="4"/>
  <c r="N36" i="4" s="1"/>
  <c r="O35" i="4"/>
  <c r="O36" i="4" s="1"/>
  <c r="M35" i="4"/>
  <c r="M36" i="4" s="1"/>
  <c r="D36" i="4"/>
  <c r="G106" i="4"/>
  <c r="E106" i="4"/>
  <c r="F106" i="4"/>
  <c r="L106" i="4"/>
  <c r="D92" i="4"/>
  <c r="G98" i="4"/>
  <c r="G99" i="4" s="1"/>
  <c r="F98" i="4"/>
  <c r="F99" i="4" s="1"/>
  <c r="E98" i="4"/>
  <c r="E99" i="4" s="1"/>
  <c r="F21" i="4"/>
  <c r="F22" i="4" s="1"/>
  <c r="G21" i="4"/>
  <c r="G22" i="4" s="1"/>
  <c r="E21" i="4"/>
  <c r="E22" i="4" s="1"/>
  <c r="D28" i="4"/>
  <c r="G28" i="4" s="1"/>
  <c r="AB38" i="4" l="1"/>
  <c r="Z38" i="4"/>
  <c r="AB58" i="4"/>
  <c r="Z57" i="4"/>
  <c r="AA51" i="4"/>
  <c r="AB57" i="4"/>
  <c r="AB52" i="4"/>
  <c r="AB44" i="4"/>
  <c r="AB51" i="4"/>
  <c r="AB43" i="4"/>
  <c r="AB34" i="4"/>
  <c r="AB42" i="4"/>
  <c r="AB45" i="4"/>
  <c r="AB60" i="4"/>
  <c r="AB35" i="4"/>
  <c r="AB50" i="4"/>
  <c r="AB41" i="4"/>
  <c r="AB46" i="4"/>
  <c r="AB36" i="4"/>
  <c r="AB49" i="4"/>
  <c r="AB48" i="4"/>
  <c r="AB40" i="4"/>
  <c r="AB53" i="4"/>
  <c r="AB59" i="4"/>
  <c r="AB47" i="4"/>
  <c r="AB39" i="4"/>
  <c r="AA59" i="4"/>
  <c r="AA50" i="4"/>
  <c r="AA44" i="4"/>
  <c r="AA40" i="4"/>
  <c r="AA57" i="4"/>
  <c r="AA45" i="4"/>
  <c r="AA34" i="4"/>
  <c r="AA49" i="4"/>
  <c r="AA43" i="4"/>
  <c r="AA46" i="4"/>
  <c r="AA37" i="4"/>
  <c r="AA58" i="4"/>
  <c r="AA39" i="4"/>
  <c r="AA35" i="4"/>
  <c r="AA52" i="4"/>
  <c r="AA48" i="4"/>
  <c r="AA42" i="4"/>
  <c r="AA38" i="4"/>
  <c r="Z51" i="4"/>
  <c r="Z41" i="4"/>
  <c r="Z35" i="4"/>
  <c r="Z48" i="4"/>
  <c r="Z58" i="4"/>
  <c r="Z43" i="4"/>
  <c r="Z50" i="4"/>
  <c r="Z40" i="4"/>
  <c r="Z52" i="4"/>
  <c r="Z42" i="4"/>
  <c r="Z53" i="4"/>
  <c r="Z34" i="4"/>
  <c r="Z49" i="4"/>
  <c r="Z39" i="4"/>
  <c r="Z59" i="4"/>
  <c r="Z44" i="4"/>
  <c r="Z45" i="4"/>
  <c r="Z36" i="4"/>
  <c r="Z47" i="4"/>
  <c r="Z37" i="4"/>
  <c r="Y53" i="4"/>
  <c r="Y60" i="4"/>
  <c r="Y59" i="4"/>
  <c r="Y50" i="4"/>
  <c r="Y44" i="4"/>
  <c r="Y58" i="4"/>
  <c r="Y51" i="4"/>
  <c r="Y49" i="4"/>
  <c r="Y47" i="4"/>
  <c r="Y43" i="4"/>
  <c r="Y41" i="4"/>
  <c r="Y39" i="4"/>
  <c r="Y37" i="4"/>
  <c r="Y46" i="4"/>
  <c r="Y35" i="4"/>
  <c r="Y45" i="4"/>
  <c r="Y52" i="4"/>
  <c r="Y48" i="4"/>
  <c r="Y42" i="4"/>
  <c r="Y40" i="4"/>
  <c r="Y38" i="4"/>
  <c r="Y34" i="4"/>
  <c r="Y36" i="4"/>
  <c r="F28" i="4"/>
  <c r="E28" i="4"/>
  <c r="G77" i="4"/>
  <c r="L120" i="4"/>
  <c r="O119" i="4"/>
  <c r="O120" i="4" s="1"/>
  <c r="N119" i="4"/>
  <c r="N120" i="4" s="1"/>
  <c r="M119" i="4"/>
  <c r="M120" i="4" s="1"/>
  <c r="G112" i="4" l="1"/>
  <c r="F112" i="4"/>
  <c r="E112" i="4"/>
  <c r="G119" i="4"/>
  <c r="F119" i="4"/>
  <c r="E119" i="4"/>
  <c r="G84" i="4"/>
  <c r="G85" i="4" s="1"/>
  <c r="F84" i="4"/>
  <c r="F85" i="4" s="1"/>
  <c r="E84" i="4"/>
  <c r="E85" i="4" s="1"/>
  <c r="D85" i="4"/>
  <c r="O84" i="4"/>
  <c r="N84" i="4"/>
  <c r="M84" i="4"/>
  <c r="F77" i="4"/>
  <c r="E77" i="4"/>
  <c r="L78" i="4"/>
  <c r="G70" i="4"/>
  <c r="F70" i="4"/>
  <c r="E70" i="4"/>
  <c r="O64" i="4"/>
  <c r="N64" i="4"/>
  <c r="M64" i="4"/>
  <c r="L64" i="4"/>
  <c r="G56" i="4"/>
  <c r="F56" i="4"/>
  <c r="E56" i="4"/>
  <c r="L57" i="4"/>
  <c r="O57" i="4"/>
  <c r="N57" i="4"/>
  <c r="M57" i="4"/>
  <c r="F14" i="4"/>
  <c r="G14" i="4"/>
  <c r="E14" i="4"/>
  <c r="G7" i="4"/>
  <c r="G8" i="4" s="1"/>
  <c r="F7" i="4"/>
  <c r="F8" i="4" s="1"/>
  <c r="E7" i="4"/>
  <c r="E8" i="4" s="1"/>
  <c r="L8" i="4"/>
  <c r="O8" i="4"/>
  <c r="N8" i="4"/>
  <c r="M8" i="4"/>
  <c r="D49" i="4" l="1"/>
  <c r="L49" i="4"/>
  <c r="F29" i="4"/>
  <c r="E29" i="4"/>
  <c r="G120" i="4"/>
  <c r="F120" i="4"/>
  <c r="E120" i="4"/>
  <c r="D120" i="4"/>
  <c r="G113" i="4"/>
  <c r="F113" i="4"/>
  <c r="E113" i="4"/>
  <c r="D113" i="4"/>
  <c r="D106" i="4"/>
  <c r="D99" i="4"/>
  <c r="F78" i="4"/>
  <c r="E78" i="4"/>
  <c r="D78" i="4"/>
  <c r="G71" i="4"/>
  <c r="F71" i="4"/>
  <c r="E71" i="4"/>
  <c r="D71" i="4"/>
  <c r="G57" i="4"/>
  <c r="F57" i="4"/>
  <c r="E57" i="4"/>
  <c r="D57" i="4"/>
  <c r="G43" i="4"/>
  <c r="F43" i="4"/>
  <c r="E43" i="4"/>
  <c r="D43" i="4"/>
  <c r="D29" i="4"/>
  <c r="G29" i="4"/>
  <c r="D15" i="4"/>
  <c r="L50" i="4" l="1"/>
  <c r="G49" i="4"/>
  <c r="G50" i="4" s="1"/>
  <c r="D50" i="4"/>
  <c r="N49" i="4"/>
  <c r="N50" i="4" s="1"/>
  <c r="E49" i="4"/>
  <c r="E50" i="4" s="1"/>
  <c r="O49" i="4"/>
  <c r="O50" i="4" s="1"/>
  <c r="F49" i="4"/>
  <c r="F50" i="4" s="1"/>
  <c r="M49" i="4"/>
  <c r="M50" i="4" s="1"/>
  <c r="D8" i="4"/>
  <c r="O85" i="4"/>
  <c r="F15" i="4"/>
  <c r="L85" i="4"/>
  <c r="E15" i="4"/>
  <c r="G78" i="4"/>
  <c r="M85" i="4"/>
  <c r="N85" i="4"/>
  <c r="H77" i="2"/>
  <c r="G15" i="4" l="1"/>
  <c r="G56" i="2"/>
  <c r="F56" i="2"/>
  <c r="E56" i="2"/>
  <c r="G28" i="2"/>
  <c r="F28" i="2"/>
  <c r="E28" i="2"/>
  <c r="E4" i="3" l="1"/>
  <c r="E5" i="3"/>
  <c r="E6" i="3"/>
  <c r="E7" i="3"/>
  <c r="E3" i="3"/>
  <c r="I7" i="3" l="1"/>
  <c r="I3" i="3"/>
  <c r="I21" i="3" l="1"/>
  <c r="I20" i="3"/>
  <c r="I19" i="3"/>
  <c r="I18" i="3"/>
  <c r="I17" i="3"/>
  <c r="F21" i="3"/>
  <c r="E21" i="3"/>
  <c r="F20" i="3"/>
  <c r="E20" i="3"/>
  <c r="F19" i="3"/>
  <c r="E19" i="3"/>
  <c r="F18" i="3"/>
  <c r="E18" i="3"/>
  <c r="F17" i="3"/>
  <c r="E17" i="3"/>
  <c r="C18" i="3"/>
  <c r="D18" i="3"/>
  <c r="C19" i="3"/>
  <c r="D19" i="3"/>
  <c r="C20" i="3"/>
  <c r="D20" i="3"/>
  <c r="C21" i="3"/>
  <c r="D21" i="3"/>
  <c r="D17" i="3"/>
  <c r="C17" i="3"/>
  <c r="E98" i="2" l="1"/>
  <c r="F98" i="2"/>
  <c r="I15" i="3" l="1"/>
  <c r="E12" i="3"/>
  <c r="I12" i="3" s="1"/>
  <c r="E13" i="3"/>
  <c r="I13" i="3" s="1"/>
  <c r="E14" i="3"/>
  <c r="E15" i="3"/>
  <c r="E11" i="3"/>
  <c r="I11" i="3" s="1"/>
  <c r="F15" i="3"/>
  <c r="F14" i="3"/>
  <c r="I14" i="3" s="1"/>
  <c r="F13" i="3"/>
  <c r="F12" i="3"/>
  <c r="F11" i="3"/>
  <c r="F7" i="3" l="1"/>
  <c r="K7" i="3"/>
  <c r="F4" i="3"/>
  <c r="F5" i="3"/>
  <c r="F6" i="3"/>
  <c r="F3" i="3"/>
  <c r="K4" i="3"/>
  <c r="K5" i="3"/>
  <c r="K6" i="3"/>
  <c r="I6" i="3" l="1"/>
  <c r="I5" i="3"/>
  <c r="I4" i="3"/>
  <c r="K3" i="3"/>
  <c r="L3" i="3" s="1"/>
  <c r="I112" i="2"/>
  <c r="I105" i="2"/>
  <c r="I98" i="2"/>
  <c r="I91" i="2"/>
  <c r="I70" i="2"/>
  <c r="I63" i="2"/>
  <c r="I56" i="2"/>
  <c r="I49" i="2"/>
  <c r="I42" i="2"/>
  <c r="I35" i="2"/>
  <c r="I28" i="2"/>
  <c r="I21" i="2"/>
  <c r="I14" i="2"/>
  <c r="L4" i="3" l="1"/>
  <c r="L7" i="3"/>
  <c r="L5" i="3"/>
  <c r="L6" i="3"/>
  <c r="D21" i="2"/>
  <c r="G91" i="2" l="1"/>
  <c r="F91" i="2"/>
  <c r="E91" i="2"/>
  <c r="D98" i="2" l="1"/>
  <c r="D91" i="2"/>
  <c r="G49" i="2"/>
  <c r="F49" i="2"/>
  <c r="E49" i="2"/>
  <c r="D28" i="2"/>
  <c r="E21" i="2"/>
  <c r="F21" i="2"/>
  <c r="G21" i="2"/>
  <c r="E112" i="2"/>
  <c r="H56" i="2"/>
  <c r="E70" i="2" l="1"/>
  <c r="E71" i="2" s="1"/>
  <c r="G112" i="2"/>
  <c r="G113" i="2" s="1"/>
  <c r="F112" i="2"/>
  <c r="F113" i="2" s="1"/>
  <c r="E113" i="2"/>
  <c r="D113" i="2"/>
  <c r="G105" i="2"/>
  <c r="G106" i="2" s="1"/>
  <c r="F105" i="2"/>
  <c r="F106" i="2" s="1"/>
  <c r="E105" i="2"/>
  <c r="E106" i="2" s="1"/>
  <c r="D105" i="2"/>
  <c r="D106" i="2" s="1"/>
  <c r="F99" i="2"/>
  <c r="G99" i="2"/>
  <c r="Q7" i="2" s="1"/>
  <c r="E99" i="2"/>
  <c r="D99" i="2"/>
  <c r="E92" i="2"/>
  <c r="G92" i="2"/>
  <c r="F92" i="2"/>
  <c r="D92" i="2"/>
  <c r="G84" i="2"/>
  <c r="F84" i="2"/>
  <c r="F85" i="2" s="1"/>
  <c r="E84" i="2"/>
  <c r="E85" i="2" s="1"/>
  <c r="G70" i="2"/>
  <c r="G71" i="2" s="1"/>
  <c r="F70" i="2"/>
  <c r="F71" i="2" s="1"/>
  <c r="D70" i="2"/>
  <c r="D71" i="2" s="1"/>
  <c r="D84" i="2"/>
  <c r="D85" i="2" s="1"/>
  <c r="G77" i="2"/>
  <c r="F77" i="2"/>
  <c r="F78" i="2" s="1"/>
  <c r="E77" i="2"/>
  <c r="E78" i="2" s="1"/>
  <c r="D77" i="2"/>
  <c r="D78" i="2" s="1"/>
  <c r="G63" i="2"/>
  <c r="G64" i="2" s="1"/>
  <c r="F63" i="2"/>
  <c r="F64" i="2" s="1"/>
  <c r="E63" i="2"/>
  <c r="E64" i="2" s="1"/>
  <c r="D63" i="2"/>
  <c r="D64" i="2" s="1"/>
  <c r="G57" i="2"/>
  <c r="F57" i="2"/>
  <c r="E57" i="2"/>
  <c r="D56" i="2"/>
  <c r="G85" i="2" l="1"/>
  <c r="Q9" i="2" s="1"/>
  <c r="I84" i="2"/>
  <c r="G78" i="2"/>
  <c r="I77" i="2"/>
  <c r="D57" i="2"/>
  <c r="G50" i="2"/>
  <c r="F50" i="2"/>
  <c r="E50" i="2"/>
  <c r="D49" i="2"/>
  <c r="D50" i="2" s="1"/>
  <c r="D42" i="2"/>
  <c r="D43" i="2" s="1"/>
  <c r="D35" i="2"/>
  <c r="D36" i="2" s="1"/>
  <c r="D29" i="2"/>
  <c r="D22" i="2"/>
  <c r="D7" i="2"/>
  <c r="D14" i="2"/>
  <c r="D15" i="2" s="1"/>
  <c r="G42" i="2"/>
  <c r="G43" i="2" s="1"/>
  <c r="F42" i="2"/>
  <c r="F43" i="2" s="1"/>
  <c r="E42" i="2"/>
  <c r="E43" i="2" s="1"/>
  <c r="G35" i="2"/>
  <c r="G36" i="2" s="1"/>
  <c r="F35" i="2"/>
  <c r="F36" i="2" s="1"/>
  <c r="E35" i="2"/>
  <c r="E36" i="2" s="1"/>
  <c r="G29" i="2"/>
  <c r="F29" i="2"/>
  <c r="E29" i="2"/>
  <c r="F22" i="2"/>
  <c r="E22" i="2"/>
  <c r="G22" i="2" l="1"/>
  <c r="E7" i="2"/>
  <c r="E8" i="2" s="1"/>
  <c r="F7" i="2"/>
  <c r="F8" i="2" s="1"/>
  <c r="G7" i="2"/>
  <c r="D8" i="2"/>
  <c r="F14" i="2"/>
  <c r="F15" i="2" s="1"/>
  <c r="E14" i="2"/>
  <c r="E15" i="2" s="1"/>
  <c r="G14" i="2"/>
  <c r="G15" i="2" s="1"/>
  <c r="G8" i="2" l="1"/>
  <c r="Q8" i="2" s="1"/>
  <c r="Q12" i="2" s="1"/>
  <c r="Q13" i="2" s="1"/>
  <c r="I7" i="2"/>
</calcChain>
</file>

<file path=xl/sharedStrings.xml><?xml version="1.0" encoding="utf-8"?>
<sst xmlns="http://schemas.openxmlformats.org/spreadsheetml/2006/main" count="1171" uniqueCount="222">
  <si>
    <t>1트포</t>
    <phoneticPr fontId="1" type="noConversion"/>
  </si>
  <si>
    <t>빠른준비</t>
    <phoneticPr fontId="1" type="noConversion"/>
  </si>
  <si>
    <t>DPS</t>
    <phoneticPr fontId="1" type="noConversion"/>
  </si>
  <si>
    <t>불협화음</t>
    <phoneticPr fontId="1" type="noConversion"/>
  </si>
  <si>
    <t>선율증가</t>
    <phoneticPr fontId="1" type="noConversion"/>
  </si>
  <si>
    <t>정신강화</t>
    <phoneticPr fontId="1" type="noConversion"/>
  </si>
  <si>
    <t>무기력한화음</t>
    <phoneticPr fontId="1" type="noConversion"/>
  </si>
  <si>
    <t>화음강화</t>
    <phoneticPr fontId="1" type="noConversion"/>
  </si>
  <si>
    <t>사운드홀릭</t>
    <phoneticPr fontId="1" type="noConversion"/>
  </si>
  <si>
    <t>스킬명</t>
  </si>
  <si>
    <t>단계</t>
  </si>
  <si>
    <t>트포명</t>
  </si>
  <si>
    <t>사운드쇼크</t>
  </si>
  <si>
    <t>1트포</t>
  </si>
  <si>
    <t>폭파유지</t>
  </si>
  <si>
    <t>2트포</t>
  </si>
  <si>
    <t>쇼크강화</t>
  </si>
  <si>
    <t>쿨타임</t>
  </si>
  <si>
    <t>3트포</t>
  </si>
  <si>
    <t>연사</t>
  </si>
  <si>
    <t>초</t>
  </si>
  <si>
    <t>기본데미지</t>
  </si>
  <si>
    <t>3레벨</t>
    <phoneticPr fontId="1" type="noConversion"/>
  </si>
  <si>
    <t>5레벨</t>
    <phoneticPr fontId="1" type="noConversion"/>
  </si>
  <si>
    <t>DPS</t>
    <phoneticPr fontId="1" type="noConversion"/>
  </si>
  <si>
    <t>1레벨</t>
    <phoneticPr fontId="1" type="noConversion"/>
  </si>
  <si>
    <t>불협화음</t>
    <phoneticPr fontId="1" type="noConversion"/>
  </si>
  <si>
    <t>mp</t>
    <phoneticPr fontId="1" type="noConversion"/>
  </si>
  <si>
    <t>사운드웨이브</t>
    <phoneticPr fontId="1" type="noConversion"/>
  </si>
  <si>
    <t>탁월한기동성</t>
    <phoneticPr fontId="1" type="noConversion"/>
  </si>
  <si>
    <t>4.5m</t>
  </si>
  <si>
    <t>4.5m</t>
    <phoneticPr fontId="1" type="noConversion"/>
  </si>
  <si>
    <t>인내의웨이브</t>
    <phoneticPr fontId="1" type="noConversion"/>
  </si>
  <si>
    <t>불타는웨이브</t>
    <phoneticPr fontId="1" type="noConversion"/>
  </si>
  <si>
    <t>스티그마</t>
    <phoneticPr fontId="1" type="noConversion"/>
  </si>
  <si>
    <t>지속력강화</t>
    <phoneticPr fontId="1" type="noConversion"/>
  </si>
  <si>
    <t>2+</t>
    <phoneticPr fontId="1" type="noConversion"/>
  </si>
  <si>
    <t>2+</t>
    <phoneticPr fontId="1" type="noConversion"/>
  </si>
  <si>
    <t>고통의낙인</t>
    <phoneticPr fontId="1" type="noConversion"/>
  </si>
  <si>
    <t>컨빅션코어</t>
    <phoneticPr fontId="1" type="noConversion"/>
  </si>
  <si>
    <t>강화된코어</t>
    <phoneticPr fontId="1" type="noConversion"/>
  </si>
  <si>
    <t>결집코어</t>
    <phoneticPr fontId="1" type="noConversion"/>
  </si>
  <si>
    <t>코어폭발</t>
    <phoneticPr fontId="1" type="noConversion"/>
  </si>
  <si>
    <t>빛의광시곡</t>
    <phoneticPr fontId="1" type="noConversion"/>
  </si>
  <si>
    <t>윈드오브뮤직</t>
    <phoneticPr fontId="1" type="noConversion"/>
  </si>
  <si>
    <t>강화된시전</t>
    <phoneticPr fontId="1" type="noConversion"/>
  </si>
  <si>
    <t>초고속시전</t>
    <phoneticPr fontId="1" type="noConversion"/>
  </si>
  <si>
    <t>음파진동</t>
    <phoneticPr fontId="1" type="noConversion"/>
  </si>
  <si>
    <t>강인함</t>
    <phoneticPr fontId="1" type="noConversion"/>
  </si>
  <si>
    <t>연쇄진동</t>
    <phoneticPr fontId="1" type="noConversion"/>
  </si>
  <si>
    <t>진동확산</t>
    <phoneticPr fontId="1" type="noConversion"/>
  </si>
  <si>
    <t>리듬벅샷</t>
    <phoneticPr fontId="1" type="noConversion"/>
  </si>
  <si>
    <t>샷강화</t>
    <phoneticPr fontId="1" type="noConversion"/>
  </si>
  <si>
    <t>샷집중</t>
    <phoneticPr fontId="1" type="noConversion"/>
  </si>
  <si>
    <t>사운드홀릭</t>
    <phoneticPr fontId="1" type="noConversion"/>
  </si>
  <si>
    <t>사운드집중</t>
    <phoneticPr fontId="1" type="noConversion"/>
  </si>
  <si>
    <t>집중포화</t>
    <phoneticPr fontId="1" type="noConversion"/>
  </si>
  <si>
    <t>폭풍의서곡</t>
    <phoneticPr fontId="1" type="noConversion"/>
  </si>
  <si>
    <t>빠른준비</t>
    <phoneticPr fontId="1" type="noConversion"/>
  </si>
  <si>
    <t>낙뢰강화</t>
    <phoneticPr fontId="1" type="noConversion"/>
  </si>
  <si>
    <t>강력한서곡</t>
    <phoneticPr fontId="1" type="noConversion"/>
  </si>
  <si>
    <t>음표뭉치</t>
    <phoneticPr fontId="1" type="noConversion"/>
  </si>
  <si>
    <t>음표붕괴</t>
    <phoneticPr fontId="1" type="noConversion"/>
  </si>
  <si>
    <t>음표해일</t>
    <phoneticPr fontId="1" type="noConversion"/>
  </si>
  <si>
    <t>선율의낙인</t>
    <phoneticPr fontId="1" type="noConversion"/>
  </si>
  <si>
    <t>1트포</t>
    <phoneticPr fontId="1" type="noConversion"/>
  </si>
  <si>
    <t>죽음의전주곡</t>
    <phoneticPr fontId="1" type="noConversion"/>
  </si>
  <si>
    <t>죽음의증폭</t>
    <phoneticPr fontId="1" type="noConversion"/>
  </si>
  <si>
    <t>죽음의아리아</t>
    <phoneticPr fontId="1" type="noConversion"/>
  </si>
  <si>
    <t>율동의하프</t>
    <phoneticPr fontId="1" type="noConversion"/>
  </si>
  <si>
    <t>행진곡</t>
    <phoneticPr fontId="1" type="noConversion"/>
  </si>
  <si>
    <t>수호의연주</t>
    <phoneticPr fontId="1" type="noConversion"/>
  </si>
  <si>
    <t>소환의의지</t>
    <phoneticPr fontId="1" type="noConversion"/>
  </si>
  <si>
    <t>날렵한연사</t>
    <phoneticPr fontId="1" type="noConversion"/>
  </si>
  <si>
    <t>거대하프</t>
    <phoneticPr fontId="1" type="noConversion"/>
  </si>
  <si>
    <t>시간감소</t>
    <phoneticPr fontId="1" type="noConversion"/>
  </si>
  <si>
    <t>행진강화</t>
    <phoneticPr fontId="1" type="noConversion"/>
  </si>
  <si>
    <t>위협적행진</t>
    <phoneticPr fontId="1" type="noConversion"/>
  </si>
  <si>
    <t>수호의응징</t>
    <phoneticPr fontId="1" type="noConversion"/>
  </si>
  <si>
    <t>날렵한수호</t>
    <phoneticPr fontId="1" type="noConversion"/>
  </si>
  <si>
    <t>무기공격력</t>
    <phoneticPr fontId="1" type="noConversion"/>
  </si>
  <si>
    <t>빛의집중</t>
    <phoneticPr fontId="1" type="noConversion"/>
  </si>
  <si>
    <t>치명</t>
    <phoneticPr fontId="1" type="noConversion"/>
  </si>
  <si>
    <t>신속</t>
    <phoneticPr fontId="1" type="noConversion"/>
  </si>
  <si>
    <t>예둔효율</t>
    <phoneticPr fontId="1" type="noConversion"/>
  </si>
  <si>
    <t>쿨감</t>
    <phoneticPr fontId="1" type="noConversion"/>
  </si>
  <si>
    <t>원한효율</t>
    <phoneticPr fontId="1" type="noConversion"/>
  </si>
  <si>
    <t>쿨감</t>
    <phoneticPr fontId="1" type="noConversion"/>
  </si>
  <si>
    <t>세레</t>
    <phoneticPr fontId="1" type="noConversion"/>
  </si>
  <si>
    <t>특화</t>
    <phoneticPr fontId="1" type="noConversion"/>
  </si>
  <si>
    <t>신속</t>
    <phoneticPr fontId="1" type="noConversion"/>
  </si>
  <si>
    <t>수급효율</t>
    <phoneticPr fontId="1" type="noConversion"/>
  </si>
  <si>
    <t>총합</t>
    <phoneticPr fontId="1" type="noConversion"/>
  </si>
  <si>
    <t>데미지기댓값</t>
    <phoneticPr fontId="1" type="noConversion"/>
  </si>
  <si>
    <t>치적</t>
    <phoneticPr fontId="1" type="noConversion"/>
  </si>
  <si>
    <t>폭풍의낙인</t>
    <phoneticPr fontId="1" type="noConversion"/>
  </si>
  <si>
    <t>특화</t>
    <phoneticPr fontId="1" type="noConversion"/>
  </si>
  <si>
    <t>세레수급량</t>
    <phoneticPr fontId="1" type="noConversion"/>
  </si>
  <si>
    <t>1버블</t>
    <phoneticPr fontId="1" type="noConversion"/>
  </si>
  <si>
    <t>100 하프틱</t>
    <phoneticPr fontId="1" type="noConversion"/>
  </si>
  <si>
    <t>DPSe</t>
    <phoneticPr fontId="1" type="noConversion"/>
  </si>
  <si>
    <t>-</t>
    <phoneticPr fontId="1" type="noConversion"/>
  </si>
  <si>
    <t>-</t>
    <phoneticPr fontId="1" type="noConversion"/>
  </si>
  <si>
    <t>수호의바람</t>
    <phoneticPr fontId="1" type="noConversion"/>
  </si>
  <si>
    <t>빠른준비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</si>
  <si>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</si>
  <si>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</si>
  <si>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</si>
  <si>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선율증가</t>
    <phoneticPr fontId="1" type="noConversion"/>
  </si>
  <si>
    <t>-</t>
    <phoneticPr fontId="1" type="noConversion"/>
  </si>
  <si>
    <t>-</t>
    <phoneticPr fontId="1" type="noConversion"/>
  </si>
  <si>
    <t>넓은공격</t>
    <phoneticPr fontId="1" type="noConversion"/>
  </si>
  <si>
    <t>광휘의음파</t>
    <phoneticPr fontId="1" type="noConversion"/>
  </si>
  <si>
    <t>선율증가</t>
    <phoneticPr fontId="1" type="noConversion"/>
  </si>
  <si>
    <t>-</t>
    <phoneticPr fontId="1" type="noConversion"/>
  </si>
  <si>
    <t xml:space="preserve"> 강력한서곡</t>
    <phoneticPr fontId="1" type="noConversion"/>
  </si>
  <si>
    <t>-</t>
    <phoneticPr fontId="1" type="noConversion"/>
  </si>
  <si>
    <t>-</t>
    <phoneticPr fontId="1" type="noConversion"/>
  </si>
  <si>
    <t>평타1대</t>
    <phoneticPr fontId="1" type="noConversion"/>
  </si>
  <si>
    <t>4/25 하프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</si>
  <si>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</si>
  <si>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</si>
  <si>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</si>
  <si>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</si>
  <si>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경쾌한행진곡</t>
    <phoneticPr fontId="1" type="noConversion"/>
  </si>
  <si>
    <t>스킬</t>
    <phoneticPr fontId="1" type="noConversion"/>
  </si>
  <si>
    <t>수연</t>
    <phoneticPr fontId="1" type="noConversion"/>
  </si>
  <si>
    <t>천상</t>
    <phoneticPr fontId="1" type="noConversion"/>
  </si>
  <si>
    <t>스킬명</t>
    <phoneticPr fontId="1" type="noConversion"/>
  </si>
  <si>
    <t>레벨</t>
    <phoneticPr fontId="1" type="noConversion"/>
  </si>
  <si>
    <t>DPS</t>
    <phoneticPr fontId="1" type="noConversion"/>
  </si>
  <si>
    <t>스킬명</t>
    <phoneticPr fontId="1" type="noConversion"/>
  </si>
  <si>
    <t>트포</t>
    <phoneticPr fontId="1" type="noConversion"/>
  </si>
  <si>
    <t>사운드쇼크</t>
    <phoneticPr fontId="1" type="noConversion"/>
  </si>
  <si>
    <t>불협화음</t>
    <phoneticPr fontId="1" type="noConversion"/>
  </si>
  <si>
    <t>스티그마</t>
    <phoneticPr fontId="1" type="noConversion"/>
  </si>
  <si>
    <t>빛의광시곡</t>
    <phoneticPr fontId="1" type="noConversion"/>
  </si>
  <si>
    <t>윈드오브뮤직</t>
    <phoneticPr fontId="1" type="noConversion"/>
  </si>
  <si>
    <t>음파진동</t>
    <phoneticPr fontId="1" type="noConversion"/>
  </si>
  <si>
    <t>특화 50</t>
    <phoneticPr fontId="1" type="noConversion"/>
  </si>
  <si>
    <t>특화 550</t>
    <phoneticPr fontId="1" type="noConversion"/>
  </si>
  <si>
    <t>특화 1650</t>
    <phoneticPr fontId="1" type="noConversion"/>
  </si>
  <si>
    <t>특화 1000</t>
    <phoneticPr fontId="1" type="noConversion"/>
  </si>
  <si>
    <t>리듬벅샷</t>
    <phoneticPr fontId="1" type="noConversion"/>
  </si>
  <si>
    <t>사운드홀릭</t>
    <phoneticPr fontId="1" type="noConversion"/>
  </si>
  <si>
    <t>폭풍의서곡</t>
    <phoneticPr fontId="1" type="noConversion"/>
  </si>
  <si>
    <t>음표뭉치</t>
    <phoneticPr fontId="1" type="noConversion"/>
  </si>
  <si>
    <t>율동의하프</t>
    <phoneticPr fontId="1" type="noConversion"/>
  </si>
  <si>
    <t>행진곡</t>
    <phoneticPr fontId="1" type="noConversion"/>
  </si>
  <si>
    <t>평타</t>
    <phoneticPr fontId="1" type="noConversion"/>
  </si>
  <si>
    <t>3레벨</t>
    <phoneticPr fontId="1" type="noConversion"/>
  </si>
  <si>
    <t>1레벨</t>
    <phoneticPr fontId="1" type="noConversion"/>
  </si>
  <si>
    <t>5레벨</t>
    <phoneticPr fontId="1" type="noConversion"/>
  </si>
  <si>
    <t>1x1</t>
    <phoneticPr fontId="1" type="noConversion"/>
  </si>
  <si>
    <t>3x1</t>
    <phoneticPr fontId="1" type="noConversion"/>
  </si>
  <si>
    <t>2xx</t>
    <phoneticPr fontId="1" type="noConversion"/>
  </si>
  <si>
    <t>3x2</t>
    <phoneticPr fontId="1" type="noConversion"/>
  </si>
  <si>
    <t>23x</t>
    <phoneticPr fontId="1" type="noConversion"/>
  </si>
  <si>
    <t>x21</t>
    <phoneticPr fontId="1" type="noConversion"/>
  </si>
  <si>
    <t>x32</t>
    <phoneticPr fontId="1" type="noConversion"/>
  </si>
  <si>
    <t>1xx</t>
    <phoneticPr fontId="1" type="noConversion"/>
  </si>
  <si>
    <t>x11</t>
    <phoneticPr fontId="1" type="noConversion"/>
  </si>
  <si>
    <t>x12</t>
    <phoneticPr fontId="1" type="noConversion"/>
  </si>
  <si>
    <t>xxx</t>
    <phoneticPr fontId="1" type="noConversion"/>
  </si>
  <si>
    <t>사운드웨이브</t>
    <phoneticPr fontId="1" type="noConversion"/>
  </si>
  <si>
    <t>사운드웨이브</t>
    <phoneticPr fontId="1" type="noConversion"/>
  </si>
  <si>
    <t>컨빅션코어</t>
    <phoneticPr fontId="1" type="noConversion"/>
  </si>
  <si>
    <t>13x</t>
    <phoneticPr fontId="1" type="noConversion"/>
  </si>
  <si>
    <t>1x2</t>
    <phoneticPr fontId="1" type="noConversion"/>
  </si>
  <si>
    <t>천상의연주</t>
    <phoneticPr fontId="1" type="noConversion"/>
  </si>
  <si>
    <t>세레나데 수급 DPS (특화 0, 신속 0, 보석x 기준)</t>
    <phoneticPr fontId="1" type="noConversion"/>
  </si>
  <si>
    <t>1회 세레나데 수급량 (특화 0, 룬 x 기준)</t>
    <phoneticPr fontId="1" type="noConversion"/>
  </si>
  <si>
    <t>특화 수치별 세레나데 수급 DPS (트포 5레벨, 신속0, 보석x)</t>
    <phoneticPr fontId="1" type="noConversion"/>
  </si>
  <si>
    <t>2트포</t>
    <phoneticPr fontId="1" type="noConversion"/>
  </si>
  <si>
    <t>선율증가</t>
  </si>
  <si>
    <t>-</t>
    <phoneticPr fontId="1" type="noConversion"/>
  </si>
  <si>
    <t>도돌이표</t>
    <phoneticPr fontId="1" type="noConversion"/>
  </si>
  <si>
    <t>-</t>
    <phoneticPr fontId="1" type="noConversion"/>
  </si>
  <si>
    <t>천상의연주</t>
    <phoneticPr fontId="1" type="noConversion"/>
  </si>
  <si>
    <t>빠른준비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</si>
  <si>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</si>
  <si>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</si>
  <si>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</si>
  <si>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</si>
  <si>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</si>
  <si>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</si>
  <si>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열렬한환호</t>
    <phoneticPr fontId="1" type="noConversion"/>
  </si>
  <si>
    <t>끝없는연주</t>
    <phoneticPr fontId="1" type="noConversion"/>
  </si>
  <si>
    <t>끝없는연주</t>
    <phoneticPr fontId="1" type="noConversion"/>
  </si>
  <si>
    <t>x3x</t>
    <phoneticPr fontId="1" type="noConversion"/>
  </si>
  <si>
    <t>-</t>
    <phoneticPr fontId="1" type="noConversion"/>
  </si>
  <si>
    <t>-</t>
    <phoneticPr fontId="1" type="noConversion"/>
  </si>
  <si>
    <t>코어증가</t>
    <phoneticPr fontId="1" type="noConversion"/>
  </si>
  <si>
    <t>2x1</t>
    <phoneticPr fontId="1" type="noConversion"/>
  </si>
  <si>
    <t>2x2</t>
    <phoneticPr fontId="1" type="noConversion"/>
  </si>
  <si>
    <t>2x2</t>
    <phoneticPr fontId="1" type="noConversion"/>
  </si>
  <si>
    <t>1xx</t>
    <phoneticPr fontId="1" type="noConversion"/>
  </si>
  <si>
    <t>특화별 세레수급 효율 증가량</t>
    <phoneticPr fontId="1" type="noConversion"/>
  </si>
  <si>
    <t>-</t>
    <phoneticPr fontId="1" type="noConversion"/>
  </si>
  <si>
    <t>13x</t>
    <phoneticPr fontId="1" type="noConversion"/>
  </si>
  <si>
    <t>-</t>
    <phoneticPr fontId="1" type="noConversion"/>
  </si>
  <si>
    <t>-</t>
    <phoneticPr fontId="1" type="noConversion"/>
  </si>
  <si>
    <t>3트포</t>
    <phoneticPr fontId="1" type="noConversion"/>
  </si>
  <si>
    <t>낙뢰집중</t>
    <phoneticPr fontId="1" type="noConversion"/>
  </si>
  <si>
    <t>특화 수치별 세레나데 수급량 (트포 5레벨, 룬x, 보석x)</t>
    <phoneticPr fontId="1" type="noConversion"/>
  </si>
  <si>
    <t>스티그마</t>
  </si>
  <si>
    <t>사운드홀릭</t>
  </si>
  <si>
    <t>사운드홀릭</t>
    <phoneticPr fontId="1" type="noConversion"/>
  </si>
  <si>
    <t>음파진동</t>
  </si>
  <si>
    <t>율동의하프</t>
  </si>
  <si>
    <t>불협화음</t>
  </si>
  <si>
    <t>홍염</t>
  </si>
  <si>
    <t>홍염</t>
    <phoneticPr fontId="1" type="noConversion"/>
  </si>
  <si>
    <t>멸화</t>
  </si>
  <si>
    <t>멸화</t>
    <phoneticPr fontId="1" type="noConversion"/>
  </si>
  <si>
    <t>스킬</t>
  </si>
  <si>
    <t>레벨</t>
  </si>
  <si>
    <t>DPS</t>
  </si>
  <si>
    <t>천상</t>
  </si>
  <si>
    <t>수연</t>
  </si>
  <si>
    <t>음표뭉치</t>
  </si>
  <si>
    <t>음표뭉치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</si>
</sst>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0.0"/>
    <numFmt numFmtId="177" formatCode="0.0%"/>
    <numFmt numFmtId="178" formatCode="0.000"/>
    <numFmt numFmtId="179" formatCode="_-* #,##0.00_-;\-* #,##0.00_-;_-* &quot;-&quot;_-;_-@_-"/>
    <numFmt numFmtId="180" formatCode="0.0000"/>
    <numFmt numFmtId="181" formatCode="0.0_);[Red]\(0.0\)"/>
    <numFmt numFmtId="182" formatCode="0.00000"/>
    <numFmt numFmtId="183" formatCode="0.00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9" fontId="3" fillId="3" borderId="21" xfId="2" applyFont="1" applyFill="1" applyBorder="1" applyAlignment="1">
      <alignment horizontal="center" vertical="center"/>
    </xf>
    <xf numFmtId="9" fontId="3" fillId="3" borderId="23" xfId="2" applyFont="1" applyFill="1" applyBorder="1" applyAlignment="1">
      <alignment horizontal="center" vertical="center"/>
    </xf>
    <xf numFmtId="9" fontId="3" fillId="3" borderId="15" xfId="2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9" fontId="3" fillId="4" borderId="5" xfId="2" applyFont="1" applyFill="1" applyBorder="1" applyAlignment="1">
      <alignment horizontal="center" vertical="center"/>
    </xf>
    <xf numFmtId="177" fontId="3" fillId="4" borderId="1" xfId="2" applyNumberFormat="1" applyFont="1" applyFill="1" applyBorder="1" applyAlignment="1">
      <alignment horizontal="center" vertical="center"/>
    </xf>
    <xf numFmtId="177" fontId="3" fillId="4" borderId="19" xfId="2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9" fontId="3" fillId="5" borderId="5" xfId="2" applyFont="1" applyFill="1" applyBorder="1" applyAlignment="1">
      <alignment horizontal="center" vertical="center"/>
    </xf>
    <xf numFmtId="9" fontId="3" fillId="5" borderId="1" xfId="2" applyFont="1" applyFill="1" applyBorder="1" applyAlignment="1">
      <alignment horizontal="center" vertical="center"/>
    </xf>
    <xf numFmtId="9" fontId="3" fillId="5" borderId="19" xfId="2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3" fillId="6" borderId="21" xfId="2" applyFont="1" applyFill="1" applyBorder="1" applyAlignment="1">
      <alignment horizontal="center" vertical="center"/>
    </xf>
    <xf numFmtId="9" fontId="3" fillId="6" borderId="23" xfId="2" applyFont="1" applyFill="1" applyBorder="1" applyAlignment="1">
      <alignment horizontal="center" vertical="center"/>
    </xf>
    <xf numFmtId="9" fontId="3" fillId="6" borderId="15" xfId="2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9" fontId="3" fillId="7" borderId="22" xfId="2" applyFont="1" applyFill="1" applyBorder="1" applyAlignment="1">
      <alignment horizontal="center" vertical="center"/>
    </xf>
    <xf numFmtId="9" fontId="3" fillId="7" borderId="24" xfId="2" applyFont="1" applyFill="1" applyBorder="1" applyAlignment="1">
      <alignment horizontal="center" vertical="center"/>
    </xf>
    <xf numFmtId="9" fontId="3" fillId="7" borderId="10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9" fontId="3" fillId="4" borderId="19" xfId="2" applyNumberFormat="1" applyFont="1" applyFill="1" applyBorder="1" applyAlignment="1">
      <alignment horizontal="center" vertical="center"/>
    </xf>
    <xf numFmtId="9" fontId="3" fillId="4" borderId="1" xfId="2" applyNumberFormat="1" applyFont="1" applyFill="1" applyBorder="1" applyAlignment="1">
      <alignment horizontal="center" vertical="center"/>
    </xf>
    <xf numFmtId="0" fontId="3" fillId="3" borderId="21" xfId="2" applyNumberFormat="1" applyFont="1" applyFill="1" applyBorder="1" applyAlignment="1">
      <alignment horizontal="center" vertical="center"/>
    </xf>
    <xf numFmtId="0" fontId="3" fillId="3" borderId="23" xfId="2" applyNumberFormat="1" applyFont="1" applyFill="1" applyBorder="1" applyAlignment="1">
      <alignment horizontal="center" vertical="center"/>
    </xf>
    <xf numFmtId="0" fontId="3" fillId="3" borderId="15" xfId="2" applyNumberFormat="1" applyFont="1" applyFill="1" applyBorder="1" applyAlignment="1">
      <alignment horizontal="center" vertical="center"/>
    </xf>
    <xf numFmtId="177" fontId="3" fillId="7" borderId="10" xfId="2" applyNumberFormat="1" applyFont="1" applyFill="1" applyBorder="1" applyAlignment="1">
      <alignment horizontal="center" vertical="center"/>
    </xf>
    <xf numFmtId="9" fontId="3" fillId="7" borderId="10" xfId="2" applyNumberFormat="1" applyFont="1" applyFill="1" applyBorder="1" applyAlignment="1">
      <alignment horizontal="center" vertical="center"/>
    </xf>
    <xf numFmtId="9" fontId="4" fillId="8" borderId="4" xfId="2" applyFont="1" applyFill="1" applyBorder="1" applyAlignment="1">
      <alignment horizontal="center" vertical="center"/>
    </xf>
    <xf numFmtId="9" fontId="4" fillId="8" borderId="3" xfId="2" applyFont="1" applyFill="1" applyBorder="1" applyAlignment="1">
      <alignment horizontal="center" vertical="center"/>
    </xf>
    <xf numFmtId="9" fontId="4" fillId="8" borderId="14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7" borderId="22" xfId="2" applyNumberFormat="1" applyFont="1" applyFill="1" applyBorder="1" applyAlignment="1">
      <alignment horizontal="center" vertical="center"/>
    </xf>
    <xf numFmtId="0" fontId="3" fillId="7" borderId="24" xfId="2" applyNumberFormat="1" applyFont="1" applyFill="1" applyBorder="1" applyAlignment="1">
      <alignment horizontal="center" vertical="center"/>
    </xf>
    <xf numFmtId="0" fontId="3" fillId="7" borderId="10" xfId="2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9" fontId="3" fillId="9" borderId="22" xfId="2" applyFont="1" applyFill="1" applyBorder="1" applyAlignment="1">
      <alignment horizontal="center" vertical="center"/>
    </xf>
    <xf numFmtId="9" fontId="3" fillId="9" borderId="24" xfId="2" applyFont="1" applyFill="1" applyBorder="1" applyAlignment="1">
      <alignment horizontal="center" vertical="center"/>
    </xf>
    <xf numFmtId="9" fontId="3" fillId="9" borderId="10" xfId="2" applyFont="1" applyFill="1" applyBorder="1" applyAlignment="1">
      <alignment horizontal="center" vertical="center"/>
    </xf>
    <xf numFmtId="0" fontId="3" fillId="6" borderId="21" xfId="2" applyNumberFormat="1" applyFont="1" applyFill="1" applyBorder="1" applyAlignment="1">
      <alignment horizontal="center" vertical="center"/>
    </xf>
    <xf numFmtId="0" fontId="3" fillId="6" borderId="23" xfId="2" applyNumberFormat="1" applyFont="1" applyFill="1" applyBorder="1" applyAlignment="1">
      <alignment horizontal="center" vertical="center"/>
    </xf>
    <xf numFmtId="0" fontId="3" fillId="6" borderId="15" xfId="2" applyNumberFormat="1" applyFon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6" fillId="3" borderId="21" xfId="2" applyNumberFormat="1" applyFont="1" applyFill="1" applyBorder="1" applyAlignment="1">
      <alignment horizontal="center" vertical="center"/>
    </xf>
    <xf numFmtId="0" fontId="6" fillId="3" borderId="23" xfId="2" applyNumberFormat="1" applyFont="1" applyFill="1" applyBorder="1" applyAlignment="1">
      <alignment horizontal="center" vertical="center"/>
    </xf>
    <xf numFmtId="0" fontId="6" fillId="3" borderId="15" xfId="2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5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0" fontId="6" fillId="4" borderId="19" xfId="2" applyNumberFormat="1" applyFont="1" applyFill="1" applyBorder="1" applyAlignment="1">
      <alignment horizontal="center" vertical="center"/>
    </xf>
    <xf numFmtId="0" fontId="3" fillId="6" borderId="21" xfId="1" applyNumberFormat="1" applyFont="1" applyFill="1" applyBorder="1" applyAlignment="1">
      <alignment horizontal="center" vertical="center"/>
    </xf>
    <xf numFmtId="9" fontId="3" fillId="5" borderId="1" xfId="2" applyNumberFormat="1" applyFont="1" applyFill="1" applyBorder="1" applyAlignment="1">
      <alignment horizontal="center" vertical="center"/>
    </xf>
    <xf numFmtId="9" fontId="3" fillId="5" borderId="19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9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176" fontId="0" fillId="0" borderId="0" xfId="0" applyNumberFormat="1">
      <alignment vertical="center"/>
    </xf>
    <xf numFmtId="179" fontId="0" fillId="0" borderId="0" xfId="1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1" fontId="3" fillId="6" borderId="21" xfId="1" applyNumberFormat="1" applyFont="1" applyFill="1" applyBorder="1" applyAlignment="1">
      <alignment horizontal="center" vertical="center"/>
    </xf>
    <xf numFmtId="181" fontId="3" fillId="6" borderId="23" xfId="1" applyNumberFormat="1" applyFont="1" applyFill="1" applyBorder="1" applyAlignment="1">
      <alignment horizontal="center" vertical="center"/>
    </xf>
    <xf numFmtId="181" fontId="3" fillId="6" borderId="15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182" fontId="0" fillId="0" borderId="0" xfId="0" applyNumberFormat="1">
      <alignment vertical="center"/>
    </xf>
    <xf numFmtId="0" fontId="4" fillId="8" borderId="14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9" fontId="3" fillId="4" borderId="1" xfId="2" applyFont="1" applyFill="1" applyBorder="1" applyAlignment="1">
      <alignment horizontal="center" vertical="center"/>
    </xf>
    <xf numFmtId="9" fontId="3" fillId="4" borderId="19" xfId="2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21" xfId="2" applyNumberFormat="1" applyFont="1" applyFill="1" applyBorder="1" applyAlignment="1">
      <alignment horizontal="center" vertical="center"/>
    </xf>
    <xf numFmtId="0" fontId="9" fillId="6" borderId="23" xfId="2" applyNumberFormat="1" applyFont="1" applyFill="1" applyBorder="1" applyAlignment="1">
      <alignment horizontal="center" vertical="center"/>
    </xf>
    <xf numFmtId="0" fontId="9" fillId="6" borderId="15" xfId="2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21" xfId="2" applyNumberFormat="1" applyFont="1" applyFill="1" applyBorder="1" applyAlignment="1">
      <alignment horizontal="center" vertical="center"/>
    </xf>
    <xf numFmtId="0" fontId="9" fillId="3" borderId="23" xfId="2" applyNumberFormat="1" applyFont="1" applyFill="1" applyBorder="1" applyAlignment="1">
      <alignment horizontal="center" vertical="center"/>
    </xf>
    <xf numFmtId="0" fontId="9" fillId="3" borderId="15" xfId="2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9" fontId="3" fillId="0" borderId="0" xfId="2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9" fontId="3" fillId="9" borderId="10" xfId="2" applyNumberFormat="1" applyFont="1" applyFill="1" applyBorder="1" applyAlignment="1">
      <alignment horizontal="center" vertical="center"/>
    </xf>
    <xf numFmtId="9" fontId="9" fillId="6" borderId="21" xfId="2" applyFont="1" applyFill="1" applyBorder="1" applyAlignment="1">
      <alignment horizontal="center" vertical="center"/>
    </xf>
    <xf numFmtId="9" fontId="9" fillId="6" borderId="23" xfId="2" applyFont="1" applyFill="1" applyBorder="1" applyAlignment="1">
      <alignment horizontal="center" vertical="center"/>
    </xf>
    <xf numFmtId="9" fontId="9" fillId="6" borderId="15" xfId="2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5" xfId="2" applyNumberFormat="1" applyFont="1" applyFill="1" applyBorder="1" applyAlignment="1">
      <alignment horizontal="center" vertical="center"/>
    </xf>
    <xf numFmtId="0" fontId="9" fillId="5" borderId="1" xfId="2" applyNumberFormat="1" applyFont="1" applyFill="1" applyBorder="1" applyAlignment="1">
      <alignment horizontal="center" vertical="center"/>
    </xf>
    <xf numFmtId="0" fontId="9" fillId="5" borderId="19" xfId="2" applyNumberFormat="1" applyFont="1" applyFill="1" applyBorder="1" applyAlignment="1">
      <alignment horizontal="center" vertical="center"/>
    </xf>
    <xf numFmtId="0" fontId="3" fillId="9" borderId="22" xfId="2" applyNumberFormat="1" applyFont="1" applyFill="1" applyBorder="1" applyAlignment="1">
      <alignment horizontal="center" vertical="center"/>
    </xf>
    <xf numFmtId="0" fontId="3" fillId="9" borderId="24" xfId="2" applyNumberFormat="1" applyFont="1" applyFill="1" applyBorder="1" applyAlignment="1">
      <alignment horizontal="center" vertical="center"/>
    </xf>
    <xf numFmtId="0" fontId="3" fillId="9" borderId="10" xfId="2" applyNumberFormat="1" applyFont="1" applyFill="1" applyBorder="1" applyAlignment="1">
      <alignment horizontal="center" vertical="center"/>
    </xf>
    <xf numFmtId="9" fontId="9" fillId="6" borderId="21" xfId="2" applyNumberFormat="1" applyFont="1" applyFill="1" applyBorder="1" applyAlignment="1">
      <alignment horizontal="center" vertical="center"/>
    </xf>
    <xf numFmtId="9" fontId="9" fillId="6" borderId="23" xfId="2" applyNumberFormat="1" applyFont="1" applyFill="1" applyBorder="1" applyAlignment="1">
      <alignment horizontal="center" vertical="center"/>
    </xf>
    <xf numFmtId="9" fontId="9" fillId="6" borderId="15" xfId="2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178" fontId="0" fillId="10" borderId="5" xfId="0" applyNumberFormat="1" applyFill="1" applyBorder="1" applyAlignment="1">
      <alignment horizontal="center" vertical="center"/>
    </xf>
    <xf numFmtId="178" fontId="0" fillId="10" borderId="1" xfId="0" applyNumberFormat="1" applyFill="1" applyBorder="1" applyAlignment="1">
      <alignment horizontal="center" vertical="center"/>
    </xf>
    <xf numFmtId="178" fontId="0" fillId="10" borderId="25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3" borderId="25" xfId="0" applyNumberFormat="1" applyFill="1" applyBorder="1" applyAlignment="1">
      <alignment horizontal="center" vertical="center"/>
    </xf>
    <xf numFmtId="178" fontId="0" fillId="9" borderId="5" xfId="0" applyNumberFormat="1" applyFill="1" applyBorder="1" applyAlignment="1">
      <alignment horizontal="center" vertical="center"/>
    </xf>
    <xf numFmtId="178" fontId="0" fillId="9" borderId="1" xfId="0" applyNumberFormat="1" applyFill="1" applyBorder="1" applyAlignment="1">
      <alignment horizontal="center" vertical="center"/>
    </xf>
    <xf numFmtId="178" fontId="0" fillId="9" borderId="25" xfId="0" applyNumberForma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178" fontId="0" fillId="10" borderId="19" xfId="0" applyNumberForma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83" fontId="0" fillId="0" borderId="0" xfId="0" applyNumberFormat="1">
      <alignment vertical="center"/>
    </xf>
    <xf numFmtId="0" fontId="4" fillId="8" borderId="14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178" fontId="0" fillId="10" borderId="32" xfId="0" applyNumberFormat="1" applyFill="1" applyBorder="1" applyAlignment="1">
      <alignment horizontal="center" vertical="center"/>
    </xf>
    <xf numFmtId="178" fontId="0" fillId="10" borderId="26" xfId="0" applyNumberFormat="1" applyFill="1" applyBorder="1" applyAlignment="1">
      <alignment horizontal="center" vertical="center"/>
    </xf>
    <xf numFmtId="178" fontId="0" fillId="10" borderId="27" xfId="0" applyNumberForma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78" fontId="0" fillId="3" borderId="31" xfId="0" applyNumberFormat="1" applyFill="1" applyBorder="1" applyAlignment="1">
      <alignment horizontal="center" vertical="center"/>
    </xf>
    <xf numFmtId="178" fontId="0" fillId="3" borderId="28" xfId="0" applyNumberFormat="1" applyFill="1" applyBorder="1" applyAlignment="1">
      <alignment horizontal="center" vertical="center"/>
    </xf>
    <xf numFmtId="178" fontId="0" fillId="3" borderId="2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78" fontId="0" fillId="0" borderId="31" xfId="0" applyNumberFormat="1" applyFill="1" applyBorder="1" applyAlignment="1">
      <alignment horizontal="center" vertical="center"/>
    </xf>
    <xf numFmtId="178" fontId="0" fillId="0" borderId="38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25" xfId="0" applyNumberForma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26" xfId="0" applyNumberFormat="1" applyFill="1" applyBorder="1" applyAlignment="1">
      <alignment horizontal="center" vertical="center"/>
    </xf>
    <xf numFmtId="178" fontId="0" fillId="0" borderId="27" xfId="0" applyNumberFormat="1" applyFill="1" applyBorder="1" applyAlignment="1">
      <alignment horizontal="center" vertical="center"/>
    </xf>
    <xf numFmtId="178" fontId="0" fillId="3" borderId="19" xfId="0" applyNumberForma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0" borderId="42" xfId="0" applyNumberFormat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32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abSelected="1" zoomScaleNormal="100" workbookViewId="0">
      <selection activeCell="J90" sqref="J90"/>
    </sheetView>
  </sheetViews>
  <sheetFormatPr defaultRowHeight="16.5"/>
  <cols>
    <col min="1" max="2" width="6.75" customWidth="1"/>
    <col min="3" max="3" width="10.375" bestFit="1" customWidth="1"/>
    <col min="4" max="4" width="12.375" bestFit="1" customWidth="1"/>
    <col min="5" max="7" width="10.125" bestFit="1" customWidth="1"/>
    <col min="8" max="8" width="8.75" customWidth="1"/>
    <col min="9" max="9" width="5.75" style="87" bestFit="1" customWidth="1"/>
    <col min="12" max="12" width="5" bestFit="1" customWidth="1"/>
    <col min="13" max="13" width="10.375" bestFit="1" customWidth="1"/>
    <col min="14" max="16" width="5" bestFit="1" customWidth="1"/>
    <col min="23" max="25" width="5" bestFit="1" customWidth="1"/>
    <col min="26" max="26" width="7.375" bestFit="1" customWidth="1"/>
  </cols>
  <sheetData>
    <row r="1" spans="1:26" ht="17.25" thickBot="1">
      <c r="A1" s="225" t="s">
        <v>80</v>
      </c>
      <c r="B1" s="226"/>
      <c r="C1" s="2">
        <v>13908</v>
      </c>
    </row>
    <row r="2" spans="1:26" ht="17.25" thickBot="1">
      <c r="L2" s="1"/>
      <c r="M2" s="1"/>
      <c r="N2" s="1"/>
      <c r="O2" s="1"/>
    </row>
    <row r="3" spans="1:26" ht="17.25" thickBot="1">
      <c r="A3" s="231" t="s">
        <v>9</v>
      </c>
      <c r="B3" s="232"/>
      <c r="C3" s="36" t="s">
        <v>10</v>
      </c>
      <c r="D3" s="36" t="s">
        <v>11</v>
      </c>
      <c r="E3" s="37" t="s">
        <v>25</v>
      </c>
      <c r="F3" s="38" t="s">
        <v>22</v>
      </c>
      <c r="G3" s="39" t="s">
        <v>23</v>
      </c>
      <c r="H3" s="1"/>
      <c r="I3" s="86"/>
      <c r="J3" s="84"/>
      <c r="L3" s="1" t="s">
        <v>125</v>
      </c>
      <c r="M3" s="1" t="s">
        <v>128</v>
      </c>
      <c r="N3" s="1" t="s">
        <v>129</v>
      </c>
      <c r="O3" s="209" t="s">
        <v>214</v>
      </c>
      <c r="P3" s="209" t="s">
        <v>212</v>
      </c>
      <c r="Q3" s="1" t="s">
        <v>130</v>
      </c>
      <c r="U3" t="s">
        <v>215</v>
      </c>
      <c r="V3" t="s">
        <v>9</v>
      </c>
      <c r="W3" t="s">
        <v>216</v>
      </c>
      <c r="X3" t="s">
        <v>213</v>
      </c>
      <c r="Y3" t="s">
        <v>211</v>
      </c>
      <c r="Z3" t="s">
        <v>217</v>
      </c>
    </row>
    <row r="4" spans="1:26">
      <c r="A4" s="227" t="s">
        <v>12</v>
      </c>
      <c r="B4" s="228"/>
      <c r="C4" s="24" t="s">
        <v>13</v>
      </c>
      <c r="D4" s="24" t="s">
        <v>14</v>
      </c>
      <c r="E4" s="25">
        <v>0.3</v>
      </c>
      <c r="F4" s="26">
        <v>0.45</v>
      </c>
      <c r="G4" s="27">
        <v>0.6</v>
      </c>
      <c r="H4" s="1"/>
      <c r="I4" s="86"/>
      <c r="L4" s="1">
        <v>1</v>
      </c>
      <c r="M4" s="1" t="s">
        <v>34</v>
      </c>
      <c r="N4" s="209">
        <v>12</v>
      </c>
      <c r="O4" s="209">
        <v>8</v>
      </c>
      <c r="P4" s="209">
        <v>8</v>
      </c>
      <c r="Q4" s="223">
        <f>INDEX($A$3:$G$113,MATCH(M4,$A$3:$A$113,0)+4,7,1)*IF(N4=12,1.15,IF(N4=11,1.1,1))*(1+O4*0.03)/(1-P4*0.02)</f>
        <v>70260.803539791668</v>
      </c>
      <c r="U4">
        <v>1</v>
      </c>
      <c r="V4" t="s">
        <v>205</v>
      </c>
      <c r="W4">
        <v>12</v>
      </c>
      <c r="X4">
        <v>8</v>
      </c>
      <c r="Y4">
        <v>8</v>
      </c>
      <c r="Z4" s="224">
        <v>70260.803539791668</v>
      </c>
    </row>
    <row r="5" spans="1:26" ht="17.25" thickBot="1">
      <c r="A5" s="229"/>
      <c r="B5" s="230"/>
      <c r="C5" s="20" t="s">
        <v>15</v>
      </c>
      <c r="D5" s="20" t="s">
        <v>16</v>
      </c>
      <c r="E5" s="21">
        <v>0.3</v>
      </c>
      <c r="F5" s="22">
        <v>0.44</v>
      </c>
      <c r="G5" s="23">
        <v>0.6</v>
      </c>
      <c r="H5" s="1"/>
      <c r="I5" s="86"/>
      <c r="L5" s="1">
        <v>2</v>
      </c>
      <c r="M5" s="1" t="s">
        <v>207</v>
      </c>
      <c r="N5" s="209">
        <v>12</v>
      </c>
      <c r="O5" s="209">
        <v>8</v>
      </c>
      <c r="P5" s="209">
        <v>10</v>
      </c>
      <c r="Q5" s="223">
        <f t="shared" ref="Q5:Q9" si="0">INDEX($A$3:$G$113,MATCH(M5,$A$3:$A$113,0)+4,7,1)*IF(N5=12,1.15,IF(N5=11,1.1,1))*(1+O5*0.03)/(1-P5*0.02)</f>
        <v>68731.741439666657</v>
      </c>
      <c r="U5">
        <v>2</v>
      </c>
      <c r="V5" t="s">
        <v>206</v>
      </c>
      <c r="W5">
        <v>12</v>
      </c>
      <c r="X5">
        <v>8</v>
      </c>
      <c r="Y5">
        <v>10</v>
      </c>
      <c r="Z5" s="224">
        <v>68731.741439666657</v>
      </c>
    </row>
    <row r="6" spans="1:26" ht="17.25" thickBot="1">
      <c r="A6" s="40">
        <v>315</v>
      </c>
      <c r="B6" s="41" t="s">
        <v>27</v>
      </c>
      <c r="C6" s="28" t="s">
        <v>18</v>
      </c>
      <c r="D6" s="29" t="s">
        <v>19</v>
      </c>
      <c r="E6" s="30">
        <v>1</v>
      </c>
      <c r="F6" s="31">
        <v>1</v>
      </c>
      <c r="G6" s="32">
        <v>1</v>
      </c>
      <c r="H6" s="1"/>
      <c r="I6" s="86"/>
      <c r="L6" s="1">
        <v>3</v>
      </c>
      <c r="M6" s="1" t="s">
        <v>47</v>
      </c>
      <c r="N6" s="209">
        <v>12</v>
      </c>
      <c r="O6" s="209">
        <v>8</v>
      </c>
      <c r="P6" s="209">
        <v>8</v>
      </c>
      <c r="Q6" s="223">
        <f t="shared" si="0"/>
        <v>63293.995977142862</v>
      </c>
      <c r="U6">
        <v>3</v>
      </c>
      <c r="V6" t="s">
        <v>208</v>
      </c>
      <c r="W6">
        <v>12</v>
      </c>
      <c r="X6">
        <v>8</v>
      </c>
      <c r="Y6">
        <v>8</v>
      </c>
      <c r="Z6" s="224">
        <v>63293.995977142862</v>
      </c>
    </row>
    <row r="7" spans="1:26" ht="17.25" thickBot="1">
      <c r="A7" s="225" t="s">
        <v>17</v>
      </c>
      <c r="B7" s="226"/>
      <c r="C7" s="6" t="s">
        <v>21</v>
      </c>
      <c r="D7" s="6">
        <f>H7</f>
        <v>38469</v>
      </c>
      <c r="E7" s="68">
        <f>$D7*(1+E4)*(1+E5)*2</f>
        <v>130025.22000000002</v>
      </c>
      <c r="F7" s="69">
        <f>$D7*(1+F4)*(1+F5)*2</f>
        <v>160646.54399999999</v>
      </c>
      <c r="G7" s="70">
        <f>$D7*(1+G4)*(1+G5)*2</f>
        <v>196961.28000000003</v>
      </c>
      <c r="H7" s="6">
        <v>38469</v>
      </c>
      <c r="I7" s="86">
        <f>G7/E7</f>
        <v>1.514792899408284</v>
      </c>
      <c r="L7" s="1">
        <v>4</v>
      </c>
      <c r="M7" s="1" t="s">
        <v>69</v>
      </c>
      <c r="N7" s="209">
        <v>11</v>
      </c>
      <c r="O7" s="209">
        <v>7</v>
      </c>
      <c r="P7" s="209">
        <v>8</v>
      </c>
      <c r="Q7" s="223">
        <f t="shared" si="0"/>
        <v>49011.949097222234</v>
      </c>
      <c r="U7">
        <v>4</v>
      </c>
      <c r="V7" t="s">
        <v>209</v>
      </c>
      <c r="W7">
        <v>10</v>
      </c>
      <c r="X7">
        <v>0</v>
      </c>
      <c r="Y7">
        <v>8</v>
      </c>
      <c r="Z7" s="224">
        <v>11561.507936507936</v>
      </c>
    </row>
    <row r="8" spans="1:26" ht="17.25" thickBot="1">
      <c r="A8" s="3">
        <v>6</v>
      </c>
      <c r="B8" s="4" t="s">
        <v>20</v>
      </c>
      <c r="C8" s="6" t="s">
        <v>24</v>
      </c>
      <c r="D8" s="8">
        <f>D7/$A8</f>
        <v>6411.5</v>
      </c>
      <c r="E8" s="10">
        <f t="shared" ref="E8:G8" si="1">E7/$A8</f>
        <v>21670.870000000003</v>
      </c>
      <c r="F8" s="11">
        <f t="shared" si="1"/>
        <v>26774.423999999999</v>
      </c>
      <c r="G8" s="5">
        <f t="shared" si="1"/>
        <v>32826.880000000005</v>
      </c>
      <c r="L8" s="1">
        <v>5</v>
      </c>
      <c r="M8" s="1" t="s">
        <v>133</v>
      </c>
      <c r="N8" s="209">
        <v>12</v>
      </c>
      <c r="O8" s="209">
        <v>7</v>
      </c>
      <c r="P8" s="209">
        <v>0</v>
      </c>
      <c r="Q8" s="223">
        <f t="shared" si="0"/>
        <v>45678.603520000004</v>
      </c>
      <c r="U8">
        <v>5</v>
      </c>
      <c r="V8" t="s">
        <v>12</v>
      </c>
      <c r="W8">
        <v>12</v>
      </c>
      <c r="X8">
        <v>7</v>
      </c>
      <c r="Y8">
        <v>7</v>
      </c>
      <c r="Z8" s="224">
        <v>53114.655255813959</v>
      </c>
    </row>
    <row r="9" spans="1:26" ht="17.25" thickBot="1">
      <c r="L9" s="1">
        <v>6</v>
      </c>
      <c r="M9" s="1" t="s">
        <v>221</v>
      </c>
      <c r="N9" s="209">
        <v>10</v>
      </c>
      <c r="O9" s="209">
        <v>0</v>
      </c>
      <c r="P9" s="209">
        <v>7</v>
      </c>
      <c r="Q9" s="223">
        <f t="shared" si="0"/>
        <v>24373.255813953489</v>
      </c>
      <c r="U9">
        <v>6</v>
      </c>
      <c r="V9" t="s">
        <v>210</v>
      </c>
      <c r="W9">
        <v>11</v>
      </c>
      <c r="X9">
        <v>7</v>
      </c>
      <c r="Y9">
        <v>0</v>
      </c>
      <c r="Z9" s="224">
        <v>26425.9235625</v>
      </c>
    </row>
    <row r="10" spans="1:26" ht="17.25" thickBot="1">
      <c r="A10" s="231" t="s">
        <v>9</v>
      </c>
      <c r="B10" s="232"/>
      <c r="C10" s="36" t="s">
        <v>10</v>
      </c>
      <c r="D10" s="36" t="s">
        <v>11</v>
      </c>
      <c r="E10" s="37" t="s">
        <v>25</v>
      </c>
      <c r="F10" s="38" t="s">
        <v>22</v>
      </c>
      <c r="G10" s="39" t="s">
        <v>23</v>
      </c>
      <c r="L10" s="1">
        <v>7</v>
      </c>
      <c r="M10" s="1" t="s">
        <v>127</v>
      </c>
      <c r="N10" s="209">
        <v>10</v>
      </c>
      <c r="O10" s="209"/>
      <c r="P10" s="209">
        <v>10</v>
      </c>
      <c r="Q10" s="223"/>
      <c r="U10">
        <v>7</v>
      </c>
      <c r="V10" t="s">
        <v>218</v>
      </c>
      <c r="W10">
        <v>10</v>
      </c>
      <c r="Y10">
        <v>10</v>
      </c>
      <c r="Z10" s="224"/>
    </row>
    <row r="11" spans="1:26">
      <c r="A11" s="227" t="s">
        <v>26</v>
      </c>
      <c r="B11" s="228"/>
      <c r="C11" s="12" t="s">
        <v>13</v>
      </c>
      <c r="D11" s="12" t="s">
        <v>5</v>
      </c>
      <c r="E11" s="13">
        <v>0.5</v>
      </c>
      <c r="F11" s="14">
        <v>0.56999999999999995</v>
      </c>
      <c r="G11" s="15">
        <v>0.67</v>
      </c>
      <c r="L11" s="1">
        <v>8</v>
      </c>
      <c r="M11" s="1" t="s">
        <v>126</v>
      </c>
      <c r="N11" s="209">
        <v>7</v>
      </c>
      <c r="O11" s="209"/>
      <c r="P11" s="209"/>
      <c r="Q11" s="223"/>
      <c r="U11">
        <v>8</v>
      </c>
      <c r="V11" t="s">
        <v>219</v>
      </c>
      <c r="W11">
        <v>7</v>
      </c>
    </row>
    <row r="12" spans="1:26" ht="17.25" thickBot="1">
      <c r="A12" s="229"/>
      <c r="B12" s="230"/>
      <c r="C12" s="16" t="s">
        <v>15</v>
      </c>
      <c r="D12" s="16" t="s">
        <v>6</v>
      </c>
      <c r="E12" s="17">
        <v>0.3</v>
      </c>
      <c r="F12" s="18">
        <v>0.32400000000000001</v>
      </c>
      <c r="G12" s="19">
        <v>0.35399999999999998</v>
      </c>
      <c r="N12" s="209"/>
      <c r="O12" s="120"/>
      <c r="P12" s="209"/>
      <c r="Q12" s="224">
        <f>SUM(Q4:Q11)</f>
        <v>321350.34938777692</v>
      </c>
      <c r="Z12" s="224">
        <v>293388.62771142303</v>
      </c>
    </row>
    <row r="13" spans="1:26" ht="17.25" thickBot="1">
      <c r="A13" s="42">
        <v>349</v>
      </c>
      <c r="B13" s="43" t="s">
        <v>27</v>
      </c>
      <c r="C13" s="28" t="s">
        <v>18</v>
      </c>
      <c r="D13" s="29" t="s">
        <v>7</v>
      </c>
      <c r="E13" s="33">
        <v>1</v>
      </c>
      <c r="F13" s="34">
        <v>1.22</v>
      </c>
      <c r="G13" s="35">
        <v>1.45</v>
      </c>
      <c r="Q13">
        <f>(Q12+200000)*(1.1*0.7+1*0.3)</f>
        <v>557844.87384492136</v>
      </c>
      <c r="Z13">
        <v>542727.49048256536</v>
      </c>
    </row>
    <row r="14" spans="1:26" ht="17.25" thickBot="1">
      <c r="A14" s="225" t="s">
        <v>17</v>
      </c>
      <c r="B14" s="226"/>
      <c r="C14" s="6" t="s">
        <v>21</v>
      </c>
      <c r="D14" s="7">
        <f>H14*10</f>
        <v>64830</v>
      </c>
      <c r="E14" s="68">
        <f>$D14*(1+E13)</f>
        <v>129660</v>
      </c>
      <c r="F14" s="69">
        <f>$D14*(1+F13)</f>
        <v>143922.59999999998</v>
      </c>
      <c r="G14" s="70">
        <f>$D14*(1+G13)</f>
        <v>158833.5</v>
      </c>
      <c r="H14" s="6">
        <v>6483</v>
      </c>
      <c r="I14" s="86">
        <f>G14/E14</f>
        <v>1.2250000000000001</v>
      </c>
    </row>
    <row r="15" spans="1:26" ht="17.25" thickBot="1">
      <c r="A15" s="3">
        <v>8</v>
      </c>
      <c r="B15" s="4" t="s">
        <v>20</v>
      </c>
      <c r="C15" s="6" t="s">
        <v>24</v>
      </c>
      <c r="D15" s="8">
        <f>D14/$A15</f>
        <v>8103.75</v>
      </c>
      <c r="E15" s="10">
        <f t="shared" ref="E15" si="2">E14/$A15</f>
        <v>16207.5</v>
      </c>
      <c r="F15" s="11">
        <f t="shared" ref="F15" si="3">F14/$A15</f>
        <v>17990.324999999997</v>
      </c>
      <c r="G15" s="5">
        <f t="shared" ref="G15" si="4">G14/$A15</f>
        <v>19854.1875</v>
      </c>
      <c r="U15" t="s">
        <v>215</v>
      </c>
      <c r="V15" t="s">
        <v>9</v>
      </c>
      <c r="W15" t="s">
        <v>216</v>
      </c>
      <c r="X15" t="s">
        <v>213</v>
      </c>
      <c r="Y15" t="s">
        <v>211</v>
      </c>
      <c r="Z15" t="s">
        <v>217</v>
      </c>
    </row>
    <row r="16" spans="1:26" ht="17.25" thickBot="1">
      <c r="U16">
        <v>1</v>
      </c>
      <c r="V16" t="s">
        <v>205</v>
      </c>
      <c r="W16">
        <v>12</v>
      </c>
      <c r="X16">
        <v>8</v>
      </c>
      <c r="Y16">
        <v>8</v>
      </c>
      <c r="Z16">
        <v>70260.803539791668</v>
      </c>
    </row>
    <row r="17" spans="1:26" ht="17.25" thickBot="1">
      <c r="A17" s="231" t="s">
        <v>9</v>
      </c>
      <c r="B17" s="232"/>
      <c r="C17" s="36" t="s">
        <v>10</v>
      </c>
      <c r="D17" s="36" t="s">
        <v>11</v>
      </c>
      <c r="E17" s="37" t="s">
        <v>25</v>
      </c>
      <c r="F17" s="38" t="s">
        <v>22</v>
      </c>
      <c r="G17" s="39" t="s">
        <v>23</v>
      </c>
      <c r="U17">
        <v>2</v>
      </c>
      <c r="V17" t="s">
        <v>206</v>
      </c>
      <c r="W17">
        <v>12</v>
      </c>
      <c r="X17">
        <v>8</v>
      </c>
      <c r="Y17">
        <v>10</v>
      </c>
      <c r="Z17">
        <v>68731.741439666657</v>
      </c>
    </row>
    <row r="18" spans="1:26">
      <c r="A18" s="227" t="s">
        <v>28</v>
      </c>
      <c r="B18" s="228"/>
      <c r="C18" s="12" t="s">
        <v>13</v>
      </c>
      <c r="D18" s="12" t="s">
        <v>29</v>
      </c>
      <c r="E18" s="13" t="s">
        <v>31</v>
      </c>
      <c r="F18" s="14" t="s">
        <v>30</v>
      </c>
      <c r="G18" s="15" t="s">
        <v>30</v>
      </c>
      <c r="U18">
        <v>3</v>
      </c>
      <c r="V18" t="s">
        <v>208</v>
      </c>
      <c r="W18">
        <v>12</v>
      </c>
      <c r="X18">
        <v>8</v>
      </c>
      <c r="Y18">
        <v>8</v>
      </c>
      <c r="Z18">
        <v>63293.995977142862</v>
      </c>
    </row>
    <row r="19" spans="1:26" ht="17.25" thickBot="1">
      <c r="A19" s="229"/>
      <c r="B19" s="230"/>
      <c r="C19" s="16" t="s">
        <v>15</v>
      </c>
      <c r="D19" s="16" t="s">
        <v>32</v>
      </c>
      <c r="E19" s="17">
        <v>0.4</v>
      </c>
      <c r="F19" s="18">
        <v>0.42799999999999999</v>
      </c>
      <c r="G19" s="44">
        <v>0.46</v>
      </c>
      <c r="U19">
        <v>4</v>
      </c>
      <c r="V19" t="s">
        <v>209</v>
      </c>
      <c r="W19">
        <v>12</v>
      </c>
      <c r="X19">
        <v>7</v>
      </c>
      <c r="Y19">
        <v>8</v>
      </c>
      <c r="Z19">
        <v>51239.764965277776</v>
      </c>
    </row>
    <row r="20" spans="1:26" ht="17.25" thickBot="1">
      <c r="A20" s="42">
        <v>349</v>
      </c>
      <c r="B20" s="43" t="s">
        <v>27</v>
      </c>
      <c r="C20" s="28" t="s">
        <v>18</v>
      </c>
      <c r="D20" s="29" t="s">
        <v>33</v>
      </c>
      <c r="E20" s="33">
        <v>0.7</v>
      </c>
      <c r="F20" s="34">
        <v>0.86</v>
      </c>
      <c r="G20" s="35">
        <v>1.05</v>
      </c>
      <c r="U20">
        <v>5</v>
      </c>
      <c r="V20" t="s">
        <v>12</v>
      </c>
      <c r="W20">
        <v>11</v>
      </c>
      <c r="X20">
        <v>7</v>
      </c>
      <c r="Y20">
        <v>0</v>
      </c>
      <c r="Z20">
        <v>27307.860799999999</v>
      </c>
    </row>
    <row r="21" spans="1:26" ht="17.25" thickBot="1">
      <c r="A21" s="225" t="s">
        <v>17</v>
      </c>
      <c r="B21" s="226"/>
      <c r="C21" s="6" t="s">
        <v>21</v>
      </c>
      <c r="D21" s="7">
        <f>H21*5</f>
        <v>40315</v>
      </c>
      <c r="E21" s="68">
        <f>$D21*(1+E20)</f>
        <v>68535.5</v>
      </c>
      <c r="F21" s="69">
        <f>$D21*(1+F20)</f>
        <v>74985.899999999994</v>
      </c>
      <c r="G21" s="70">
        <f>$D21*(1+G20)</f>
        <v>82645.75</v>
      </c>
      <c r="H21" s="6">
        <v>8063</v>
      </c>
      <c r="I21" s="86">
        <f>G21/E21</f>
        <v>1.2058823529411764</v>
      </c>
      <c r="U21">
        <v>6</v>
      </c>
      <c r="V21" t="s">
        <v>210</v>
      </c>
      <c r="W21">
        <v>10</v>
      </c>
      <c r="X21">
        <v>7</v>
      </c>
      <c r="Y21">
        <v>0</v>
      </c>
      <c r="Z21">
        <v>24023.566875</v>
      </c>
    </row>
    <row r="22" spans="1:26" ht="17.25" thickBot="1">
      <c r="A22" s="3">
        <v>8</v>
      </c>
      <c r="B22" s="4" t="s">
        <v>20</v>
      </c>
      <c r="C22" s="6" t="s">
        <v>24</v>
      </c>
      <c r="D22" s="8">
        <f>D21/$A22</f>
        <v>5039.375</v>
      </c>
      <c r="E22" s="10">
        <f t="shared" ref="E22" si="5">E21/$A22</f>
        <v>8566.9375</v>
      </c>
      <c r="F22" s="11">
        <f t="shared" ref="F22" si="6">F21/$A22</f>
        <v>9373.2374999999993</v>
      </c>
      <c r="G22" s="5">
        <f t="shared" ref="G22" si="7">G21/$A22</f>
        <v>10330.71875</v>
      </c>
      <c r="U22">
        <v>7</v>
      </c>
      <c r="V22" t="s">
        <v>218</v>
      </c>
      <c r="W22">
        <v>10</v>
      </c>
      <c r="Y22">
        <v>10</v>
      </c>
    </row>
    <row r="23" spans="1:26" ht="17.25" thickBot="1">
      <c r="U23">
        <v>8</v>
      </c>
      <c r="V23" t="s">
        <v>219</v>
      </c>
      <c r="W23">
        <v>7</v>
      </c>
    </row>
    <row r="24" spans="1:26" ht="17.25" thickBot="1">
      <c r="A24" s="231" t="s">
        <v>9</v>
      </c>
      <c r="B24" s="232"/>
      <c r="C24" s="36" t="s">
        <v>10</v>
      </c>
      <c r="D24" s="36" t="s">
        <v>11</v>
      </c>
      <c r="E24" s="37" t="s">
        <v>25</v>
      </c>
      <c r="F24" s="38" t="s">
        <v>22</v>
      </c>
      <c r="G24" s="39" t="s">
        <v>23</v>
      </c>
      <c r="Z24">
        <v>304857.733596879</v>
      </c>
    </row>
    <row r="25" spans="1:26">
      <c r="A25" s="227" t="s">
        <v>34</v>
      </c>
      <c r="B25" s="228"/>
      <c r="C25" s="24" t="s">
        <v>13</v>
      </c>
      <c r="D25" s="24" t="s">
        <v>35</v>
      </c>
      <c r="E25" s="78" t="s">
        <v>37</v>
      </c>
      <c r="F25" s="26" t="s">
        <v>36</v>
      </c>
      <c r="G25" s="27" t="s">
        <v>36</v>
      </c>
      <c r="Z25">
        <v>545246.35228462936</v>
      </c>
    </row>
    <row r="26" spans="1:26" ht="17.25" thickBot="1">
      <c r="A26" s="229"/>
      <c r="B26" s="230"/>
      <c r="C26" s="16" t="s">
        <v>15</v>
      </c>
      <c r="D26" s="16" t="s">
        <v>95</v>
      </c>
      <c r="E26" s="17">
        <v>0.2</v>
      </c>
      <c r="F26" s="45">
        <v>0.32400000000000001</v>
      </c>
      <c r="G26" s="44">
        <v>0.45</v>
      </c>
    </row>
    <row r="27" spans="1:26" ht="17.25" thickBot="1">
      <c r="A27" s="42">
        <v>469</v>
      </c>
      <c r="B27" s="43" t="s">
        <v>27</v>
      </c>
      <c r="C27" s="28" t="s">
        <v>18</v>
      </c>
      <c r="D27" s="29" t="s">
        <v>38</v>
      </c>
      <c r="E27" s="33">
        <v>0.6</v>
      </c>
      <c r="F27" s="34">
        <v>0.72</v>
      </c>
      <c r="G27" s="35">
        <v>0.85199999999999998</v>
      </c>
      <c r="U27" t="s">
        <v>215</v>
      </c>
      <c r="V27" t="s">
        <v>9</v>
      </c>
      <c r="W27" t="s">
        <v>216</v>
      </c>
      <c r="X27" t="s">
        <v>213</v>
      </c>
      <c r="Y27" t="s">
        <v>211</v>
      </c>
      <c r="Z27" t="s">
        <v>217</v>
      </c>
    </row>
    <row r="28" spans="1:26" ht="17.25" thickBot="1">
      <c r="A28" s="225" t="s">
        <v>17</v>
      </c>
      <c r="B28" s="226"/>
      <c r="C28" s="6" t="s">
        <v>21</v>
      </c>
      <c r="D28" s="85">
        <f>$H28*(5+10*0.125)</f>
        <v>114668.75</v>
      </c>
      <c r="E28" s="68">
        <f>$H28*(7+21*E27)*(1+E26)</f>
        <v>431521.44</v>
      </c>
      <c r="F28" s="69">
        <f>$H28*(7+21*F27)*(1+F26)</f>
        <v>537326.38735999994</v>
      </c>
      <c r="G28" s="70">
        <f>$H28*(7+21*G27)*(1+G26)</f>
        <v>662205.60979999998</v>
      </c>
      <c r="H28" s="6">
        <v>18347</v>
      </c>
      <c r="I28" s="86">
        <f>G28/E28</f>
        <v>1.5345833333333332</v>
      </c>
      <c r="U28">
        <v>1</v>
      </c>
      <c r="V28" t="s">
        <v>205</v>
      </c>
      <c r="W28">
        <v>12</v>
      </c>
      <c r="X28">
        <v>8</v>
      </c>
      <c r="Y28">
        <v>8</v>
      </c>
      <c r="Z28">
        <v>70260.803539791668</v>
      </c>
    </row>
    <row r="29" spans="1:26" ht="17.25" thickBot="1">
      <c r="A29" s="3">
        <v>16</v>
      </c>
      <c r="B29" s="4" t="s">
        <v>20</v>
      </c>
      <c r="C29" s="6" t="s">
        <v>24</v>
      </c>
      <c r="D29" s="8">
        <f>D28/$A29</f>
        <v>7166.796875</v>
      </c>
      <c r="E29" s="10">
        <f t="shared" ref="E29" si="8">E28/$A29</f>
        <v>26970.09</v>
      </c>
      <c r="F29" s="11">
        <f t="shared" ref="F29" si="9">F28/$A29</f>
        <v>33582.899209999996</v>
      </c>
      <c r="G29" s="5">
        <f t="shared" ref="G29" si="10">G28/$A29</f>
        <v>41387.850612499999</v>
      </c>
      <c r="U29">
        <v>2</v>
      </c>
      <c r="V29" t="s">
        <v>206</v>
      </c>
      <c r="W29">
        <v>12</v>
      </c>
      <c r="X29">
        <v>8</v>
      </c>
      <c r="Y29">
        <v>10</v>
      </c>
      <c r="Z29">
        <v>68731.741439666657</v>
      </c>
    </row>
    <row r="30" spans="1:26" ht="17.25" thickBot="1">
      <c r="U30">
        <v>3</v>
      </c>
      <c r="V30" t="s">
        <v>208</v>
      </c>
      <c r="W30">
        <v>12</v>
      </c>
      <c r="X30">
        <v>8</v>
      </c>
      <c r="Y30">
        <v>8</v>
      </c>
      <c r="Z30">
        <v>63293.995977142862</v>
      </c>
    </row>
    <row r="31" spans="1:26" ht="17.25" thickBot="1">
      <c r="A31" s="231" t="s">
        <v>9</v>
      </c>
      <c r="B31" s="232"/>
      <c r="C31" s="36" t="s">
        <v>10</v>
      </c>
      <c r="D31" s="36" t="s">
        <v>11</v>
      </c>
      <c r="E31" s="37" t="s">
        <v>25</v>
      </c>
      <c r="F31" s="38" t="s">
        <v>22</v>
      </c>
      <c r="G31" s="39" t="s">
        <v>23</v>
      </c>
      <c r="U31">
        <v>4</v>
      </c>
      <c r="V31" t="s">
        <v>209</v>
      </c>
      <c r="W31">
        <v>11</v>
      </c>
      <c r="X31">
        <v>7</v>
      </c>
      <c r="Y31">
        <v>8</v>
      </c>
      <c r="Z31">
        <v>49011.949097222234</v>
      </c>
    </row>
    <row r="32" spans="1:26">
      <c r="A32" s="227" t="s">
        <v>39</v>
      </c>
      <c r="B32" s="228"/>
      <c r="C32" s="24" t="s">
        <v>13</v>
      </c>
      <c r="D32" s="24" t="s">
        <v>40</v>
      </c>
      <c r="E32" s="25">
        <v>0.4</v>
      </c>
      <c r="F32" s="26">
        <v>0.4</v>
      </c>
      <c r="G32" s="27">
        <v>0.4</v>
      </c>
      <c r="U32">
        <v>5</v>
      </c>
      <c r="V32" t="s">
        <v>12</v>
      </c>
      <c r="W32">
        <v>12</v>
      </c>
      <c r="X32">
        <v>7</v>
      </c>
      <c r="Y32">
        <v>0</v>
      </c>
      <c r="Z32">
        <v>45678.603520000004</v>
      </c>
    </row>
    <row r="33" spans="1:26" ht="17.25" thickBot="1">
      <c r="A33" s="229"/>
      <c r="B33" s="230"/>
      <c r="C33" s="20" t="s">
        <v>15</v>
      </c>
      <c r="D33" s="20" t="s">
        <v>41</v>
      </c>
      <c r="E33" s="21">
        <v>0.5</v>
      </c>
      <c r="F33" s="79">
        <v>0.72</v>
      </c>
      <c r="G33" s="80">
        <v>0.94</v>
      </c>
      <c r="U33">
        <v>6</v>
      </c>
      <c r="V33" t="s">
        <v>220</v>
      </c>
      <c r="W33">
        <v>10</v>
      </c>
      <c r="X33">
        <v>0</v>
      </c>
      <c r="Y33">
        <v>7</v>
      </c>
      <c r="Z33">
        <v>7646.5116279069771</v>
      </c>
    </row>
    <row r="34" spans="1:26" ht="17.25" thickBot="1">
      <c r="A34" s="42">
        <v>521</v>
      </c>
      <c r="B34" s="43" t="s">
        <v>27</v>
      </c>
      <c r="C34" s="28" t="s">
        <v>18</v>
      </c>
      <c r="D34" s="29" t="s">
        <v>42</v>
      </c>
      <c r="E34" s="33">
        <v>3</v>
      </c>
      <c r="F34" s="34">
        <v>3.54</v>
      </c>
      <c r="G34" s="35">
        <v>4.1100000000000003</v>
      </c>
      <c r="U34">
        <v>7</v>
      </c>
      <c r="V34" t="s">
        <v>218</v>
      </c>
      <c r="W34">
        <v>10</v>
      </c>
      <c r="Y34">
        <v>10</v>
      </c>
    </row>
    <row r="35" spans="1:26" ht="17.25" thickBot="1">
      <c r="A35" s="225" t="s">
        <v>17</v>
      </c>
      <c r="B35" s="226"/>
      <c r="C35" s="6" t="s">
        <v>21</v>
      </c>
      <c r="D35" s="7">
        <f>H35*3</f>
        <v>75831</v>
      </c>
      <c r="E35" s="68">
        <f>$H35*(1+E32)+$H35*(1+E32)*(1+E33)+$H35*(1+E32)*(E34)</f>
        <v>194632.9</v>
      </c>
      <c r="F35" s="69">
        <f>$H35*(1+F32)+$H35*(1+F32)*(1+F33)+$H35*(1+F32)*(F34)</f>
        <v>221527.62799999997</v>
      </c>
      <c r="G35" s="70">
        <f>$H35*(1+G32)+$H35*(1+G32)*(1+G33)+$H35*(1+G32)*(G34)</f>
        <v>249483.99</v>
      </c>
      <c r="H35" s="6">
        <v>25277</v>
      </c>
      <c r="I35" s="86">
        <f>G35/E35</f>
        <v>1.2818181818181817</v>
      </c>
      <c r="U35">
        <v>8</v>
      </c>
      <c r="V35" t="s">
        <v>219</v>
      </c>
      <c r="W35">
        <v>7</v>
      </c>
    </row>
    <row r="36" spans="1:26" ht="17.25" thickBot="1">
      <c r="A36" s="3">
        <v>20</v>
      </c>
      <c r="B36" s="4" t="s">
        <v>20</v>
      </c>
      <c r="C36" s="6" t="s">
        <v>24</v>
      </c>
      <c r="D36" s="8">
        <f>D35/$A36</f>
        <v>3791.55</v>
      </c>
      <c r="E36" s="10">
        <f t="shared" ref="E36" si="11">E35/$A36</f>
        <v>9731.6450000000004</v>
      </c>
      <c r="F36" s="11">
        <f t="shared" ref="F36" si="12">F35/$A36</f>
        <v>11076.381399999998</v>
      </c>
      <c r="G36" s="5">
        <f>G35/$A36</f>
        <v>12474.199499999999</v>
      </c>
      <c r="Z36">
        <v>304623.60520173045</v>
      </c>
    </row>
    <row r="37" spans="1:26" ht="17.25" thickBot="1">
      <c r="Z37">
        <v>539947.25756585156</v>
      </c>
    </row>
    <row r="38" spans="1:26" ht="17.25" thickBot="1">
      <c r="A38" s="231" t="s">
        <v>9</v>
      </c>
      <c r="B38" s="232"/>
      <c r="C38" s="36" t="s">
        <v>10</v>
      </c>
      <c r="D38" s="36" t="s">
        <v>11</v>
      </c>
      <c r="E38" s="37" t="s">
        <v>25</v>
      </c>
      <c r="F38" s="38" t="s">
        <v>22</v>
      </c>
      <c r="G38" s="39" t="s">
        <v>23</v>
      </c>
    </row>
    <row r="39" spans="1:26">
      <c r="A39" s="227" t="s">
        <v>43</v>
      </c>
      <c r="B39" s="228"/>
      <c r="C39" s="60" t="s">
        <v>13</v>
      </c>
      <c r="D39" s="60" t="s">
        <v>1</v>
      </c>
      <c r="E39" s="71">
        <v>2</v>
      </c>
      <c r="F39" s="72">
        <v>3.4</v>
      </c>
      <c r="G39" s="73">
        <v>5</v>
      </c>
    </row>
    <row r="40" spans="1:26" ht="17.25" thickBot="1">
      <c r="A40" s="229"/>
      <c r="B40" s="230"/>
      <c r="C40" s="20" t="s">
        <v>15</v>
      </c>
      <c r="D40" s="20" t="s">
        <v>35</v>
      </c>
      <c r="E40" s="81">
        <v>1</v>
      </c>
      <c r="F40" s="82">
        <v>1</v>
      </c>
      <c r="G40" s="83">
        <v>1</v>
      </c>
    </row>
    <row r="41" spans="1:26" ht="17.25" thickBot="1">
      <c r="A41" s="42">
        <v>569</v>
      </c>
      <c r="B41" s="43" t="s">
        <v>27</v>
      </c>
      <c r="C41" s="28" t="s">
        <v>18</v>
      </c>
      <c r="D41" s="29" t="s">
        <v>81</v>
      </c>
      <c r="E41" s="33">
        <v>0.6</v>
      </c>
      <c r="F41" s="34">
        <v>0.76</v>
      </c>
      <c r="G41" s="35">
        <v>0.95</v>
      </c>
    </row>
    <row r="42" spans="1:26" ht="17.25" thickBot="1">
      <c r="A42" s="225" t="s">
        <v>17</v>
      </c>
      <c r="B42" s="226"/>
      <c r="C42" s="6" t="s">
        <v>21</v>
      </c>
      <c r="D42" s="7">
        <f>$H42*3</f>
        <v>136500</v>
      </c>
      <c r="E42" s="9">
        <f>$H42*(4+6*E41)</f>
        <v>345800</v>
      </c>
      <c r="F42" s="69">
        <f>$H42*(4+6*F41)</f>
        <v>389480</v>
      </c>
      <c r="G42" s="70">
        <f>$H42*(4+6*G41)</f>
        <v>441349.99999999994</v>
      </c>
      <c r="H42" s="6">
        <v>45500</v>
      </c>
      <c r="I42" s="86">
        <f>G42/E42</f>
        <v>1.2763157894736841</v>
      </c>
    </row>
    <row r="43" spans="1:26" ht="17.25" thickBot="1">
      <c r="A43" s="3">
        <v>24</v>
      </c>
      <c r="B43" s="4" t="s">
        <v>20</v>
      </c>
      <c r="C43" s="6" t="s">
        <v>24</v>
      </c>
      <c r="D43" s="8">
        <f>D42/$A43</f>
        <v>5687.5</v>
      </c>
      <c r="E43" s="10">
        <f>E42/($A43-E39)</f>
        <v>15718.181818181818</v>
      </c>
      <c r="F43" s="11">
        <f>F42/($A43-F39)</f>
        <v>18906.796116504855</v>
      </c>
      <c r="G43" s="5">
        <f>G42/($A43-G39)</f>
        <v>23228.94736842105</v>
      </c>
    </row>
    <row r="44" spans="1:26" ht="17.25" thickBot="1"/>
    <row r="45" spans="1:26" ht="17.25" thickBot="1">
      <c r="A45" s="231" t="s">
        <v>9</v>
      </c>
      <c r="B45" s="232"/>
      <c r="C45" s="36" t="s">
        <v>10</v>
      </c>
      <c r="D45" s="36" t="s">
        <v>11</v>
      </c>
      <c r="E45" s="37" t="s">
        <v>25</v>
      </c>
      <c r="F45" s="38" t="s">
        <v>22</v>
      </c>
      <c r="G45" s="39" t="s">
        <v>23</v>
      </c>
    </row>
    <row r="46" spans="1:26">
      <c r="A46" s="227" t="s">
        <v>44</v>
      </c>
      <c r="B46" s="228"/>
      <c r="C46" s="60" t="s">
        <v>13</v>
      </c>
      <c r="D46" s="60" t="s">
        <v>1</v>
      </c>
      <c r="E46" s="71">
        <v>2</v>
      </c>
      <c r="F46" s="72">
        <v>3</v>
      </c>
      <c r="G46" s="73">
        <v>4</v>
      </c>
    </row>
    <row r="47" spans="1:26" ht="17.25" thickBot="1">
      <c r="A47" s="229"/>
      <c r="B47" s="230"/>
      <c r="C47" s="20" t="s">
        <v>15</v>
      </c>
      <c r="D47" s="20" t="s">
        <v>45</v>
      </c>
      <c r="E47" s="21">
        <v>1</v>
      </c>
      <c r="F47" s="22">
        <v>1.22</v>
      </c>
      <c r="G47" s="23">
        <v>1.45</v>
      </c>
    </row>
    <row r="48" spans="1:26" ht="17.25" thickBot="1">
      <c r="A48" s="42">
        <v>495</v>
      </c>
      <c r="B48" s="43" t="s">
        <v>27</v>
      </c>
      <c r="C48" s="28" t="s">
        <v>18</v>
      </c>
      <c r="D48" s="29" t="s">
        <v>46</v>
      </c>
      <c r="E48" s="33">
        <v>1.4</v>
      </c>
      <c r="F48" s="34">
        <v>1.64</v>
      </c>
      <c r="G48" s="49">
        <v>1.9279999999999999</v>
      </c>
    </row>
    <row r="49" spans="1:9" ht="17.25" thickBot="1">
      <c r="A49" s="225" t="s">
        <v>17</v>
      </c>
      <c r="B49" s="226"/>
      <c r="C49" s="6" t="s">
        <v>21</v>
      </c>
      <c r="D49" s="7">
        <f>$H49</f>
        <v>37663</v>
      </c>
      <c r="E49" s="68">
        <f>$H49*(1+E47)*(1+E48)</f>
        <v>180782.4</v>
      </c>
      <c r="F49" s="69">
        <f>$H49*(1+F47)*(1+F48)</f>
        <v>220735.31039999993</v>
      </c>
      <c r="G49" s="70">
        <f>$H49*(1+G47)*(1+G48)</f>
        <v>270179.29680000001</v>
      </c>
      <c r="H49" s="6">
        <v>37663</v>
      </c>
      <c r="I49" s="86">
        <f>G49/E49</f>
        <v>1.4945000000000002</v>
      </c>
    </row>
    <row r="50" spans="1:9" ht="17.25" thickBot="1">
      <c r="A50" s="3">
        <v>18</v>
      </c>
      <c r="B50" s="4" t="s">
        <v>20</v>
      </c>
      <c r="C50" s="6" t="s">
        <v>24</v>
      </c>
      <c r="D50" s="8">
        <f>D49/$A50</f>
        <v>2092.3888888888887</v>
      </c>
      <c r="E50" s="10">
        <f>E49/($A50-E46+6)</f>
        <v>8217.3818181818187</v>
      </c>
      <c r="F50" s="11">
        <f>F49/($A50-F46+6)</f>
        <v>10511.205257142854</v>
      </c>
      <c r="G50" s="5">
        <f>G49/($A50-G46+6)</f>
        <v>13508.964840000001</v>
      </c>
    </row>
    <row r="51" spans="1:9" ht="17.25" thickBot="1"/>
    <row r="52" spans="1:9" ht="17.25" thickBot="1">
      <c r="A52" s="231" t="s">
        <v>9</v>
      </c>
      <c r="B52" s="232"/>
      <c r="C52" s="36" t="s">
        <v>10</v>
      </c>
      <c r="D52" s="36" t="s">
        <v>11</v>
      </c>
      <c r="E52" s="37" t="s">
        <v>25</v>
      </c>
      <c r="F52" s="38" t="s">
        <v>22</v>
      </c>
      <c r="G52" s="39" t="s">
        <v>23</v>
      </c>
    </row>
    <row r="53" spans="1:9">
      <c r="A53" s="227" t="s">
        <v>47</v>
      </c>
      <c r="B53" s="228"/>
      <c r="C53" s="12" t="s">
        <v>13</v>
      </c>
      <c r="D53" s="12" t="s">
        <v>48</v>
      </c>
      <c r="E53" s="46">
        <v>1</v>
      </c>
      <c r="F53" s="47">
        <v>1</v>
      </c>
      <c r="G53" s="48">
        <v>1</v>
      </c>
    </row>
    <row r="54" spans="1:9" ht="17.25" thickBot="1">
      <c r="A54" s="229"/>
      <c r="B54" s="230"/>
      <c r="C54" s="20" t="s">
        <v>15</v>
      </c>
      <c r="D54" s="20" t="s">
        <v>49</v>
      </c>
      <c r="E54" s="21">
        <v>0.3</v>
      </c>
      <c r="F54" s="22">
        <v>0.45</v>
      </c>
      <c r="G54" s="23">
        <v>0.6</v>
      </c>
    </row>
    <row r="55" spans="1:9" ht="17.25" thickBot="1">
      <c r="A55" s="42">
        <v>569</v>
      </c>
      <c r="B55" s="43" t="s">
        <v>27</v>
      </c>
      <c r="C55" s="28" t="s">
        <v>18</v>
      </c>
      <c r="D55" s="29" t="s">
        <v>50</v>
      </c>
      <c r="E55" s="33">
        <v>0.6</v>
      </c>
      <c r="F55" s="34">
        <v>0.76800000000000002</v>
      </c>
      <c r="G55" s="49">
        <v>0.98399999999999999</v>
      </c>
    </row>
    <row r="56" spans="1:9" ht="17.25" thickBot="1">
      <c r="A56" s="225" t="s">
        <v>17</v>
      </c>
      <c r="B56" s="226"/>
      <c r="C56" s="6" t="s">
        <v>21</v>
      </c>
      <c r="D56" s="7">
        <f>H56</f>
        <v>176534</v>
      </c>
      <c r="E56" s="68">
        <f>($H56*0.7+$H56*0.5+($H56*E55)*2)*(1+E54)</f>
        <v>550786.07999999996</v>
      </c>
      <c r="F56" s="69">
        <f>($H56*0.7+$H56*0.5+($H56*F55)*2)*(1+F54)</f>
        <v>700345.68479999993</v>
      </c>
      <c r="G56" s="70">
        <f>($H56*0.7+$H56*0.5+($H56*G55)*2)*(1+G54)</f>
        <v>894815.53920000012</v>
      </c>
      <c r="H56" s="54">
        <f>35286+88196+13263*4</f>
        <v>176534</v>
      </c>
      <c r="I56" s="86">
        <f>G56/E56</f>
        <v>1.624615384615385</v>
      </c>
    </row>
    <row r="57" spans="1:9" ht="17.25" thickBot="1">
      <c r="A57" s="3">
        <v>24</v>
      </c>
      <c r="B57" s="4" t="s">
        <v>20</v>
      </c>
      <c r="C57" s="6" t="s">
        <v>24</v>
      </c>
      <c r="D57" s="8">
        <f>D56/$A57</f>
        <v>7355.583333333333</v>
      </c>
      <c r="E57" s="10">
        <f>E56/($A57)</f>
        <v>22949.42</v>
      </c>
      <c r="F57" s="11">
        <f>F56/($A57)</f>
        <v>29181.070199999998</v>
      </c>
      <c r="G57" s="5">
        <f>G56/($A57)</f>
        <v>37283.980800000005</v>
      </c>
    </row>
    <row r="58" spans="1:9" ht="17.25" thickBot="1"/>
    <row r="59" spans="1:9" ht="17.25" thickBot="1">
      <c r="A59" s="231" t="s">
        <v>9</v>
      </c>
      <c r="B59" s="232"/>
      <c r="C59" s="36" t="s">
        <v>10</v>
      </c>
      <c r="D59" s="36" t="s">
        <v>11</v>
      </c>
      <c r="E59" s="37" t="s">
        <v>25</v>
      </c>
      <c r="F59" s="38" t="s">
        <v>22</v>
      </c>
      <c r="G59" s="39" t="s">
        <v>23</v>
      </c>
    </row>
    <row r="60" spans="1:9">
      <c r="A60" s="227" t="s">
        <v>51</v>
      </c>
      <c r="B60" s="228"/>
      <c r="C60" s="12" t="s">
        <v>13</v>
      </c>
      <c r="D60" s="12" t="s">
        <v>4</v>
      </c>
      <c r="E60" s="13">
        <v>0.3</v>
      </c>
      <c r="F60" s="14">
        <v>0.37</v>
      </c>
      <c r="G60" s="15">
        <v>0.45</v>
      </c>
    </row>
    <row r="61" spans="1:9" ht="17.25" thickBot="1">
      <c r="A61" s="229"/>
      <c r="B61" s="230"/>
      <c r="C61" s="20" t="s">
        <v>15</v>
      </c>
      <c r="D61" s="20" t="s">
        <v>52</v>
      </c>
      <c r="E61" s="21">
        <v>0.24</v>
      </c>
      <c r="F61" s="22">
        <v>0.37</v>
      </c>
      <c r="G61" s="23">
        <v>0.5</v>
      </c>
    </row>
    <row r="62" spans="1:9" ht="17.25" thickBot="1">
      <c r="A62" s="42">
        <v>469</v>
      </c>
      <c r="B62" s="43" t="s">
        <v>27</v>
      </c>
      <c r="C62" s="28" t="s">
        <v>18</v>
      </c>
      <c r="D62" s="29" t="s">
        <v>53</v>
      </c>
      <c r="E62" s="33">
        <v>1</v>
      </c>
      <c r="F62" s="34">
        <v>1.22</v>
      </c>
      <c r="G62" s="50">
        <v>1.45</v>
      </c>
    </row>
    <row r="63" spans="1:9" ht="17.25" thickBot="1">
      <c r="A63" s="225" t="s">
        <v>17</v>
      </c>
      <c r="B63" s="226"/>
      <c r="C63" s="6" t="s">
        <v>21</v>
      </c>
      <c r="D63" s="7">
        <f>H63</f>
        <v>64030</v>
      </c>
      <c r="E63" s="68">
        <f>$H63*(1+E61)*(1+E62)</f>
        <v>158794.4</v>
      </c>
      <c r="F63" s="69">
        <f>$H63*(1+F61)*(1+F62)</f>
        <v>194740.842</v>
      </c>
      <c r="G63" s="70">
        <f>$H63*(1+G61)*(1+G62)</f>
        <v>235310.25000000003</v>
      </c>
      <c r="H63" s="6">
        <v>64030</v>
      </c>
      <c r="I63" s="86">
        <f>G63/E63</f>
        <v>1.4818548387096777</v>
      </c>
    </row>
    <row r="64" spans="1:9" ht="17.25" thickBot="1">
      <c r="A64" s="3">
        <v>16</v>
      </c>
      <c r="B64" s="4" t="s">
        <v>20</v>
      </c>
      <c r="C64" s="6" t="s">
        <v>2</v>
      </c>
      <c r="D64" s="8">
        <f>D63/$A64</f>
        <v>4001.875</v>
      </c>
      <c r="E64" s="10">
        <f>E63/($A64)</f>
        <v>9924.65</v>
      </c>
      <c r="F64" s="11">
        <f>F63/($A64)</f>
        <v>12171.302625</v>
      </c>
      <c r="G64" s="5">
        <f>G63/($A64)</f>
        <v>14706.890625000002</v>
      </c>
    </row>
    <row r="65" spans="1:9" ht="17.25" thickBot="1"/>
    <row r="66" spans="1:9" ht="17.25" thickBot="1">
      <c r="A66" s="231" t="s">
        <v>9</v>
      </c>
      <c r="B66" s="232"/>
      <c r="C66" s="36" t="s">
        <v>10</v>
      </c>
      <c r="D66" s="36" t="s">
        <v>11</v>
      </c>
      <c r="E66" s="37" t="s">
        <v>25</v>
      </c>
      <c r="F66" s="38" t="s">
        <v>22</v>
      </c>
      <c r="G66" s="39" t="s">
        <v>23</v>
      </c>
    </row>
    <row r="67" spans="1:9">
      <c r="A67" s="227" t="s">
        <v>54</v>
      </c>
      <c r="B67" s="228"/>
      <c r="C67" s="24" t="s">
        <v>13</v>
      </c>
      <c r="D67" s="24" t="s">
        <v>55</v>
      </c>
      <c r="E67" s="25">
        <v>0.3</v>
      </c>
      <c r="F67" s="26">
        <v>0.48</v>
      </c>
      <c r="G67" s="27">
        <v>0.72</v>
      </c>
    </row>
    <row r="68" spans="1:9" ht="17.25" thickBot="1">
      <c r="A68" s="229"/>
      <c r="B68" s="230"/>
      <c r="C68" s="74" t="s">
        <v>15</v>
      </c>
      <c r="D68" s="74" t="s">
        <v>35</v>
      </c>
      <c r="E68" s="75">
        <v>3</v>
      </c>
      <c r="F68" s="76">
        <v>1.6</v>
      </c>
      <c r="G68" s="77">
        <v>0</v>
      </c>
    </row>
    <row r="69" spans="1:9" ht="17.25" thickBot="1">
      <c r="A69" s="42">
        <v>569</v>
      </c>
      <c r="B69" s="43" t="s">
        <v>27</v>
      </c>
      <c r="C69" s="28" t="s">
        <v>18</v>
      </c>
      <c r="D69" s="29" t="s">
        <v>56</v>
      </c>
      <c r="E69" s="33">
        <v>7</v>
      </c>
      <c r="F69" s="34">
        <v>7.8</v>
      </c>
      <c r="G69" s="50">
        <v>8.76</v>
      </c>
    </row>
    <row r="70" spans="1:9" ht="17.25" thickBot="1">
      <c r="A70" s="225" t="s">
        <v>17</v>
      </c>
      <c r="B70" s="226"/>
      <c r="C70" s="6" t="s">
        <v>21</v>
      </c>
      <c r="D70" s="7">
        <f>H70*10</f>
        <v>95390</v>
      </c>
      <c r="E70" s="68">
        <f>$H70*(1+E69)*7*(1+E67*7/12)</f>
        <v>627666.20000000007</v>
      </c>
      <c r="F70" s="69">
        <f>$H70*(1+F69)*7*(1+F67*7/12)</f>
        <v>752131.07200000016</v>
      </c>
      <c r="G70" s="70">
        <f>$H70*(1+G69)*7*(1+G67*7/12)</f>
        <v>925420.36159999995</v>
      </c>
      <c r="H70" s="6">
        <v>9539</v>
      </c>
      <c r="I70" s="86">
        <f>G70/E70</f>
        <v>1.474382978723404</v>
      </c>
    </row>
    <row r="71" spans="1:9" ht="17.25" thickBot="1">
      <c r="A71" s="3">
        <v>24</v>
      </c>
      <c r="B71" s="4" t="s">
        <v>20</v>
      </c>
      <c r="C71" s="6" t="s">
        <v>2</v>
      </c>
      <c r="D71" s="8">
        <f>D70/$A71</f>
        <v>3974.5833333333335</v>
      </c>
      <c r="E71" s="10">
        <f>E70/($A71+E68)</f>
        <v>23246.896296296298</v>
      </c>
      <c r="F71" s="11">
        <f>F70/($A71+F68)</f>
        <v>29380.120000000006</v>
      </c>
      <c r="G71" s="5">
        <f>G70/($A71+G68)</f>
        <v>38559.181733333331</v>
      </c>
    </row>
    <row r="72" spans="1:9" ht="17.25" thickBot="1"/>
    <row r="73" spans="1:9" ht="17.25" thickBot="1">
      <c r="A73" s="231" t="s">
        <v>9</v>
      </c>
      <c r="B73" s="232"/>
      <c r="C73" s="36" t="s">
        <v>10</v>
      </c>
      <c r="D73" s="36" t="s">
        <v>11</v>
      </c>
      <c r="E73" s="37" t="s">
        <v>25</v>
      </c>
      <c r="F73" s="38" t="s">
        <v>22</v>
      </c>
      <c r="G73" s="39" t="s">
        <v>23</v>
      </c>
    </row>
    <row r="74" spans="1:9">
      <c r="A74" s="227" t="s">
        <v>57</v>
      </c>
      <c r="B74" s="228"/>
      <c r="C74" s="60" t="s">
        <v>13</v>
      </c>
      <c r="D74" s="60" t="s">
        <v>58</v>
      </c>
      <c r="E74" s="71">
        <v>2</v>
      </c>
      <c r="F74" s="72">
        <v>2.4</v>
      </c>
      <c r="G74" s="73">
        <v>3</v>
      </c>
    </row>
    <row r="75" spans="1:9" ht="17.25" thickBot="1">
      <c r="A75" s="229"/>
      <c r="B75" s="230"/>
      <c r="C75" s="20" t="s">
        <v>15</v>
      </c>
      <c r="D75" s="20" t="s">
        <v>59</v>
      </c>
      <c r="E75" s="21">
        <v>1</v>
      </c>
      <c r="F75" s="22">
        <v>1.22</v>
      </c>
      <c r="G75" s="23">
        <v>1.45</v>
      </c>
    </row>
    <row r="76" spans="1:9" ht="17.25" thickBot="1">
      <c r="A76" s="42">
        <v>469</v>
      </c>
      <c r="B76" s="43" t="s">
        <v>27</v>
      </c>
      <c r="C76" s="28" t="s">
        <v>18</v>
      </c>
      <c r="D76" s="29" t="s">
        <v>60</v>
      </c>
      <c r="E76" s="33">
        <v>1</v>
      </c>
      <c r="F76" s="34">
        <v>1.22</v>
      </c>
      <c r="G76" s="50">
        <v>1.45</v>
      </c>
    </row>
    <row r="77" spans="1:9" ht="17.25" thickBot="1">
      <c r="A77" s="225" t="s">
        <v>17</v>
      </c>
      <c r="B77" s="226"/>
      <c r="C77" s="6" t="s">
        <v>21</v>
      </c>
      <c r="D77" s="7">
        <f>H77</f>
        <v>54146.43</v>
      </c>
      <c r="E77" s="68">
        <f>$H77*(1+E76)*(1+E75)</f>
        <v>216585.72</v>
      </c>
      <c r="F77" s="69">
        <f>$H77*(1+F76)*(1+F75)</f>
        <v>266855.26561199996</v>
      </c>
      <c r="G77" s="70">
        <f>$H77*(1+G76)*(1+G75)</f>
        <v>325013.9460750001</v>
      </c>
      <c r="H77" s="6">
        <f>46279*1.17</f>
        <v>54146.43</v>
      </c>
      <c r="I77" s="86">
        <f>G77/E77</f>
        <v>1.5006250000000005</v>
      </c>
    </row>
    <row r="78" spans="1:9" ht="17.25" thickBot="1">
      <c r="A78" s="3">
        <v>16</v>
      </c>
      <c r="B78" s="4" t="s">
        <v>20</v>
      </c>
      <c r="C78" s="6" t="s">
        <v>2</v>
      </c>
      <c r="D78" s="8">
        <f>D77/$A78</f>
        <v>3384.151875</v>
      </c>
      <c r="E78" s="10">
        <f>E77/($A78-E74)</f>
        <v>15470.408571428572</v>
      </c>
      <c r="F78" s="11">
        <f>F77/($A78-F74)</f>
        <v>19621.710706764705</v>
      </c>
      <c r="G78" s="5">
        <f>G77/($A78-G74)</f>
        <v>25001.072775000008</v>
      </c>
    </row>
    <row r="79" spans="1:9" ht="17.25" thickBot="1"/>
    <row r="80" spans="1:9" ht="17.25" thickBot="1">
      <c r="A80" s="231" t="s">
        <v>9</v>
      </c>
      <c r="B80" s="232"/>
      <c r="C80" s="36" t="s">
        <v>10</v>
      </c>
      <c r="D80" s="36" t="s">
        <v>11</v>
      </c>
      <c r="E80" s="51" t="s">
        <v>25</v>
      </c>
      <c r="F80" s="52" t="s">
        <v>22</v>
      </c>
      <c r="G80" s="53" t="s">
        <v>23</v>
      </c>
    </row>
    <row r="81" spans="1:9">
      <c r="A81" s="227" t="s">
        <v>61</v>
      </c>
      <c r="B81" s="228"/>
      <c r="C81" s="24" t="s">
        <v>65</v>
      </c>
      <c r="D81" s="24" t="s">
        <v>62</v>
      </c>
      <c r="E81" s="25">
        <v>2</v>
      </c>
      <c r="F81" s="26">
        <v>2.72</v>
      </c>
      <c r="G81" s="27">
        <v>3.5</v>
      </c>
    </row>
    <row r="82" spans="1:9" ht="17.25" thickBot="1">
      <c r="A82" s="229"/>
      <c r="B82" s="230"/>
      <c r="C82" s="20" t="s">
        <v>15</v>
      </c>
      <c r="D82" s="20" t="s">
        <v>63</v>
      </c>
      <c r="E82" s="21">
        <v>1</v>
      </c>
      <c r="F82" s="22">
        <v>1.24</v>
      </c>
      <c r="G82" s="23">
        <v>1.5</v>
      </c>
    </row>
    <row r="83" spans="1:9" ht="17.25" thickBot="1">
      <c r="A83" s="42">
        <v>412</v>
      </c>
      <c r="B83" s="43" t="s">
        <v>27</v>
      </c>
      <c r="C83" s="28" t="s">
        <v>18</v>
      </c>
      <c r="D83" s="29" t="s">
        <v>64</v>
      </c>
      <c r="E83" s="55">
        <v>1</v>
      </c>
      <c r="F83" s="56">
        <v>1</v>
      </c>
      <c r="G83" s="57">
        <v>1</v>
      </c>
    </row>
    <row r="84" spans="1:9" ht="17.25" thickBot="1">
      <c r="A84" s="225" t="s">
        <v>17</v>
      </c>
      <c r="B84" s="226"/>
      <c r="C84" s="6" t="s">
        <v>21</v>
      </c>
      <c r="D84" s="7">
        <f>H84*8</f>
        <v>78912</v>
      </c>
      <c r="E84" s="68">
        <f>$H84*(1+E82*6/10)*5+$H84*(1+E82)*5+$H84*E81</f>
        <v>197280</v>
      </c>
      <c r="F84" s="69">
        <f>$H84*(1+F82*6/10)*5+$H84*(1+F82)*5+$H84*F81</f>
        <v>223320.96000000002</v>
      </c>
      <c r="G84" s="70">
        <f>$H84*(1+G82*6/10)*5+$H84*(1+G82)*5+$H84*G81</f>
        <v>251532</v>
      </c>
      <c r="H84" s="6">
        <v>9864</v>
      </c>
      <c r="I84" s="86">
        <f>G84/E84</f>
        <v>1.2749999999999999</v>
      </c>
    </row>
    <row r="85" spans="1:9" ht="17.25" thickBot="1">
      <c r="A85" s="3">
        <v>12</v>
      </c>
      <c r="B85" s="4" t="s">
        <v>20</v>
      </c>
      <c r="C85" s="6" t="s">
        <v>2</v>
      </c>
      <c r="D85" s="8">
        <f>D84/$A85</f>
        <v>6576</v>
      </c>
      <c r="E85" s="10">
        <f>E84/($A85)</f>
        <v>16440</v>
      </c>
      <c r="F85" s="11">
        <f>F84/($A85)</f>
        <v>18610.080000000002</v>
      </c>
      <c r="G85" s="5">
        <f>G84/($A85)</f>
        <v>20961</v>
      </c>
    </row>
    <row r="86" spans="1:9" ht="17.25" thickBot="1"/>
    <row r="87" spans="1:9" ht="17.25" thickBot="1">
      <c r="A87" s="231" t="s">
        <v>9</v>
      </c>
      <c r="B87" s="232"/>
      <c r="C87" s="36" t="s">
        <v>10</v>
      </c>
      <c r="D87" s="36" t="s">
        <v>11</v>
      </c>
      <c r="E87" s="51" t="s">
        <v>25</v>
      </c>
      <c r="F87" s="52" t="s">
        <v>22</v>
      </c>
      <c r="G87" s="53" t="s">
        <v>23</v>
      </c>
    </row>
    <row r="88" spans="1:9">
      <c r="A88" s="227" t="s">
        <v>66</v>
      </c>
      <c r="B88" s="228"/>
      <c r="C88" s="60" t="s">
        <v>65</v>
      </c>
      <c r="D88" s="60" t="s">
        <v>1</v>
      </c>
      <c r="E88" s="71">
        <v>2</v>
      </c>
      <c r="F88" s="72">
        <v>3.4</v>
      </c>
      <c r="G88" s="73">
        <v>5</v>
      </c>
    </row>
    <row r="89" spans="1:9" ht="17.25" thickBot="1">
      <c r="A89" s="229"/>
      <c r="B89" s="230"/>
      <c r="C89" s="20" t="s">
        <v>15</v>
      </c>
      <c r="D89" s="20" t="s">
        <v>67</v>
      </c>
      <c r="E89" s="21">
        <v>0.5</v>
      </c>
      <c r="F89" s="22">
        <v>0.8</v>
      </c>
      <c r="G89" s="23">
        <v>1.1000000000000001</v>
      </c>
    </row>
    <row r="90" spans="1:9" ht="17.25" thickBot="1">
      <c r="A90" s="42">
        <v>569</v>
      </c>
      <c r="B90" s="43" t="s">
        <v>27</v>
      </c>
      <c r="C90" s="28" t="s">
        <v>18</v>
      </c>
      <c r="D90" s="29" t="s">
        <v>68</v>
      </c>
      <c r="E90" s="33">
        <v>0.3</v>
      </c>
      <c r="F90" s="34">
        <v>0.51</v>
      </c>
      <c r="G90" s="35">
        <v>0.73</v>
      </c>
    </row>
    <row r="91" spans="1:9" ht="17.25" thickBot="1">
      <c r="A91" s="225" t="s">
        <v>17</v>
      </c>
      <c r="B91" s="226"/>
      <c r="C91" s="6" t="s">
        <v>21</v>
      </c>
      <c r="D91" s="85">
        <f>H91*2+H91*2/3*1.5</f>
        <v>109146</v>
      </c>
      <c r="E91" s="68">
        <f>$H91*(1+E90)*2+$H91*(1+E90)*2/3*(1+(0.5+E89))</f>
        <v>157655.33333333331</v>
      </c>
      <c r="F91" s="69">
        <f>$H91*(1+F90)*2+$H91*(1+F90)*2/3*(1+(0.5+F89))</f>
        <v>194110.09733333334</v>
      </c>
      <c r="G91" s="70">
        <f>$H91*(1+G90)*2+$H91*(1+G90)*2/3*(1+(0.5+G89))</f>
        <v>234979.21066666668</v>
      </c>
      <c r="H91" s="6">
        <v>36382</v>
      </c>
      <c r="I91" s="86">
        <f>G91/E91</f>
        <v>1.4904615384615387</v>
      </c>
    </row>
    <row r="92" spans="1:9" ht="17.25" thickBot="1">
      <c r="A92" s="3">
        <v>24</v>
      </c>
      <c r="B92" s="4" t="s">
        <v>20</v>
      </c>
      <c r="C92" s="6" t="s">
        <v>2</v>
      </c>
      <c r="D92" s="8">
        <f>D91/$A92</f>
        <v>4547.75</v>
      </c>
      <c r="E92" s="10">
        <f>E91/($A92-E88)</f>
        <v>7166.1515151515141</v>
      </c>
      <c r="F92" s="11">
        <f>F91/($A92-F88)</f>
        <v>9422.8202588996755</v>
      </c>
      <c r="G92" s="5">
        <f>G91/($A92-G88)</f>
        <v>12367.326877192983</v>
      </c>
    </row>
    <row r="93" spans="1:9" ht="17.25" thickBot="1"/>
    <row r="94" spans="1:9" ht="17.25" thickBot="1">
      <c r="A94" s="231" t="s">
        <v>9</v>
      </c>
      <c r="B94" s="232"/>
      <c r="C94" s="36" t="s">
        <v>10</v>
      </c>
      <c r="D94" s="36" t="s">
        <v>11</v>
      </c>
      <c r="E94" s="51" t="s">
        <v>25</v>
      </c>
      <c r="F94" s="52" t="s">
        <v>22</v>
      </c>
      <c r="G94" s="53" t="s">
        <v>23</v>
      </c>
    </row>
    <row r="95" spans="1:9">
      <c r="A95" s="227" t="s">
        <v>69</v>
      </c>
      <c r="B95" s="228"/>
      <c r="C95" s="24" t="s">
        <v>65</v>
      </c>
      <c r="D95" s="24" t="s">
        <v>72</v>
      </c>
      <c r="E95" s="64">
        <v>2</v>
      </c>
      <c r="F95" s="65">
        <v>3.2</v>
      </c>
      <c r="G95" s="66">
        <v>4.5</v>
      </c>
    </row>
    <row r="96" spans="1:9" ht="17.25" thickBot="1">
      <c r="A96" s="229"/>
      <c r="B96" s="230"/>
      <c r="C96" s="20" t="s">
        <v>15</v>
      </c>
      <c r="D96" s="20" t="s">
        <v>73</v>
      </c>
      <c r="E96" s="21">
        <v>0.6</v>
      </c>
      <c r="F96" s="22">
        <v>0.6</v>
      </c>
      <c r="G96" s="23">
        <v>0.6</v>
      </c>
    </row>
    <row r="97" spans="1:9" ht="17.25" thickBot="1">
      <c r="A97" s="42">
        <v>569</v>
      </c>
      <c r="B97" s="43" t="s">
        <v>27</v>
      </c>
      <c r="C97" s="28" t="s">
        <v>18</v>
      </c>
      <c r="D97" s="29" t="s">
        <v>74</v>
      </c>
      <c r="E97" s="33">
        <v>1</v>
      </c>
      <c r="F97" s="34">
        <v>1.22</v>
      </c>
      <c r="G97" s="35">
        <v>1.45</v>
      </c>
    </row>
    <row r="98" spans="1:9" ht="17.25" thickBot="1">
      <c r="A98" s="225" t="s">
        <v>17</v>
      </c>
      <c r="B98" s="226"/>
      <c r="C98" s="6" t="s">
        <v>21</v>
      </c>
      <c r="D98" s="85">
        <f>H98*6</f>
        <v>139848</v>
      </c>
      <c r="E98" s="68">
        <f>$H98*10*(1+E97)</f>
        <v>466160</v>
      </c>
      <c r="F98" s="69">
        <f>$H98*11*(1+F97)</f>
        <v>569181.36</v>
      </c>
      <c r="G98" s="70">
        <f>$H98*13*(1+G97)</f>
        <v>742359.8</v>
      </c>
      <c r="H98" s="6">
        <v>23308</v>
      </c>
      <c r="I98" s="86">
        <f>G98/E98</f>
        <v>1.5925</v>
      </c>
    </row>
    <row r="99" spans="1:9" ht="17.25" thickBot="1">
      <c r="A99" s="3">
        <v>24</v>
      </c>
      <c r="B99" s="4" t="s">
        <v>20</v>
      </c>
      <c r="C99" s="6" t="s">
        <v>2</v>
      </c>
      <c r="D99" s="8">
        <f>D98/$A99</f>
        <v>5827</v>
      </c>
      <c r="E99" s="10">
        <f>E98/($A99)</f>
        <v>19423.333333333332</v>
      </c>
      <c r="F99" s="11">
        <f>F98/($A99)</f>
        <v>23715.89</v>
      </c>
      <c r="G99" s="5">
        <f>G98/($A99)</f>
        <v>30931.658333333336</v>
      </c>
    </row>
    <row r="100" spans="1:9" ht="17.25" thickBot="1"/>
    <row r="101" spans="1:9" ht="17.25" thickBot="1">
      <c r="A101" s="231" t="s">
        <v>9</v>
      </c>
      <c r="B101" s="232"/>
      <c r="C101" s="36" t="s">
        <v>10</v>
      </c>
      <c r="D101" s="36" t="s">
        <v>11</v>
      </c>
      <c r="E101" s="51" t="s">
        <v>25</v>
      </c>
      <c r="F101" s="52" t="s">
        <v>22</v>
      </c>
      <c r="G101" s="53" t="s">
        <v>23</v>
      </c>
    </row>
    <row r="102" spans="1:9">
      <c r="A102" s="227" t="s">
        <v>70</v>
      </c>
      <c r="B102" s="228"/>
      <c r="C102" s="60" t="s">
        <v>65</v>
      </c>
      <c r="D102" s="60" t="s">
        <v>75</v>
      </c>
      <c r="E102" s="71">
        <v>4</v>
      </c>
      <c r="F102" s="72">
        <v>5.4</v>
      </c>
      <c r="G102" s="73">
        <v>7</v>
      </c>
    </row>
    <row r="103" spans="1:9" ht="17.25" thickBot="1">
      <c r="A103" s="229"/>
      <c r="B103" s="230"/>
      <c r="C103" s="20" t="s">
        <v>15</v>
      </c>
      <c r="D103" s="20" t="s">
        <v>76</v>
      </c>
      <c r="E103" s="21">
        <v>0.3</v>
      </c>
      <c r="F103" s="22">
        <v>0.44</v>
      </c>
      <c r="G103" s="23">
        <v>0.6</v>
      </c>
    </row>
    <row r="104" spans="1:9" ht="17.25" thickBot="1">
      <c r="A104" s="42">
        <v>521</v>
      </c>
      <c r="B104" s="43" t="s">
        <v>27</v>
      </c>
      <c r="C104" s="28" t="s">
        <v>18</v>
      </c>
      <c r="D104" s="29" t="s">
        <v>77</v>
      </c>
      <c r="E104" s="33">
        <v>2</v>
      </c>
      <c r="F104" s="34">
        <v>2.3199999999999998</v>
      </c>
      <c r="G104" s="35">
        <v>2.65</v>
      </c>
    </row>
    <row r="105" spans="1:9" ht="17.25" thickBot="1">
      <c r="A105" s="225" t="s">
        <v>17</v>
      </c>
      <c r="B105" s="226"/>
      <c r="C105" s="6" t="s">
        <v>21</v>
      </c>
      <c r="D105" s="85">
        <f>H105*5</f>
        <v>57780</v>
      </c>
      <c r="E105" s="68">
        <f>$H105*(1+E104)*5*(1+E103)</f>
        <v>225342</v>
      </c>
      <c r="F105" s="69">
        <f>$H105*(1+F104)*5*(1+F103)</f>
        <v>276234.62399999995</v>
      </c>
      <c r="G105" s="70">
        <f>$H105*(1+G104)*5*(1+G103)</f>
        <v>337435.2</v>
      </c>
      <c r="H105" s="6">
        <v>11556</v>
      </c>
      <c r="I105" s="86">
        <f>G105/E105</f>
        <v>1.4974358974358974</v>
      </c>
    </row>
    <row r="106" spans="1:9" ht="17.25" thickBot="1">
      <c r="A106" s="3">
        <v>20</v>
      </c>
      <c r="B106" s="4" t="s">
        <v>20</v>
      </c>
      <c r="C106" s="6" t="s">
        <v>2</v>
      </c>
      <c r="D106" s="8">
        <f>D105/$A106</f>
        <v>2889</v>
      </c>
      <c r="E106" s="10">
        <f>E105/($A106-E102)</f>
        <v>14083.875</v>
      </c>
      <c r="F106" s="11">
        <f>F105/($A106-F102)</f>
        <v>18920.179726027396</v>
      </c>
      <c r="G106" s="5">
        <f>G105/($A106-G102)</f>
        <v>25956.553846153845</v>
      </c>
    </row>
    <row r="107" spans="1:9" ht="17.25" thickBot="1"/>
    <row r="108" spans="1:9" ht="17.25" thickBot="1">
      <c r="A108" s="231" t="s">
        <v>9</v>
      </c>
      <c r="B108" s="232"/>
      <c r="C108" s="36" t="s">
        <v>10</v>
      </c>
      <c r="D108" s="36" t="s">
        <v>11</v>
      </c>
      <c r="E108" s="51" t="s">
        <v>25</v>
      </c>
      <c r="F108" s="52" t="s">
        <v>22</v>
      </c>
      <c r="G108" s="53" t="s">
        <v>23</v>
      </c>
    </row>
    <row r="109" spans="1:9">
      <c r="A109" s="227" t="s">
        <v>71</v>
      </c>
      <c r="B109" s="228"/>
      <c r="C109" s="12" t="s">
        <v>65</v>
      </c>
      <c r="D109" s="12" t="s">
        <v>48</v>
      </c>
      <c r="E109" s="46">
        <v>1</v>
      </c>
      <c r="F109" s="47">
        <v>1</v>
      </c>
      <c r="G109" s="48">
        <v>1</v>
      </c>
    </row>
    <row r="110" spans="1:9" ht="17.25" thickBot="1">
      <c r="A110" s="229"/>
      <c r="B110" s="230"/>
      <c r="C110" s="20" t="s">
        <v>15</v>
      </c>
      <c r="D110" s="20" t="s">
        <v>78</v>
      </c>
      <c r="E110" s="21">
        <v>1</v>
      </c>
      <c r="F110" s="22">
        <v>1.1000000000000001</v>
      </c>
      <c r="G110" s="23">
        <v>1.22</v>
      </c>
    </row>
    <row r="111" spans="1:9" ht="17.25" thickBot="1">
      <c r="A111" s="42">
        <v>636</v>
      </c>
      <c r="B111" s="43" t="s">
        <v>27</v>
      </c>
      <c r="C111" s="58" t="s">
        <v>18</v>
      </c>
      <c r="D111" s="59" t="s">
        <v>79</v>
      </c>
      <c r="E111" s="61">
        <v>0.5</v>
      </c>
      <c r="F111" s="62">
        <v>0.5</v>
      </c>
      <c r="G111" s="63">
        <v>0.5</v>
      </c>
    </row>
    <row r="112" spans="1:9" ht="17.25" thickBot="1">
      <c r="A112" s="225" t="s">
        <v>17</v>
      </c>
      <c r="B112" s="226"/>
      <c r="C112" s="6" t="s">
        <v>21</v>
      </c>
      <c r="D112" s="67">
        <v>0</v>
      </c>
      <c r="E112" s="95">
        <f>$H112*E110*4</f>
        <v>485648</v>
      </c>
      <c r="F112" s="96">
        <f>$H112*F110*4</f>
        <v>534212.80000000005</v>
      </c>
      <c r="G112" s="97">
        <f>$H112*G110*4</f>
        <v>592490.55999999994</v>
      </c>
      <c r="H112" s="6">
        <v>121412</v>
      </c>
      <c r="I112" s="86">
        <f>G112/E112</f>
        <v>1.22</v>
      </c>
    </row>
    <row r="113" spans="1:7" ht="17.25" thickBot="1">
      <c r="A113" s="3">
        <v>30</v>
      </c>
      <c r="B113" s="4" t="s">
        <v>20</v>
      </c>
      <c r="C113" s="6" t="s">
        <v>2</v>
      </c>
      <c r="D113" s="8">
        <f>D112/$A113</f>
        <v>0</v>
      </c>
      <c r="E113" s="98">
        <f>E112/($A113/2)</f>
        <v>32376.533333333333</v>
      </c>
      <c r="F113" s="99">
        <f>F112/($A113/2)</f>
        <v>35614.186666666668</v>
      </c>
      <c r="G113" s="100">
        <f>G112/($A113/2)</f>
        <v>39499.370666666662</v>
      </c>
    </row>
  </sheetData>
  <mergeCells count="49">
    <mergeCell ref="A1:B1"/>
    <mergeCell ref="A112:B112"/>
    <mergeCell ref="A101:B101"/>
    <mergeCell ref="A102:B103"/>
    <mergeCell ref="A105:B105"/>
    <mergeCell ref="A108:B108"/>
    <mergeCell ref="A109:B110"/>
    <mergeCell ref="A88:B89"/>
    <mergeCell ref="A91:B91"/>
    <mergeCell ref="A94:B94"/>
    <mergeCell ref="A95:B96"/>
    <mergeCell ref="A98:B98"/>
    <mergeCell ref="A80:B80"/>
    <mergeCell ref="A81:B82"/>
    <mergeCell ref="A84:B84"/>
    <mergeCell ref="A87:B87"/>
    <mergeCell ref="A73:B73"/>
    <mergeCell ref="A74:B75"/>
    <mergeCell ref="A77:B77"/>
    <mergeCell ref="A60:B61"/>
    <mergeCell ref="A63:B63"/>
    <mergeCell ref="A66:B66"/>
    <mergeCell ref="A67:B68"/>
    <mergeCell ref="A70:B70"/>
    <mergeCell ref="A3:B3"/>
    <mergeCell ref="A4:B5"/>
    <mergeCell ref="A7:B7"/>
    <mergeCell ref="A10:B10"/>
    <mergeCell ref="A59:B59"/>
    <mergeCell ref="A38:B38"/>
    <mergeCell ref="A14:B14"/>
    <mergeCell ref="A11:B12"/>
    <mergeCell ref="A17:B17"/>
    <mergeCell ref="A18:B19"/>
    <mergeCell ref="A21:B21"/>
    <mergeCell ref="A24:B24"/>
    <mergeCell ref="A25:B26"/>
    <mergeCell ref="A28:B28"/>
    <mergeCell ref="A31:B31"/>
    <mergeCell ref="A32:B33"/>
    <mergeCell ref="A35:B35"/>
    <mergeCell ref="A53:B54"/>
    <mergeCell ref="A56:B56"/>
    <mergeCell ref="A39:B40"/>
    <mergeCell ref="A42:B42"/>
    <mergeCell ref="A45:B45"/>
    <mergeCell ref="A46:B47"/>
    <mergeCell ref="A49:B49"/>
    <mergeCell ref="A52:B5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opLeftCell="K1" zoomScale="70" zoomScaleNormal="70" workbookViewId="0">
      <selection activeCell="Y11" sqref="Y11"/>
    </sheetView>
  </sheetViews>
  <sheetFormatPr defaultRowHeight="16.5"/>
  <cols>
    <col min="1" max="1" width="5" customWidth="1"/>
    <col min="2" max="2" width="6.75" customWidth="1"/>
    <col min="3" max="3" width="10.375" bestFit="1" customWidth="1"/>
    <col min="4" max="4" width="12.375" bestFit="1" customWidth="1"/>
    <col min="5" max="7" width="10.125" bestFit="1" customWidth="1"/>
    <col min="8" max="8" width="7.375" bestFit="1" customWidth="1"/>
    <col min="9" max="9" width="5.75" style="87" bestFit="1" customWidth="1"/>
    <col min="10" max="10" width="6.5" bestFit="1" customWidth="1"/>
    <col min="11" max="11" width="10.375" customWidth="1"/>
    <col min="12" max="12" width="11.625" bestFit="1" customWidth="1"/>
    <col min="13" max="15" width="10.125" customWidth="1"/>
    <col min="17" max="17" width="13.25" style="1" bestFit="1" customWidth="1"/>
    <col min="18" max="18" width="5.375" style="1" bestFit="1" customWidth="1"/>
    <col min="19" max="21" width="10.25" style="1" customWidth="1"/>
    <col min="22" max="22" width="10.25" style="1" bestFit="1" customWidth="1"/>
    <col min="23" max="23" width="13.125" bestFit="1" customWidth="1"/>
    <col min="24" max="24" width="5.375" bestFit="1" customWidth="1"/>
    <col min="25" max="28" width="10.125" customWidth="1"/>
    <col min="31" max="31" width="8.125" customWidth="1"/>
  </cols>
  <sheetData>
    <row r="1" spans="1:33" ht="17.25" thickBot="1">
      <c r="A1" s="225" t="s">
        <v>96</v>
      </c>
      <c r="B1" s="226"/>
      <c r="C1" s="101">
        <v>1447</v>
      </c>
      <c r="D1">
        <v>57.96</v>
      </c>
      <c r="E1" t="s">
        <v>98</v>
      </c>
      <c r="F1" t="s">
        <v>99</v>
      </c>
      <c r="H1" s="225" t="s">
        <v>96</v>
      </c>
      <c r="I1" s="226"/>
      <c r="J1" s="101">
        <v>51</v>
      </c>
      <c r="K1">
        <v>2.04</v>
      </c>
      <c r="M1" t="s">
        <v>118</v>
      </c>
      <c r="N1" t="s">
        <v>119</v>
      </c>
      <c r="R1" s="123"/>
      <c r="Y1" s="117"/>
      <c r="Z1" s="117"/>
      <c r="AD1" s="233" t="s">
        <v>197</v>
      </c>
      <c r="AE1" s="233"/>
      <c r="AF1" s="233"/>
      <c r="AG1" s="233"/>
    </row>
    <row r="2" spans="1:33" ht="17.25" thickBot="1">
      <c r="Q2" s="252" t="s">
        <v>171</v>
      </c>
      <c r="R2" s="253"/>
      <c r="S2" s="253"/>
      <c r="T2" s="253"/>
      <c r="U2" s="254"/>
      <c r="W2" s="255" t="s">
        <v>204</v>
      </c>
      <c r="X2" s="256"/>
      <c r="Y2" s="256"/>
      <c r="Z2" s="256"/>
      <c r="AA2" s="256"/>
      <c r="AB2" s="257"/>
      <c r="AD2">
        <v>50</v>
      </c>
      <c r="AE2">
        <v>550</v>
      </c>
      <c r="AF2">
        <v>1000</v>
      </c>
      <c r="AG2">
        <v>1650</v>
      </c>
    </row>
    <row r="3" spans="1:33" ht="17.25" thickBot="1">
      <c r="A3" s="231" t="s">
        <v>9</v>
      </c>
      <c r="B3" s="232"/>
      <c r="C3" s="36" t="s">
        <v>10</v>
      </c>
      <c r="D3" s="36" t="s">
        <v>11</v>
      </c>
      <c r="E3" s="37" t="s">
        <v>25</v>
      </c>
      <c r="F3" s="38" t="s">
        <v>22</v>
      </c>
      <c r="G3" s="103" t="s">
        <v>23</v>
      </c>
      <c r="H3" s="86"/>
      <c r="I3" s="231" t="s">
        <v>9</v>
      </c>
      <c r="J3" s="232"/>
      <c r="K3" s="36" t="s">
        <v>10</v>
      </c>
      <c r="L3" s="36" t="s">
        <v>11</v>
      </c>
      <c r="M3" s="37" t="s">
        <v>25</v>
      </c>
      <c r="N3" s="38" t="s">
        <v>22</v>
      </c>
      <c r="O3" s="103" t="s">
        <v>23</v>
      </c>
      <c r="Q3" s="36" t="s">
        <v>131</v>
      </c>
      <c r="R3" s="36" t="s">
        <v>132</v>
      </c>
      <c r="S3" s="37" t="s">
        <v>151</v>
      </c>
      <c r="T3" s="38" t="s">
        <v>150</v>
      </c>
      <c r="U3" s="167" t="s">
        <v>152</v>
      </c>
      <c r="W3" s="36" t="s">
        <v>128</v>
      </c>
      <c r="X3" s="194" t="s">
        <v>132</v>
      </c>
      <c r="Y3" s="37" t="s">
        <v>139</v>
      </c>
      <c r="Z3" s="38" t="s">
        <v>140</v>
      </c>
      <c r="AA3" s="38" t="s">
        <v>142</v>
      </c>
      <c r="AB3" s="167" t="s">
        <v>141</v>
      </c>
      <c r="AD3" s="152">
        <f>(AD2*0.04006-0.0037)/100</f>
        <v>1.9993E-2</v>
      </c>
      <c r="AE3" s="152">
        <f>(AE2*0.04006-0.0037)/100</f>
        <v>0.22029299999999999</v>
      </c>
      <c r="AF3" s="152">
        <f>(AF2*0.04006-0.0037)/100</f>
        <v>0.40056299999999995</v>
      </c>
      <c r="AG3" s="152">
        <f>(AG2*0.04006-0.0037)/100</f>
        <v>0.66095300000000012</v>
      </c>
    </row>
    <row r="4" spans="1:33">
      <c r="A4" s="227" t="s">
        <v>12</v>
      </c>
      <c r="B4" s="228"/>
      <c r="C4" s="24" t="s">
        <v>13</v>
      </c>
      <c r="D4" s="24" t="s">
        <v>104</v>
      </c>
      <c r="E4" s="109">
        <v>1</v>
      </c>
      <c r="F4" s="110">
        <v>1.4</v>
      </c>
      <c r="G4" s="111">
        <v>2</v>
      </c>
      <c r="H4" s="86"/>
      <c r="I4" s="227" t="s">
        <v>12</v>
      </c>
      <c r="J4" s="228"/>
      <c r="K4" s="24" t="s">
        <v>13</v>
      </c>
      <c r="L4" s="24" t="s">
        <v>14</v>
      </c>
      <c r="M4" s="25">
        <v>0.3</v>
      </c>
      <c r="N4" s="26">
        <v>0.45</v>
      </c>
      <c r="O4" s="27">
        <v>0.6</v>
      </c>
      <c r="Q4" s="242" t="s">
        <v>133</v>
      </c>
      <c r="R4" s="163" t="s">
        <v>153</v>
      </c>
      <c r="S4" s="249">
        <v>1.65</v>
      </c>
      <c r="T4" s="250"/>
      <c r="U4" s="251"/>
      <c r="W4" s="242" t="s">
        <v>133</v>
      </c>
      <c r="X4" s="210" t="s">
        <v>153</v>
      </c>
      <c r="Y4" s="211">
        <f>$S4*(1+AD$3)</f>
        <v>1.6829884499999999</v>
      </c>
      <c r="Z4" s="211">
        <f t="shared" ref="Z4:AB4" si="0">$S4*(1+AE$3)</f>
        <v>2.0134834499999998</v>
      </c>
      <c r="AA4" s="211">
        <f t="shared" si="0"/>
        <v>2.3109289500000001</v>
      </c>
      <c r="AB4" s="212">
        <f t="shared" si="0"/>
        <v>2.7405724500000002</v>
      </c>
    </row>
    <row r="5" spans="1:33" ht="17.25" thickBot="1">
      <c r="A5" s="229"/>
      <c r="B5" s="230"/>
      <c r="C5" s="16" t="s">
        <v>15</v>
      </c>
      <c r="D5" s="16" t="s">
        <v>106</v>
      </c>
      <c r="E5" s="17" t="s">
        <v>105</v>
      </c>
      <c r="F5" s="125" t="s">
        <v>106</v>
      </c>
      <c r="G5" s="126" t="s">
        <v>107</v>
      </c>
      <c r="H5" s="86"/>
      <c r="I5" s="229"/>
      <c r="J5" s="230"/>
      <c r="K5" s="16" t="s">
        <v>15</v>
      </c>
      <c r="L5" s="16" t="s">
        <v>106</v>
      </c>
      <c r="M5" s="17" t="s">
        <v>105</v>
      </c>
      <c r="N5" s="125" t="s">
        <v>106</v>
      </c>
      <c r="O5" s="126" t="s">
        <v>107</v>
      </c>
      <c r="Q5" s="240"/>
      <c r="R5" s="160" t="s">
        <v>154</v>
      </c>
      <c r="S5" s="234">
        <v>2.19</v>
      </c>
      <c r="T5" s="235"/>
      <c r="U5" s="236"/>
      <c r="W5" s="240"/>
      <c r="X5" s="213" t="s">
        <v>154</v>
      </c>
      <c r="Y5" s="214">
        <f>$S5*(1+AD$3)</f>
        <v>2.2337846699999999</v>
      </c>
      <c r="Z5" s="215">
        <f>$S5*(1+AE$3)</f>
        <v>2.67244167</v>
      </c>
      <c r="AA5" s="215">
        <f>$S5*(1+AF$3)</f>
        <v>3.0672329700000001</v>
      </c>
      <c r="AB5" s="216">
        <f>$S5*(1+AG$3)</f>
        <v>3.6374870700000002</v>
      </c>
    </row>
    <row r="6" spans="1:33" ht="17.25" thickBot="1">
      <c r="A6" s="40">
        <v>315</v>
      </c>
      <c r="B6" s="41" t="s">
        <v>27</v>
      </c>
      <c r="C6" s="28" t="s">
        <v>18</v>
      </c>
      <c r="D6" s="29" t="s">
        <v>19</v>
      </c>
      <c r="E6" s="30">
        <v>1</v>
      </c>
      <c r="F6" s="31">
        <v>1</v>
      </c>
      <c r="G6" s="32">
        <v>1</v>
      </c>
      <c r="H6" s="86"/>
      <c r="I6" s="40">
        <v>315</v>
      </c>
      <c r="J6" s="41" t="s">
        <v>27</v>
      </c>
      <c r="K6" s="28" t="s">
        <v>18</v>
      </c>
      <c r="L6" s="29" t="s">
        <v>19</v>
      </c>
      <c r="M6" s="30">
        <v>1</v>
      </c>
      <c r="N6" s="31">
        <v>1</v>
      </c>
      <c r="O6" s="32">
        <v>1</v>
      </c>
      <c r="Q6" s="183" t="s">
        <v>134</v>
      </c>
      <c r="R6" s="160" t="s">
        <v>155</v>
      </c>
      <c r="S6" s="159">
        <v>2.262</v>
      </c>
      <c r="T6" s="153">
        <v>2.4359999999999999</v>
      </c>
      <c r="U6" s="155">
        <v>2.61</v>
      </c>
      <c r="W6" s="198" t="s">
        <v>134</v>
      </c>
      <c r="X6" s="213" t="s">
        <v>155</v>
      </c>
      <c r="Y6" s="214">
        <f t="shared" ref="Y6:AB8" si="1">$U6*(1+AD$3)</f>
        <v>2.6621817299999995</v>
      </c>
      <c r="Z6" s="215">
        <f t="shared" si="1"/>
        <v>3.1849647299999999</v>
      </c>
      <c r="AA6" s="215">
        <f t="shared" si="1"/>
        <v>3.6554694299999997</v>
      </c>
      <c r="AB6" s="216">
        <f t="shared" si="1"/>
        <v>4.3350873300000003</v>
      </c>
    </row>
    <row r="7" spans="1:33" ht="17.25" thickBot="1">
      <c r="A7" s="225" t="s">
        <v>17</v>
      </c>
      <c r="B7" s="226"/>
      <c r="C7" s="6" t="s">
        <v>97</v>
      </c>
      <c r="D7" s="6">
        <v>0.82499999999999996</v>
      </c>
      <c r="E7" s="105">
        <f>$D$7*(1+E6)</f>
        <v>1.65</v>
      </c>
      <c r="F7" s="105">
        <f>$D$7*(1+F6)</f>
        <v>1.65</v>
      </c>
      <c r="G7" s="107">
        <f>$D$7*(1+G6)</f>
        <v>1.65</v>
      </c>
      <c r="H7" s="86"/>
      <c r="I7" s="225" t="s">
        <v>17</v>
      </c>
      <c r="J7" s="226"/>
      <c r="K7" s="6" t="s">
        <v>97</v>
      </c>
      <c r="L7" s="6">
        <v>1.095</v>
      </c>
      <c r="M7" s="105">
        <f>1.095*(M6+1)</f>
        <v>2.19</v>
      </c>
      <c r="N7" s="105">
        <f>1.095*(N6+1)</f>
        <v>2.19</v>
      </c>
      <c r="O7" s="107">
        <f>1.095*(O6+1)</f>
        <v>2.19</v>
      </c>
      <c r="Q7" s="183" t="s">
        <v>164</v>
      </c>
      <c r="R7" s="160" t="s">
        <v>189</v>
      </c>
      <c r="S7" s="159">
        <v>1.56</v>
      </c>
      <c r="T7" s="153">
        <v>1.6848000000000001</v>
      </c>
      <c r="U7" s="155">
        <v>1.82</v>
      </c>
      <c r="W7" s="198" t="s">
        <v>164</v>
      </c>
      <c r="X7" s="169" t="s">
        <v>189</v>
      </c>
      <c r="Y7" s="195">
        <f t="shared" si="1"/>
        <v>1.85638726</v>
      </c>
      <c r="Z7" s="196">
        <f t="shared" si="1"/>
        <v>2.2209332600000002</v>
      </c>
      <c r="AA7" s="196">
        <f t="shared" si="1"/>
        <v>2.5490246600000002</v>
      </c>
      <c r="AB7" s="197">
        <f t="shared" si="1"/>
        <v>3.0229344600000005</v>
      </c>
    </row>
    <row r="8" spans="1:33" ht="17.25" thickBot="1">
      <c r="A8" s="3">
        <v>6</v>
      </c>
      <c r="B8" s="4" t="s">
        <v>20</v>
      </c>
      <c r="C8" s="6" t="s">
        <v>2</v>
      </c>
      <c r="D8" s="104">
        <f>D7/$A8</f>
        <v>0.13749999999999998</v>
      </c>
      <c r="E8" s="105">
        <f>E7/(6-E4)</f>
        <v>0.32999999999999996</v>
      </c>
      <c r="F8" s="105">
        <f>F7/(6-F4)</f>
        <v>0.35869565217391303</v>
      </c>
      <c r="G8" s="107">
        <f>G7/(6-G4)</f>
        <v>0.41249999999999998</v>
      </c>
      <c r="H8" s="87"/>
      <c r="I8" s="3">
        <v>6</v>
      </c>
      <c r="J8" s="4" t="s">
        <v>20</v>
      </c>
      <c r="K8" s="6" t="s">
        <v>2</v>
      </c>
      <c r="L8" s="104">
        <f>L7/$A8</f>
        <v>0.1825</v>
      </c>
      <c r="M8" s="105">
        <f>M7/$I8</f>
        <v>0.36499999999999999</v>
      </c>
      <c r="N8" s="106">
        <f>N7/$I8</f>
        <v>0.36499999999999999</v>
      </c>
      <c r="O8" s="107">
        <f>O7/$I8</f>
        <v>0.36499999999999999</v>
      </c>
      <c r="Q8" s="183" t="s">
        <v>135</v>
      </c>
      <c r="R8" s="160" t="s">
        <v>156</v>
      </c>
      <c r="S8" s="159">
        <v>8.9879999999999995</v>
      </c>
      <c r="T8" s="153">
        <v>10.486000000000001</v>
      </c>
      <c r="U8" s="155">
        <v>11.984</v>
      </c>
      <c r="W8" s="198" t="s">
        <v>135</v>
      </c>
      <c r="X8" s="181" t="s">
        <v>156</v>
      </c>
      <c r="Y8" s="178">
        <f t="shared" si="1"/>
        <v>12.223596111999999</v>
      </c>
      <c r="Z8" s="179">
        <f t="shared" si="1"/>
        <v>14.623991312000001</v>
      </c>
      <c r="AA8" s="179">
        <f t="shared" si="1"/>
        <v>16.784346992</v>
      </c>
      <c r="AB8" s="180">
        <f t="shared" si="1"/>
        <v>19.904860752000001</v>
      </c>
      <c r="AE8" s="152"/>
    </row>
    <row r="9" spans="1:33" ht="17.25" thickBot="1">
      <c r="H9" s="87"/>
      <c r="I9"/>
      <c r="Q9" s="240" t="s">
        <v>166</v>
      </c>
      <c r="R9" s="160" t="s">
        <v>193</v>
      </c>
      <c r="S9" s="237">
        <v>2.4849999999999999</v>
      </c>
      <c r="T9" s="238"/>
      <c r="U9" s="239"/>
      <c r="W9" s="240" t="s">
        <v>166</v>
      </c>
      <c r="X9" s="169" t="s">
        <v>193</v>
      </c>
      <c r="Y9" s="195">
        <f>$S9*(1+AD$3)</f>
        <v>2.5346826049999995</v>
      </c>
      <c r="Z9" s="195">
        <f t="shared" ref="Z9:AA12" si="2">$S9*(1+AE$3)</f>
        <v>3.0324281050000002</v>
      </c>
      <c r="AA9" s="195">
        <f t="shared" si="2"/>
        <v>3.4803990549999999</v>
      </c>
      <c r="AB9" s="200">
        <f>$S9*(1+AG$3)</f>
        <v>4.1274682050000004</v>
      </c>
    </row>
    <row r="10" spans="1:33" ht="17.25" thickBot="1">
      <c r="A10" s="231" t="s">
        <v>9</v>
      </c>
      <c r="B10" s="232"/>
      <c r="C10" s="36" t="s">
        <v>10</v>
      </c>
      <c r="D10" s="36" t="s">
        <v>11</v>
      </c>
      <c r="E10" s="37" t="s">
        <v>25</v>
      </c>
      <c r="F10" s="38" t="s">
        <v>22</v>
      </c>
      <c r="G10" s="103" t="s">
        <v>23</v>
      </c>
      <c r="H10" s="87"/>
      <c r="Q10" s="240"/>
      <c r="R10" s="160" t="s">
        <v>194</v>
      </c>
      <c r="S10" s="237">
        <v>2.4849999999999999</v>
      </c>
      <c r="T10" s="238"/>
      <c r="U10" s="239"/>
      <c r="W10" s="240"/>
      <c r="X10" s="169" t="s">
        <v>194</v>
      </c>
      <c r="Y10" s="195">
        <f>$S10*(1+AD$3)</f>
        <v>2.5346826049999995</v>
      </c>
      <c r="Z10" s="195">
        <f t="shared" si="2"/>
        <v>3.0324281050000002</v>
      </c>
      <c r="AA10" s="195">
        <f t="shared" si="2"/>
        <v>3.4803990549999999</v>
      </c>
      <c r="AB10" s="200">
        <f>$S10*(1+AG$3)</f>
        <v>4.1274682050000004</v>
      </c>
    </row>
    <row r="11" spans="1:33">
      <c r="A11" s="227" t="s">
        <v>3</v>
      </c>
      <c r="B11" s="228"/>
      <c r="C11" s="24" t="s">
        <v>13</v>
      </c>
      <c r="D11" s="24" t="s">
        <v>108</v>
      </c>
      <c r="E11" s="25">
        <v>0.3</v>
      </c>
      <c r="F11" s="26">
        <v>0.4</v>
      </c>
      <c r="G11" s="27">
        <v>0.5</v>
      </c>
      <c r="H11" s="87"/>
      <c r="Q11" s="240" t="s">
        <v>136</v>
      </c>
      <c r="R11" s="160" t="s">
        <v>155</v>
      </c>
      <c r="S11" s="234">
        <v>2.835</v>
      </c>
      <c r="T11" s="235"/>
      <c r="U11" s="236"/>
      <c r="W11" s="240" t="s">
        <v>136</v>
      </c>
      <c r="X11" s="169" t="s">
        <v>155</v>
      </c>
      <c r="Y11" s="195">
        <f>$S11*(1+AD$3)</f>
        <v>2.891680155</v>
      </c>
      <c r="Z11" s="195">
        <f t="shared" si="2"/>
        <v>3.459530655</v>
      </c>
      <c r="AA11" s="195">
        <f t="shared" si="2"/>
        <v>3.9705961049999998</v>
      </c>
      <c r="AB11" s="200">
        <f>$S11*(1+AG$3)</f>
        <v>4.7088017550000005</v>
      </c>
    </row>
    <row r="12" spans="1:33" ht="17.25" thickBot="1">
      <c r="A12" s="229"/>
      <c r="B12" s="230"/>
      <c r="C12" s="16" t="s">
        <v>120</v>
      </c>
      <c r="D12" s="16" t="s">
        <v>106</v>
      </c>
      <c r="E12" s="17" t="s">
        <v>106</v>
      </c>
      <c r="F12" s="18" t="s">
        <v>106</v>
      </c>
      <c r="G12" s="19" t="s">
        <v>106</v>
      </c>
      <c r="H12" s="87"/>
      <c r="Q12" s="240"/>
      <c r="R12" s="160" t="s">
        <v>157</v>
      </c>
      <c r="S12" s="234">
        <v>3.78</v>
      </c>
      <c r="T12" s="235"/>
      <c r="U12" s="236"/>
      <c r="W12" s="240"/>
      <c r="X12" s="170" t="s">
        <v>157</v>
      </c>
      <c r="Y12" s="171">
        <f>$S12*(1+AD$3)</f>
        <v>3.8555735399999995</v>
      </c>
      <c r="Z12" s="171">
        <f t="shared" si="2"/>
        <v>4.6127075399999997</v>
      </c>
      <c r="AA12" s="171">
        <f t="shared" si="2"/>
        <v>5.2941281399999998</v>
      </c>
      <c r="AB12" s="182">
        <f>$S12*(1+AG$3)</f>
        <v>6.2784023400000004</v>
      </c>
    </row>
    <row r="13" spans="1:33" ht="17.25" thickBot="1">
      <c r="A13" s="42">
        <v>349</v>
      </c>
      <c r="B13" s="43" t="s">
        <v>27</v>
      </c>
      <c r="C13" s="58" t="s">
        <v>120</v>
      </c>
      <c r="D13" s="59" t="s">
        <v>106</v>
      </c>
      <c r="E13" s="61" t="s">
        <v>106</v>
      </c>
      <c r="F13" s="62" t="s">
        <v>109</v>
      </c>
      <c r="G13" s="63" t="s">
        <v>106</v>
      </c>
      <c r="H13" s="87"/>
      <c r="Q13" s="240" t="s">
        <v>137</v>
      </c>
      <c r="R13" s="160">
        <v>211</v>
      </c>
      <c r="S13" s="159">
        <v>12.989999999999998</v>
      </c>
      <c r="T13" s="153">
        <v>14.912520000000001</v>
      </c>
      <c r="U13" s="155">
        <v>16.887</v>
      </c>
      <c r="W13" s="240" t="s">
        <v>137</v>
      </c>
      <c r="X13" s="181">
        <v>211</v>
      </c>
      <c r="Y13" s="178">
        <f t="shared" ref="Y13:AB14" si="3">$U13*(1+AD$3)</f>
        <v>17.224621791000001</v>
      </c>
      <c r="Z13" s="179">
        <f t="shared" si="3"/>
        <v>20.607087891000003</v>
      </c>
      <c r="AA13" s="179">
        <f t="shared" si="3"/>
        <v>23.651307381000002</v>
      </c>
      <c r="AB13" s="180">
        <f t="shared" si="3"/>
        <v>28.048513311000004</v>
      </c>
    </row>
    <row r="14" spans="1:33" ht="17.25" thickBot="1">
      <c r="A14" s="225" t="s">
        <v>17</v>
      </c>
      <c r="B14" s="226"/>
      <c r="C14" s="6" t="s">
        <v>97</v>
      </c>
      <c r="D14" s="104">
        <v>1.74</v>
      </c>
      <c r="E14" s="105">
        <f>$D14*(1+E11)</f>
        <v>2.262</v>
      </c>
      <c r="F14" s="105">
        <f t="shared" ref="F14:G14" si="4">$D14*(1+F11)</f>
        <v>2.4359999999999999</v>
      </c>
      <c r="G14" s="107">
        <f t="shared" si="4"/>
        <v>2.61</v>
      </c>
      <c r="H14" s="86"/>
      <c r="Q14" s="240"/>
      <c r="R14" s="160">
        <v>212</v>
      </c>
      <c r="S14" s="159">
        <v>5.4124999999999996</v>
      </c>
      <c r="T14" s="153">
        <v>6.2135500000000006</v>
      </c>
      <c r="U14" s="155">
        <v>7.0362499999999999</v>
      </c>
      <c r="W14" s="240"/>
      <c r="X14" s="174">
        <v>212</v>
      </c>
      <c r="Y14" s="175">
        <f t="shared" si="3"/>
        <v>7.1769257462499993</v>
      </c>
      <c r="Z14" s="176">
        <f t="shared" si="3"/>
        <v>8.5862866212500002</v>
      </c>
      <c r="AA14" s="176">
        <f t="shared" si="3"/>
        <v>9.8547114087499992</v>
      </c>
      <c r="AB14" s="177">
        <f t="shared" si="3"/>
        <v>11.68688054625</v>
      </c>
    </row>
    <row r="15" spans="1:33" ht="17.25" thickBot="1">
      <c r="A15" s="3">
        <v>8</v>
      </c>
      <c r="B15" s="4" t="s">
        <v>20</v>
      </c>
      <c r="C15" s="6" t="s">
        <v>2</v>
      </c>
      <c r="D15" s="104">
        <f>D14/$A15</f>
        <v>0.2175</v>
      </c>
      <c r="E15" s="105">
        <f t="shared" ref="E15:G15" si="5">E14/$A15</f>
        <v>0.28275</v>
      </c>
      <c r="F15" s="106">
        <f t="shared" si="5"/>
        <v>0.30449999999999999</v>
      </c>
      <c r="G15" s="107">
        <f t="shared" si="5"/>
        <v>0.32624999999999998</v>
      </c>
      <c r="H15" s="87"/>
      <c r="I15" s="124"/>
      <c r="J15" s="124"/>
      <c r="Q15" s="240" t="s">
        <v>138</v>
      </c>
      <c r="R15" s="160" t="s">
        <v>158</v>
      </c>
      <c r="S15" s="234">
        <v>2.88</v>
      </c>
      <c r="T15" s="235"/>
      <c r="U15" s="236"/>
      <c r="W15" s="240" t="s">
        <v>138</v>
      </c>
      <c r="X15" s="169" t="s">
        <v>158</v>
      </c>
      <c r="Y15" s="195">
        <f t="shared" ref="Y15:AB16" si="6">$S15*(1+AD$3)</f>
        <v>2.9375798399999997</v>
      </c>
      <c r="Z15" s="196">
        <f t="shared" si="6"/>
        <v>3.5144438400000002</v>
      </c>
      <c r="AA15" s="196">
        <f t="shared" si="6"/>
        <v>4.0336214400000001</v>
      </c>
      <c r="AB15" s="197">
        <f t="shared" si="6"/>
        <v>4.7835446400000006</v>
      </c>
    </row>
    <row r="16" spans="1:33" ht="17.25" thickBot="1">
      <c r="H16" s="87"/>
      <c r="I16" s="124"/>
      <c r="J16" s="124"/>
      <c r="K16" s="117"/>
      <c r="Q16" s="240"/>
      <c r="R16" s="160" t="s">
        <v>159</v>
      </c>
      <c r="S16" s="234">
        <v>7.0449999999999999</v>
      </c>
      <c r="T16" s="235"/>
      <c r="U16" s="236"/>
      <c r="W16" s="240"/>
      <c r="X16" s="174" t="s">
        <v>159</v>
      </c>
      <c r="Y16" s="175">
        <f t="shared" si="6"/>
        <v>7.1858506849999992</v>
      </c>
      <c r="Z16" s="176">
        <f t="shared" si="6"/>
        <v>8.5969641850000009</v>
      </c>
      <c r="AA16" s="176">
        <f t="shared" si="6"/>
        <v>9.8669663350000008</v>
      </c>
      <c r="AB16" s="177">
        <f t="shared" si="6"/>
        <v>11.701413885000001</v>
      </c>
    </row>
    <row r="17" spans="1:32" ht="17.25" thickBot="1">
      <c r="A17" s="231" t="s">
        <v>9</v>
      </c>
      <c r="B17" s="232"/>
      <c r="C17" s="36" t="s">
        <v>10</v>
      </c>
      <c r="D17" s="36" t="s">
        <v>11</v>
      </c>
      <c r="E17" s="37" t="s">
        <v>25</v>
      </c>
      <c r="F17" s="38" t="s">
        <v>22</v>
      </c>
      <c r="G17" s="121" t="s">
        <v>23</v>
      </c>
      <c r="H17" s="87"/>
      <c r="I17" s="124"/>
      <c r="J17" s="124"/>
      <c r="K17" s="84"/>
      <c r="L17" s="84"/>
      <c r="M17" s="84"/>
      <c r="N17" s="84"/>
      <c r="O17" s="84"/>
      <c r="Q17" s="183" t="s">
        <v>143</v>
      </c>
      <c r="R17" s="160" t="s">
        <v>160</v>
      </c>
      <c r="S17" s="159">
        <v>1.8135000000000001</v>
      </c>
      <c r="T17" s="153">
        <v>1.9111500000000001</v>
      </c>
      <c r="U17" s="155">
        <v>2.0227499999999998</v>
      </c>
      <c r="W17" s="198" t="s">
        <v>143</v>
      </c>
      <c r="X17" s="169" t="s">
        <v>160</v>
      </c>
      <c r="Y17" s="195">
        <f t="shared" ref="Y17:AB18" si="7">$U17*(1+AD$3)</f>
        <v>2.0631908407499995</v>
      </c>
      <c r="Z17" s="196">
        <f t="shared" si="7"/>
        <v>2.4683476657500001</v>
      </c>
      <c r="AA17" s="196">
        <f t="shared" si="7"/>
        <v>2.8329888082499997</v>
      </c>
      <c r="AB17" s="197">
        <f t="shared" si="7"/>
        <v>3.3596926807499998</v>
      </c>
    </row>
    <row r="18" spans="1:32">
      <c r="A18" s="227" t="s">
        <v>28</v>
      </c>
      <c r="B18" s="228"/>
      <c r="C18" s="12" t="s">
        <v>175</v>
      </c>
      <c r="D18" s="12" t="s">
        <v>175</v>
      </c>
      <c r="E18" s="13" t="s">
        <v>175</v>
      </c>
      <c r="F18" s="14" t="s">
        <v>175</v>
      </c>
      <c r="G18" s="15" t="s">
        <v>175</v>
      </c>
      <c r="H18" s="87"/>
      <c r="I18" s="124"/>
      <c r="J18" s="124"/>
      <c r="K18" s="84"/>
      <c r="L18" s="84"/>
      <c r="M18" s="135"/>
      <c r="N18" s="135"/>
      <c r="O18" s="135"/>
      <c r="Q18" s="240" t="s">
        <v>144</v>
      </c>
      <c r="R18" s="160" t="s">
        <v>161</v>
      </c>
      <c r="S18" s="159">
        <v>11.182500000000001</v>
      </c>
      <c r="T18" s="153">
        <v>13.046250000000001</v>
      </c>
      <c r="U18" s="155">
        <v>14.91</v>
      </c>
      <c r="W18" s="240" t="s">
        <v>144</v>
      </c>
      <c r="X18" s="181" t="s">
        <v>161</v>
      </c>
      <c r="Y18" s="178">
        <f t="shared" si="7"/>
        <v>15.208095629999999</v>
      </c>
      <c r="Z18" s="179">
        <f t="shared" si="7"/>
        <v>18.194568630000003</v>
      </c>
      <c r="AA18" s="179">
        <f t="shared" si="7"/>
        <v>20.88239433</v>
      </c>
      <c r="AB18" s="180">
        <f t="shared" si="7"/>
        <v>24.764809230000001</v>
      </c>
    </row>
    <row r="19" spans="1:32" ht="17.25" thickBot="1">
      <c r="A19" s="229"/>
      <c r="B19" s="230"/>
      <c r="C19" s="20" t="s">
        <v>173</v>
      </c>
      <c r="D19" s="20" t="s">
        <v>174</v>
      </c>
      <c r="E19" s="21">
        <v>0.5</v>
      </c>
      <c r="F19" s="79">
        <v>0.62</v>
      </c>
      <c r="G19" s="80">
        <v>0.75</v>
      </c>
      <c r="H19" s="87"/>
      <c r="I19" s="124"/>
      <c r="J19" s="124"/>
      <c r="K19" s="84"/>
      <c r="L19" s="84"/>
      <c r="M19" s="135"/>
      <c r="N19" s="136"/>
      <c r="O19" s="136"/>
      <c r="Q19" s="240"/>
      <c r="R19" s="160" t="s">
        <v>162</v>
      </c>
      <c r="S19" s="243">
        <v>6.72</v>
      </c>
      <c r="T19" s="244"/>
      <c r="U19" s="245"/>
      <c r="W19" s="240"/>
      <c r="X19" s="174" t="s">
        <v>162</v>
      </c>
      <c r="Y19" s="175">
        <f>$S19*(1+AD$3)</f>
        <v>6.8543529599999991</v>
      </c>
      <c r="Z19" s="175">
        <f t="shared" ref="Z19:AB19" si="8">$S19*(1+AE$3)</f>
        <v>8.2003689600000005</v>
      </c>
      <c r="AA19" s="175">
        <f t="shared" si="8"/>
        <v>9.4117833599999994</v>
      </c>
      <c r="AB19" s="221">
        <f t="shared" si="8"/>
        <v>11.16160416</v>
      </c>
    </row>
    <row r="20" spans="1:32" ht="17.25" thickBot="1">
      <c r="A20" s="42">
        <v>349</v>
      </c>
      <c r="B20" s="43" t="s">
        <v>27</v>
      </c>
      <c r="C20" s="58" t="s">
        <v>102</v>
      </c>
      <c r="D20" s="59" t="s">
        <v>102</v>
      </c>
      <c r="E20" s="61" t="s">
        <v>102</v>
      </c>
      <c r="F20" s="62" t="s">
        <v>102</v>
      </c>
      <c r="G20" s="63" t="s">
        <v>102</v>
      </c>
      <c r="H20" s="87"/>
      <c r="I20" s="124"/>
      <c r="J20" s="124"/>
      <c r="K20" s="84"/>
      <c r="L20" s="84"/>
      <c r="M20" s="135"/>
      <c r="N20" s="135"/>
      <c r="O20" s="135"/>
      <c r="Q20" s="240" t="s">
        <v>145</v>
      </c>
      <c r="R20" s="160">
        <v>221</v>
      </c>
      <c r="S20" s="159">
        <v>9.5499999999999989</v>
      </c>
      <c r="T20" s="153">
        <v>10.9634</v>
      </c>
      <c r="U20" s="155">
        <v>12.414999999999999</v>
      </c>
      <c r="W20" s="240" t="s">
        <v>145</v>
      </c>
      <c r="X20" s="181">
        <v>221</v>
      </c>
      <c r="Y20" s="178">
        <f t="shared" ref="Y20:AB21" si="9">$U20*(1+AD$3)</f>
        <v>12.663213094999998</v>
      </c>
      <c r="Z20" s="179">
        <f t="shared" si="9"/>
        <v>15.149937594999999</v>
      </c>
      <c r="AA20" s="179">
        <f t="shared" si="9"/>
        <v>17.387989644999998</v>
      </c>
      <c r="AB20" s="180">
        <f t="shared" si="9"/>
        <v>20.620731495000001</v>
      </c>
    </row>
    <row r="21" spans="1:32" ht="17.25" thickBot="1">
      <c r="A21" s="225" t="s">
        <v>17</v>
      </c>
      <c r="B21" s="226"/>
      <c r="C21" s="6" t="s">
        <v>97</v>
      </c>
      <c r="D21" s="104">
        <v>1.04</v>
      </c>
      <c r="E21" s="105">
        <f>$D$21*(1+E19)</f>
        <v>1.56</v>
      </c>
      <c r="F21" s="105">
        <f>$D$21*(1+F19)</f>
        <v>1.6848000000000001</v>
      </c>
      <c r="G21" s="107">
        <f>$D$21*(1+G19)</f>
        <v>1.82</v>
      </c>
      <c r="H21" s="86"/>
      <c r="I21" s="124"/>
      <c r="J21" s="124"/>
      <c r="K21" s="84"/>
      <c r="L21" s="137"/>
      <c r="M21" s="137"/>
      <c r="N21" s="137"/>
      <c r="O21" s="137"/>
      <c r="Q21" s="240"/>
      <c r="R21" s="160">
        <v>222</v>
      </c>
      <c r="S21" s="159">
        <v>4.7749999999999995</v>
      </c>
      <c r="T21" s="153">
        <v>5.4817</v>
      </c>
      <c r="U21" s="155">
        <v>6.2074999999999996</v>
      </c>
      <c r="W21" s="240"/>
      <c r="X21" s="174">
        <v>222</v>
      </c>
      <c r="Y21" s="175">
        <f t="shared" si="9"/>
        <v>6.331606547499999</v>
      </c>
      <c r="Z21" s="176">
        <f t="shared" si="9"/>
        <v>7.5749687974999995</v>
      </c>
      <c r="AA21" s="176">
        <f t="shared" si="9"/>
        <v>8.6939948224999988</v>
      </c>
      <c r="AB21" s="177">
        <f t="shared" si="9"/>
        <v>10.310365747500001</v>
      </c>
      <c r="AE21" s="185"/>
    </row>
    <row r="22" spans="1:32" ht="17.25" thickBot="1">
      <c r="A22" s="3">
        <v>8</v>
      </c>
      <c r="B22" s="4" t="s">
        <v>20</v>
      </c>
      <c r="C22" s="6" t="s">
        <v>2</v>
      </c>
      <c r="D22" s="104">
        <f>D21/$A22</f>
        <v>0.13</v>
      </c>
      <c r="E22" s="105">
        <f>E21/$A22</f>
        <v>0.19500000000000001</v>
      </c>
      <c r="F22" s="106">
        <f>F21/$A22</f>
        <v>0.21060000000000001</v>
      </c>
      <c r="G22" s="107">
        <f>G21/$A22</f>
        <v>0.22750000000000001</v>
      </c>
      <c r="H22" s="87"/>
      <c r="I22" s="124"/>
      <c r="J22" s="124"/>
      <c r="K22" s="84"/>
      <c r="L22" s="137"/>
      <c r="M22" s="137"/>
      <c r="N22" s="137"/>
      <c r="O22" s="137"/>
      <c r="Q22" s="183" t="s">
        <v>169</v>
      </c>
      <c r="R22" s="160" t="s">
        <v>196</v>
      </c>
      <c r="S22" s="237">
        <v>2.4849999999999999</v>
      </c>
      <c r="T22" s="238"/>
      <c r="U22" s="239"/>
      <c r="W22" s="198" t="s">
        <v>169</v>
      </c>
      <c r="X22" s="169" t="s">
        <v>160</v>
      </c>
      <c r="Y22" s="195">
        <f>$S22*(1+AD$3)</f>
        <v>2.5346826049999995</v>
      </c>
      <c r="Z22" s="195">
        <f t="shared" ref="Z22:AB22" si="10">$S22*(1+AE$3)</f>
        <v>3.0324281050000002</v>
      </c>
      <c r="AA22" s="195">
        <f t="shared" si="10"/>
        <v>3.4803990549999999</v>
      </c>
      <c r="AB22" s="200">
        <f t="shared" si="10"/>
        <v>4.1274682050000004</v>
      </c>
      <c r="AD22" s="190"/>
    </row>
    <row r="23" spans="1:32" ht="17.25" thickBot="1">
      <c r="C23" s="118"/>
      <c r="E23" s="117"/>
      <c r="H23" s="87"/>
      <c r="I23" s="124"/>
      <c r="J23" s="124"/>
      <c r="M23" s="87"/>
      <c r="Q23" s="241" t="s">
        <v>146</v>
      </c>
      <c r="R23" s="160" t="s">
        <v>195</v>
      </c>
      <c r="S23" s="234">
        <v>2.9750000000000001</v>
      </c>
      <c r="T23" s="235"/>
      <c r="U23" s="236"/>
      <c r="W23" s="241" t="s">
        <v>61</v>
      </c>
      <c r="X23" s="169" t="s">
        <v>194</v>
      </c>
      <c r="Y23" s="195">
        <f>$S23*(1+AD$3)</f>
        <v>3.034479175</v>
      </c>
      <c r="Z23" s="196">
        <f t="shared" ref="Z23:AB24" si="11">$S23*(1+AE$3)</f>
        <v>3.6303716750000001</v>
      </c>
      <c r="AA23" s="196">
        <f t="shared" si="11"/>
        <v>4.1666749249999997</v>
      </c>
      <c r="AB23" s="197">
        <f t="shared" si="11"/>
        <v>4.9413351750000007</v>
      </c>
      <c r="AD23" s="190"/>
    </row>
    <row r="24" spans="1:32" ht="17.25" thickBot="1">
      <c r="A24" s="231" t="s">
        <v>9</v>
      </c>
      <c r="B24" s="232"/>
      <c r="C24" s="36" t="s">
        <v>10</v>
      </c>
      <c r="D24" s="36" t="s">
        <v>11</v>
      </c>
      <c r="E24" s="37" t="s">
        <v>25</v>
      </c>
      <c r="F24" s="38" t="s">
        <v>22</v>
      </c>
      <c r="G24" s="102" t="s">
        <v>23</v>
      </c>
      <c r="H24" s="87"/>
      <c r="Q24" s="242"/>
      <c r="R24" s="160" t="s">
        <v>156</v>
      </c>
      <c r="S24" s="234">
        <v>3.57</v>
      </c>
      <c r="T24" s="235"/>
      <c r="U24" s="236"/>
      <c r="W24" s="242"/>
      <c r="X24" s="170" t="s">
        <v>156</v>
      </c>
      <c r="Y24" s="171">
        <f>$S24*(1+AD$3)</f>
        <v>3.6413750099999995</v>
      </c>
      <c r="Z24" s="172">
        <f t="shared" si="11"/>
        <v>4.35644601</v>
      </c>
      <c r="AA24" s="172">
        <f t="shared" si="11"/>
        <v>5.0000099100000002</v>
      </c>
      <c r="AB24" s="173">
        <f t="shared" si="11"/>
        <v>5.9296022100000005</v>
      </c>
    </row>
    <row r="25" spans="1:32">
      <c r="A25" s="227" t="s">
        <v>34</v>
      </c>
      <c r="B25" s="228"/>
      <c r="C25" s="24" t="s">
        <v>13</v>
      </c>
      <c r="D25" s="24" t="s">
        <v>35</v>
      </c>
      <c r="E25" s="78">
        <v>2</v>
      </c>
      <c r="F25" s="65">
        <v>2</v>
      </c>
      <c r="G25" s="66">
        <v>2</v>
      </c>
      <c r="H25" s="87"/>
      <c r="Q25" s="241" t="s">
        <v>66</v>
      </c>
      <c r="R25" s="160" t="s">
        <v>199</v>
      </c>
      <c r="S25" s="191">
        <v>4.2250000000000005</v>
      </c>
      <c r="T25" s="192">
        <v>4.4525000000000006</v>
      </c>
      <c r="U25" s="193">
        <v>4.7125000000000004</v>
      </c>
      <c r="W25" s="241" t="s">
        <v>66</v>
      </c>
      <c r="X25" s="222" t="s">
        <v>167</v>
      </c>
      <c r="Y25" s="171">
        <f>$U25*(1+AD$3)</f>
        <v>4.8067170125000001</v>
      </c>
      <c r="Z25" s="172">
        <f>$U25*(1+AE$3)</f>
        <v>5.750630762500001</v>
      </c>
      <c r="AA25" s="172">
        <f>$U25*(1+AF$3)</f>
        <v>6.6001531375000004</v>
      </c>
      <c r="AB25" s="173">
        <f>$U25*(1+AG$3)</f>
        <v>7.8272410125000009</v>
      </c>
    </row>
    <row r="26" spans="1:32" ht="17.25" thickBot="1">
      <c r="A26" s="229"/>
      <c r="B26" s="230"/>
      <c r="C26" s="16" t="s">
        <v>15</v>
      </c>
      <c r="D26" s="16" t="s">
        <v>95</v>
      </c>
      <c r="E26" s="17" t="s">
        <v>101</v>
      </c>
      <c r="F26" s="45" t="s">
        <v>102</v>
      </c>
      <c r="G26" s="44" t="s">
        <v>102</v>
      </c>
      <c r="H26" s="87"/>
      <c r="Q26" s="242"/>
      <c r="R26" s="160" t="s">
        <v>157</v>
      </c>
      <c r="S26" s="243">
        <v>3.2500000000000004</v>
      </c>
      <c r="T26" s="244"/>
      <c r="U26" s="245"/>
      <c r="W26" s="242"/>
      <c r="X26" s="160" t="s">
        <v>157</v>
      </c>
      <c r="Y26" s="195">
        <f>$S26*(1+AD$3)</f>
        <v>3.3149772500000001</v>
      </c>
      <c r="Z26" s="195">
        <f t="shared" ref="Z26:AB26" si="12">$S26*(1+AE$3)</f>
        <v>3.9659522500000008</v>
      </c>
      <c r="AA26" s="195">
        <f t="shared" si="12"/>
        <v>4.5518297500000005</v>
      </c>
      <c r="AB26" s="200">
        <f t="shared" si="12"/>
        <v>5.3980972500000011</v>
      </c>
    </row>
    <row r="27" spans="1:32" ht="17.25" thickBot="1">
      <c r="A27" s="42">
        <v>469</v>
      </c>
      <c r="B27" s="43" t="s">
        <v>27</v>
      </c>
      <c r="C27" s="28" t="s">
        <v>18</v>
      </c>
      <c r="D27" s="29" t="s">
        <v>4</v>
      </c>
      <c r="E27" s="33">
        <v>2</v>
      </c>
      <c r="F27" s="34">
        <v>2.5</v>
      </c>
      <c r="G27" s="35">
        <v>3</v>
      </c>
      <c r="H27" s="87"/>
      <c r="Q27" s="183" t="s">
        <v>147</v>
      </c>
      <c r="R27" s="162" t="s">
        <v>167</v>
      </c>
      <c r="S27" s="168">
        <v>12.224</v>
      </c>
      <c r="T27" s="154">
        <v>13.256</v>
      </c>
      <c r="U27" s="157">
        <v>14.288</v>
      </c>
      <c r="W27" s="198" t="s">
        <v>69</v>
      </c>
      <c r="X27" s="221" t="s">
        <v>167</v>
      </c>
      <c r="Y27" s="175">
        <f>($U27-14)*(1+AD$3)+14</f>
        <v>14.293757984000001</v>
      </c>
      <c r="Z27" s="175">
        <f t="shared" ref="Z27:AB27" si="13">($U27-14)*(1+AE$3)+14</f>
        <v>14.351444384000001</v>
      </c>
      <c r="AA27" s="175">
        <f t="shared" si="13"/>
        <v>14.403362144000001</v>
      </c>
      <c r="AB27" s="221">
        <f t="shared" si="13"/>
        <v>14.478354464000001</v>
      </c>
      <c r="AF27" s="122"/>
    </row>
    <row r="28" spans="1:32" ht="17.25" thickBot="1">
      <c r="A28" s="225" t="s">
        <v>17</v>
      </c>
      <c r="B28" s="226"/>
      <c r="C28" s="6" t="s">
        <v>97</v>
      </c>
      <c r="D28" s="104">
        <f>0.428*5</f>
        <v>2.14</v>
      </c>
      <c r="E28" s="105">
        <f>$D$28*(1+E27)*(5+E25)/5</f>
        <v>8.9879999999999995</v>
      </c>
      <c r="F28" s="105">
        <f>$D$28*(1+F27)*(5+F25)/5</f>
        <v>10.486000000000001</v>
      </c>
      <c r="G28" s="107">
        <f>$D$28*(1+G27)*(5+G25)/5</f>
        <v>11.984</v>
      </c>
      <c r="H28" s="86"/>
      <c r="Q28" s="240" t="s">
        <v>148</v>
      </c>
      <c r="R28" s="160" t="s">
        <v>168</v>
      </c>
      <c r="S28" s="159">
        <v>9.8550000000000004</v>
      </c>
      <c r="T28" s="153">
        <v>11.4975</v>
      </c>
      <c r="U28" s="155">
        <v>13.14</v>
      </c>
      <c r="W28" s="240" t="s">
        <v>70</v>
      </c>
      <c r="X28" s="181" t="s">
        <v>168</v>
      </c>
      <c r="Y28" s="178">
        <f t="shared" ref="Y28:AB29" si="14">$U28*(1+AD$3)</f>
        <v>13.40270802</v>
      </c>
      <c r="Z28" s="179">
        <f t="shared" si="14"/>
        <v>16.034650020000001</v>
      </c>
      <c r="AA28" s="179">
        <f t="shared" si="14"/>
        <v>18.403397820000002</v>
      </c>
      <c r="AB28" s="180">
        <f t="shared" si="14"/>
        <v>21.824922420000004</v>
      </c>
    </row>
    <row r="29" spans="1:32" ht="17.25" thickBot="1">
      <c r="A29" s="3">
        <v>16</v>
      </c>
      <c r="B29" s="4" t="s">
        <v>20</v>
      </c>
      <c r="C29" s="6" t="s">
        <v>100</v>
      </c>
      <c r="D29" s="108">
        <f>D28/$A29</f>
        <v>0.13375000000000001</v>
      </c>
      <c r="E29" s="105">
        <f t="shared" ref="E29:G29" si="15">E28/$A29</f>
        <v>0.56174999999999997</v>
      </c>
      <c r="F29" s="106">
        <f t="shared" si="15"/>
        <v>0.65537500000000004</v>
      </c>
      <c r="G29" s="107">
        <f t="shared" si="15"/>
        <v>0.749</v>
      </c>
      <c r="H29" s="87"/>
      <c r="Q29" s="240"/>
      <c r="R29" s="160" t="s">
        <v>156</v>
      </c>
      <c r="S29" s="158">
        <v>9.8550000000000004</v>
      </c>
      <c r="T29" s="153">
        <v>11.4975</v>
      </c>
      <c r="U29" s="155">
        <v>13.14</v>
      </c>
      <c r="W29" s="240"/>
      <c r="X29" s="181" t="s">
        <v>156</v>
      </c>
      <c r="Y29" s="178">
        <f t="shared" si="14"/>
        <v>13.40270802</v>
      </c>
      <c r="Z29" s="179">
        <f t="shared" si="14"/>
        <v>16.034650020000001</v>
      </c>
      <c r="AA29" s="179">
        <f t="shared" si="14"/>
        <v>18.403397820000002</v>
      </c>
      <c r="AB29" s="180">
        <f t="shared" si="14"/>
        <v>21.824922420000004</v>
      </c>
    </row>
    <row r="30" spans="1:32" ht="17.25" thickBot="1">
      <c r="H30" s="87"/>
      <c r="I30"/>
      <c r="Q30" s="184" t="s">
        <v>149</v>
      </c>
      <c r="R30" s="161" t="s">
        <v>163</v>
      </c>
      <c r="S30" s="246">
        <v>0.16</v>
      </c>
      <c r="T30" s="247"/>
      <c r="U30" s="248"/>
      <c r="W30" s="184" t="s">
        <v>149</v>
      </c>
      <c r="X30" s="217" t="s">
        <v>163</v>
      </c>
      <c r="Y30" s="218">
        <f>$S30*(1+AD$3)</f>
        <v>0.16319887999999999</v>
      </c>
      <c r="Z30" s="219">
        <f>$S30*(1+AE$3)</f>
        <v>0.19524688000000001</v>
      </c>
      <c r="AA30" s="219">
        <f>$S30*(1+AF$3)</f>
        <v>0.22409008</v>
      </c>
      <c r="AB30" s="220">
        <f>$S30*(1+AG$3)</f>
        <v>0.26575248000000001</v>
      </c>
    </row>
    <row r="31" spans="1:32" ht="17.25" thickBot="1">
      <c r="A31" s="231" t="s">
        <v>9</v>
      </c>
      <c r="B31" s="232"/>
      <c r="C31" s="36" t="s">
        <v>10</v>
      </c>
      <c r="D31" s="36" t="s">
        <v>11</v>
      </c>
      <c r="E31" s="37" t="s">
        <v>25</v>
      </c>
      <c r="F31" s="38" t="s">
        <v>22</v>
      </c>
      <c r="G31" s="186" t="s">
        <v>23</v>
      </c>
      <c r="H31" s="87"/>
      <c r="I31" s="231" t="s">
        <v>9</v>
      </c>
      <c r="J31" s="232"/>
      <c r="K31" s="36" t="s">
        <v>10</v>
      </c>
      <c r="L31" s="36" t="s">
        <v>11</v>
      </c>
      <c r="M31" s="37" t="s">
        <v>25</v>
      </c>
      <c r="N31" s="38" t="s">
        <v>22</v>
      </c>
      <c r="O31" s="186" t="s">
        <v>23</v>
      </c>
    </row>
    <row r="32" spans="1:32" ht="17.25" thickBot="1">
      <c r="A32" s="227" t="s">
        <v>39</v>
      </c>
      <c r="B32" s="228"/>
      <c r="C32" s="24" t="s">
        <v>13</v>
      </c>
      <c r="D32" s="24" t="s">
        <v>58</v>
      </c>
      <c r="E32" s="64">
        <v>4</v>
      </c>
      <c r="F32" s="65">
        <v>5.4</v>
      </c>
      <c r="G32" s="66">
        <v>7</v>
      </c>
      <c r="H32" s="87"/>
      <c r="I32" s="227" t="s">
        <v>39</v>
      </c>
      <c r="J32" s="228"/>
      <c r="K32" s="24" t="s">
        <v>13</v>
      </c>
      <c r="L32" s="24" t="s">
        <v>58</v>
      </c>
      <c r="M32" s="64">
        <v>4</v>
      </c>
      <c r="N32" s="65">
        <v>5.4</v>
      </c>
      <c r="O32" s="66">
        <v>7</v>
      </c>
      <c r="Q32" s="255" t="s">
        <v>170</v>
      </c>
      <c r="R32" s="256"/>
      <c r="S32" s="256"/>
      <c r="T32" s="256"/>
      <c r="U32" s="257"/>
      <c r="W32" s="255" t="s">
        <v>172</v>
      </c>
      <c r="X32" s="256"/>
      <c r="Y32" s="256"/>
      <c r="Z32" s="256"/>
      <c r="AA32" s="256"/>
      <c r="AB32" s="257"/>
    </row>
    <row r="33" spans="1:28" ht="17.25" thickBot="1">
      <c r="A33" s="229"/>
      <c r="B33" s="230"/>
      <c r="C33" s="16" t="s">
        <v>15</v>
      </c>
      <c r="D33" s="16" t="s">
        <v>190</v>
      </c>
      <c r="E33" s="17" t="s">
        <v>175</v>
      </c>
      <c r="F33" s="45" t="s">
        <v>175</v>
      </c>
      <c r="G33" s="44" t="s">
        <v>175</v>
      </c>
      <c r="H33" s="87"/>
      <c r="I33" s="229"/>
      <c r="J33" s="230"/>
      <c r="K33" s="16" t="s">
        <v>15</v>
      </c>
      <c r="L33" s="16" t="s">
        <v>102</v>
      </c>
      <c r="M33" s="17" t="s">
        <v>175</v>
      </c>
      <c r="N33" s="45" t="s">
        <v>175</v>
      </c>
      <c r="O33" s="44" t="s">
        <v>175</v>
      </c>
      <c r="Q33" s="36" t="s">
        <v>131</v>
      </c>
      <c r="R33" s="36" t="s">
        <v>132</v>
      </c>
      <c r="S33" s="37" t="s">
        <v>151</v>
      </c>
      <c r="T33" s="38" t="s">
        <v>150</v>
      </c>
      <c r="U33" s="167" t="s">
        <v>152</v>
      </c>
      <c r="W33" s="36" t="s">
        <v>131</v>
      </c>
      <c r="X33" s="121" t="s">
        <v>132</v>
      </c>
      <c r="Y33" s="37" t="s">
        <v>139</v>
      </c>
      <c r="Z33" s="38" t="s">
        <v>140</v>
      </c>
      <c r="AA33" s="38" t="s">
        <v>142</v>
      </c>
      <c r="AB33" s="167" t="s">
        <v>141</v>
      </c>
    </row>
    <row r="34" spans="1:28" ht="17.25" thickBot="1">
      <c r="A34" s="42">
        <v>521</v>
      </c>
      <c r="B34" s="43" t="s">
        <v>27</v>
      </c>
      <c r="C34" s="28" t="s">
        <v>18</v>
      </c>
      <c r="D34" s="29" t="s">
        <v>42</v>
      </c>
      <c r="E34" s="33" t="s">
        <v>175</v>
      </c>
      <c r="F34" s="34" t="s">
        <v>191</v>
      </c>
      <c r="G34" s="35" t="s">
        <v>175</v>
      </c>
      <c r="H34" s="87"/>
      <c r="I34" s="42">
        <v>521</v>
      </c>
      <c r="J34" s="43" t="s">
        <v>27</v>
      </c>
      <c r="K34" s="28" t="s">
        <v>18</v>
      </c>
      <c r="L34" s="29" t="s">
        <v>192</v>
      </c>
      <c r="M34" s="55">
        <v>2</v>
      </c>
      <c r="N34" s="56">
        <v>2</v>
      </c>
      <c r="O34" s="57">
        <v>2</v>
      </c>
      <c r="Q34" s="242" t="s">
        <v>133</v>
      </c>
      <c r="R34" s="163" t="s">
        <v>153</v>
      </c>
      <c r="S34" s="164">
        <v>0.32999999999999996</v>
      </c>
      <c r="T34" s="165">
        <v>0.35869565217391303</v>
      </c>
      <c r="U34" s="166">
        <v>0.41249999999999998</v>
      </c>
      <c r="W34" s="242" t="s">
        <v>133</v>
      </c>
      <c r="X34" s="205" t="s">
        <v>153</v>
      </c>
      <c r="Y34" s="206">
        <f>$U34*(1+AD$3)</f>
        <v>0.42074711249999996</v>
      </c>
      <c r="Z34" s="207">
        <f>$U34*(1+AE$3)</f>
        <v>0.50337086249999996</v>
      </c>
      <c r="AA34" s="207">
        <f>$U34*(1+AF$3)</f>
        <v>0.57773223750000002</v>
      </c>
      <c r="AB34" s="208">
        <f>$U34*(1+AG$3)</f>
        <v>0.68514311250000004</v>
      </c>
    </row>
    <row r="35" spans="1:28" ht="17.25" thickBot="1">
      <c r="A35" s="225" t="s">
        <v>17</v>
      </c>
      <c r="B35" s="226"/>
      <c r="C35" s="6" t="s">
        <v>21</v>
      </c>
      <c r="D35" s="104">
        <v>1.4910000000000001</v>
      </c>
      <c r="E35" s="105">
        <v>2.4849999999999999</v>
      </c>
      <c r="F35" s="105">
        <v>2.4849999999999999</v>
      </c>
      <c r="G35" s="107">
        <v>2.4849999999999999</v>
      </c>
      <c r="H35" s="86"/>
      <c r="I35" s="225" t="s">
        <v>17</v>
      </c>
      <c r="J35" s="226"/>
      <c r="K35" s="6" t="s">
        <v>21</v>
      </c>
      <c r="L35" s="104">
        <v>1.4910000000000001</v>
      </c>
      <c r="M35" s="105">
        <f>$L$35*5/3</f>
        <v>2.4849999999999999</v>
      </c>
      <c r="N35" s="105">
        <f t="shared" ref="N35:O35" si="16">$L$35*5/3</f>
        <v>2.4849999999999999</v>
      </c>
      <c r="O35" s="107">
        <f t="shared" si="16"/>
        <v>2.4849999999999999</v>
      </c>
      <c r="Q35" s="240"/>
      <c r="R35" s="160" t="s">
        <v>154</v>
      </c>
      <c r="S35" s="243">
        <v>0.36499999999999999</v>
      </c>
      <c r="T35" s="244"/>
      <c r="U35" s="245"/>
      <c r="W35" s="240"/>
      <c r="X35" s="170" t="s">
        <v>154</v>
      </c>
      <c r="Y35" s="171">
        <f>$S35*(1+AD$3)</f>
        <v>0.37229744499999995</v>
      </c>
      <c r="Z35" s="172">
        <f>$S35*(1+AE$3)</f>
        <v>0.445406945</v>
      </c>
      <c r="AA35" s="172">
        <f>$S35*(1+AF$3)</f>
        <v>0.51120549500000001</v>
      </c>
      <c r="AB35" s="173">
        <f>$S35*(1+AG$3)</f>
        <v>0.60624784500000006</v>
      </c>
    </row>
    <row r="36" spans="1:28" ht="17.25" thickBot="1">
      <c r="A36" s="3">
        <v>20</v>
      </c>
      <c r="B36" s="4" t="s">
        <v>20</v>
      </c>
      <c r="C36" s="6" t="s">
        <v>2</v>
      </c>
      <c r="D36" s="104">
        <f>D35/$A36</f>
        <v>7.4550000000000005E-2</v>
      </c>
      <c r="E36" s="105">
        <f>E35/($A36-E32)</f>
        <v>0.15531249999999999</v>
      </c>
      <c r="F36" s="106">
        <f>F35/($A36-F32)</f>
        <v>0.1702054794520548</v>
      </c>
      <c r="G36" s="107">
        <f>G35/($A36-G32)</f>
        <v>0.19115384615384615</v>
      </c>
      <c r="H36" s="87"/>
      <c r="I36" s="3">
        <v>20</v>
      </c>
      <c r="J36" s="4" t="s">
        <v>20</v>
      </c>
      <c r="K36" s="6" t="s">
        <v>2</v>
      </c>
      <c r="L36" s="104">
        <f>L35/$I36</f>
        <v>7.4550000000000005E-2</v>
      </c>
      <c r="M36" s="105">
        <f t="shared" ref="M36:N36" si="17">M35/($I36-M32)</f>
        <v>0.15531249999999999</v>
      </c>
      <c r="N36" s="106">
        <f t="shared" si="17"/>
        <v>0.1702054794520548</v>
      </c>
      <c r="O36" s="107">
        <f>O35/($I36-O32)</f>
        <v>0.19115384615384615</v>
      </c>
      <c r="Q36" s="183" t="s">
        <v>134</v>
      </c>
      <c r="R36" s="160" t="s">
        <v>155</v>
      </c>
      <c r="S36" s="159">
        <v>0.28275</v>
      </c>
      <c r="T36" s="153">
        <v>0.30449999999999999</v>
      </c>
      <c r="U36" s="155">
        <v>0.32624999999999998</v>
      </c>
      <c r="W36" s="183" t="s">
        <v>134</v>
      </c>
      <c r="X36" s="170" t="s">
        <v>155</v>
      </c>
      <c r="Y36" s="171">
        <f t="shared" ref="Y36:Y44" si="18">$U36*(1+AD$3)</f>
        <v>0.33277271624999993</v>
      </c>
      <c r="Z36" s="172">
        <f t="shared" ref="Z36:Z44" si="19">$U36*(1+AE$3)</f>
        <v>0.39812059124999999</v>
      </c>
      <c r="AA36" s="172">
        <f t="shared" ref="AA36:AA44" si="20">$U36*(1+AF$3)</f>
        <v>0.45693367874999996</v>
      </c>
      <c r="AB36" s="173">
        <f t="shared" ref="AB36:AB44" si="21">$U36*(1+AG$3)</f>
        <v>0.54188591625000004</v>
      </c>
    </row>
    <row r="37" spans="1:28" ht="17.25" thickBot="1">
      <c r="H37" s="87"/>
      <c r="I37"/>
      <c r="Q37" s="183" t="s">
        <v>164</v>
      </c>
      <c r="R37" s="160" t="s">
        <v>189</v>
      </c>
      <c r="S37" s="159">
        <v>0.19500000000000001</v>
      </c>
      <c r="T37" s="153">
        <v>0.21060000000000001</v>
      </c>
      <c r="U37" s="155">
        <v>0.22750000000000001</v>
      </c>
      <c r="W37" s="183" t="s">
        <v>165</v>
      </c>
      <c r="X37" s="169" t="s">
        <v>189</v>
      </c>
      <c r="Y37" s="159">
        <f t="shared" si="18"/>
        <v>0.2320484075</v>
      </c>
      <c r="Z37" s="153">
        <f t="shared" si="19"/>
        <v>0.27761665750000003</v>
      </c>
      <c r="AA37" s="153">
        <f t="shared" si="20"/>
        <v>0.31862808250000002</v>
      </c>
      <c r="AB37" s="155">
        <f t="shared" si="21"/>
        <v>0.37786680750000007</v>
      </c>
    </row>
    <row r="38" spans="1:28" ht="17.25" thickBot="1">
      <c r="A38" s="231" t="s">
        <v>9</v>
      </c>
      <c r="B38" s="232"/>
      <c r="C38" s="36" t="s">
        <v>10</v>
      </c>
      <c r="D38" s="36" t="s">
        <v>11</v>
      </c>
      <c r="E38" s="37" t="s">
        <v>25</v>
      </c>
      <c r="F38" s="38" t="s">
        <v>22</v>
      </c>
      <c r="G38" s="103" t="s">
        <v>23</v>
      </c>
      <c r="H38" s="87"/>
      <c r="I38" s="231" t="s">
        <v>9</v>
      </c>
      <c r="J38" s="232"/>
      <c r="K38" s="36" t="s">
        <v>10</v>
      </c>
      <c r="L38" s="36" t="s">
        <v>11</v>
      </c>
      <c r="M38" s="37" t="s">
        <v>25</v>
      </c>
      <c r="N38" s="38" t="s">
        <v>22</v>
      </c>
      <c r="O38" s="194" t="s">
        <v>23</v>
      </c>
      <c r="Q38" s="183" t="s">
        <v>135</v>
      </c>
      <c r="R38" s="160" t="s">
        <v>156</v>
      </c>
      <c r="S38" s="159">
        <v>0.56174999999999997</v>
      </c>
      <c r="T38" s="153">
        <v>0.65537500000000004</v>
      </c>
      <c r="U38" s="155">
        <v>0.749</v>
      </c>
      <c r="W38" s="183" t="s">
        <v>135</v>
      </c>
      <c r="X38" s="181" t="s">
        <v>156</v>
      </c>
      <c r="Y38" s="178">
        <f t="shared" si="18"/>
        <v>0.76397475699999995</v>
      </c>
      <c r="Z38" s="179">
        <f t="shared" si="19"/>
        <v>0.91399945700000007</v>
      </c>
      <c r="AA38" s="179">
        <f t="shared" si="20"/>
        <v>1.049021687</v>
      </c>
      <c r="AB38" s="180">
        <f t="shared" si="21"/>
        <v>1.2440537970000001</v>
      </c>
    </row>
    <row r="39" spans="1:28">
      <c r="A39" s="227" t="s">
        <v>43</v>
      </c>
      <c r="B39" s="228"/>
      <c r="C39" s="127" t="s">
        <v>13</v>
      </c>
      <c r="D39" s="127" t="s">
        <v>1</v>
      </c>
      <c r="E39" s="128">
        <v>2</v>
      </c>
      <c r="F39" s="129">
        <v>3.4</v>
      </c>
      <c r="G39" s="130">
        <v>5</v>
      </c>
      <c r="H39" s="87"/>
      <c r="I39" s="227" t="s">
        <v>43</v>
      </c>
      <c r="J39" s="228"/>
      <c r="K39" s="127" t="s">
        <v>13</v>
      </c>
      <c r="L39" s="127" t="s">
        <v>1</v>
      </c>
      <c r="M39" s="128">
        <v>2</v>
      </c>
      <c r="N39" s="129">
        <v>3.4</v>
      </c>
      <c r="O39" s="130">
        <v>5</v>
      </c>
      <c r="Q39" s="240" t="s">
        <v>166</v>
      </c>
      <c r="R39" s="160" t="s">
        <v>193</v>
      </c>
      <c r="S39" s="187">
        <v>0.15531249999999999</v>
      </c>
      <c r="T39" s="188">
        <v>0.1702054794520548</v>
      </c>
      <c r="U39" s="189">
        <v>0.19115384615384615</v>
      </c>
      <c r="W39" s="240" t="s">
        <v>166</v>
      </c>
      <c r="X39" s="169" t="s">
        <v>193</v>
      </c>
      <c r="Y39" s="159">
        <f t="shared" si="18"/>
        <v>0.19497558499999998</v>
      </c>
      <c r="Z39" s="153">
        <f t="shared" si="19"/>
        <v>0.23326370038461539</v>
      </c>
      <c r="AA39" s="153">
        <f t="shared" si="20"/>
        <v>0.26772300423076922</v>
      </c>
      <c r="AB39" s="155">
        <f t="shared" si="21"/>
        <v>0.31749755423076925</v>
      </c>
    </row>
    <row r="40" spans="1:28" ht="17.25" thickBot="1">
      <c r="A40" s="229"/>
      <c r="B40" s="230"/>
      <c r="C40" s="20" t="s">
        <v>15</v>
      </c>
      <c r="D40" s="20" t="s">
        <v>101</v>
      </c>
      <c r="E40" s="81" t="s">
        <v>201</v>
      </c>
      <c r="F40" s="82" t="s">
        <v>201</v>
      </c>
      <c r="G40" s="83" t="s">
        <v>201</v>
      </c>
      <c r="H40" s="87"/>
      <c r="I40" s="229"/>
      <c r="J40" s="230"/>
      <c r="K40" s="20" t="s">
        <v>15</v>
      </c>
      <c r="L40" s="20" t="s">
        <v>35</v>
      </c>
      <c r="M40" s="81">
        <v>1</v>
      </c>
      <c r="N40" s="82">
        <v>1</v>
      </c>
      <c r="O40" s="83">
        <v>1</v>
      </c>
      <c r="Q40" s="240"/>
      <c r="R40" s="160" t="s">
        <v>194</v>
      </c>
      <c r="S40" s="187">
        <v>0.15531249999999999</v>
      </c>
      <c r="T40" s="188">
        <v>0.1702054794520548</v>
      </c>
      <c r="U40" s="189">
        <v>0.19115384615384615</v>
      </c>
      <c r="W40" s="240"/>
      <c r="X40" s="169" t="s">
        <v>194</v>
      </c>
      <c r="Y40" s="159">
        <f t="shared" si="18"/>
        <v>0.19497558499999998</v>
      </c>
      <c r="Z40" s="153">
        <f t="shared" si="19"/>
        <v>0.23326370038461539</v>
      </c>
      <c r="AA40" s="153">
        <f t="shared" si="20"/>
        <v>0.26772300423076922</v>
      </c>
      <c r="AB40" s="155">
        <f t="shared" si="21"/>
        <v>0.31749755423076925</v>
      </c>
    </row>
    <row r="41" spans="1:28" ht="17.25" thickBot="1">
      <c r="A41" s="42">
        <v>569</v>
      </c>
      <c r="B41" s="43" t="s">
        <v>27</v>
      </c>
      <c r="C41" s="58" t="s">
        <v>120</v>
      </c>
      <c r="D41" s="59" t="s">
        <v>101</v>
      </c>
      <c r="E41" s="61" t="s">
        <v>106</v>
      </c>
      <c r="F41" s="62" t="s">
        <v>106</v>
      </c>
      <c r="G41" s="63" t="s">
        <v>110</v>
      </c>
      <c r="H41" s="87"/>
      <c r="I41" s="42">
        <v>569</v>
      </c>
      <c r="J41" s="43" t="s">
        <v>27</v>
      </c>
      <c r="K41" s="58" t="s">
        <v>101</v>
      </c>
      <c r="L41" s="59" t="s">
        <v>101</v>
      </c>
      <c r="M41" s="61" t="s">
        <v>101</v>
      </c>
      <c r="N41" s="62" t="s">
        <v>101</v>
      </c>
      <c r="O41" s="63" t="s">
        <v>101</v>
      </c>
      <c r="Q41" s="240" t="s">
        <v>136</v>
      </c>
      <c r="R41" s="160" t="s">
        <v>155</v>
      </c>
      <c r="S41" s="159">
        <v>0.12886363636363637</v>
      </c>
      <c r="T41" s="153">
        <v>0.13762135922330096</v>
      </c>
      <c r="U41" s="155">
        <v>0.14921052631578946</v>
      </c>
      <c r="W41" s="240" t="s">
        <v>136</v>
      </c>
      <c r="X41" s="169" t="s">
        <v>155</v>
      </c>
      <c r="Y41" s="159">
        <f t="shared" si="18"/>
        <v>0.15219369236842104</v>
      </c>
      <c r="Z41" s="153">
        <f t="shared" si="19"/>
        <v>0.18208056078947368</v>
      </c>
      <c r="AA41" s="153">
        <f t="shared" si="20"/>
        <v>0.20897874236842104</v>
      </c>
      <c r="AB41" s="155">
        <f t="shared" si="21"/>
        <v>0.24783167131578948</v>
      </c>
    </row>
    <row r="42" spans="1:28" ht="17.25" thickBot="1">
      <c r="A42" s="225" t="s">
        <v>17</v>
      </c>
      <c r="B42" s="226"/>
      <c r="C42" s="6" t="s">
        <v>97</v>
      </c>
      <c r="D42" s="6">
        <v>2.835</v>
      </c>
      <c r="E42" s="105">
        <f>$D$42</f>
        <v>2.835</v>
      </c>
      <c r="F42" s="105">
        <f>$D$42</f>
        <v>2.835</v>
      </c>
      <c r="G42" s="107">
        <f>$D$42</f>
        <v>2.835</v>
      </c>
      <c r="H42" s="86"/>
      <c r="I42" s="225" t="s">
        <v>17</v>
      </c>
      <c r="J42" s="226"/>
      <c r="K42" s="6" t="s">
        <v>97</v>
      </c>
      <c r="L42" s="6">
        <v>2.835</v>
      </c>
      <c r="M42" s="105">
        <f>$D$42*(3+M40)/3</f>
        <v>3.78</v>
      </c>
      <c r="N42" s="105">
        <f>$D$42*(3+N40)/3</f>
        <v>3.78</v>
      </c>
      <c r="O42" s="107">
        <f>$D$42*(3+O40)/3</f>
        <v>3.78</v>
      </c>
      <c r="Q42" s="240"/>
      <c r="R42" s="160" t="s">
        <v>157</v>
      </c>
      <c r="S42" s="159">
        <v>0.17181818181818181</v>
      </c>
      <c r="T42" s="153">
        <v>0.18349514563106795</v>
      </c>
      <c r="U42" s="155">
        <v>0.19894736842105262</v>
      </c>
      <c r="W42" s="240"/>
      <c r="X42" s="169" t="s">
        <v>157</v>
      </c>
      <c r="Y42" s="159">
        <f t="shared" si="18"/>
        <v>0.2029249231578947</v>
      </c>
      <c r="Z42" s="153">
        <f t="shared" si="19"/>
        <v>0.2427740810526316</v>
      </c>
      <c r="AA42" s="153">
        <f t="shared" si="20"/>
        <v>0.27863832315789472</v>
      </c>
      <c r="AB42" s="155">
        <f t="shared" si="21"/>
        <v>0.33044222842105264</v>
      </c>
    </row>
    <row r="43" spans="1:28" ht="17.25" thickBot="1">
      <c r="A43" s="3">
        <v>24</v>
      </c>
      <c r="B43" s="4" t="s">
        <v>20</v>
      </c>
      <c r="C43" s="6" t="s">
        <v>2</v>
      </c>
      <c r="D43" s="104">
        <f>D42/$A43</f>
        <v>0.11812499999999999</v>
      </c>
      <c r="E43" s="105">
        <f>E42/($A43-E39)</f>
        <v>0.12886363636363637</v>
      </c>
      <c r="F43" s="106">
        <f>F42/($A43-F39)</f>
        <v>0.13762135922330096</v>
      </c>
      <c r="G43" s="107">
        <f>G42/($A43-G39)</f>
        <v>0.14921052631578946</v>
      </c>
      <c r="H43" s="87"/>
      <c r="I43" s="3">
        <v>24</v>
      </c>
      <c r="J43" s="4" t="s">
        <v>20</v>
      </c>
      <c r="K43" s="6" t="s">
        <v>2</v>
      </c>
      <c r="L43" s="104">
        <f>L42/$A43</f>
        <v>0.11812499999999999</v>
      </c>
      <c r="M43" s="105">
        <f>M42/($A43-M39)</f>
        <v>0.17181818181818181</v>
      </c>
      <c r="N43" s="106">
        <f>N42/($A43-N39)</f>
        <v>0.18349514563106795</v>
      </c>
      <c r="O43" s="107">
        <f>O42/($A43-O39)</f>
        <v>0.19894736842105262</v>
      </c>
      <c r="Q43" s="240" t="s">
        <v>137</v>
      </c>
      <c r="R43" s="160">
        <v>211</v>
      </c>
      <c r="S43" s="159">
        <v>0.59045454545454534</v>
      </c>
      <c r="T43" s="153">
        <v>0.71012000000000008</v>
      </c>
      <c r="U43" s="155">
        <v>0.84435000000000004</v>
      </c>
      <c r="W43" s="240" t="s">
        <v>137</v>
      </c>
      <c r="X43" s="181">
        <v>211</v>
      </c>
      <c r="Y43" s="178">
        <f t="shared" si="18"/>
        <v>0.86123108954999994</v>
      </c>
      <c r="Z43" s="179">
        <f t="shared" si="19"/>
        <v>1.0303543945500002</v>
      </c>
      <c r="AA43" s="179">
        <f t="shared" si="20"/>
        <v>1.18256536905</v>
      </c>
      <c r="AB43" s="180">
        <f t="shared" si="21"/>
        <v>1.4024256655500003</v>
      </c>
    </row>
    <row r="44" spans="1:28" ht="17.25" thickBot="1">
      <c r="H44" s="87"/>
      <c r="Q44" s="240"/>
      <c r="R44" s="160">
        <v>212</v>
      </c>
      <c r="S44" s="159">
        <v>0.33828124999999998</v>
      </c>
      <c r="T44" s="153">
        <v>0.4142366666666667</v>
      </c>
      <c r="U44" s="155">
        <v>0.50258928571428574</v>
      </c>
      <c r="W44" s="240"/>
      <c r="X44" s="174">
        <v>212</v>
      </c>
      <c r="Y44" s="175">
        <f t="shared" si="18"/>
        <v>0.51263755330357141</v>
      </c>
      <c r="Z44" s="176">
        <f t="shared" si="19"/>
        <v>0.61330618723214292</v>
      </c>
      <c r="AA44" s="176">
        <f t="shared" si="20"/>
        <v>0.7039079577678572</v>
      </c>
      <c r="AB44" s="177">
        <f t="shared" si="21"/>
        <v>0.83477718187500005</v>
      </c>
    </row>
    <row r="45" spans="1:28" ht="17.25" thickBot="1">
      <c r="A45" s="231" t="s">
        <v>9</v>
      </c>
      <c r="B45" s="232"/>
      <c r="C45" s="36" t="s">
        <v>10</v>
      </c>
      <c r="D45" s="36" t="s">
        <v>11</v>
      </c>
      <c r="E45" s="37" t="s">
        <v>25</v>
      </c>
      <c r="F45" s="38" t="s">
        <v>22</v>
      </c>
      <c r="G45" s="119" t="s">
        <v>23</v>
      </c>
      <c r="H45" s="87"/>
      <c r="I45" s="231" t="s">
        <v>9</v>
      </c>
      <c r="J45" s="232"/>
      <c r="K45" s="36" t="s">
        <v>10</v>
      </c>
      <c r="L45" s="36" t="s">
        <v>11</v>
      </c>
      <c r="M45" s="37" t="s">
        <v>25</v>
      </c>
      <c r="N45" s="38" t="s">
        <v>22</v>
      </c>
      <c r="O45" s="119" t="s">
        <v>23</v>
      </c>
      <c r="Q45" s="240" t="s">
        <v>138</v>
      </c>
      <c r="R45" s="160" t="s">
        <v>158</v>
      </c>
      <c r="S45" s="234">
        <v>0.12</v>
      </c>
      <c r="T45" s="235"/>
      <c r="U45" s="236"/>
      <c r="W45" s="240" t="s">
        <v>138</v>
      </c>
      <c r="X45" s="169" t="s">
        <v>158</v>
      </c>
      <c r="Y45" s="159">
        <f t="shared" ref="Y45:AB46" si="22">$S45*(1+AD$3)</f>
        <v>0.12239915999999999</v>
      </c>
      <c r="Z45" s="153">
        <f t="shared" si="22"/>
        <v>0.14643516000000001</v>
      </c>
      <c r="AA45" s="153">
        <f t="shared" si="22"/>
        <v>0.16806756</v>
      </c>
      <c r="AB45" s="155">
        <f t="shared" si="22"/>
        <v>0.19931436</v>
      </c>
    </row>
    <row r="46" spans="1:28">
      <c r="A46" s="227" t="s">
        <v>44</v>
      </c>
      <c r="B46" s="228"/>
      <c r="C46" s="131" t="s">
        <v>13</v>
      </c>
      <c r="D46" s="131" t="s">
        <v>1</v>
      </c>
      <c r="E46" s="132">
        <v>2</v>
      </c>
      <c r="F46" s="133">
        <v>3</v>
      </c>
      <c r="G46" s="134">
        <v>4</v>
      </c>
      <c r="H46" s="87"/>
      <c r="I46" s="227" t="s">
        <v>44</v>
      </c>
      <c r="J46" s="228"/>
      <c r="K46" s="131" t="s">
        <v>13</v>
      </c>
      <c r="L46" s="131" t="s">
        <v>1</v>
      </c>
      <c r="M46" s="132">
        <v>2</v>
      </c>
      <c r="N46" s="133">
        <v>3</v>
      </c>
      <c r="O46" s="134">
        <v>4</v>
      </c>
      <c r="Q46" s="240"/>
      <c r="R46" s="160" t="s">
        <v>159</v>
      </c>
      <c r="S46" s="243">
        <v>0.29354166666666665</v>
      </c>
      <c r="T46" s="244"/>
      <c r="U46" s="245"/>
      <c r="W46" s="240"/>
      <c r="X46" s="170" t="s">
        <v>159</v>
      </c>
      <c r="Y46" s="171">
        <f t="shared" si="22"/>
        <v>0.29941044520833326</v>
      </c>
      <c r="Z46" s="172">
        <f t="shared" si="22"/>
        <v>0.35820684104166667</v>
      </c>
      <c r="AA46" s="172">
        <f t="shared" si="22"/>
        <v>0.41112359729166664</v>
      </c>
      <c r="AB46" s="173">
        <f t="shared" si="22"/>
        <v>0.487558911875</v>
      </c>
    </row>
    <row r="47" spans="1:28" ht="17.25" thickBot="1">
      <c r="A47" s="229"/>
      <c r="B47" s="230"/>
      <c r="C47" s="20" t="s">
        <v>15</v>
      </c>
      <c r="D47" s="20" t="s">
        <v>4</v>
      </c>
      <c r="E47" s="21">
        <v>1.5</v>
      </c>
      <c r="F47" s="22">
        <v>1.87</v>
      </c>
      <c r="G47" s="23">
        <v>2.25</v>
      </c>
      <c r="H47" s="87"/>
      <c r="I47" s="229"/>
      <c r="J47" s="230"/>
      <c r="K47" s="20" t="s">
        <v>15</v>
      </c>
      <c r="L47" s="20" t="s">
        <v>4</v>
      </c>
      <c r="M47" s="21">
        <v>1.5</v>
      </c>
      <c r="N47" s="22">
        <v>1.87</v>
      </c>
      <c r="O47" s="23">
        <v>2.25</v>
      </c>
      <c r="Q47" s="183" t="s">
        <v>143</v>
      </c>
      <c r="R47" s="160" t="s">
        <v>160</v>
      </c>
      <c r="S47" s="159">
        <v>0.11334375000000001</v>
      </c>
      <c r="T47" s="153">
        <v>0.11944687500000001</v>
      </c>
      <c r="U47" s="155">
        <v>0.12642187499999999</v>
      </c>
      <c r="W47" s="183" t="s">
        <v>143</v>
      </c>
      <c r="X47" s="169" t="s">
        <v>160</v>
      </c>
      <c r="Y47" s="159">
        <f t="shared" ref="Y47:AB52" si="23">$U47*(1+AD$3)</f>
        <v>0.12894942754687497</v>
      </c>
      <c r="Z47" s="153">
        <f t="shared" si="23"/>
        <v>0.15427172910937501</v>
      </c>
      <c r="AA47" s="153">
        <f t="shared" si="23"/>
        <v>0.17706180051562498</v>
      </c>
      <c r="AB47" s="155">
        <f t="shared" si="23"/>
        <v>0.20998079254687499</v>
      </c>
    </row>
    <row r="48" spans="1:28" ht="17.25" thickBot="1">
      <c r="A48" s="42">
        <v>495</v>
      </c>
      <c r="B48" s="43" t="s">
        <v>27</v>
      </c>
      <c r="C48" s="28" t="s">
        <v>18</v>
      </c>
      <c r="D48" s="29" t="s">
        <v>46</v>
      </c>
      <c r="E48" s="33" t="s">
        <v>183</v>
      </c>
      <c r="F48" s="34" t="s">
        <v>175</v>
      </c>
      <c r="G48" s="49" t="s">
        <v>184</v>
      </c>
      <c r="H48" s="87"/>
      <c r="I48" s="42">
        <v>495</v>
      </c>
      <c r="J48" s="43" t="s">
        <v>27</v>
      </c>
      <c r="K48" s="28" t="s">
        <v>18</v>
      </c>
      <c r="L48" s="29" t="s">
        <v>103</v>
      </c>
      <c r="M48" s="33" t="s">
        <v>102</v>
      </c>
      <c r="N48" s="34" t="s">
        <v>102</v>
      </c>
      <c r="O48" s="49" t="s">
        <v>102</v>
      </c>
      <c r="Q48" s="240" t="s">
        <v>144</v>
      </c>
      <c r="R48" s="160" t="s">
        <v>161</v>
      </c>
      <c r="S48" s="159">
        <v>0.41416666666666668</v>
      </c>
      <c r="T48" s="153">
        <v>0.50961914062500002</v>
      </c>
      <c r="U48" s="155">
        <v>0.62124999999999997</v>
      </c>
      <c r="W48" s="240" t="s">
        <v>144</v>
      </c>
      <c r="X48" s="181" t="s">
        <v>161</v>
      </c>
      <c r="Y48" s="178">
        <f t="shared" si="23"/>
        <v>0.63367065124999988</v>
      </c>
      <c r="Z48" s="179">
        <f t="shared" si="23"/>
        <v>0.75810702625000004</v>
      </c>
      <c r="AA48" s="179">
        <f t="shared" si="23"/>
        <v>0.87009976374999998</v>
      </c>
      <c r="AB48" s="180">
        <f t="shared" si="23"/>
        <v>1.0318670512500001</v>
      </c>
    </row>
    <row r="49" spans="1:28" ht="17.25" thickBot="1">
      <c r="A49" s="225" t="s">
        <v>17</v>
      </c>
      <c r="B49" s="226"/>
      <c r="C49" s="6" t="s">
        <v>97</v>
      </c>
      <c r="D49" s="6">
        <f>2.165</f>
        <v>2.165</v>
      </c>
      <c r="E49" s="105">
        <f>$D$49*(1+E47)*2.4</f>
        <v>12.989999999999998</v>
      </c>
      <c r="F49" s="105">
        <f>$D$49*(1+F47)*2.4</f>
        <v>14.912520000000001</v>
      </c>
      <c r="G49" s="107">
        <f>$D$49*(1+G47)*2.4</f>
        <v>16.887</v>
      </c>
      <c r="H49" s="86"/>
      <c r="I49" s="225" t="s">
        <v>17</v>
      </c>
      <c r="J49" s="226"/>
      <c r="K49" s="6" t="s">
        <v>97</v>
      </c>
      <c r="L49" s="6">
        <f>2.165</f>
        <v>2.165</v>
      </c>
      <c r="M49" s="105">
        <f>$L$49*(1+M47)</f>
        <v>5.4124999999999996</v>
      </c>
      <c r="N49" s="105">
        <f>$L$49*(1+N47)</f>
        <v>6.2135500000000006</v>
      </c>
      <c r="O49" s="107">
        <f>$L$49*(1+O47)</f>
        <v>7.0362499999999999</v>
      </c>
      <c r="Q49" s="240"/>
      <c r="R49" s="160" t="s">
        <v>162</v>
      </c>
      <c r="S49" s="159">
        <v>0.24888888888888888</v>
      </c>
      <c r="T49" s="153">
        <v>0.26249999999999996</v>
      </c>
      <c r="U49" s="155">
        <v>0.27999999999999997</v>
      </c>
      <c r="W49" s="240"/>
      <c r="X49" s="170" t="s">
        <v>162</v>
      </c>
      <c r="Y49" s="171">
        <f t="shared" si="23"/>
        <v>0.28559803999999994</v>
      </c>
      <c r="Z49" s="172">
        <f t="shared" si="23"/>
        <v>0.34168203999999996</v>
      </c>
      <c r="AA49" s="172">
        <f t="shared" si="23"/>
        <v>0.39215763999999997</v>
      </c>
      <c r="AB49" s="173">
        <f t="shared" si="23"/>
        <v>0.46506683999999998</v>
      </c>
    </row>
    <row r="50" spans="1:28" ht="17.25" thickBot="1">
      <c r="A50" s="3">
        <v>18</v>
      </c>
      <c r="B50" s="4" t="s">
        <v>20</v>
      </c>
      <c r="C50" s="6" t="s">
        <v>2</v>
      </c>
      <c r="D50" s="108">
        <f>D49/$A50</f>
        <v>0.12027777777777778</v>
      </c>
      <c r="E50" s="105">
        <f>E49/($A50-E46+6)</f>
        <v>0.59045454545454534</v>
      </c>
      <c r="F50" s="106">
        <f>F49/($A50-F46+6)</f>
        <v>0.71012000000000008</v>
      </c>
      <c r="G50" s="107">
        <f>G49/($A50-G46+6)</f>
        <v>0.84435000000000004</v>
      </c>
      <c r="H50" s="87"/>
      <c r="I50" s="3">
        <v>18</v>
      </c>
      <c r="J50" s="4" t="s">
        <v>20</v>
      </c>
      <c r="K50" s="6" t="s">
        <v>2</v>
      </c>
      <c r="L50" s="108">
        <f>L49/$I50</f>
        <v>0.12027777777777778</v>
      </c>
      <c r="M50" s="105">
        <f>M49/($I50-M46)</f>
        <v>0.33828124999999998</v>
      </c>
      <c r="N50" s="106">
        <f>N49/($I50-N46)</f>
        <v>0.4142366666666667</v>
      </c>
      <c r="O50" s="107">
        <f>O49/($I50-O46)</f>
        <v>0.50258928571428574</v>
      </c>
      <c r="Q50" s="240" t="s">
        <v>145</v>
      </c>
      <c r="R50" s="160">
        <v>221</v>
      </c>
      <c r="S50" s="159">
        <v>0.68214285714285705</v>
      </c>
      <c r="T50" s="153">
        <v>0.80613235294117647</v>
      </c>
      <c r="U50" s="155">
        <v>0.95499999999999996</v>
      </c>
      <c r="W50" s="240" t="s">
        <v>145</v>
      </c>
      <c r="X50" s="181">
        <v>221</v>
      </c>
      <c r="Y50" s="178">
        <f t="shared" si="23"/>
        <v>0.97409331499999985</v>
      </c>
      <c r="Z50" s="179">
        <f t="shared" si="23"/>
        <v>1.1653798150000001</v>
      </c>
      <c r="AA50" s="179">
        <f t="shared" si="23"/>
        <v>1.3375376649999999</v>
      </c>
      <c r="AB50" s="180">
        <f t="shared" si="23"/>
        <v>1.5862101150000001</v>
      </c>
    </row>
    <row r="51" spans="1:28" ht="17.25" thickBot="1">
      <c r="H51" s="87"/>
      <c r="I51"/>
      <c r="Q51" s="240"/>
      <c r="R51" s="160">
        <v>222</v>
      </c>
      <c r="S51" s="159">
        <v>0.34107142857142853</v>
      </c>
      <c r="T51" s="153">
        <v>0.40306617647058823</v>
      </c>
      <c r="U51" s="155">
        <v>0.47749999999999998</v>
      </c>
      <c r="W51" s="240"/>
      <c r="X51" s="174">
        <v>222</v>
      </c>
      <c r="Y51" s="175">
        <f t="shared" si="23"/>
        <v>0.48704665749999992</v>
      </c>
      <c r="Z51" s="176">
        <f t="shared" si="23"/>
        <v>0.58268990750000005</v>
      </c>
      <c r="AA51" s="176">
        <f t="shared" si="23"/>
        <v>0.66876883249999997</v>
      </c>
      <c r="AB51" s="177">
        <f t="shared" si="23"/>
        <v>0.79310505750000004</v>
      </c>
    </row>
    <row r="52" spans="1:28" ht="17.25" thickBot="1">
      <c r="A52" s="231" t="s">
        <v>9</v>
      </c>
      <c r="B52" s="232"/>
      <c r="C52" s="36" t="s">
        <v>10</v>
      </c>
      <c r="D52" s="36" t="s">
        <v>11</v>
      </c>
      <c r="E52" s="37" t="s">
        <v>25</v>
      </c>
      <c r="F52" s="38" t="s">
        <v>22</v>
      </c>
      <c r="G52" s="119" t="s">
        <v>23</v>
      </c>
      <c r="H52" s="87"/>
      <c r="I52" s="231" t="s">
        <v>9</v>
      </c>
      <c r="J52" s="232"/>
      <c r="K52" s="36" t="s">
        <v>10</v>
      </c>
      <c r="L52" s="36" t="s">
        <v>11</v>
      </c>
      <c r="M52" s="37" t="s">
        <v>25</v>
      </c>
      <c r="N52" s="38" t="s">
        <v>22</v>
      </c>
      <c r="O52" s="119" t="s">
        <v>23</v>
      </c>
      <c r="Q52" s="183" t="s">
        <v>169</v>
      </c>
      <c r="R52" s="160" t="s">
        <v>196</v>
      </c>
      <c r="S52" s="187">
        <v>9.2037037037037028E-2</v>
      </c>
      <c r="T52" s="188">
        <v>9.7070312499999992E-2</v>
      </c>
      <c r="U52" s="189">
        <v>0.10354166666666666</v>
      </c>
      <c r="W52" s="183" t="s">
        <v>169</v>
      </c>
      <c r="X52" s="169" t="s">
        <v>196</v>
      </c>
      <c r="Y52" s="159">
        <f t="shared" si="23"/>
        <v>0.10561177520833331</v>
      </c>
      <c r="Z52" s="153">
        <f t="shared" si="23"/>
        <v>0.12635117104166665</v>
      </c>
      <c r="AA52" s="153">
        <f t="shared" si="23"/>
        <v>0.14501662729166664</v>
      </c>
      <c r="AB52" s="155">
        <f t="shared" si="23"/>
        <v>0.17197784187500001</v>
      </c>
    </row>
    <row r="53" spans="1:28">
      <c r="A53" s="227" t="s">
        <v>47</v>
      </c>
      <c r="B53" s="228"/>
      <c r="C53" s="12" t="s">
        <v>13</v>
      </c>
      <c r="D53" s="12" t="s">
        <v>101</v>
      </c>
      <c r="E53" s="46" t="s">
        <v>106</v>
      </c>
      <c r="F53" s="47" t="s">
        <v>106</v>
      </c>
      <c r="G53" s="48" t="s">
        <v>106</v>
      </c>
      <c r="H53" s="87"/>
      <c r="I53" s="227" t="s">
        <v>47</v>
      </c>
      <c r="J53" s="228"/>
      <c r="K53" s="12" t="s">
        <v>13</v>
      </c>
      <c r="L53" s="12" t="s">
        <v>101</v>
      </c>
      <c r="M53" s="46" t="s">
        <v>106</v>
      </c>
      <c r="N53" s="47" t="s">
        <v>106</v>
      </c>
      <c r="O53" s="48" t="s">
        <v>106</v>
      </c>
      <c r="Q53" s="241" t="s">
        <v>146</v>
      </c>
      <c r="R53" s="160" t="s">
        <v>195</v>
      </c>
      <c r="S53" s="234">
        <v>0.19800000000000001</v>
      </c>
      <c r="T53" s="235"/>
      <c r="U53" s="236"/>
      <c r="W53" s="241" t="s">
        <v>146</v>
      </c>
      <c r="X53" s="169" t="s">
        <v>195</v>
      </c>
      <c r="Y53" s="159">
        <f t="shared" ref="Y53:AB54" si="24">$S53*(1+AD$3)</f>
        <v>0.20195861400000001</v>
      </c>
      <c r="Z53" s="153">
        <f t="shared" si="24"/>
        <v>0.24161801400000002</v>
      </c>
      <c r="AA53" s="153">
        <f t="shared" si="24"/>
        <v>0.277311474</v>
      </c>
      <c r="AB53" s="155">
        <f t="shared" si="24"/>
        <v>0.32886869400000002</v>
      </c>
    </row>
    <row r="54" spans="1:28" ht="17.25" thickBot="1">
      <c r="A54" s="229"/>
      <c r="B54" s="230"/>
      <c r="C54" s="20" t="s">
        <v>15</v>
      </c>
      <c r="D54" s="20" t="s">
        <v>112</v>
      </c>
      <c r="E54" s="21" t="s">
        <v>106</v>
      </c>
      <c r="F54" s="22" t="s">
        <v>106</v>
      </c>
      <c r="G54" s="23" t="s">
        <v>106</v>
      </c>
      <c r="H54" s="87"/>
      <c r="I54" s="229"/>
      <c r="J54" s="230"/>
      <c r="K54" s="20" t="s">
        <v>15</v>
      </c>
      <c r="L54" s="20" t="s">
        <v>49</v>
      </c>
      <c r="M54" s="21" t="s">
        <v>106</v>
      </c>
      <c r="N54" s="22" t="s">
        <v>106</v>
      </c>
      <c r="O54" s="23" t="s">
        <v>106</v>
      </c>
      <c r="Q54" s="242"/>
      <c r="R54" s="160" t="s">
        <v>156</v>
      </c>
      <c r="S54" s="234">
        <v>0.29799999999999999</v>
      </c>
      <c r="T54" s="235"/>
      <c r="U54" s="236"/>
      <c r="W54" s="242"/>
      <c r="X54" s="170" t="s">
        <v>156</v>
      </c>
      <c r="Y54" s="171">
        <f t="shared" si="24"/>
        <v>0.30395791399999994</v>
      </c>
      <c r="Z54" s="172">
        <f t="shared" si="24"/>
        <v>0.363647314</v>
      </c>
      <c r="AA54" s="172">
        <f t="shared" si="24"/>
        <v>0.41736777399999997</v>
      </c>
      <c r="AB54" s="173">
        <f t="shared" si="24"/>
        <v>0.49496399400000002</v>
      </c>
    </row>
    <row r="55" spans="1:28" ht="17.25" thickBot="1">
      <c r="A55" s="42">
        <v>569</v>
      </c>
      <c r="B55" s="43" t="s">
        <v>27</v>
      </c>
      <c r="C55" s="28" t="s">
        <v>18</v>
      </c>
      <c r="D55" s="29" t="s">
        <v>111</v>
      </c>
      <c r="E55" s="33" t="s">
        <v>107</v>
      </c>
      <c r="F55" s="34" t="s">
        <v>106</v>
      </c>
      <c r="G55" s="49" t="s">
        <v>106</v>
      </c>
      <c r="H55" s="87"/>
      <c r="I55" s="42">
        <v>569</v>
      </c>
      <c r="J55" s="43" t="s">
        <v>27</v>
      </c>
      <c r="K55" s="28" t="s">
        <v>18</v>
      </c>
      <c r="L55" s="29" t="s">
        <v>111</v>
      </c>
      <c r="M55" s="33" t="s">
        <v>107</v>
      </c>
      <c r="N55" s="34" t="s">
        <v>106</v>
      </c>
      <c r="O55" s="49" t="s">
        <v>106</v>
      </c>
      <c r="Q55" s="241" t="s">
        <v>66</v>
      </c>
      <c r="R55" s="160" t="s">
        <v>167</v>
      </c>
      <c r="S55" s="191">
        <v>0.17604166666666668</v>
      </c>
      <c r="T55" s="192">
        <v>0.18552083333333336</v>
      </c>
      <c r="U55" s="193">
        <v>0.19635416666666669</v>
      </c>
      <c r="W55" s="241" t="s">
        <v>66</v>
      </c>
      <c r="X55" s="160" t="s">
        <v>167</v>
      </c>
      <c r="Y55" s="191">
        <f t="shared" ref="Y55:AB56" si="25">$U55*(1+AD$3)</f>
        <v>0.20027987552083334</v>
      </c>
      <c r="Z55" s="192">
        <f t="shared" si="25"/>
        <v>0.2396096151041667</v>
      </c>
      <c r="AA55" s="192">
        <f t="shared" si="25"/>
        <v>0.27500638072916672</v>
      </c>
      <c r="AB55" s="193">
        <f t="shared" si="25"/>
        <v>0.32613504218750006</v>
      </c>
    </row>
    <row r="56" spans="1:28" ht="17.25" thickBot="1">
      <c r="A56" s="225" t="s">
        <v>17</v>
      </c>
      <c r="B56" s="226"/>
      <c r="C56" s="6" t="s">
        <v>97</v>
      </c>
      <c r="D56" s="104">
        <v>2.88</v>
      </c>
      <c r="E56" s="105">
        <f>$D$56</f>
        <v>2.88</v>
      </c>
      <c r="F56" s="105">
        <f>$D$56</f>
        <v>2.88</v>
      </c>
      <c r="G56" s="107">
        <f>$D$56</f>
        <v>2.88</v>
      </c>
      <c r="H56" s="87"/>
      <c r="I56" s="225" t="s">
        <v>17</v>
      </c>
      <c r="J56" s="226"/>
      <c r="K56" s="6" t="s">
        <v>97</v>
      </c>
      <c r="L56" s="104">
        <v>2.88</v>
      </c>
      <c r="M56" s="105">
        <v>3.52</v>
      </c>
      <c r="N56" s="106">
        <v>3.52</v>
      </c>
      <c r="O56" s="107">
        <v>3.52</v>
      </c>
      <c r="Q56" s="242"/>
      <c r="R56" s="160" t="s">
        <v>157</v>
      </c>
      <c r="S56" s="191">
        <v>0.14772727272727273</v>
      </c>
      <c r="T56" s="192">
        <v>0.15776699029126215</v>
      </c>
      <c r="U56" s="193">
        <v>0.1710526315789474</v>
      </c>
      <c r="W56" s="242"/>
      <c r="X56" s="160" t="s">
        <v>157</v>
      </c>
      <c r="Y56" s="191">
        <f t="shared" si="25"/>
        <v>0.17447248684210528</v>
      </c>
      <c r="Z56" s="192">
        <f t="shared" si="25"/>
        <v>0.20873432894736849</v>
      </c>
      <c r="AA56" s="192">
        <f t="shared" si="25"/>
        <v>0.23956998684210531</v>
      </c>
      <c r="AB56" s="193">
        <f t="shared" si="25"/>
        <v>0.28411038157894747</v>
      </c>
    </row>
    <row r="57" spans="1:28" ht="17.25" thickBot="1">
      <c r="A57" s="3">
        <v>24</v>
      </c>
      <c r="B57" s="4" t="s">
        <v>20</v>
      </c>
      <c r="C57" s="6" t="s">
        <v>2</v>
      </c>
      <c r="D57" s="104">
        <f>D56/$A57</f>
        <v>0.12</v>
      </c>
      <c r="E57" s="105">
        <f>E56/($A57)</f>
        <v>0.12</v>
      </c>
      <c r="F57" s="106">
        <f>F56/($A57)</f>
        <v>0.12</v>
      </c>
      <c r="G57" s="107">
        <f>G56/($A57)</f>
        <v>0.12</v>
      </c>
      <c r="H57" s="87"/>
      <c r="I57" s="3">
        <v>24</v>
      </c>
      <c r="J57" s="4" t="s">
        <v>20</v>
      </c>
      <c r="K57" s="6" t="s">
        <v>2</v>
      </c>
      <c r="L57" s="104">
        <f>L56/$I57</f>
        <v>0.12</v>
      </c>
      <c r="M57" s="105">
        <f>M56/$I57</f>
        <v>0.14666666666666667</v>
      </c>
      <c r="N57" s="106">
        <f>N56/$I57</f>
        <v>0.14666666666666667</v>
      </c>
      <c r="O57" s="107">
        <f>O56/$I57</f>
        <v>0.14666666666666667</v>
      </c>
      <c r="Q57" s="183" t="s">
        <v>147</v>
      </c>
      <c r="R57" s="162" t="s">
        <v>167</v>
      </c>
      <c r="S57" s="168">
        <v>0.5093333333333333</v>
      </c>
      <c r="T57" s="154">
        <v>0.55233333333333334</v>
      </c>
      <c r="U57" s="157">
        <v>0.59533333333333305</v>
      </c>
      <c r="W57" s="183" t="s">
        <v>147</v>
      </c>
      <c r="X57" s="182" t="s">
        <v>167</v>
      </c>
      <c r="Y57" s="171">
        <f>($U57-14/24)*(1+AD$3)+14/24</f>
        <v>0.595573249333333</v>
      </c>
      <c r="Z57" s="172">
        <f>($U57-14/24)*(1+AE$3)+14/24</f>
        <v>0.59797684933333295</v>
      </c>
      <c r="AA57" s="172">
        <f>($U57-14/24)*(1+AF$3)+14/24</f>
        <v>0.60014008933333296</v>
      </c>
      <c r="AB57" s="173">
        <f>($U57-14/24)*(1+AG$3)+14/24</f>
        <v>0.60326476933333284</v>
      </c>
    </row>
    <row r="58" spans="1:28" ht="17.25" thickBot="1">
      <c r="H58" s="87"/>
      <c r="I58"/>
      <c r="Q58" s="240" t="s">
        <v>148</v>
      </c>
      <c r="R58" s="160" t="s">
        <v>168</v>
      </c>
      <c r="S58" s="159">
        <v>0.61593750000000003</v>
      </c>
      <c r="T58" s="153">
        <v>0.78750000000000009</v>
      </c>
      <c r="U58" s="155">
        <v>1.0107692307692309</v>
      </c>
      <c r="W58" s="240" t="s">
        <v>148</v>
      </c>
      <c r="X58" s="181" t="s">
        <v>168</v>
      </c>
      <c r="Y58" s="178">
        <f t="shared" ref="Y58:AB59" si="26">$U58*(1+AD$3)</f>
        <v>1.0309775400000001</v>
      </c>
      <c r="Z58" s="179">
        <f t="shared" si="26"/>
        <v>1.2334346169230772</v>
      </c>
      <c r="AA58" s="179">
        <f t="shared" si="26"/>
        <v>1.4156459861538462</v>
      </c>
      <c r="AB58" s="180">
        <f t="shared" si="26"/>
        <v>1.6788401861538464</v>
      </c>
    </row>
    <row r="59" spans="1:28" ht="17.25" thickBot="1">
      <c r="H59" s="87"/>
      <c r="I59" s="231" t="s">
        <v>9</v>
      </c>
      <c r="J59" s="232"/>
      <c r="K59" s="36" t="s">
        <v>10</v>
      </c>
      <c r="L59" s="36" t="s">
        <v>11</v>
      </c>
      <c r="M59" s="37" t="s">
        <v>25</v>
      </c>
      <c r="N59" s="38" t="s">
        <v>22</v>
      </c>
      <c r="O59" s="119" t="s">
        <v>23</v>
      </c>
      <c r="Q59" s="240"/>
      <c r="R59" s="160" t="s">
        <v>156</v>
      </c>
      <c r="S59" s="159">
        <v>0.49275000000000002</v>
      </c>
      <c r="T59" s="153">
        <v>0.57487500000000002</v>
      </c>
      <c r="U59" s="156">
        <v>0.65700000000000003</v>
      </c>
      <c r="W59" s="240"/>
      <c r="X59" s="181" t="s">
        <v>156</v>
      </c>
      <c r="Y59" s="178">
        <f t="shared" si="26"/>
        <v>0.67013540100000002</v>
      </c>
      <c r="Z59" s="179">
        <f t="shared" si="26"/>
        <v>0.80173250100000004</v>
      </c>
      <c r="AA59" s="179">
        <f t="shared" si="26"/>
        <v>0.92016989100000002</v>
      </c>
      <c r="AB59" s="180">
        <f t="shared" si="26"/>
        <v>1.0912461210000002</v>
      </c>
    </row>
    <row r="60" spans="1:28" ht="17.25" thickBot="1">
      <c r="H60" s="87"/>
      <c r="I60" s="227" t="s">
        <v>47</v>
      </c>
      <c r="J60" s="228"/>
      <c r="K60" s="12" t="s">
        <v>13</v>
      </c>
      <c r="L60" s="12" t="s">
        <v>101</v>
      </c>
      <c r="M60" s="46" t="s">
        <v>106</v>
      </c>
      <c r="N60" s="47" t="s">
        <v>106</v>
      </c>
      <c r="O60" s="48" t="s">
        <v>106</v>
      </c>
      <c r="Q60" s="184" t="s">
        <v>149</v>
      </c>
      <c r="R60" s="161" t="s">
        <v>163</v>
      </c>
      <c r="S60" s="246">
        <f>0.16*3/1.5</f>
        <v>0.32</v>
      </c>
      <c r="T60" s="247"/>
      <c r="U60" s="248"/>
      <c r="W60" s="184" t="s">
        <v>149</v>
      </c>
      <c r="X60" s="201" t="s">
        <v>163</v>
      </c>
      <c r="Y60" s="202">
        <f>$S60*(1+AD$3)</f>
        <v>0.32639775999999998</v>
      </c>
      <c r="Z60" s="203">
        <f>$S60*(1+AE$3)</f>
        <v>0.39049376000000002</v>
      </c>
      <c r="AA60" s="203">
        <f>$S60*(1+AF$3)</f>
        <v>0.44818015999999999</v>
      </c>
      <c r="AB60" s="204">
        <f>$S60*(1+AG$3)</f>
        <v>0.53150496000000003</v>
      </c>
    </row>
    <row r="61" spans="1:28" ht="17.25" thickBot="1">
      <c r="H61" s="87"/>
      <c r="I61" s="229"/>
      <c r="J61" s="230"/>
      <c r="K61" s="20" t="s">
        <v>15</v>
      </c>
      <c r="L61" s="20" t="s">
        <v>49</v>
      </c>
      <c r="M61" s="21" t="s">
        <v>106</v>
      </c>
      <c r="N61" s="22" t="s">
        <v>106</v>
      </c>
      <c r="O61" s="23" t="s">
        <v>106</v>
      </c>
    </row>
    <row r="62" spans="1:28" ht="17.25" thickBot="1">
      <c r="H62" s="87"/>
      <c r="I62" s="42">
        <v>569</v>
      </c>
      <c r="J62" s="43" t="s">
        <v>27</v>
      </c>
      <c r="K62" s="28" t="s">
        <v>18</v>
      </c>
      <c r="L62" s="29" t="s">
        <v>50</v>
      </c>
      <c r="M62" s="33" t="s">
        <v>107</v>
      </c>
      <c r="N62" s="34" t="s">
        <v>106</v>
      </c>
      <c r="O62" s="49" t="s">
        <v>106</v>
      </c>
    </row>
    <row r="63" spans="1:28" ht="17.25" thickBot="1">
      <c r="H63" s="86"/>
      <c r="I63" s="225" t="s">
        <v>17</v>
      </c>
      <c r="J63" s="226"/>
      <c r="K63" s="6" t="s">
        <v>97</v>
      </c>
      <c r="L63" s="104">
        <v>2.88</v>
      </c>
      <c r="M63" s="105">
        <v>7.0449999999999999</v>
      </c>
      <c r="N63" s="106">
        <v>7.0449999999999999</v>
      </c>
      <c r="O63" s="107">
        <v>7.0449999999999999</v>
      </c>
    </row>
    <row r="64" spans="1:28" ht="17.25" thickBot="1">
      <c r="H64" s="87"/>
      <c r="I64" s="3">
        <v>24</v>
      </c>
      <c r="J64" s="4" t="s">
        <v>20</v>
      </c>
      <c r="K64" s="6" t="s">
        <v>2</v>
      </c>
      <c r="L64" s="104">
        <f>L63/$I64</f>
        <v>0.12</v>
      </c>
      <c r="M64" s="105">
        <f>M63/$I64</f>
        <v>0.29354166666666665</v>
      </c>
      <c r="N64" s="106">
        <f>N63/$I64</f>
        <v>0.29354166666666665</v>
      </c>
      <c r="O64" s="107">
        <f>O63/$I64</f>
        <v>0.29354166666666665</v>
      </c>
    </row>
    <row r="65" spans="1:15" ht="17.25" thickBot="1">
      <c r="H65" s="87"/>
      <c r="I65" s="112"/>
      <c r="J65" s="113"/>
      <c r="K65" s="114"/>
      <c r="L65" s="115"/>
      <c r="M65" s="115"/>
      <c r="N65" s="115"/>
      <c r="O65" s="115"/>
    </row>
    <row r="66" spans="1:15" ht="17.25" thickBot="1">
      <c r="A66" s="231" t="s">
        <v>9</v>
      </c>
      <c r="B66" s="232"/>
      <c r="C66" s="36" t="s">
        <v>10</v>
      </c>
      <c r="D66" s="36" t="s">
        <v>11</v>
      </c>
      <c r="E66" s="37" t="s">
        <v>25</v>
      </c>
      <c r="F66" s="38" t="s">
        <v>22</v>
      </c>
      <c r="G66" s="119" t="s">
        <v>23</v>
      </c>
      <c r="H66" s="87"/>
      <c r="I66"/>
    </row>
    <row r="67" spans="1:15">
      <c r="A67" s="227" t="s">
        <v>51</v>
      </c>
      <c r="B67" s="228"/>
      <c r="C67" s="127" t="s">
        <v>13</v>
      </c>
      <c r="D67" s="127" t="s">
        <v>4</v>
      </c>
      <c r="E67" s="139">
        <v>0.3</v>
      </c>
      <c r="F67" s="140">
        <v>0.37</v>
      </c>
      <c r="G67" s="141">
        <v>0.45</v>
      </c>
      <c r="H67" s="87"/>
      <c r="I67"/>
    </row>
    <row r="68" spans="1:15" ht="17.25" thickBot="1">
      <c r="A68" s="229"/>
      <c r="B68" s="230"/>
      <c r="C68" s="16" t="s">
        <v>121</v>
      </c>
      <c r="D68" s="16" t="s">
        <v>101</v>
      </c>
      <c r="E68" s="17" t="s">
        <v>106</v>
      </c>
      <c r="F68" s="125" t="s">
        <v>106</v>
      </c>
      <c r="G68" s="126" t="s">
        <v>106</v>
      </c>
      <c r="H68" s="87"/>
      <c r="I68"/>
    </row>
    <row r="69" spans="1:15" ht="17.25" thickBot="1">
      <c r="A69" s="42">
        <v>469</v>
      </c>
      <c r="B69" s="43" t="s">
        <v>27</v>
      </c>
      <c r="C69" s="58" t="s">
        <v>120</v>
      </c>
      <c r="D69" s="59" t="s">
        <v>101</v>
      </c>
      <c r="E69" s="61" t="s">
        <v>106</v>
      </c>
      <c r="F69" s="62" t="s">
        <v>106</v>
      </c>
      <c r="G69" s="138" t="s">
        <v>106</v>
      </c>
      <c r="H69" s="87"/>
      <c r="I69"/>
    </row>
    <row r="70" spans="1:15" ht="17.25" thickBot="1">
      <c r="A70" s="225" t="s">
        <v>17</v>
      </c>
      <c r="B70" s="226"/>
      <c r="C70" s="6" t="s">
        <v>97</v>
      </c>
      <c r="D70" s="6">
        <v>1.395</v>
      </c>
      <c r="E70" s="105">
        <f>$D$70*(1+E67)</f>
        <v>1.8135000000000001</v>
      </c>
      <c r="F70" s="105">
        <f>$D$70*(1+F67)</f>
        <v>1.9111500000000001</v>
      </c>
      <c r="G70" s="107">
        <f>$D$70*(1+G67)</f>
        <v>2.0227499999999998</v>
      </c>
      <c r="H70" s="86"/>
      <c r="I70"/>
    </row>
    <row r="71" spans="1:15" ht="17.25" thickBot="1">
      <c r="A71" s="3">
        <v>16</v>
      </c>
      <c r="B71" s="4" t="s">
        <v>20</v>
      </c>
      <c r="C71" s="6" t="s">
        <v>2</v>
      </c>
      <c r="D71" s="104">
        <f>D70/$A71</f>
        <v>8.7187500000000001E-2</v>
      </c>
      <c r="E71" s="105">
        <f>E70/($A71)</f>
        <v>0.11334375000000001</v>
      </c>
      <c r="F71" s="106">
        <f>F70/($A71)</f>
        <v>0.11944687500000001</v>
      </c>
      <c r="G71" s="107">
        <f>G70/($A71)</f>
        <v>0.12642187499999999</v>
      </c>
      <c r="H71" s="87"/>
      <c r="I71"/>
    </row>
    <row r="72" spans="1:15" ht="17.25" thickBot="1">
      <c r="H72" s="87"/>
      <c r="I72"/>
    </row>
    <row r="73" spans="1:15" ht="17.25" thickBot="1">
      <c r="A73" s="231" t="s">
        <v>9</v>
      </c>
      <c r="B73" s="232"/>
      <c r="C73" s="36" t="s">
        <v>10</v>
      </c>
      <c r="D73" s="36" t="s">
        <v>11</v>
      </c>
      <c r="E73" s="37" t="s">
        <v>25</v>
      </c>
      <c r="F73" s="38" t="s">
        <v>22</v>
      </c>
      <c r="G73" s="103" t="s">
        <v>23</v>
      </c>
      <c r="H73" s="87"/>
      <c r="I73" s="231" t="s">
        <v>9</v>
      </c>
      <c r="J73" s="232"/>
      <c r="K73" s="36" t="s">
        <v>10</v>
      </c>
      <c r="L73" s="36" t="s">
        <v>11</v>
      </c>
      <c r="M73" s="37" t="s">
        <v>25</v>
      </c>
      <c r="N73" s="38" t="s">
        <v>22</v>
      </c>
      <c r="O73" s="103" t="s">
        <v>23</v>
      </c>
    </row>
    <row r="74" spans="1:15">
      <c r="A74" s="227" t="s">
        <v>8</v>
      </c>
      <c r="B74" s="228"/>
      <c r="C74" s="12" t="s">
        <v>13</v>
      </c>
      <c r="D74" s="12" t="s">
        <v>101</v>
      </c>
      <c r="E74" s="13" t="s">
        <v>106</v>
      </c>
      <c r="F74" s="14" t="s">
        <v>106</v>
      </c>
      <c r="G74" s="15" t="s">
        <v>114</v>
      </c>
      <c r="H74" s="87"/>
      <c r="I74" s="227" t="s">
        <v>8</v>
      </c>
      <c r="J74" s="228"/>
      <c r="K74" s="12" t="s">
        <v>13</v>
      </c>
      <c r="L74" s="12" t="s">
        <v>101</v>
      </c>
      <c r="M74" s="13" t="s">
        <v>106</v>
      </c>
      <c r="N74" s="14" t="s">
        <v>106</v>
      </c>
      <c r="O74" s="15" t="s">
        <v>106</v>
      </c>
    </row>
    <row r="75" spans="1:15" ht="17.25" thickBot="1">
      <c r="A75" s="229"/>
      <c r="B75" s="230"/>
      <c r="C75" s="142" t="s">
        <v>15</v>
      </c>
      <c r="D75" s="142" t="s">
        <v>35</v>
      </c>
      <c r="E75" s="143">
        <v>3</v>
      </c>
      <c r="F75" s="144">
        <v>1.6</v>
      </c>
      <c r="G75" s="145">
        <v>0</v>
      </c>
      <c r="H75" s="87"/>
      <c r="I75" s="229"/>
      <c r="J75" s="230"/>
      <c r="K75" s="142" t="s">
        <v>15</v>
      </c>
      <c r="L75" s="142" t="s">
        <v>35</v>
      </c>
      <c r="M75" s="143">
        <v>3</v>
      </c>
      <c r="N75" s="144">
        <v>1.6</v>
      </c>
      <c r="O75" s="145">
        <v>0</v>
      </c>
    </row>
    <row r="76" spans="1:15" ht="17.25" thickBot="1">
      <c r="A76" s="42">
        <v>569</v>
      </c>
      <c r="B76" s="43" t="s">
        <v>27</v>
      </c>
      <c r="C76" s="28" t="s">
        <v>18</v>
      </c>
      <c r="D76" s="29" t="s">
        <v>113</v>
      </c>
      <c r="E76" s="33">
        <v>2</v>
      </c>
      <c r="F76" s="34">
        <v>2.5</v>
      </c>
      <c r="G76" s="50">
        <v>3</v>
      </c>
      <c r="H76" s="87"/>
      <c r="I76" s="42">
        <v>569</v>
      </c>
      <c r="J76" s="43" t="s">
        <v>27</v>
      </c>
      <c r="K76" s="28" t="s">
        <v>18</v>
      </c>
      <c r="L76" s="29" t="s">
        <v>56</v>
      </c>
      <c r="M76" s="33" t="s">
        <v>175</v>
      </c>
      <c r="N76" s="34" t="s">
        <v>175</v>
      </c>
      <c r="O76" s="50" t="s">
        <v>185</v>
      </c>
    </row>
    <row r="77" spans="1:15" ht="17.25" thickBot="1">
      <c r="A77" s="225" t="s">
        <v>17</v>
      </c>
      <c r="B77" s="226"/>
      <c r="C77" s="6" t="s">
        <v>97</v>
      </c>
      <c r="D77" s="6">
        <v>2.4849999999999999</v>
      </c>
      <c r="E77" s="105">
        <f>$D$77*1.5*(1+E76)</f>
        <v>11.182500000000001</v>
      </c>
      <c r="F77" s="105">
        <f>$D$77*1.5*(1+F76)</f>
        <v>13.046250000000001</v>
      </c>
      <c r="G77" s="107">
        <f>$D$77*1.5*(1+G76)</f>
        <v>14.91</v>
      </c>
      <c r="H77" s="86"/>
      <c r="I77" s="225" t="s">
        <v>17</v>
      </c>
      <c r="J77" s="226"/>
      <c r="K77" s="6" t="s">
        <v>97</v>
      </c>
      <c r="L77" s="6">
        <v>2.4849999999999999</v>
      </c>
      <c r="M77" s="105">
        <v>6.72</v>
      </c>
      <c r="N77" s="106">
        <v>6.72</v>
      </c>
      <c r="O77" s="107">
        <v>6.72</v>
      </c>
    </row>
    <row r="78" spans="1:15" ht="17.25" thickBot="1">
      <c r="A78" s="3">
        <v>24</v>
      </c>
      <c r="B78" s="4" t="s">
        <v>20</v>
      </c>
      <c r="C78" s="6" t="s">
        <v>2</v>
      </c>
      <c r="D78" s="104">
        <f>D77/$A78</f>
        <v>0.10354166666666666</v>
      </c>
      <c r="E78" s="105">
        <f>E77/($A78+E75)</f>
        <v>0.41416666666666668</v>
      </c>
      <c r="F78" s="106">
        <f>F77/($A78+F75)</f>
        <v>0.50961914062500002</v>
      </c>
      <c r="G78" s="107">
        <f>G77/($A78+G75)</f>
        <v>0.62124999999999997</v>
      </c>
      <c r="H78" s="87"/>
      <c r="I78" s="3">
        <v>24</v>
      </c>
      <c r="J78" s="4" t="s">
        <v>20</v>
      </c>
      <c r="K78" s="6" t="s">
        <v>2</v>
      </c>
      <c r="L78" s="104">
        <f>L77/$A78</f>
        <v>0.10354166666666666</v>
      </c>
      <c r="M78" s="105">
        <f>M77/($I78+M75)</f>
        <v>0.24888888888888888</v>
      </c>
      <c r="N78" s="106">
        <f>N77/($I78+N75)</f>
        <v>0.26249999999999996</v>
      </c>
      <c r="O78" s="107">
        <f>O77/($I78+O75)</f>
        <v>0.27999999999999997</v>
      </c>
    </row>
    <row r="79" spans="1:15" ht="17.25" thickBot="1">
      <c r="A79" s="112"/>
      <c r="B79" s="113"/>
      <c r="C79" s="114"/>
      <c r="D79" s="116"/>
      <c r="E79" s="116"/>
      <c r="F79" s="116"/>
      <c r="G79" s="116"/>
      <c r="H79" s="87"/>
      <c r="I79" s="112"/>
      <c r="J79" s="113"/>
      <c r="K79" s="114"/>
      <c r="L79" s="116"/>
      <c r="M79" s="116"/>
      <c r="N79" s="116"/>
      <c r="O79" s="116"/>
    </row>
    <row r="80" spans="1:15" ht="17.25" thickBot="1">
      <c r="A80" s="231" t="s">
        <v>9</v>
      </c>
      <c r="B80" s="232"/>
      <c r="C80" s="36" t="s">
        <v>10</v>
      </c>
      <c r="D80" s="36" t="s">
        <v>11</v>
      </c>
      <c r="E80" s="37" t="s">
        <v>25</v>
      </c>
      <c r="F80" s="38" t="s">
        <v>22</v>
      </c>
      <c r="G80" s="103" t="s">
        <v>23</v>
      </c>
      <c r="H80" s="87"/>
      <c r="I80" s="231" t="s">
        <v>9</v>
      </c>
      <c r="J80" s="232"/>
      <c r="K80" s="36" t="s">
        <v>10</v>
      </c>
      <c r="L80" s="36" t="s">
        <v>11</v>
      </c>
      <c r="M80" s="37" t="s">
        <v>25</v>
      </c>
      <c r="N80" s="38" t="s">
        <v>22</v>
      </c>
      <c r="O80" s="103" t="s">
        <v>23</v>
      </c>
    </row>
    <row r="81" spans="1:15">
      <c r="A81" s="227" t="s">
        <v>57</v>
      </c>
      <c r="B81" s="228"/>
      <c r="C81" s="127" t="s">
        <v>13</v>
      </c>
      <c r="D81" s="127" t="s">
        <v>1</v>
      </c>
      <c r="E81" s="128">
        <v>2</v>
      </c>
      <c r="F81" s="129">
        <v>2.4</v>
      </c>
      <c r="G81" s="130">
        <v>3</v>
      </c>
      <c r="H81" s="87"/>
      <c r="I81" s="227" t="s">
        <v>57</v>
      </c>
      <c r="J81" s="228"/>
      <c r="K81" s="127" t="s">
        <v>13</v>
      </c>
      <c r="L81" s="127" t="s">
        <v>1</v>
      </c>
      <c r="M81" s="128">
        <v>2</v>
      </c>
      <c r="N81" s="129">
        <v>2.4</v>
      </c>
      <c r="O81" s="130">
        <v>3</v>
      </c>
    </row>
    <row r="82" spans="1:15" ht="17.25" thickBot="1">
      <c r="A82" s="229"/>
      <c r="B82" s="230"/>
      <c r="C82" s="20" t="s">
        <v>15</v>
      </c>
      <c r="D82" s="20" t="s">
        <v>108</v>
      </c>
      <c r="E82" s="21">
        <v>1.5</v>
      </c>
      <c r="F82" s="22">
        <v>1.87</v>
      </c>
      <c r="G82" s="23">
        <v>2.25</v>
      </c>
      <c r="H82" s="87"/>
      <c r="I82" s="229"/>
      <c r="J82" s="230"/>
      <c r="K82" s="20" t="s">
        <v>15</v>
      </c>
      <c r="L82" s="20" t="s">
        <v>108</v>
      </c>
      <c r="M82" s="21">
        <v>1.5</v>
      </c>
      <c r="N82" s="22">
        <v>1.87</v>
      </c>
      <c r="O82" s="23">
        <v>2.25</v>
      </c>
    </row>
    <row r="83" spans="1:15" ht="17.25" thickBot="1">
      <c r="A83" s="42">
        <v>469</v>
      </c>
      <c r="B83" s="43" t="s">
        <v>27</v>
      </c>
      <c r="C83" s="28" t="s">
        <v>18</v>
      </c>
      <c r="D83" s="29" t="s">
        <v>115</v>
      </c>
      <c r="E83" s="55"/>
      <c r="F83" s="56" t="s">
        <v>106</v>
      </c>
      <c r="G83" s="57" t="s">
        <v>106</v>
      </c>
      <c r="H83" s="87"/>
      <c r="I83" s="42">
        <v>469</v>
      </c>
      <c r="J83" s="43" t="s">
        <v>27</v>
      </c>
      <c r="K83" s="28" t="s">
        <v>202</v>
      </c>
      <c r="L83" s="29" t="s">
        <v>203</v>
      </c>
      <c r="M83" s="33" t="s">
        <v>106</v>
      </c>
      <c r="N83" s="34" t="s">
        <v>106</v>
      </c>
      <c r="O83" s="50" t="s">
        <v>106</v>
      </c>
    </row>
    <row r="84" spans="1:15" ht="17.25" thickBot="1">
      <c r="A84" s="225" t="s">
        <v>17</v>
      </c>
      <c r="B84" s="226"/>
      <c r="C84" s="6" t="s">
        <v>97</v>
      </c>
      <c r="D84" s="104">
        <v>1.91</v>
      </c>
      <c r="E84" s="105">
        <f>$D$84*(1+E82)*2</f>
        <v>9.5499999999999989</v>
      </c>
      <c r="F84" s="105">
        <f>$D$84*(1+F82)*2</f>
        <v>10.9634</v>
      </c>
      <c r="G84" s="107">
        <f>$D$84*(1+G82)*2</f>
        <v>12.414999999999999</v>
      </c>
      <c r="H84" s="86"/>
      <c r="I84" s="225" t="s">
        <v>17</v>
      </c>
      <c r="J84" s="226"/>
      <c r="K84" s="6" t="s">
        <v>97</v>
      </c>
      <c r="L84" s="104">
        <v>1.91</v>
      </c>
      <c r="M84" s="105">
        <f>$L$84*(1+M82)</f>
        <v>4.7749999999999995</v>
      </c>
      <c r="N84" s="105">
        <f>$L$84*(1+N82)</f>
        <v>5.4817</v>
      </c>
      <c r="O84" s="107">
        <f>$L$84*(1+O82)</f>
        <v>6.2074999999999996</v>
      </c>
    </row>
    <row r="85" spans="1:15" ht="17.25" thickBot="1">
      <c r="A85" s="3">
        <v>16</v>
      </c>
      <c r="B85" s="4" t="s">
        <v>20</v>
      </c>
      <c r="C85" s="6" t="s">
        <v>2</v>
      </c>
      <c r="D85" s="104">
        <f>D84/$A85</f>
        <v>0.119375</v>
      </c>
      <c r="E85" s="105">
        <f>E84/($A85-E81)</f>
        <v>0.68214285714285705</v>
      </c>
      <c r="F85" s="106">
        <f>F84/($A85-F81)</f>
        <v>0.80613235294117647</v>
      </c>
      <c r="G85" s="107">
        <f>G84/($A85-G81)</f>
        <v>0.95499999999999996</v>
      </c>
      <c r="H85" s="87"/>
      <c r="I85" s="3">
        <v>16</v>
      </c>
      <c r="J85" s="4" t="s">
        <v>20</v>
      </c>
      <c r="K85" s="6" t="s">
        <v>2</v>
      </c>
      <c r="L85" s="104">
        <f>L84/$I85</f>
        <v>0.119375</v>
      </c>
      <c r="M85" s="105">
        <f>M84/($I85-M81)</f>
        <v>0.34107142857142853</v>
      </c>
      <c r="N85" s="106">
        <f>N84/($I85-N81)</f>
        <v>0.40306617647058823</v>
      </c>
      <c r="O85" s="107">
        <f>O84/($I85-O81)</f>
        <v>0.47749999999999998</v>
      </c>
    </row>
    <row r="86" spans="1:15" ht="17.25" thickBot="1">
      <c r="H86" s="87"/>
      <c r="I86"/>
    </row>
    <row r="87" spans="1:15" ht="17.25" thickBot="1">
      <c r="A87" s="231" t="s">
        <v>9</v>
      </c>
      <c r="B87" s="232"/>
      <c r="C87" s="36" t="s">
        <v>10</v>
      </c>
      <c r="D87" s="36" t="s">
        <v>11</v>
      </c>
      <c r="E87" s="51" t="s">
        <v>25</v>
      </c>
      <c r="F87" s="52" t="s">
        <v>22</v>
      </c>
      <c r="G87" s="53" t="s">
        <v>23</v>
      </c>
      <c r="H87" s="87"/>
    </row>
    <row r="88" spans="1:15">
      <c r="A88" s="227" t="s">
        <v>178</v>
      </c>
      <c r="B88" s="228"/>
      <c r="C88" s="24" t="s">
        <v>0</v>
      </c>
      <c r="D88" s="24" t="s">
        <v>179</v>
      </c>
      <c r="E88" s="64">
        <v>3</v>
      </c>
      <c r="F88" s="65">
        <v>4.4000000000000004</v>
      </c>
      <c r="G88" s="66">
        <v>6</v>
      </c>
      <c r="H88" s="87"/>
    </row>
    <row r="89" spans="1:15" ht="17.25" thickBot="1">
      <c r="A89" s="229"/>
      <c r="B89" s="230"/>
      <c r="C89" s="16" t="s">
        <v>15</v>
      </c>
      <c r="D89" s="16" t="s">
        <v>180</v>
      </c>
      <c r="E89" s="17" t="s">
        <v>175</v>
      </c>
      <c r="F89" s="125" t="s">
        <v>177</v>
      </c>
      <c r="G89" s="126" t="s">
        <v>175</v>
      </c>
      <c r="H89" s="87"/>
    </row>
    <row r="90" spans="1:15" ht="17.25" thickBot="1">
      <c r="A90" s="42">
        <v>636</v>
      </c>
      <c r="B90" s="43" t="s">
        <v>27</v>
      </c>
      <c r="C90" s="58" t="s">
        <v>18</v>
      </c>
      <c r="D90" s="59" t="s">
        <v>181</v>
      </c>
      <c r="E90" s="146" t="s">
        <v>182</v>
      </c>
      <c r="F90" s="147" t="s">
        <v>175</v>
      </c>
      <c r="G90" s="148" t="s">
        <v>175</v>
      </c>
      <c r="H90" s="87"/>
    </row>
    <row r="91" spans="1:15" ht="17.25" thickBot="1">
      <c r="A91" s="225" t="s">
        <v>17</v>
      </c>
      <c r="B91" s="226"/>
      <c r="C91" s="6" t="s">
        <v>97</v>
      </c>
      <c r="D91" s="6">
        <v>2.4849999999999999</v>
      </c>
      <c r="E91" s="105">
        <f>$D$91</f>
        <v>2.4849999999999999</v>
      </c>
      <c r="F91" s="105">
        <f t="shared" ref="F91:G91" si="27">$D$91</f>
        <v>2.4849999999999999</v>
      </c>
      <c r="G91" s="107">
        <f t="shared" si="27"/>
        <v>2.4849999999999999</v>
      </c>
      <c r="H91" s="86"/>
    </row>
    <row r="92" spans="1:15" ht="17.25" thickBot="1">
      <c r="A92" s="3">
        <v>30</v>
      </c>
      <c r="B92" s="4" t="s">
        <v>20</v>
      </c>
      <c r="C92" s="6" t="s">
        <v>2</v>
      </c>
      <c r="D92" s="104">
        <f>D91/$A92</f>
        <v>8.2833333333333328E-2</v>
      </c>
      <c r="E92" s="105">
        <f>E91/($A92-E88)</f>
        <v>9.2037037037037028E-2</v>
      </c>
      <c r="F92" s="105">
        <f t="shared" ref="F92:G92" si="28">F91/($A92-F88)</f>
        <v>9.7070312499999992E-2</v>
      </c>
      <c r="G92" s="107">
        <f t="shared" si="28"/>
        <v>0.10354166666666666</v>
      </c>
      <c r="H92" s="87"/>
    </row>
    <row r="93" spans="1:15" ht="17.25" thickBot="1">
      <c r="H93" s="87"/>
      <c r="I93"/>
    </row>
    <row r="94" spans="1:15" ht="17.25" thickBot="1">
      <c r="A94" s="231" t="s">
        <v>9</v>
      </c>
      <c r="B94" s="232"/>
      <c r="C94" s="36" t="s">
        <v>10</v>
      </c>
      <c r="D94" s="36" t="s">
        <v>11</v>
      </c>
      <c r="E94" s="51" t="s">
        <v>25</v>
      </c>
      <c r="F94" s="52" t="s">
        <v>22</v>
      </c>
      <c r="G94" s="53" t="s">
        <v>23</v>
      </c>
      <c r="H94" s="87"/>
      <c r="I94" s="231" t="s">
        <v>9</v>
      </c>
      <c r="J94" s="232"/>
      <c r="K94" s="36" t="s">
        <v>10</v>
      </c>
      <c r="L94" s="36" t="s">
        <v>11</v>
      </c>
      <c r="M94" s="51" t="s">
        <v>25</v>
      </c>
      <c r="N94" s="52" t="s">
        <v>22</v>
      </c>
      <c r="O94" s="53" t="s">
        <v>23</v>
      </c>
    </row>
    <row r="95" spans="1:15">
      <c r="A95" s="227" t="s">
        <v>61</v>
      </c>
      <c r="B95" s="228"/>
      <c r="C95" s="24" t="s">
        <v>0</v>
      </c>
      <c r="D95" s="24" t="s">
        <v>176</v>
      </c>
      <c r="E95" s="64">
        <v>1</v>
      </c>
      <c r="F95" s="65">
        <v>1</v>
      </c>
      <c r="G95" s="66">
        <v>1</v>
      </c>
      <c r="H95" s="87"/>
      <c r="I95" s="227" t="s">
        <v>61</v>
      </c>
      <c r="J95" s="228"/>
      <c r="K95" s="24" t="s">
        <v>0</v>
      </c>
      <c r="L95" s="24" t="s">
        <v>62</v>
      </c>
      <c r="M95" s="64" t="s">
        <v>198</v>
      </c>
      <c r="N95" s="65" t="s">
        <v>198</v>
      </c>
      <c r="O95" s="66" t="s">
        <v>198</v>
      </c>
    </row>
    <row r="96" spans="1:15" ht="17.25" thickBot="1">
      <c r="A96" s="229"/>
      <c r="B96" s="230"/>
      <c r="C96" s="16" t="s">
        <v>15</v>
      </c>
      <c r="D96" s="16" t="s">
        <v>200</v>
      </c>
      <c r="E96" s="17" t="s">
        <v>175</v>
      </c>
      <c r="F96" s="125" t="s">
        <v>177</v>
      </c>
      <c r="G96" s="126" t="s">
        <v>175</v>
      </c>
      <c r="H96" s="87"/>
      <c r="I96" s="229"/>
      <c r="J96" s="230"/>
      <c r="K96" s="16" t="s">
        <v>15</v>
      </c>
      <c r="L96" s="16" t="s">
        <v>101</v>
      </c>
      <c r="M96" s="17" t="s">
        <v>114</v>
      </c>
      <c r="N96" s="125" t="s">
        <v>114</v>
      </c>
      <c r="O96" s="126" t="s">
        <v>114</v>
      </c>
    </row>
    <row r="97" spans="1:21" ht="17.25" thickBot="1">
      <c r="A97" s="42">
        <v>412</v>
      </c>
      <c r="B97" s="43" t="s">
        <v>27</v>
      </c>
      <c r="C97" s="28" t="s">
        <v>18</v>
      </c>
      <c r="D97" s="29" t="s">
        <v>64</v>
      </c>
      <c r="E97" s="55">
        <v>1</v>
      </c>
      <c r="F97" s="56">
        <v>1</v>
      </c>
      <c r="G97" s="57">
        <v>1</v>
      </c>
      <c r="H97" s="87"/>
      <c r="I97" s="42">
        <v>412</v>
      </c>
      <c r="J97" s="43" t="s">
        <v>27</v>
      </c>
      <c r="K97" s="28" t="s">
        <v>18</v>
      </c>
      <c r="L97" s="29" t="s">
        <v>64</v>
      </c>
      <c r="M97" s="55">
        <v>1</v>
      </c>
      <c r="N97" s="56">
        <v>1</v>
      </c>
      <c r="O97" s="57">
        <v>1</v>
      </c>
    </row>
    <row r="98" spans="1:21" ht="17.25" thickBot="1">
      <c r="A98" s="225" t="s">
        <v>17</v>
      </c>
      <c r="B98" s="226"/>
      <c r="C98" s="6" t="s">
        <v>97</v>
      </c>
      <c r="D98" s="104">
        <v>2.38</v>
      </c>
      <c r="E98" s="105">
        <f>$D$98*10/8</f>
        <v>2.9749999999999996</v>
      </c>
      <c r="F98" s="106">
        <f>$D$98*10/8</f>
        <v>2.9749999999999996</v>
      </c>
      <c r="G98" s="107">
        <f>$D$98*10/8</f>
        <v>2.9749999999999996</v>
      </c>
      <c r="H98" s="86"/>
      <c r="I98" s="225" t="s">
        <v>17</v>
      </c>
      <c r="J98" s="226"/>
      <c r="K98" s="6" t="s">
        <v>97</v>
      </c>
      <c r="L98" s="104">
        <v>2.38</v>
      </c>
      <c r="M98" s="105">
        <f>$D$98*12/8</f>
        <v>3.57</v>
      </c>
      <c r="N98" s="105">
        <f t="shared" ref="N98:O98" si="29">$D$98*12/8</f>
        <v>3.57</v>
      </c>
      <c r="O98" s="107">
        <f t="shared" si="29"/>
        <v>3.57</v>
      </c>
    </row>
    <row r="99" spans="1:21" ht="17.25" thickBot="1">
      <c r="A99" s="3">
        <v>12</v>
      </c>
      <c r="B99" s="4" t="s">
        <v>20</v>
      </c>
      <c r="C99" s="6" t="s">
        <v>2</v>
      </c>
      <c r="D99" s="104">
        <f>D98/$A99</f>
        <v>0.19833333333333333</v>
      </c>
      <c r="E99" s="105">
        <f>E98/($A99+3)</f>
        <v>0.19833333333333331</v>
      </c>
      <c r="F99" s="106">
        <f>F98/($A99+3)</f>
        <v>0.19833333333333331</v>
      </c>
      <c r="G99" s="107">
        <f>G98/($A99+3)</f>
        <v>0.19833333333333331</v>
      </c>
      <c r="H99" s="87"/>
      <c r="I99" s="3">
        <v>12</v>
      </c>
      <c r="J99" s="4" t="s">
        <v>20</v>
      </c>
      <c r="K99" s="6" t="s">
        <v>2</v>
      </c>
      <c r="L99" s="104">
        <f>L98/$A99</f>
        <v>0.19833333333333333</v>
      </c>
      <c r="M99" s="105">
        <f>M98/($I99)</f>
        <v>0.29749999999999999</v>
      </c>
      <c r="N99" s="105">
        <f t="shared" ref="N99:O99" si="30">N98/($I99)</f>
        <v>0.29749999999999999</v>
      </c>
      <c r="O99" s="107">
        <f t="shared" si="30"/>
        <v>0.29749999999999999</v>
      </c>
    </row>
    <row r="100" spans="1:21" ht="17.25" thickBot="1">
      <c r="H100" s="87"/>
      <c r="I100"/>
    </row>
    <row r="101" spans="1:21" ht="17.25" thickBot="1">
      <c r="A101" s="231" t="s">
        <v>9</v>
      </c>
      <c r="B101" s="232"/>
      <c r="C101" s="36" t="s">
        <v>10</v>
      </c>
      <c r="D101" s="36" t="s">
        <v>11</v>
      </c>
      <c r="E101" s="51" t="s">
        <v>25</v>
      </c>
      <c r="F101" s="52" t="s">
        <v>22</v>
      </c>
      <c r="G101" s="53" t="s">
        <v>23</v>
      </c>
      <c r="H101" s="87"/>
      <c r="I101" s="231" t="s">
        <v>9</v>
      </c>
      <c r="J101" s="232"/>
      <c r="K101" s="36" t="s">
        <v>10</v>
      </c>
      <c r="L101" s="36" t="s">
        <v>11</v>
      </c>
      <c r="M101" s="51" t="s">
        <v>25</v>
      </c>
      <c r="N101" s="52" t="s">
        <v>22</v>
      </c>
      <c r="O101" s="53" t="s">
        <v>23</v>
      </c>
    </row>
    <row r="102" spans="1:21">
      <c r="A102" s="227" t="s">
        <v>66</v>
      </c>
      <c r="B102" s="228"/>
      <c r="C102" s="127" t="s">
        <v>0</v>
      </c>
      <c r="D102" s="127" t="s">
        <v>186</v>
      </c>
      <c r="E102" s="149">
        <v>0.3</v>
      </c>
      <c r="F102" s="150">
        <v>0.37</v>
      </c>
      <c r="G102" s="151">
        <v>0.45</v>
      </c>
      <c r="H102" s="87"/>
      <c r="I102" s="227" t="s">
        <v>66</v>
      </c>
      <c r="J102" s="228"/>
      <c r="K102" s="127" t="s">
        <v>0</v>
      </c>
      <c r="L102" s="127" t="s">
        <v>1</v>
      </c>
      <c r="M102" s="128">
        <v>2</v>
      </c>
      <c r="N102" s="129">
        <v>3.4</v>
      </c>
      <c r="O102" s="130">
        <v>5</v>
      </c>
    </row>
    <row r="103" spans="1:21" ht="17.25" thickBot="1">
      <c r="A103" s="229"/>
      <c r="B103" s="230"/>
      <c r="C103" s="20" t="s">
        <v>15</v>
      </c>
      <c r="D103" s="20" t="s">
        <v>187</v>
      </c>
      <c r="E103" s="81">
        <v>1</v>
      </c>
      <c r="F103" s="82">
        <v>1</v>
      </c>
      <c r="G103" s="83">
        <v>1</v>
      </c>
      <c r="H103" s="87"/>
      <c r="I103" s="229"/>
      <c r="J103" s="230"/>
      <c r="K103" s="20" t="s">
        <v>15</v>
      </c>
      <c r="L103" s="20" t="s">
        <v>188</v>
      </c>
      <c r="M103" s="81">
        <v>1</v>
      </c>
      <c r="N103" s="82">
        <v>1</v>
      </c>
      <c r="O103" s="83">
        <v>1</v>
      </c>
    </row>
    <row r="104" spans="1:21" ht="17.25" thickBot="1">
      <c r="A104" s="42">
        <v>569</v>
      </c>
      <c r="B104" s="43" t="s">
        <v>27</v>
      </c>
      <c r="C104" s="58" t="s">
        <v>18</v>
      </c>
      <c r="D104" s="59" t="s">
        <v>175</v>
      </c>
      <c r="E104" s="61" t="s">
        <v>175</v>
      </c>
      <c r="F104" s="62" t="s">
        <v>175</v>
      </c>
      <c r="G104" s="63" t="s">
        <v>175</v>
      </c>
      <c r="H104" s="87"/>
      <c r="I104" s="42">
        <v>569</v>
      </c>
      <c r="J104" s="43" t="s">
        <v>27</v>
      </c>
      <c r="K104" s="58" t="s">
        <v>18</v>
      </c>
      <c r="L104" s="59" t="s">
        <v>175</v>
      </c>
      <c r="M104" s="61" t="s">
        <v>175</v>
      </c>
      <c r="N104" s="62" t="s">
        <v>175</v>
      </c>
      <c r="O104" s="63" t="s">
        <v>175</v>
      </c>
    </row>
    <row r="105" spans="1:21" ht="17.25" thickBot="1">
      <c r="A105" s="225" t="s">
        <v>17</v>
      </c>
      <c r="B105" s="226"/>
      <c r="C105" s="6" t="s">
        <v>97</v>
      </c>
      <c r="D105" s="104">
        <f>(0.925*2+0.475)</f>
        <v>2.3250000000000002</v>
      </c>
      <c r="E105" s="105">
        <f>(0.925*3+0.475)*(E102+1)</f>
        <v>4.2250000000000005</v>
      </c>
      <c r="F105" s="105">
        <f>(0.925*3+0.475)*(F102+1)</f>
        <v>4.4525000000000006</v>
      </c>
      <c r="G105" s="107">
        <f>(0.925*3+0.475)*(G102+1)</f>
        <v>4.7125000000000004</v>
      </c>
      <c r="H105" s="86"/>
      <c r="I105" s="225" t="s">
        <v>17</v>
      </c>
      <c r="J105" s="226"/>
      <c r="K105" s="6" t="s">
        <v>97</v>
      </c>
      <c r="L105" s="104">
        <f>(0.925*2+0.475)</f>
        <v>2.3250000000000002</v>
      </c>
      <c r="M105" s="105">
        <f>(0.925*3+0.475)</f>
        <v>3.2500000000000004</v>
      </c>
      <c r="N105" s="105">
        <f>(0.925*3+0.475)</f>
        <v>3.2500000000000004</v>
      </c>
      <c r="O105" s="107">
        <f>(0.925*3+0.475)</f>
        <v>3.2500000000000004</v>
      </c>
    </row>
    <row r="106" spans="1:21" ht="17.25" thickBot="1">
      <c r="A106" s="3">
        <v>24</v>
      </c>
      <c r="B106" s="4" t="s">
        <v>20</v>
      </c>
      <c r="C106" s="6" t="s">
        <v>2</v>
      </c>
      <c r="D106" s="104">
        <f>D105/$A106</f>
        <v>9.6875000000000003E-2</v>
      </c>
      <c r="E106" s="105">
        <f>E105/($A106)</f>
        <v>0.17604166666666668</v>
      </c>
      <c r="F106" s="105">
        <f t="shared" ref="F106:G106" si="31">F105/($A106)</f>
        <v>0.18552083333333336</v>
      </c>
      <c r="G106" s="107">
        <f t="shared" si="31"/>
        <v>0.19635416666666669</v>
      </c>
      <c r="H106" s="87"/>
      <c r="I106" s="3">
        <v>24</v>
      </c>
      <c r="J106" s="4" t="s">
        <v>20</v>
      </c>
      <c r="K106" s="6" t="s">
        <v>2</v>
      </c>
      <c r="L106" s="104">
        <f>L105/$A106</f>
        <v>9.6875000000000003E-2</v>
      </c>
      <c r="M106" s="105">
        <f>M105/($I106-M102)</f>
        <v>0.14772727272727273</v>
      </c>
      <c r="N106" s="106">
        <f>N105/($I106-N102)</f>
        <v>0.15776699029126215</v>
      </c>
      <c r="O106" s="107">
        <f>O105/($I106-O102)</f>
        <v>0.1710526315789474</v>
      </c>
    </row>
    <row r="107" spans="1:21" ht="17.25" thickBot="1">
      <c r="H107" s="87"/>
      <c r="S107" s="199"/>
      <c r="T107" s="199"/>
    </row>
    <row r="108" spans="1:21" ht="17.25" thickBot="1">
      <c r="A108" s="231" t="s">
        <v>9</v>
      </c>
      <c r="B108" s="232"/>
      <c r="C108" s="36" t="s">
        <v>10</v>
      </c>
      <c r="D108" s="36" t="s">
        <v>11</v>
      </c>
      <c r="E108" s="51" t="s">
        <v>25</v>
      </c>
      <c r="F108" s="52" t="s">
        <v>22</v>
      </c>
      <c r="G108" s="53" t="s">
        <v>23</v>
      </c>
      <c r="H108" s="87"/>
      <c r="I108"/>
      <c r="S108" s="199"/>
      <c r="T108" s="199"/>
      <c r="U108" s="199"/>
    </row>
    <row r="109" spans="1:21">
      <c r="A109" s="227" t="s">
        <v>69</v>
      </c>
      <c r="B109" s="228"/>
      <c r="C109" s="24" t="s">
        <v>0</v>
      </c>
      <c r="D109" s="24" t="s">
        <v>72</v>
      </c>
      <c r="E109" s="64">
        <v>2</v>
      </c>
      <c r="F109" s="65">
        <v>3.2</v>
      </c>
      <c r="G109" s="66">
        <v>4.5</v>
      </c>
      <c r="H109" s="87"/>
      <c r="I109"/>
    </row>
    <row r="110" spans="1:21" ht="17.25" thickBot="1">
      <c r="A110" s="229"/>
      <c r="B110" s="230"/>
      <c r="C110" s="20" t="s">
        <v>15</v>
      </c>
      <c r="D110" s="20" t="s">
        <v>108</v>
      </c>
      <c r="E110" s="21" t="s">
        <v>106</v>
      </c>
      <c r="F110" s="22" t="s">
        <v>106</v>
      </c>
      <c r="G110" s="23" t="s">
        <v>106</v>
      </c>
      <c r="H110" s="87"/>
      <c r="I110"/>
    </row>
    <row r="111" spans="1:21" ht="17.25" thickBot="1">
      <c r="A111" s="42">
        <v>569</v>
      </c>
      <c r="B111" s="43" t="s">
        <v>27</v>
      </c>
      <c r="C111" s="58" t="s">
        <v>18</v>
      </c>
      <c r="D111" s="59" t="s">
        <v>117</v>
      </c>
      <c r="E111" s="61" t="s">
        <v>110</v>
      </c>
      <c r="F111" s="62" t="s">
        <v>106</v>
      </c>
      <c r="G111" s="63" t="s">
        <v>106</v>
      </c>
      <c r="H111" s="87"/>
      <c r="I111"/>
    </row>
    <row r="112" spans="1:21" ht="17.25" thickBot="1">
      <c r="A112" s="225" t="s">
        <v>17</v>
      </c>
      <c r="B112" s="226"/>
      <c r="C112" s="6" t="s">
        <v>97</v>
      </c>
      <c r="D112" s="104">
        <v>3.2000000000000001E-2</v>
      </c>
      <c r="E112" s="105">
        <f>10+ROUNDDOWN(E109,0)+$D$112*7</f>
        <v>12.224</v>
      </c>
      <c r="F112" s="105">
        <f>10+ROUNDDOWN(F109,0)+$D$112*8</f>
        <v>13.256</v>
      </c>
      <c r="G112" s="107">
        <f>10+ROUNDDOWN(G109,0)+$D$112*9</f>
        <v>14.288</v>
      </c>
      <c r="H112" s="86"/>
      <c r="I112"/>
    </row>
    <row r="113" spans="1:15" ht="17.25" thickBot="1">
      <c r="A113" s="3">
        <v>24</v>
      </c>
      <c r="B113" s="4" t="s">
        <v>20</v>
      </c>
      <c r="C113" s="6" t="s">
        <v>2</v>
      </c>
      <c r="D113" s="104">
        <f>D112/$A113</f>
        <v>1.3333333333333333E-3</v>
      </c>
      <c r="E113" s="105">
        <f>E112/($A113)</f>
        <v>0.5093333333333333</v>
      </c>
      <c r="F113" s="106">
        <f>F112/($A113)</f>
        <v>0.55233333333333334</v>
      </c>
      <c r="G113" s="107">
        <f>G112/($A113)</f>
        <v>0.59533333333333338</v>
      </c>
      <c r="H113" s="87"/>
      <c r="I113"/>
    </row>
    <row r="114" spans="1:15" ht="17.25" thickBot="1">
      <c r="H114" s="87"/>
      <c r="I114"/>
    </row>
    <row r="115" spans="1:15" ht="17.25" thickBot="1">
      <c r="A115" s="231" t="s">
        <v>9</v>
      </c>
      <c r="B115" s="232"/>
      <c r="C115" s="36" t="s">
        <v>10</v>
      </c>
      <c r="D115" s="36" t="s">
        <v>11</v>
      </c>
      <c r="E115" s="51" t="s">
        <v>25</v>
      </c>
      <c r="F115" s="52" t="s">
        <v>22</v>
      </c>
      <c r="G115" s="53" t="s">
        <v>23</v>
      </c>
      <c r="H115" s="87"/>
      <c r="I115" s="231" t="s">
        <v>9</v>
      </c>
      <c r="J115" s="232"/>
      <c r="K115" s="36" t="s">
        <v>10</v>
      </c>
      <c r="L115" s="36" t="s">
        <v>11</v>
      </c>
      <c r="M115" s="51" t="s">
        <v>25</v>
      </c>
      <c r="N115" s="52" t="s">
        <v>22</v>
      </c>
      <c r="O115" s="53" t="s">
        <v>23</v>
      </c>
    </row>
    <row r="116" spans="1:15">
      <c r="A116" s="227" t="s">
        <v>70</v>
      </c>
      <c r="B116" s="228"/>
      <c r="C116" s="127" t="s">
        <v>0</v>
      </c>
      <c r="D116" s="127" t="s">
        <v>75</v>
      </c>
      <c r="E116" s="128">
        <v>4</v>
      </c>
      <c r="F116" s="129">
        <v>5.4</v>
      </c>
      <c r="G116" s="130">
        <v>7</v>
      </c>
      <c r="H116" s="87"/>
      <c r="I116" s="227" t="s">
        <v>70</v>
      </c>
      <c r="J116" s="228"/>
      <c r="K116" s="127" t="s">
        <v>0</v>
      </c>
      <c r="L116" s="127" t="s">
        <v>124</v>
      </c>
      <c r="M116" s="128" t="s">
        <v>122</v>
      </c>
      <c r="N116" s="129" t="s">
        <v>122</v>
      </c>
      <c r="O116" s="130" t="s">
        <v>123</v>
      </c>
    </row>
    <row r="117" spans="1:15" ht="17.25" thickBot="1">
      <c r="A117" s="229"/>
      <c r="B117" s="230"/>
      <c r="C117" s="16" t="s">
        <v>15</v>
      </c>
      <c r="D117" s="16" t="s">
        <v>101</v>
      </c>
      <c r="E117" s="17" t="s">
        <v>116</v>
      </c>
      <c r="F117" s="125" t="s">
        <v>106</v>
      </c>
      <c r="G117" s="126" t="s">
        <v>106</v>
      </c>
      <c r="H117" s="87"/>
      <c r="I117" s="229"/>
      <c r="J117" s="230"/>
      <c r="K117" s="16" t="s">
        <v>15</v>
      </c>
      <c r="L117" s="16" t="s">
        <v>101</v>
      </c>
      <c r="M117" s="17" t="s">
        <v>101</v>
      </c>
      <c r="N117" s="125" t="s">
        <v>101</v>
      </c>
      <c r="O117" s="126" t="s">
        <v>101</v>
      </c>
    </row>
    <row r="118" spans="1:15" ht="17.25" thickBot="1">
      <c r="A118" s="42">
        <v>521</v>
      </c>
      <c r="B118" s="43" t="s">
        <v>27</v>
      </c>
      <c r="C118" s="28" t="s">
        <v>18</v>
      </c>
      <c r="D118" s="29" t="s">
        <v>108</v>
      </c>
      <c r="E118" s="33">
        <v>2</v>
      </c>
      <c r="F118" s="34">
        <v>2.5</v>
      </c>
      <c r="G118" s="35">
        <v>3</v>
      </c>
      <c r="H118" s="87"/>
      <c r="I118" s="42">
        <v>521</v>
      </c>
      <c r="J118" s="43" t="s">
        <v>27</v>
      </c>
      <c r="K118" s="28" t="s">
        <v>18</v>
      </c>
      <c r="L118" s="29" t="s">
        <v>108</v>
      </c>
      <c r="M118" s="33">
        <v>2</v>
      </c>
      <c r="N118" s="34">
        <v>2.5</v>
      </c>
      <c r="O118" s="35">
        <v>3</v>
      </c>
    </row>
    <row r="119" spans="1:15" ht="17.25" thickBot="1">
      <c r="A119" s="225" t="s">
        <v>17</v>
      </c>
      <c r="B119" s="226"/>
      <c r="C119" s="6" t="s">
        <v>97</v>
      </c>
      <c r="D119" s="104">
        <v>3.2850000000000001</v>
      </c>
      <c r="E119" s="105">
        <f>$D$119*(1+E118)</f>
        <v>9.8550000000000004</v>
      </c>
      <c r="F119" s="105">
        <f>$D$119*(1+F118)</f>
        <v>11.4975</v>
      </c>
      <c r="G119" s="107">
        <f>$D$119*(1+G118)</f>
        <v>13.14</v>
      </c>
      <c r="H119" s="87"/>
      <c r="I119" s="225" t="s">
        <v>17</v>
      </c>
      <c r="J119" s="226"/>
      <c r="K119" s="6" t="s">
        <v>97</v>
      </c>
      <c r="L119" s="104">
        <v>3.2850000000000001</v>
      </c>
      <c r="M119" s="105">
        <f>$D$119*(1+M118)</f>
        <v>9.8550000000000004</v>
      </c>
      <c r="N119" s="105">
        <f>$D$119*(1+N118)</f>
        <v>11.4975</v>
      </c>
      <c r="O119" s="107">
        <f>$D$119*(1+O118)</f>
        <v>13.14</v>
      </c>
    </row>
    <row r="120" spans="1:15" ht="17.25" thickBot="1">
      <c r="A120" s="3">
        <v>20</v>
      </c>
      <c r="B120" s="4" t="s">
        <v>20</v>
      </c>
      <c r="C120" s="6" t="s">
        <v>2</v>
      </c>
      <c r="D120" s="104">
        <f>D119/$A120</f>
        <v>0.16425000000000001</v>
      </c>
      <c r="E120" s="105">
        <f>E119/($A120-E116)</f>
        <v>0.61593750000000003</v>
      </c>
      <c r="F120" s="106">
        <f>F119/($A120-F116)</f>
        <v>0.78750000000000009</v>
      </c>
      <c r="G120" s="107">
        <f>G119/($A120-G116)</f>
        <v>1.0107692307692309</v>
      </c>
      <c r="H120" s="87"/>
      <c r="I120" s="3">
        <v>20</v>
      </c>
      <c r="J120" s="4" t="s">
        <v>20</v>
      </c>
      <c r="K120" s="6" t="s">
        <v>2</v>
      </c>
      <c r="L120" s="104">
        <f>L119/$I120</f>
        <v>0.16425000000000001</v>
      </c>
      <c r="M120" s="105">
        <f>M119/($I120)</f>
        <v>0.49275000000000002</v>
      </c>
      <c r="N120" s="106">
        <f>N119/($I120)</f>
        <v>0.57487500000000002</v>
      </c>
      <c r="O120" s="107">
        <f>O119/($I120)</f>
        <v>0.65700000000000003</v>
      </c>
    </row>
    <row r="121" spans="1:15">
      <c r="H121" s="87"/>
      <c r="I121"/>
    </row>
    <row r="122" spans="1:15">
      <c r="H122" s="87"/>
      <c r="I122"/>
    </row>
    <row r="123" spans="1:15">
      <c r="H123" s="87"/>
      <c r="I123"/>
    </row>
    <row r="124" spans="1:15">
      <c r="H124" s="87"/>
      <c r="I124"/>
    </row>
    <row r="125" spans="1:15">
      <c r="H125" s="87"/>
      <c r="I125"/>
    </row>
    <row r="126" spans="1:15">
      <c r="H126" s="87"/>
      <c r="I126"/>
    </row>
  </sheetData>
  <mergeCells count="148">
    <mergeCell ref="A52:B52"/>
    <mergeCell ref="A32:B33"/>
    <mergeCell ref="A35:B35"/>
    <mergeCell ref="I32:J33"/>
    <mergeCell ref="I35:J35"/>
    <mergeCell ref="A53:B54"/>
    <mergeCell ref="Q34:Q35"/>
    <mergeCell ref="A1:B1"/>
    <mergeCell ref="A3:B3"/>
    <mergeCell ref="A4:B5"/>
    <mergeCell ref="A7:B7"/>
    <mergeCell ref="A10:B10"/>
    <mergeCell ref="H1:I1"/>
    <mergeCell ref="I38:J38"/>
    <mergeCell ref="I39:J40"/>
    <mergeCell ref="I42:J42"/>
    <mergeCell ref="A28:B28"/>
    <mergeCell ref="A38:B38"/>
    <mergeCell ref="A39:B40"/>
    <mergeCell ref="A42:B42"/>
    <mergeCell ref="A14:B14"/>
    <mergeCell ref="A24:B24"/>
    <mergeCell ref="A25:B26"/>
    <mergeCell ref="A45:B45"/>
    <mergeCell ref="A46:B47"/>
    <mergeCell ref="A49:B49"/>
    <mergeCell ref="A11:B12"/>
    <mergeCell ref="I3:J3"/>
    <mergeCell ref="I4:J5"/>
    <mergeCell ref="I7:J7"/>
    <mergeCell ref="I45:J45"/>
    <mergeCell ref="I46:J47"/>
    <mergeCell ref="I49:J49"/>
    <mergeCell ref="A94:B94"/>
    <mergeCell ref="A95:B96"/>
    <mergeCell ref="A67:B68"/>
    <mergeCell ref="A70:B70"/>
    <mergeCell ref="A73:B73"/>
    <mergeCell ref="I115:J115"/>
    <mergeCell ref="I94:J94"/>
    <mergeCell ref="I95:J96"/>
    <mergeCell ref="A81:B82"/>
    <mergeCell ref="A84:B84"/>
    <mergeCell ref="A80:B80"/>
    <mergeCell ref="I77:J77"/>
    <mergeCell ref="A74:B75"/>
    <mergeCell ref="A91:B91"/>
    <mergeCell ref="I74:J75"/>
    <mergeCell ref="A112:B112"/>
    <mergeCell ref="A115:B115"/>
    <mergeCell ref="A109:B110"/>
    <mergeCell ref="A77:B77"/>
    <mergeCell ref="I116:J117"/>
    <mergeCell ref="I119:J119"/>
    <mergeCell ref="A119:B119"/>
    <mergeCell ref="A98:B98"/>
    <mergeCell ref="A101:B101"/>
    <mergeCell ref="A102:B103"/>
    <mergeCell ref="A105:B105"/>
    <mergeCell ref="A108:B108"/>
    <mergeCell ref="I101:J101"/>
    <mergeCell ref="I102:J103"/>
    <mergeCell ref="I105:J105"/>
    <mergeCell ref="I98:J98"/>
    <mergeCell ref="A116:B117"/>
    <mergeCell ref="W32:AB32"/>
    <mergeCell ref="S11:U11"/>
    <mergeCell ref="Q11:Q12"/>
    <mergeCell ref="W41:W42"/>
    <mergeCell ref="S12:U12"/>
    <mergeCell ref="Q4:Q5"/>
    <mergeCell ref="W34:W35"/>
    <mergeCell ref="W2:AB2"/>
    <mergeCell ref="W4:W5"/>
    <mergeCell ref="W9:W10"/>
    <mergeCell ref="W11:W12"/>
    <mergeCell ref="W13:W14"/>
    <mergeCell ref="W15:W16"/>
    <mergeCell ref="W18:W19"/>
    <mergeCell ref="W20:W21"/>
    <mergeCell ref="W23:W24"/>
    <mergeCell ref="W25:W26"/>
    <mergeCell ref="W28:W29"/>
    <mergeCell ref="Q9:Q10"/>
    <mergeCell ref="W39:W40"/>
    <mergeCell ref="Q28:Q29"/>
    <mergeCell ref="S26:U26"/>
    <mergeCell ref="Q25:Q26"/>
    <mergeCell ref="S19:U19"/>
    <mergeCell ref="A87:B87"/>
    <mergeCell ref="A88:B89"/>
    <mergeCell ref="Q48:Q49"/>
    <mergeCell ref="Q50:Q51"/>
    <mergeCell ref="Q58:Q59"/>
    <mergeCell ref="S60:U60"/>
    <mergeCell ref="A17:B17"/>
    <mergeCell ref="A18:B19"/>
    <mergeCell ref="A21:B21"/>
    <mergeCell ref="A31:B31"/>
    <mergeCell ref="I31:J31"/>
    <mergeCell ref="Q41:Q42"/>
    <mergeCell ref="Q43:Q44"/>
    <mergeCell ref="Q45:Q46"/>
    <mergeCell ref="S45:U45"/>
    <mergeCell ref="S46:U46"/>
    <mergeCell ref="Q32:U32"/>
    <mergeCell ref="I80:J80"/>
    <mergeCell ref="I81:J82"/>
    <mergeCell ref="I84:J84"/>
    <mergeCell ref="A56:B56"/>
    <mergeCell ref="A66:B66"/>
    <mergeCell ref="Q23:Q24"/>
    <mergeCell ref="Q53:Q54"/>
    <mergeCell ref="I63:J63"/>
    <mergeCell ref="I59:J59"/>
    <mergeCell ref="I60:J61"/>
    <mergeCell ref="I73:J73"/>
    <mergeCell ref="I52:J52"/>
    <mergeCell ref="I53:J54"/>
    <mergeCell ref="I56:J56"/>
    <mergeCell ref="S54:U54"/>
    <mergeCell ref="S24:U24"/>
    <mergeCell ref="S53:U53"/>
    <mergeCell ref="S30:U30"/>
    <mergeCell ref="AD1:AG1"/>
    <mergeCell ref="S15:U15"/>
    <mergeCell ref="S16:U16"/>
    <mergeCell ref="S9:U9"/>
    <mergeCell ref="S10:U10"/>
    <mergeCell ref="W58:W59"/>
    <mergeCell ref="Q13:Q14"/>
    <mergeCell ref="Q20:Q21"/>
    <mergeCell ref="Q15:Q16"/>
    <mergeCell ref="W43:W44"/>
    <mergeCell ref="W48:W49"/>
    <mergeCell ref="W50:W51"/>
    <mergeCell ref="W45:W46"/>
    <mergeCell ref="W53:W54"/>
    <mergeCell ref="W55:W56"/>
    <mergeCell ref="Q55:Q56"/>
    <mergeCell ref="S35:U35"/>
    <mergeCell ref="Q39:Q40"/>
    <mergeCell ref="S22:U22"/>
    <mergeCell ref="S23:U23"/>
    <mergeCell ref="Q18:Q19"/>
    <mergeCell ref="S4:U4"/>
    <mergeCell ref="S5:U5"/>
    <mergeCell ref="Q2:U2"/>
  </mergeCells>
  <phoneticPr fontId="1" type="noConversion"/>
  <pageMargins left="0.7" right="0.7" top="0.75" bottom="0.75" header="0.3" footer="0.3"/>
  <pageSetup paperSize="9" orientation="portrait" r:id="rId1"/>
  <ignoredErrors>
    <ignoredError sqref="Y57:AB57 Y35:AB35 Y19:AB19 Y25:AB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1"/>
  <sheetViews>
    <sheetView workbookViewId="0">
      <selection activeCell="B24" sqref="B24"/>
    </sheetView>
  </sheetViews>
  <sheetFormatPr defaultRowHeight="16.5"/>
  <cols>
    <col min="2" max="2" width="10.375" bestFit="1" customWidth="1"/>
    <col min="3" max="4" width="5.375" bestFit="1" customWidth="1"/>
    <col min="5" max="6" width="5" bestFit="1" customWidth="1"/>
    <col min="7" max="7" width="5" customWidth="1"/>
    <col min="8" max="8" width="1.75" customWidth="1"/>
    <col min="9" max="9" width="12.375" bestFit="1" customWidth="1"/>
    <col min="12" max="12" width="9.25" bestFit="1" customWidth="1"/>
    <col min="13" max="14" width="8.625" bestFit="1" customWidth="1"/>
  </cols>
  <sheetData>
    <row r="2" spans="3:14">
      <c r="C2" s="1" t="s">
        <v>82</v>
      </c>
      <c r="D2" s="1" t="s">
        <v>83</v>
      </c>
      <c r="E2" s="1" t="s">
        <v>94</v>
      </c>
      <c r="F2" s="1" t="s">
        <v>85</v>
      </c>
      <c r="G2" s="1"/>
      <c r="H2" s="1"/>
      <c r="I2" s="1" t="s">
        <v>93</v>
      </c>
      <c r="J2" s="1" t="s">
        <v>86</v>
      </c>
      <c r="K2" s="1" t="s">
        <v>84</v>
      </c>
      <c r="L2" s="1" t="s">
        <v>92</v>
      </c>
    </row>
    <row r="3" spans="3:14">
      <c r="C3" s="1">
        <v>1650</v>
      </c>
      <c r="D3" s="1">
        <v>500</v>
      </c>
      <c r="E3" s="91">
        <f>C3/28+32</f>
        <v>90.928571428571431</v>
      </c>
      <c r="F3" s="1">
        <f>D3/46.67</f>
        <v>10.713520462824084</v>
      </c>
      <c r="G3" s="1"/>
      <c r="H3" s="1"/>
      <c r="I3" s="92">
        <f>(1+E3/100)/((100-F3)/100)-1</f>
        <v>1.1383816723233569</v>
      </c>
      <c r="J3" s="93">
        <v>0.2</v>
      </c>
      <c r="K3" s="92">
        <f>(E3/100*2.5+(100-E3)/100)*0.98/(E3/100*2+(100-E3)/100)-1</f>
        <v>0.21335952113729872</v>
      </c>
      <c r="L3" s="94">
        <f>(1+$I3)*(1+$J3)*(1+K3)-1</f>
        <v>2.1135509143268534</v>
      </c>
      <c r="N3" s="90"/>
    </row>
    <row r="4" spans="3:14">
      <c r="C4" s="1">
        <v>1320</v>
      </c>
      <c r="D4" s="1">
        <v>800</v>
      </c>
      <c r="E4" s="91">
        <f t="shared" ref="E4:E7" si="0">C4/28+32</f>
        <v>79.142857142857139</v>
      </c>
      <c r="F4" s="1">
        <f>D4/46.67</f>
        <v>17.141632740518535</v>
      </c>
      <c r="G4" s="1"/>
      <c r="H4" s="1"/>
      <c r="I4" s="92">
        <f t="shared" ref="I4:I6" si="1">(1+E4/100)/(1-F4/100)-1</f>
        <v>1.1620370165133544</v>
      </c>
      <c r="J4" s="93">
        <v>0.2</v>
      </c>
      <c r="K4" s="92">
        <f t="shared" ref="K4:K7" si="2">(E4/100*2.5+(100-E4)/100)*0.98/(E4/100*2+(100-E4)/100)-1</f>
        <v>0.19647527910685803</v>
      </c>
      <c r="L4" s="94">
        <f>(1+$I4)*(1+$J4)*(1+K4)-1</f>
        <v>2.1041886113266091</v>
      </c>
      <c r="N4" s="90"/>
    </row>
    <row r="5" spans="3:14">
      <c r="C5" s="1">
        <v>1000</v>
      </c>
      <c r="D5" s="1">
        <v>1100</v>
      </c>
      <c r="E5" s="91">
        <f t="shared" si="0"/>
        <v>67.714285714285722</v>
      </c>
      <c r="F5" s="1">
        <f>D5/46.67</f>
        <v>23.569745018212984</v>
      </c>
      <c r="G5" s="1"/>
      <c r="H5" s="1"/>
      <c r="I5" s="92">
        <f t="shared" si="1"/>
        <v>1.1943441867916218</v>
      </c>
      <c r="J5" s="93">
        <v>0.2</v>
      </c>
      <c r="K5" s="92">
        <f t="shared" si="2"/>
        <v>0.17783645655877356</v>
      </c>
      <c r="L5" s="94">
        <f>(1+$I5)*(1+$J5)*(1+K5)-1</f>
        <v>2.1014942977291846</v>
      </c>
      <c r="N5" s="90"/>
    </row>
    <row r="6" spans="3:14">
      <c r="C6" s="1">
        <v>800</v>
      </c>
      <c r="D6" s="1">
        <v>1320</v>
      </c>
      <c r="E6" s="91">
        <f t="shared" si="0"/>
        <v>60.571428571428569</v>
      </c>
      <c r="F6" s="1">
        <f>D6/46.67</f>
        <v>28.283694021855581</v>
      </c>
      <c r="G6" s="1"/>
      <c r="H6" s="1"/>
      <c r="I6" s="92">
        <f t="shared" si="1"/>
        <v>1.2389807503521273</v>
      </c>
      <c r="J6" s="93">
        <v>0.2</v>
      </c>
      <c r="K6" s="92">
        <f t="shared" si="2"/>
        <v>0.16483985765124554</v>
      </c>
      <c r="L6" s="94">
        <f>(1+$I6)*(1+$J6)*(1+K6)-1</f>
        <v>2.129664822228861</v>
      </c>
      <c r="N6" s="90"/>
    </row>
    <row r="7" spans="3:14">
      <c r="C7" s="1">
        <v>500</v>
      </c>
      <c r="D7" s="1">
        <v>1650</v>
      </c>
      <c r="E7" s="91">
        <f t="shared" si="0"/>
        <v>49.857142857142861</v>
      </c>
      <c r="F7" s="1">
        <f>D7/46.67</f>
        <v>35.354617527319476</v>
      </c>
      <c r="G7" s="1"/>
      <c r="H7" s="1"/>
      <c r="I7" s="92">
        <f>(1+E7/100)/(1-F7/100)-1</f>
        <v>1.3181414839717789</v>
      </c>
      <c r="J7" s="93">
        <v>0.2</v>
      </c>
      <c r="K7" s="92">
        <f t="shared" si="2"/>
        <v>0.14302192564346972</v>
      </c>
      <c r="L7" s="94">
        <f>(1+$I7)*(1+$J7)*(1+K7)-1</f>
        <v>2.1796238515081199</v>
      </c>
      <c r="N7" s="90"/>
    </row>
    <row r="8" spans="3:14">
      <c r="I8" s="88"/>
      <c r="K8" s="88"/>
    </row>
    <row r="9" spans="3:14">
      <c r="I9" s="88"/>
      <c r="K9" s="88"/>
    </row>
    <row r="10" spans="3:14">
      <c r="C10" t="s">
        <v>89</v>
      </c>
      <c r="D10" t="s">
        <v>90</v>
      </c>
      <c r="E10" t="s">
        <v>88</v>
      </c>
      <c r="F10" t="s">
        <v>87</v>
      </c>
      <c r="I10" t="s">
        <v>91</v>
      </c>
    </row>
    <row r="11" spans="3:14">
      <c r="C11">
        <v>1650</v>
      </c>
      <c r="D11">
        <v>500</v>
      </c>
      <c r="E11" s="89">
        <f>C11/25</f>
        <v>66</v>
      </c>
      <c r="F11">
        <f>D11/46.67</f>
        <v>10.713520462824084</v>
      </c>
      <c r="I11" s="88">
        <f>(1+E11/100)/(1-F11/100)-1</f>
        <v>0.85918406527477797</v>
      </c>
    </row>
    <row r="12" spans="3:14">
      <c r="C12">
        <v>1320</v>
      </c>
      <c r="D12">
        <v>800</v>
      </c>
      <c r="E12" s="89">
        <f>C12/25</f>
        <v>52.8</v>
      </c>
      <c r="F12">
        <f>D12/46.67</f>
        <v>17.141632740518535</v>
      </c>
      <c r="I12" s="88">
        <f t="shared" ref="I12:I15" si="3">(1+E12/100)/(1-F12/100)-1</f>
        <v>0.84411068011378321</v>
      </c>
    </row>
    <row r="13" spans="3:14">
      <c r="C13">
        <v>1000</v>
      </c>
      <c r="D13">
        <v>1100</v>
      </c>
      <c r="E13" s="89">
        <f>C13/25</f>
        <v>40</v>
      </c>
      <c r="F13">
        <f>D13/46.67</f>
        <v>23.569745018212984</v>
      </c>
      <c r="I13" s="88">
        <f t="shared" si="3"/>
        <v>0.83173535183627689</v>
      </c>
    </row>
    <row r="14" spans="3:14">
      <c r="C14">
        <v>800</v>
      </c>
      <c r="D14">
        <v>1320</v>
      </c>
      <c r="E14" s="89">
        <f>C14/25</f>
        <v>32</v>
      </c>
      <c r="F14">
        <f>D14/46.67</f>
        <v>28.283694021855581</v>
      </c>
      <c r="I14" s="88">
        <f t="shared" si="3"/>
        <v>0.84058559904391994</v>
      </c>
    </row>
    <row r="15" spans="3:14">
      <c r="C15">
        <v>500</v>
      </c>
      <c r="D15">
        <v>1650</v>
      </c>
      <c r="E15" s="89">
        <f>C15/25</f>
        <v>20</v>
      </c>
      <c r="F15">
        <f>D15/46.67</f>
        <v>35.354617527319476</v>
      </c>
      <c r="I15" s="88">
        <f t="shared" si="3"/>
        <v>0.8562810739144846</v>
      </c>
    </row>
    <row r="17" spans="3:9">
      <c r="C17">
        <f>C11*0.9</f>
        <v>1485</v>
      </c>
      <c r="D17">
        <f>D11*0.9</f>
        <v>450</v>
      </c>
      <c r="E17" s="89">
        <f>C17/25</f>
        <v>59.4</v>
      </c>
      <c r="F17">
        <f>D17/46.67</f>
        <v>9.6421684165416757</v>
      </c>
      <c r="I17" s="88">
        <f>(1+E17/100)/(1-F17/100)-1</f>
        <v>0.76409722551576942</v>
      </c>
    </row>
    <row r="18" spans="3:9">
      <c r="C18">
        <f t="shared" ref="C18:D18" si="4">C12*0.9</f>
        <v>1188</v>
      </c>
      <c r="D18">
        <f t="shared" si="4"/>
        <v>720</v>
      </c>
      <c r="E18" s="89">
        <f>C18/25</f>
        <v>47.52</v>
      </c>
      <c r="F18">
        <f>D18/46.67</f>
        <v>15.427469466466681</v>
      </c>
      <c r="I18" s="88">
        <f t="shared" ref="I18:I21" si="5">(1+E18/100)/(1-F18/100)-1</f>
        <v>0.74430159614897407</v>
      </c>
    </row>
    <row r="19" spans="3:9">
      <c r="C19">
        <f t="shared" ref="C19:D19" si="6">C13*0.9</f>
        <v>900</v>
      </c>
      <c r="D19">
        <f t="shared" si="6"/>
        <v>990</v>
      </c>
      <c r="E19" s="89">
        <f>C19/25</f>
        <v>36</v>
      </c>
      <c r="F19">
        <f>D19/46.67</f>
        <v>21.212770516391686</v>
      </c>
      <c r="I19" s="88">
        <f t="shared" si="5"/>
        <v>0.72616807179766107</v>
      </c>
    </row>
    <row r="20" spans="3:9">
      <c r="C20">
        <f t="shared" ref="C20:D20" si="7">C14*0.9</f>
        <v>720</v>
      </c>
      <c r="D20">
        <f t="shared" si="7"/>
        <v>1188</v>
      </c>
      <c r="E20" s="89">
        <f>C20/25</f>
        <v>28.8</v>
      </c>
      <c r="F20">
        <f>D20/46.67</f>
        <v>25.455324619670023</v>
      </c>
      <c r="I20" s="88">
        <f t="shared" si="5"/>
        <v>0.72782293762575434</v>
      </c>
    </row>
    <row r="21" spans="3:9">
      <c r="C21">
        <f t="shared" ref="C21:D21" si="8">C15*0.9</f>
        <v>450</v>
      </c>
      <c r="D21">
        <f t="shared" si="8"/>
        <v>1485</v>
      </c>
      <c r="E21" s="89">
        <f>C21/25</f>
        <v>18</v>
      </c>
      <c r="F21">
        <f>D21/46.67</f>
        <v>31.819155774587529</v>
      </c>
      <c r="I21" s="88">
        <f t="shared" si="5"/>
        <v>0.73069138906348186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딜트포데미지</vt:lpstr>
      <vt:lpstr>바드세레수급</vt:lpstr>
      <vt:lpstr>신속vs.치명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 Woog Kang</dc:creator>
  <cp:lastModifiedBy>Tae Woog Kang</cp:lastModifiedBy>
  <dcterms:created xsi:type="dcterms:W3CDTF">2021-01-04T01:24:28Z</dcterms:created>
  <dcterms:modified xsi:type="dcterms:W3CDTF">2021-06-14T12:38:22Z</dcterms:modified>
</cp:coreProperties>
</file>