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vng\Google 드라이브\"/>
    </mc:Choice>
  </mc:AlternateContent>
  <bookViews>
    <workbookView xWindow="0" yWindow="0" windowWidth="38400" windowHeight="122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T18" i="1" s="1"/>
  <c r="S19" i="1"/>
  <c r="T19" i="1" s="1"/>
  <c r="S20" i="1"/>
  <c r="T20" i="1" s="1"/>
  <c r="S17" i="1"/>
  <c r="D19" i="1"/>
  <c r="D18" i="1"/>
  <c r="D17" i="1"/>
  <c r="D26" i="1"/>
  <c r="D25" i="1"/>
  <c r="D24" i="1"/>
  <c r="D41" i="1" l="1"/>
  <c r="D75" i="1"/>
  <c r="D40" i="1"/>
  <c r="D47" i="1" s="1"/>
  <c r="D74" i="1"/>
  <c r="D39" i="1"/>
  <c r="D44" i="1" s="1"/>
  <c r="D73" i="1"/>
  <c r="D45" i="1"/>
  <c r="D46" i="1"/>
  <c r="D20" i="1"/>
  <c r="D27" i="1"/>
  <c r="N26" i="1"/>
  <c r="N25" i="1"/>
  <c r="N24" i="1"/>
  <c r="D79" i="1" l="1"/>
  <c r="D78" i="1"/>
  <c r="D81" i="1"/>
  <c r="D80" i="1"/>
  <c r="N27" i="1"/>
  <c r="N19" i="1"/>
  <c r="N18" i="1"/>
  <c r="N17" i="1"/>
  <c r="I19" i="1"/>
  <c r="I18" i="1"/>
  <c r="I17" i="1"/>
  <c r="I12" i="1"/>
  <c r="I11" i="1"/>
  <c r="I10" i="1"/>
  <c r="D100" i="1"/>
  <c r="E100" i="1" s="1"/>
  <c r="G100" i="1" s="1"/>
  <c r="D98" i="1"/>
  <c r="E98" i="1" s="1"/>
  <c r="G98" i="1" s="1"/>
  <c r="D99" i="1"/>
  <c r="E99" i="1" s="1"/>
  <c r="G99" i="1" s="1"/>
  <c r="D97" i="1"/>
  <c r="E97" i="1" s="1"/>
  <c r="N20" i="1" l="1"/>
  <c r="F103" i="1"/>
  <c r="I20" i="1"/>
  <c r="I13" i="1"/>
  <c r="H97" i="1" l="1"/>
  <c r="G97" i="1"/>
  <c r="D94" i="1"/>
  <c r="D93" i="1"/>
  <c r="I97" i="1" l="1"/>
  <c r="E93" i="1"/>
  <c r="N12" i="1" l="1"/>
  <c r="N11" i="1"/>
  <c r="D12" i="1"/>
  <c r="D11" i="1"/>
  <c r="D10" i="1"/>
  <c r="N10" i="1"/>
  <c r="I4" i="1"/>
  <c r="I5" i="1"/>
  <c r="D4" i="1"/>
  <c r="D5" i="1"/>
  <c r="I3" i="1"/>
  <c r="D3" i="1"/>
  <c r="I6" i="1" l="1"/>
  <c r="N13" i="1"/>
  <c r="D13" i="1"/>
  <c r="D6" i="1"/>
  <c r="D67" i="1" l="1"/>
  <c r="D32" i="1"/>
  <c r="D60" i="1"/>
  <c r="D66" i="1"/>
  <c r="D59" i="1"/>
  <c r="D52" i="1"/>
  <c r="D55" i="1" s="1"/>
  <c r="D53" i="1"/>
  <c r="J6" i="1"/>
  <c r="D31" i="1"/>
  <c r="H48" i="1" s="1"/>
  <c r="D30" i="1"/>
  <c r="D69" i="1" l="1"/>
  <c r="D68" i="1"/>
  <c r="D70" i="1" s="1"/>
  <c r="H51" i="1"/>
  <c r="I51" i="1" s="1"/>
  <c r="D76" i="1"/>
  <c r="D82" i="1" s="1"/>
  <c r="H49" i="1"/>
  <c r="I49" i="1" s="1"/>
  <c r="D77" i="1"/>
  <c r="I48" i="1"/>
  <c r="H50" i="1"/>
  <c r="I50" i="1" s="1"/>
  <c r="D62" i="1"/>
  <c r="D61" i="1"/>
  <c r="D63" i="1" s="1"/>
  <c r="D42" i="1"/>
  <c r="D48" i="1" s="1"/>
  <c r="H45" i="1"/>
  <c r="I45" i="1" s="1"/>
  <c r="H44" i="1"/>
  <c r="I44" i="1" s="1"/>
  <c r="H43" i="1"/>
  <c r="I43" i="1" s="1"/>
  <c r="H42" i="1"/>
  <c r="I42" i="1" s="1"/>
  <c r="D54" i="1"/>
  <c r="D56" i="1" s="1"/>
  <c r="D43" i="1"/>
  <c r="H25" i="1"/>
  <c r="I25" i="1" s="1"/>
  <c r="H24" i="1"/>
  <c r="I24" i="1" s="1"/>
  <c r="H30" i="1"/>
  <c r="I30" i="1" s="1"/>
  <c r="H23" i="1"/>
  <c r="H26" i="1"/>
  <c r="I26" i="1" s="1"/>
  <c r="H37" i="1"/>
  <c r="D35" i="1"/>
  <c r="H29" i="1"/>
  <c r="D34" i="1"/>
  <c r="D33" i="1"/>
  <c r="E95" i="1"/>
  <c r="H38" i="1"/>
  <c r="I23" i="1"/>
  <c r="D83" i="1" l="1"/>
  <c r="I53" i="1"/>
  <c r="I52" i="1"/>
  <c r="D49" i="1"/>
  <c r="D36" i="1"/>
  <c r="H31" i="1"/>
  <c r="I31" i="1" s="1"/>
  <c r="H32" i="1"/>
  <c r="I32" i="1" s="1"/>
  <c r="I29" i="1"/>
  <c r="H39" i="1"/>
  <c r="I34" i="1" l="1"/>
  <c r="I33" i="1"/>
</calcChain>
</file>

<file path=xl/sharedStrings.xml><?xml version="1.0" encoding="utf-8"?>
<sst xmlns="http://schemas.openxmlformats.org/spreadsheetml/2006/main" count="163" uniqueCount="82">
  <si>
    <t>허수아비 체력</t>
    <phoneticPr fontId="2" type="noConversion"/>
  </si>
  <si>
    <t>1분후 남은 체력</t>
    <phoneticPr fontId="2" type="noConversion"/>
  </si>
  <si>
    <t>횟수</t>
    <phoneticPr fontId="2" type="noConversion"/>
  </si>
  <si>
    <t>평균</t>
    <phoneticPr fontId="2" type="noConversion"/>
  </si>
  <si>
    <t>30초후 남은 체력</t>
    <phoneticPr fontId="2" type="noConversion"/>
  </si>
  <si>
    <t>30초간 딜량</t>
    <phoneticPr fontId="2" type="noConversion"/>
  </si>
  <si>
    <t>매혹 4셋</t>
    <phoneticPr fontId="2" type="noConversion"/>
  </si>
  <si>
    <t>매혹 6셋</t>
    <phoneticPr fontId="2" type="noConversion"/>
  </si>
  <si>
    <t>매혹 1타격 데미지</t>
    <phoneticPr fontId="2" type="noConversion"/>
  </si>
  <si>
    <t>크리티컬 x</t>
    <phoneticPr fontId="2" type="noConversion"/>
  </si>
  <si>
    <t>예둔적용 크리</t>
    <phoneticPr fontId="2" type="noConversion"/>
  </si>
  <si>
    <t>평균</t>
    <phoneticPr fontId="2" type="noConversion"/>
  </si>
  <si>
    <t>사홀 막타 데미지</t>
    <phoneticPr fontId="2" type="noConversion"/>
  </si>
  <si>
    <t>매혹6 갈경우</t>
    <phoneticPr fontId="2" type="noConversion"/>
  </si>
  <si>
    <t>딜 증가량</t>
    <phoneticPr fontId="2" type="noConversion"/>
  </si>
  <si>
    <t>매혹4 30초간 딜량</t>
    <phoneticPr fontId="2" type="noConversion"/>
  </si>
  <si>
    <t>매혹6 평균 딜 증가량</t>
    <phoneticPr fontId="2" type="noConversion"/>
  </si>
  <si>
    <t>매혹4 예정2 갈경우 (치명 60% 기준)</t>
    <phoneticPr fontId="2" type="noConversion"/>
  </si>
  <si>
    <t>1분간 딜량</t>
    <phoneticPr fontId="2" type="noConversion"/>
  </si>
  <si>
    <t>지배 2세트 딜량</t>
    <phoneticPr fontId="2" type="noConversion"/>
  </si>
  <si>
    <t>지배 4세트 딜량</t>
    <phoneticPr fontId="2" type="noConversion"/>
  </si>
  <si>
    <t>지배 6세트 딜량</t>
    <phoneticPr fontId="2" type="noConversion"/>
  </si>
  <si>
    <t>강화</t>
    <phoneticPr fontId="2" type="noConversion"/>
  </si>
  <si>
    <t>사홀</t>
    <phoneticPr fontId="2" type="noConversion"/>
  </si>
  <si>
    <t>전격</t>
    <phoneticPr fontId="2" type="noConversion"/>
  </si>
  <si>
    <t>낙뢰</t>
    <phoneticPr fontId="2" type="noConversion"/>
  </si>
  <si>
    <t>운석</t>
    <phoneticPr fontId="2" type="noConversion"/>
  </si>
  <si>
    <t>세트 x</t>
    <phoneticPr fontId="2" type="noConversion"/>
  </si>
  <si>
    <t>지배 2셋</t>
    <phoneticPr fontId="2" type="noConversion"/>
  </si>
  <si>
    <t>매혹 4셋 지배 2셋</t>
    <phoneticPr fontId="2" type="noConversion"/>
  </si>
  <si>
    <t>1분후 남은 체력</t>
    <phoneticPr fontId="2" type="noConversion"/>
  </si>
  <si>
    <t>오라토리오</t>
    <phoneticPr fontId="2" type="noConversion"/>
  </si>
  <si>
    <t>매혹 2셋 30초간 딜량</t>
    <phoneticPr fontId="2" type="noConversion"/>
  </si>
  <si>
    <t>매혹 4셋 30초간 딜량</t>
    <phoneticPr fontId="2" type="noConversion"/>
  </si>
  <si>
    <t>바드 30초간 딜량</t>
    <phoneticPr fontId="2" type="noConversion"/>
  </si>
  <si>
    <t>매혹 2셋에 의한 딜 증가량</t>
    <phoneticPr fontId="2" type="noConversion"/>
  </si>
  <si>
    <t>매혹 4셋에 의한 딜 증가량</t>
    <phoneticPr fontId="2" type="noConversion"/>
  </si>
  <si>
    <t>매혹 2셋 + 지배 2셋</t>
    <phoneticPr fontId="2" type="noConversion"/>
  </si>
  <si>
    <t>매혹 4셋</t>
    <phoneticPr fontId="2" type="noConversion"/>
  </si>
  <si>
    <t>각성기 사용 전</t>
    <phoneticPr fontId="2" type="noConversion"/>
  </si>
  <si>
    <t>지배 1스택 딜량</t>
    <phoneticPr fontId="2" type="noConversion"/>
  </si>
  <si>
    <t>매혹 6셋 버프일 때 딜 증가량</t>
    <phoneticPr fontId="2" type="noConversion"/>
  </si>
  <si>
    <t>바드 30초간 딜량</t>
    <phoneticPr fontId="2" type="noConversion"/>
  </si>
  <si>
    <t>현자타임 딜증가량</t>
    <phoneticPr fontId="2" type="noConversion"/>
  </si>
  <si>
    <t>총 딜 증가량</t>
    <phoneticPr fontId="2" type="noConversion"/>
  </si>
  <si>
    <t>평균 딜 증가량</t>
    <phoneticPr fontId="2" type="noConversion"/>
  </si>
  <si>
    <t>각성쿨 199초</t>
    <phoneticPr fontId="2" type="noConversion"/>
  </si>
  <si>
    <t>단심 적용 163초</t>
    <phoneticPr fontId="2" type="noConversion"/>
  </si>
  <si>
    <t>전격피해 30초 기댓값</t>
    <phoneticPr fontId="2" type="noConversion"/>
  </si>
  <si>
    <t>운석피해 30초 기댓값</t>
    <phoneticPr fontId="2" type="noConversion"/>
  </si>
  <si>
    <t>배신 6셋</t>
    <phoneticPr fontId="2" type="noConversion"/>
  </si>
  <si>
    <t>에테르 종류</t>
    <phoneticPr fontId="2" type="noConversion"/>
  </si>
  <si>
    <t>노크리시 피해량</t>
    <phoneticPr fontId="2" type="noConversion"/>
  </si>
  <si>
    <t>매혹1타격</t>
    <phoneticPr fontId="2" type="noConversion"/>
  </si>
  <si>
    <t>전격 에테르</t>
    <phoneticPr fontId="2" type="noConversion"/>
  </si>
  <si>
    <t>낙뢰 에테르</t>
    <phoneticPr fontId="2" type="noConversion"/>
  </si>
  <si>
    <t>운석 에테르</t>
    <phoneticPr fontId="2" type="noConversion"/>
  </si>
  <si>
    <t>크리시 피해량</t>
    <phoneticPr fontId="2" type="noConversion"/>
  </si>
  <si>
    <t>평균값</t>
    <phoneticPr fontId="2" type="noConversion"/>
  </si>
  <si>
    <t>바드 60초간 딜량</t>
    <phoneticPr fontId="2" type="noConversion"/>
  </si>
  <si>
    <t>낙뢰피해 30초 기댓값 (랜덤방향)</t>
    <phoneticPr fontId="2" type="noConversion"/>
  </si>
  <si>
    <t>낙뢰 x 2, 기타 획득시</t>
    <phoneticPr fontId="2" type="noConversion"/>
  </si>
  <si>
    <t>낙뢰 x 3 획득시</t>
    <phoneticPr fontId="2" type="noConversion"/>
  </si>
  <si>
    <t>낙뢰제외 에테르 획득시</t>
    <phoneticPr fontId="2" type="noConversion"/>
  </si>
  <si>
    <t>전격, 낙뢰, 운석 획득시 (초월)</t>
    <phoneticPr fontId="2" type="noConversion"/>
  </si>
  <si>
    <t>평균 에테르 딜 증가량</t>
    <phoneticPr fontId="2" type="noConversion"/>
  </si>
  <si>
    <t>초월 시 30초간 바드 딜량</t>
    <phoneticPr fontId="2" type="noConversion"/>
  </si>
  <si>
    <t>초월시 총 딜 증가량 (용맹 미적용)</t>
    <phoneticPr fontId="2" type="noConversion"/>
  </si>
  <si>
    <t>배신6 갈경우</t>
    <phoneticPr fontId="2" type="noConversion"/>
  </si>
  <si>
    <t>지배6 갈경우 (바리 &gt; 각성)</t>
    <phoneticPr fontId="2" type="noConversion"/>
  </si>
  <si>
    <t>매혹 2셋</t>
    <phoneticPr fontId="2" type="noConversion"/>
  </si>
  <si>
    <t>지배2 매혹4 갈경우 (신속 820)</t>
    <phoneticPr fontId="2" type="noConversion"/>
  </si>
  <si>
    <t>고독한지배6 갈경우 (바리 &gt; 각성)</t>
    <phoneticPr fontId="2" type="noConversion"/>
  </si>
  <si>
    <t>매혹 30초간 딜량</t>
    <phoneticPr fontId="2" type="noConversion"/>
  </si>
  <si>
    <t>매혹에 의한 딜 증가량</t>
    <phoneticPr fontId="2" type="noConversion"/>
  </si>
  <si>
    <t>매혹 6셋 버프일 때 딜 증가량</t>
    <phoneticPr fontId="2" type="noConversion"/>
  </si>
  <si>
    <t>춤추는매혹2 갈경우 (매혹6셋)</t>
    <phoneticPr fontId="2" type="noConversion"/>
  </si>
  <si>
    <t>춤추는매혹4 갈경우 (매혹6셋)</t>
    <phoneticPr fontId="2" type="noConversion"/>
  </si>
  <si>
    <t>춤추는매혹6 갈경우 (매혹6셋)</t>
    <phoneticPr fontId="2" type="noConversion"/>
  </si>
  <si>
    <t>바드 50초간 딜량</t>
    <phoneticPr fontId="2" type="noConversion"/>
  </si>
  <si>
    <t>숨어든배신6 갈경우</t>
    <phoneticPr fontId="2" type="noConversion"/>
  </si>
  <si>
    <t>고독한지배2 춤추는매혹4 갈경우 (신속 820)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</si>
</sst>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0" xfId="0" applyNumberFormat="1">
      <alignment vertical="center"/>
    </xf>
    <xf numFmtId="1" fontId="0" fillId="0" borderId="12" xfId="0" applyNumberFormat="1" applyBorder="1">
      <alignment vertical="center"/>
    </xf>
    <xf numFmtId="10" fontId="0" fillId="0" borderId="15" xfId="1" applyNumberFormat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" fontId="0" fillId="0" borderId="10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40" xfId="0" applyNumberFormat="1" applyBorder="1">
      <alignment vertical="center"/>
    </xf>
    <xf numFmtId="1" fontId="0" fillId="0" borderId="41" xfId="0" applyNumberFormat="1" applyBorder="1">
      <alignment vertical="center"/>
    </xf>
    <xf numFmtId="0" fontId="0" fillId="0" borderId="43" xfId="1" applyNumberFormat="1" applyFont="1" applyBorder="1">
      <alignment vertical="center"/>
    </xf>
    <xf numFmtId="10" fontId="0" fillId="0" borderId="27" xfId="1" applyNumberFormat="1" applyFont="1" applyBorder="1">
      <alignment vertical="center"/>
    </xf>
    <xf numFmtId="10" fontId="0" fillId="0" borderId="25" xfId="1" applyNumberFormat="1" applyFont="1" applyBorder="1">
      <alignment vertical="center"/>
    </xf>
    <xf numFmtId="10" fontId="0" fillId="0" borderId="45" xfId="1" applyNumberFormat="1" applyFont="1" applyBorder="1">
      <alignment vertical="center"/>
    </xf>
    <xf numFmtId="1" fontId="0" fillId="0" borderId="27" xfId="0" applyNumberFormat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0" fontId="0" fillId="0" borderId="25" xfId="1" applyNumberFormat="1" applyFont="1" applyBorder="1" applyAlignment="1">
      <alignment horizontal="center" vertical="center"/>
    </xf>
    <xf numFmtId="10" fontId="0" fillId="0" borderId="26" xfId="1" applyNumberFormat="1" applyFont="1" applyBorder="1" applyAlignment="1">
      <alignment horizontal="center" vertical="center"/>
    </xf>
    <xf numFmtId="10" fontId="0" fillId="0" borderId="51" xfId="1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8" xfId="0" applyBorder="1">
      <alignment vertical="center"/>
    </xf>
    <xf numFmtId="0" fontId="3" fillId="0" borderId="26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" fontId="0" fillId="0" borderId="49" xfId="0" applyNumberFormat="1" applyBorder="1">
      <alignment vertical="center"/>
    </xf>
    <xf numFmtId="10" fontId="0" fillId="0" borderId="26" xfId="1" applyNumberFormat="1" applyFon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" fontId="0" fillId="0" borderId="31" xfId="1" applyNumberFormat="1" applyFont="1" applyBorder="1" applyAlignment="1">
      <alignment horizontal="center" vertical="center"/>
    </xf>
    <xf numFmtId="1" fontId="0" fillId="0" borderId="56" xfId="1" applyNumberFormat="1" applyFont="1" applyBorder="1" applyAlignment="1">
      <alignment horizontal="center" vertical="center"/>
    </xf>
    <xf numFmtId="1" fontId="0" fillId="0" borderId="57" xfId="1" applyNumberFormat="1" applyFont="1" applyBorder="1" applyAlignment="1">
      <alignment horizontal="center" vertical="center"/>
    </xf>
    <xf numFmtId="0" fontId="0" fillId="0" borderId="6" xfId="1" applyNumberFormat="1" applyFont="1" applyBorder="1" applyAlignment="1">
      <alignment horizontal="center" vertical="center"/>
    </xf>
    <xf numFmtId="10" fontId="0" fillId="0" borderId="38" xfId="1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3" fillId="0" borderId="44" xfId="0" applyNumberFormat="1" applyFont="1" applyBorder="1">
      <alignment vertical="center"/>
    </xf>
    <xf numFmtId="10" fontId="3" fillId="0" borderId="46" xfId="1" applyNumberFormat="1" applyFont="1" applyBorder="1">
      <alignment vertical="center"/>
    </xf>
    <xf numFmtId="10" fontId="3" fillId="0" borderId="1" xfId="1" applyNumberFormat="1" applyFont="1" applyBorder="1" applyAlignment="1">
      <alignment horizontal="center" vertical="center"/>
    </xf>
    <xf numFmtId="10" fontId="3" fillId="0" borderId="31" xfId="0" applyNumberFormat="1" applyFont="1" applyBorder="1" applyAlignment="1">
      <alignment horizontal="center" vertical="center"/>
    </xf>
    <xf numFmtId="1" fontId="3" fillId="0" borderId="31" xfId="1" applyNumberFormat="1" applyFont="1" applyBorder="1" applyAlignment="1">
      <alignment horizontal="center" vertical="center"/>
    </xf>
    <xf numFmtId="1" fontId="3" fillId="0" borderId="42" xfId="1" applyNumberFormat="1" applyFont="1" applyBorder="1">
      <alignment vertical="center"/>
    </xf>
    <xf numFmtId="10" fontId="3" fillId="0" borderId="28" xfId="1" applyNumberFormat="1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10" fontId="3" fillId="0" borderId="27" xfId="1" applyNumberFormat="1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59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30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" fontId="0" fillId="0" borderId="43" xfId="1" applyNumberFormat="1" applyFont="1" applyBorder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abSelected="1" zoomScaleNormal="100" workbookViewId="0">
      <selection activeCell="F32" sqref="F32:G32"/>
    </sheetView>
  </sheetViews>
  <sheetFormatPr defaultRowHeight="17.399999999999999" x14ac:dyDescent="0.4"/>
  <cols>
    <col min="1" max="1" width="5.19921875" style="1" bestFit="1" customWidth="1"/>
    <col min="2" max="2" width="13.69921875" style="1" bestFit="1" customWidth="1"/>
    <col min="3" max="3" width="16.59765625" bestFit="1" customWidth="1"/>
    <col min="4" max="4" width="13" style="1" bestFit="1" customWidth="1"/>
    <col min="6" max="6" width="6.09765625" customWidth="1"/>
    <col min="7" max="7" width="13.69921875" bestFit="1" customWidth="1"/>
    <col min="8" max="8" width="16.59765625" bestFit="1" customWidth="1"/>
    <col min="9" max="9" width="11.69921875" bestFit="1" customWidth="1"/>
    <col min="11" max="11" width="6.19921875" bestFit="1" customWidth="1"/>
    <col min="12" max="12" width="13.69921875" bestFit="1" customWidth="1"/>
    <col min="13" max="13" width="16.59765625" customWidth="1"/>
    <col min="14" max="14" width="12.09765625" bestFit="1" customWidth="1"/>
    <col min="16" max="16" width="5.19921875" bestFit="1" customWidth="1"/>
    <col min="17" max="17" width="13.69921875" bestFit="1" customWidth="1"/>
    <col min="18" max="18" width="15" bestFit="1" customWidth="1"/>
    <col min="19" max="19" width="13" bestFit="1" customWidth="1"/>
    <col min="20" max="20" width="8.3984375" bestFit="1" customWidth="1"/>
  </cols>
  <sheetData>
    <row r="1" spans="1:20" ht="18" thickBot="1" x14ac:dyDescent="0.45">
      <c r="A1" s="113" t="s">
        <v>6</v>
      </c>
      <c r="B1" s="114"/>
      <c r="C1" s="7"/>
      <c r="D1" s="21"/>
      <c r="F1" s="113" t="s">
        <v>6</v>
      </c>
      <c r="G1" s="114"/>
      <c r="H1" s="7"/>
      <c r="I1" s="8"/>
    </row>
    <row r="2" spans="1:20" ht="18" thickBot="1" x14ac:dyDescent="0.45">
      <c r="A2" s="12" t="s">
        <v>2</v>
      </c>
      <c r="B2" s="10" t="s">
        <v>0</v>
      </c>
      <c r="C2" s="9" t="s">
        <v>4</v>
      </c>
      <c r="D2" s="22" t="s">
        <v>5</v>
      </c>
      <c r="F2" s="12" t="s">
        <v>2</v>
      </c>
      <c r="G2" s="10" t="s">
        <v>0</v>
      </c>
      <c r="H2" s="9" t="s">
        <v>1</v>
      </c>
      <c r="I2" s="6" t="s">
        <v>18</v>
      </c>
    </row>
    <row r="3" spans="1:20" x14ac:dyDescent="0.4">
      <c r="A3" s="13">
        <v>1</v>
      </c>
      <c r="B3" s="11">
        <v>99999999</v>
      </c>
      <c r="C3" s="3">
        <v>58000000</v>
      </c>
      <c r="D3" s="23">
        <f>B3-C3</f>
        <v>41999999</v>
      </c>
      <c r="F3" s="13">
        <v>1</v>
      </c>
      <c r="G3" s="11">
        <v>99999999</v>
      </c>
      <c r="H3" s="3">
        <v>13000000</v>
      </c>
      <c r="I3" s="4">
        <f>G3-H3</f>
        <v>86999999</v>
      </c>
    </row>
    <row r="4" spans="1:20" x14ac:dyDescent="0.4">
      <c r="A4" s="14">
        <v>2</v>
      </c>
      <c r="B4" s="11">
        <v>99999999</v>
      </c>
      <c r="C4" s="2">
        <v>57000000</v>
      </c>
      <c r="D4" s="23">
        <f t="shared" ref="D4:D5" si="0">B4-C4</f>
        <v>42999999</v>
      </c>
      <c r="F4" s="14">
        <v>2</v>
      </c>
      <c r="G4" s="11">
        <v>99999999</v>
      </c>
      <c r="H4" s="2">
        <v>13700000</v>
      </c>
      <c r="I4" s="4">
        <f t="shared" ref="I4:I5" si="1">G4-H4</f>
        <v>86299999</v>
      </c>
    </row>
    <row r="5" spans="1:20" ht="18" thickBot="1" x14ac:dyDescent="0.45">
      <c r="A5" s="16">
        <v>3</v>
      </c>
      <c r="B5" s="11">
        <v>99999999</v>
      </c>
      <c r="C5" s="17">
        <v>55700000</v>
      </c>
      <c r="D5" s="23">
        <f t="shared" si="0"/>
        <v>44299999</v>
      </c>
      <c r="F5" s="16">
        <v>3</v>
      </c>
      <c r="G5" s="11">
        <v>99999999</v>
      </c>
      <c r="H5" s="17">
        <v>11000000</v>
      </c>
      <c r="I5" s="4">
        <f t="shared" si="1"/>
        <v>88999999</v>
      </c>
    </row>
    <row r="6" spans="1:20" ht="18" thickBot="1" x14ac:dyDescent="0.45">
      <c r="A6" s="12" t="s">
        <v>3</v>
      </c>
      <c r="B6" s="10"/>
      <c r="C6" s="5"/>
      <c r="D6" s="22">
        <f>AVERAGE(D3:D5)</f>
        <v>43099999</v>
      </c>
      <c r="F6" s="12" t="s">
        <v>3</v>
      </c>
      <c r="G6" s="10"/>
      <c r="H6" s="5"/>
      <c r="I6" s="6">
        <f>AVERAGE(I3:I5)</f>
        <v>87433332.333333328</v>
      </c>
      <c r="J6">
        <f>D6*2/I6</f>
        <v>0.98589400288860851</v>
      </c>
    </row>
    <row r="7" spans="1:20" ht="18" thickBot="1" x14ac:dyDescent="0.45"/>
    <row r="8" spans="1:20" ht="18" thickBot="1" x14ac:dyDescent="0.45">
      <c r="A8" s="97" t="s">
        <v>27</v>
      </c>
      <c r="B8" s="98"/>
      <c r="C8" s="98"/>
      <c r="D8" s="99"/>
      <c r="F8" s="97" t="s">
        <v>28</v>
      </c>
      <c r="G8" s="98"/>
      <c r="H8" s="98"/>
      <c r="I8" s="99"/>
      <c r="K8" s="97" t="s">
        <v>70</v>
      </c>
      <c r="L8" s="98"/>
      <c r="M8" s="98"/>
      <c r="N8" s="99"/>
    </row>
    <row r="9" spans="1:20" ht="18" thickBot="1" x14ac:dyDescent="0.45">
      <c r="A9" s="12" t="s">
        <v>2</v>
      </c>
      <c r="B9" s="10" t="s">
        <v>0</v>
      </c>
      <c r="C9" s="58" t="s">
        <v>4</v>
      </c>
      <c r="D9" s="12" t="s">
        <v>5</v>
      </c>
      <c r="F9" s="12" t="s">
        <v>2</v>
      </c>
      <c r="G9" s="31" t="s">
        <v>0</v>
      </c>
      <c r="H9" s="58" t="s">
        <v>4</v>
      </c>
      <c r="I9" s="12" t="s">
        <v>5</v>
      </c>
      <c r="K9" s="15" t="s">
        <v>2</v>
      </c>
      <c r="L9" s="11" t="s">
        <v>0</v>
      </c>
      <c r="M9" s="3" t="s">
        <v>30</v>
      </c>
      <c r="N9" s="23" t="s">
        <v>5</v>
      </c>
    </row>
    <row r="10" spans="1:20" x14ac:dyDescent="0.4">
      <c r="A10" s="13">
        <v>1</v>
      </c>
      <c r="B10" s="11">
        <v>99999999</v>
      </c>
      <c r="C10" s="52">
        <v>68000000</v>
      </c>
      <c r="D10" s="59">
        <f>B10-C10</f>
        <v>31999999</v>
      </c>
      <c r="F10" s="13">
        <v>1</v>
      </c>
      <c r="G10" s="11">
        <v>99999999</v>
      </c>
      <c r="H10" s="52">
        <v>58000000</v>
      </c>
      <c r="I10" s="59">
        <f>G10-H10</f>
        <v>41999999</v>
      </c>
      <c r="K10" s="14">
        <v>1</v>
      </c>
      <c r="L10" s="11">
        <v>99999999</v>
      </c>
      <c r="M10" s="2">
        <v>62000000</v>
      </c>
      <c r="N10" s="26">
        <f>L10-M10</f>
        <v>37999999</v>
      </c>
    </row>
    <row r="11" spans="1:20" x14ac:dyDescent="0.4">
      <c r="A11" s="14">
        <v>2</v>
      </c>
      <c r="B11" s="11">
        <v>99999999</v>
      </c>
      <c r="C11" s="53">
        <v>67000000</v>
      </c>
      <c r="D11" s="59">
        <f t="shared" ref="D11:D12" si="2">B11-C11</f>
        <v>32999999</v>
      </c>
      <c r="F11" s="14">
        <v>2</v>
      </c>
      <c r="G11" s="11">
        <v>99999999</v>
      </c>
      <c r="H11" s="53">
        <v>61000000</v>
      </c>
      <c r="I11" s="59">
        <f t="shared" ref="I11:I12" si="3">G11-H11</f>
        <v>38999999</v>
      </c>
      <c r="K11" s="14">
        <v>2</v>
      </c>
      <c r="L11" s="11">
        <v>99999999</v>
      </c>
      <c r="M11" s="2">
        <v>63000000</v>
      </c>
      <c r="N11" s="26">
        <f>L11-M11</f>
        <v>36999999</v>
      </c>
    </row>
    <row r="12" spans="1:20" ht="18" thickBot="1" x14ac:dyDescent="0.45">
      <c r="A12" s="16">
        <v>3</v>
      </c>
      <c r="B12" s="11">
        <v>99999999</v>
      </c>
      <c r="C12" s="54">
        <v>65000000</v>
      </c>
      <c r="D12" s="59">
        <f t="shared" si="2"/>
        <v>34999999</v>
      </c>
      <c r="F12" s="16">
        <v>3</v>
      </c>
      <c r="G12" s="11">
        <v>99999999</v>
      </c>
      <c r="H12" s="54">
        <v>57000000</v>
      </c>
      <c r="I12" s="59">
        <f t="shared" si="3"/>
        <v>42999999</v>
      </c>
      <c r="K12" s="16">
        <v>3</v>
      </c>
      <c r="L12" s="11">
        <v>99999999</v>
      </c>
      <c r="M12" s="17">
        <v>64000000</v>
      </c>
      <c r="N12" s="26">
        <f>L12-M12</f>
        <v>35999999</v>
      </c>
    </row>
    <row r="13" spans="1:20" ht="18" thickBot="1" x14ac:dyDescent="0.45">
      <c r="A13" s="12" t="s">
        <v>3</v>
      </c>
      <c r="B13" s="10"/>
      <c r="C13" s="55"/>
      <c r="D13" s="57">
        <f>AVERAGE(D10:D12)</f>
        <v>33333332.333333332</v>
      </c>
      <c r="F13" s="12" t="s">
        <v>3</v>
      </c>
      <c r="G13" s="31"/>
      <c r="H13" s="55"/>
      <c r="I13" s="57">
        <f>AVERAGE(I10:I12)</f>
        <v>41333332.333333336</v>
      </c>
      <c r="K13" s="12" t="s">
        <v>3</v>
      </c>
      <c r="L13" s="10"/>
      <c r="M13" s="5"/>
      <c r="N13" s="25">
        <f>AVERAGE(N10:N12)</f>
        <v>36999999</v>
      </c>
    </row>
    <row r="14" spans="1:20" ht="18" thickBot="1" x14ac:dyDescent="0.45"/>
    <row r="15" spans="1:20" ht="18" thickBot="1" x14ac:dyDescent="0.45">
      <c r="A15" s="97" t="s">
        <v>37</v>
      </c>
      <c r="B15" s="98"/>
      <c r="C15" s="98"/>
      <c r="D15" s="99"/>
      <c r="F15" s="97" t="s">
        <v>38</v>
      </c>
      <c r="G15" s="98"/>
      <c r="H15" s="98"/>
      <c r="I15" s="99"/>
      <c r="K15" s="97" t="s">
        <v>29</v>
      </c>
      <c r="L15" s="98"/>
      <c r="M15" s="98"/>
      <c r="N15" s="99"/>
      <c r="P15" s="97" t="s">
        <v>50</v>
      </c>
      <c r="Q15" s="98"/>
      <c r="R15" s="98"/>
      <c r="S15" s="98"/>
      <c r="T15" s="99"/>
    </row>
    <row r="16" spans="1:20" ht="18" thickBot="1" x14ac:dyDescent="0.45">
      <c r="A16" s="12" t="s">
        <v>2</v>
      </c>
      <c r="B16" s="34" t="s">
        <v>0</v>
      </c>
      <c r="C16" s="58" t="s">
        <v>4</v>
      </c>
      <c r="D16" s="12" t="s">
        <v>5</v>
      </c>
      <c r="F16" s="12" t="s">
        <v>2</v>
      </c>
      <c r="G16" s="31" t="s">
        <v>0</v>
      </c>
      <c r="H16" s="58" t="s">
        <v>4</v>
      </c>
      <c r="I16" s="12" t="s">
        <v>5</v>
      </c>
      <c r="K16" s="12" t="s">
        <v>2</v>
      </c>
      <c r="L16" s="31" t="s">
        <v>0</v>
      </c>
      <c r="M16" s="9" t="s">
        <v>4</v>
      </c>
      <c r="N16" s="22" t="s">
        <v>5</v>
      </c>
      <c r="P16" s="35"/>
      <c r="Q16" s="65" t="s">
        <v>51</v>
      </c>
      <c r="R16" s="9" t="s">
        <v>52</v>
      </c>
      <c r="S16" s="66" t="s">
        <v>57</v>
      </c>
      <c r="T16" s="74" t="s">
        <v>58</v>
      </c>
    </row>
    <row r="17" spans="1:20" x14ac:dyDescent="0.4">
      <c r="A17" s="13">
        <v>1</v>
      </c>
      <c r="B17" s="11">
        <v>99999999</v>
      </c>
      <c r="C17" s="52">
        <v>52000000</v>
      </c>
      <c r="D17" s="59">
        <f>B17-C17</f>
        <v>47999999</v>
      </c>
      <c r="F17" s="13">
        <v>1</v>
      </c>
      <c r="G17" s="11">
        <v>99999999</v>
      </c>
      <c r="H17" s="52">
        <v>52000000</v>
      </c>
      <c r="I17" s="59">
        <f>G17-H17</f>
        <v>47999999</v>
      </c>
      <c r="K17" s="13">
        <v>1</v>
      </c>
      <c r="L17" s="11">
        <v>99999999</v>
      </c>
      <c r="M17" s="3">
        <v>45000000</v>
      </c>
      <c r="N17" s="24">
        <f>L17-M17</f>
        <v>54999999</v>
      </c>
      <c r="P17" s="63"/>
      <c r="Q17" s="64" t="s">
        <v>53</v>
      </c>
      <c r="R17" s="3">
        <v>86000</v>
      </c>
      <c r="S17" s="3">
        <f>R17*2.5</f>
        <v>215000</v>
      </c>
      <c r="T17" s="75"/>
    </row>
    <row r="18" spans="1:20" x14ac:dyDescent="0.4">
      <c r="A18" s="14">
        <v>2</v>
      </c>
      <c r="B18" s="11">
        <v>99999999</v>
      </c>
      <c r="C18" s="53">
        <v>54000000</v>
      </c>
      <c r="D18" s="59">
        <f>B18-C18</f>
        <v>45999999</v>
      </c>
      <c r="F18" s="14">
        <v>2</v>
      </c>
      <c r="G18" s="11">
        <v>99999999</v>
      </c>
      <c r="H18" s="53">
        <v>53000000</v>
      </c>
      <c r="I18" s="59">
        <f t="shared" ref="I18:I19" si="4">G18-H18</f>
        <v>46999999</v>
      </c>
      <c r="K18" s="14">
        <v>2</v>
      </c>
      <c r="L18" s="11">
        <v>99999999</v>
      </c>
      <c r="M18" s="32">
        <v>44000000</v>
      </c>
      <c r="N18" s="24">
        <f t="shared" ref="N18:N19" si="5">L18-M18</f>
        <v>55999999</v>
      </c>
      <c r="P18" s="63"/>
      <c r="Q18" s="36" t="s">
        <v>54</v>
      </c>
      <c r="R18" s="37">
        <v>157000</v>
      </c>
      <c r="S18" s="37">
        <f t="shared" ref="S18:S20" si="6">R18*2.5</f>
        <v>392500</v>
      </c>
      <c r="T18" s="27">
        <f>(R18*0.45+S18*0.55)*0.98</f>
        <v>280794.5</v>
      </c>
    </row>
    <row r="19" spans="1:20" ht="18" thickBot="1" x14ac:dyDescent="0.45">
      <c r="A19" s="16">
        <v>3</v>
      </c>
      <c r="B19" s="11">
        <v>99999999</v>
      </c>
      <c r="C19" s="54">
        <v>57000000</v>
      </c>
      <c r="D19" s="59">
        <f>B19-C19</f>
        <v>42999999</v>
      </c>
      <c r="F19" s="16">
        <v>3</v>
      </c>
      <c r="G19" s="11">
        <v>99999999</v>
      </c>
      <c r="H19" s="54">
        <v>54000000</v>
      </c>
      <c r="I19" s="59">
        <f t="shared" si="4"/>
        <v>45999999</v>
      </c>
      <c r="K19" s="16">
        <v>3</v>
      </c>
      <c r="L19" s="11">
        <v>99999999</v>
      </c>
      <c r="M19" s="17">
        <v>45000000</v>
      </c>
      <c r="N19" s="24">
        <f t="shared" si="5"/>
        <v>54999999</v>
      </c>
      <c r="P19" s="67"/>
      <c r="Q19" s="36" t="s">
        <v>55</v>
      </c>
      <c r="R19" s="37">
        <v>229000</v>
      </c>
      <c r="S19" s="37">
        <f t="shared" si="6"/>
        <v>572500</v>
      </c>
      <c r="T19" s="27">
        <f>(R19*0.45+S19*0.55)*0.98</f>
        <v>409566.5</v>
      </c>
    </row>
    <row r="20" spans="1:20" ht="18" thickBot="1" x14ac:dyDescent="0.45">
      <c r="A20" s="12" t="s">
        <v>3</v>
      </c>
      <c r="B20" s="34"/>
      <c r="C20" s="55"/>
      <c r="D20" s="57">
        <f>AVERAGE(D17:D19)</f>
        <v>45666665.666666664</v>
      </c>
      <c r="F20" s="12" t="s">
        <v>3</v>
      </c>
      <c r="G20" s="31"/>
      <c r="H20" s="55"/>
      <c r="I20" s="57">
        <f>AVERAGE(I17:I19)</f>
        <v>46999999</v>
      </c>
      <c r="K20" s="12" t="s">
        <v>3</v>
      </c>
      <c r="L20" s="31"/>
      <c r="M20" s="5"/>
      <c r="N20" s="25">
        <f>AVERAGE(N17:N19)</f>
        <v>55333332.333333336</v>
      </c>
      <c r="P20" s="87"/>
      <c r="Q20" s="38" t="s">
        <v>56</v>
      </c>
      <c r="R20" s="39">
        <v>1580000</v>
      </c>
      <c r="S20" s="39">
        <f t="shared" si="6"/>
        <v>3950000</v>
      </c>
      <c r="T20" s="88">
        <f>(R20*0.45+S20*0.55)*0.98</f>
        <v>2825830</v>
      </c>
    </row>
    <row r="21" spans="1:20" ht="18" thickBot="1" x14ac:dyDescent="0.45"/>
    <row r="22" spans="1:20" ht="18" thickBot="1" x14ac:dyDescent="0.45">
      <c r="A22" s="97" t="s">
        <v>7</v>
      </c>
      <c r="B22" s="98"/>
      <c r="C22" s="98"/>
      <c r="D22" s="99"/>
      <c r="F22" s="119" t="s">
        <v>69</v>
      </c>
      <c r="G22" s="120"/>
      <c r="H22" s="120"/>
      <c r="I22" s="12" t="s">
        <v>14</v>
      </c>
      <c r="K22" s="90" t="s">
        <v>31</v>
      </c>
      <c r="L22" s="100"/>
      <c r="M22" s="100"/>
      <c r="N22" s="101"/>
    </row>
    <row r="23" spans="1:20" ht="18" thickBot="1" x14ac:dyDescent="0.45">
      <c r="A23" s="15" t="s">
        <v>2</v>
      </c>
      <c r="B23" s="11" t="s">
        <v>0</v>
      </c>
      <c r="C23" s="52" t="s">
        <v>4</v>
      </c>
      <c r="D23" s="15" t="s">
        <v>5</v>
      </c>
      <c r="F23" s="103" t="s">
        <v>39</v>
      </c>
      <c r="G23" s="115"/>
      <c r="H23" s="40">
        <f>(D32/1.1)</f>
        <v>30303029.393939391</v>
      </c>
      <c r="I23" s="43">
        <f>(H23-$D$32)/$D$32</f>
        <v>-9.0909090909090967E-2</v>
      </c>
      <c r="K23" s="12" t="s">
        <v>2</v>
      </c>
      <c r="L23" s="33" t="s">
        <v>0</v>
      </c>
      <c r="M23" s="9" t="s">
        <v>4</v>
      </c>
      <c r="N23" s="22" t="s">
        <v>5</v>
      </c>
    </row>
    <row r="24" spans="1:20" x14ac:dyDescent="0.4">
      <c r="A24" s="14">
        <v>1</v>
      </c>
      <c r="B24" s="11">
        <v>99999999</v>
      </c>
      <c r="C24" s="53">
        <v>44000000</v>
      </c>
      <c r="D24" s="56">
        <f>B24-C24</f>
        <v>55999999</v>
      </c>
      <c r="F24" s="103" t="s">
        <v>19</v>
      </c>
      <c r="G24" s="115"/>
      <c r="H24" s="40">
        <f>(D32/1.1)*1.1/0.88</f>
        <v>37878786.742424242</v>
      </c>
      <c r="I24" s="43">
        <f>(H24-$D$32)/$D$32</f>
        <v>0.13636363636363641</v>
      </c>
      <c r="K24" s="13">
        <v>1</v>
      </c>
      <c r="L24" s="11">
        <v>99999999</v>
      </c>
      <c r="M24" s="3">
        <v>94000000</v>
      </c>
      <c r="N24" s="24">
        <f>L24-M24</f>
        <v>5999999</v>
      </c>
    </row>
    <row r="25" spans="1:20" x14ac:dyDescent="0.4">
      <c r="A25" s="14">
        <v>2</v>
      </c>
      <c r="B25" s="11">
        <v>99999999</v>
      </c>
      <c r="C25" s="53">
        <v>48000000</v>
      </c>
      <c r="D25" s="56">
        <f>B25-C25</f>
        <v>51999999</v>
      </c>
      <c r="F25" s="107" t="s">
        <v>20</v>
      </c>
      <c r="G25" s="116"/>
      <c r="H25" s="60">
        <f>(D32/1.1)*1.25/0.88</f>
        <v>43044075.843663901</v>
      </c>
      <c r="I25" s="61">
        <f>(H25-$D$32)/$D$32</f>
        <v>0.29132231404958653</v>
      </c>
      <c r="K25" s="14">
        <v>2</v>
      </c>
      <c r="L25" s="11">
        <v>99999999</v>
      </c>
      <c r="M25" s="32">
        <v>92800000</v>
      </c>
      <c r="N25" s="24">
        <f t="shared" ref="N25:N26" si="7">L25-M25</f>
        <v>7199999</v>
      </c>
    </row>
    <row r="26" spans="1:20" ht="18" thickBot="1" x14ac:dyDescent="0.45">
      <c r="A26" s="16">
        <v>3</v>
      </c>
      <c r="B26" s="11">
        <v>99999999</v>
      </c>
      <c r="C26" s="54">
        <v>48000000</v>
      </c>
      <c r="D26" s="56">
        <f>B26-C26</f>
        <v>51999999</v>
      </c>
      <c r="F26" s="117" t="s">
        <v>21</v>
      </c>
      <c r="G26" s="118"/>
      <c r="H26" s="76">
        <f>(D32/1.1)*1.25*1.15/0.88</f>
        <v>49500687.220213488</v>
      </c>
      <c r="I26" s="77">
        <f>(H26-$D$32)/$D$32</f>
        <v>0.48502066115702452</v>
      </c>
      <c r="K26" s="16">
        <v>3</v>
      </c>
      <c r="L26" s="11">
        <v>99999999</v>
      </c>
      <c r="M26" s="17">
        <v>95000000</v>
      </c>
      <c r="N26" s="24">
        <f t="shared" si="7"/>
        <v>4999999</v>
      </c>
    </row>
    <row r="27" spans="1:20" ht="18" thickBot="1" x14ac:dyDescent="0.45">
      <c r="A27" s="12" t="s">
        <v>3</v>
      </c>
      <c r="B27" s="34"/>
      <c r="C27" s="55"/>
      <c r="D27" s="57">
        <f>AVERAGE(D24:D26)</f>
        <v>53333332.333333336</v>
      </c>
      <c r="K27" s="12" t="s">
        <v>3</v>
      </c>
      <c r="L27" s="33"/>
      <c r="M27" s="5"/>
      <c r="N27" s="25">
        <f>AVERAGE(N24:N26)</f>
        <v>6066665.666666667</v>
      </c>
    </row>
    <row r="28" spans="1:20" ht="18" thickBot="1" x14ac:dyDescent="0.45">
      <c r="F28" s="119" t="s">
        <v>71</v>
      </c>
      <c r="G28" s="120"/>
      <c r="H28" s="120"/>
      <c r="I28" s="62" t="s">
        <v>14</v>
      </c>
      <c r="M28" s="28"/>
    </row>
    <row r="29" spans="1:20" ht="18" thickBot="1" x14ac:dyDescent="0.45">
      <c r="B29" s="121" t="s">
        <v>13</v>
      </c>
      <c r="C29" s="122"/>
      <c r="D29" s="123"/>
      <c r="F29" s="103" t="s">
        <v>15</v>
      </c>
      <c r="G29" s="115"/>
      <c r="H29" s="40">
        <f>D31</f>
        <v>13666666.666666668</v>
      </c>
      <c r="I29" s="43">
        <f>(H29)/$D$32</f>
        <v>0.41000001230000044</v>
      </c>
      <c r="M29" s="28"/>
    </row>
    <row r="30" spans="1:20" x14ac:dyDescent="0.4">
      <c r="B30" s="103" t="s">
        <v>32</v>
      </c>
      <c r="C30" s="104"/>
      <c r="D30" s="46">
        <f>N13-D13</f>
        <v>3666666.6666666679</v>
      </c>
      <c r="F30" s="107" t="s">
        <v>40</v>
      </c>
      <c r="G30" s="116"/>
      <c r="H30" s="41">
        <f>(D32)*1.1/0.88</f>
        <v>41666665.416666672</v>
      </c>
      <c r="I30" s="44">
        <f>(H30-$D$32)/$D$32</f>
        <v>0.25000000000000022</v>
      </c>
      <c r="L30" s="18"/>
    </row>
    <row r="31" spans="1:20" ht="18" thickBot="1" x14ac:dyDescent="0.45">
      <c r="B31" s="133" t="s">
        <v>33</v>
      </c>
      <c r="C31" s="136"/>
      <c r="D31" s="47">
        <f>I20-D13</f>
        <v>13666666.666666668</v>
      </c>
      <c r="F31" s="139" t="s">
        <v>44</v>
      </c>
      <c r="G31" s="140"/>
      <c r="H31" s="81">
        <f>SUM(H29:H30)</f>
        <v>55333332.083333343</v>
      </c>
      <c r="I31" s="82">
        <f>(H31-$D$32)/$D$32</f>
        <v>0.66000001230000072</v>
      </c>
    </row>
    <row r="32" spans="1:20" ht="18" thickBot="1" x14ac:dyDescent="0.45">
      <c r="B32" s="105" t="s">
        <v>34</v>
      </c>
      <c r="C32" s="106"/>
      <c r="D32" s="48">
        <f>D13</f>
        <v>33333332.333333332</v>
      </c>
      <c r="F32" s="113" t="s">
        <v>43</v>
      </c>
      <c r="G32" s="114"/>
      <c r="H32" s="42">
        <f>H29+D32</f>
        <v>46999999</v>
      </c>
      <c r="I32" s="45">
        <f>(H32-$D$32)/$D$32</f>
        <v>0.41000001230000044</v>
      </c>
      <c r="K32" s="86"/>
      <c r="L32" s="89"/>
    </row>
    <row r="33" spans="2:9" x14ac:dyDescent="0.4">
      <c r="B33" s="137" t="s">
        <v>35</v>
      </c>
      <c r="C33" s="138"/>
      <c r="D33" s="49">
        <f>D30/$D$32</f>
        <v>0.11000000330000013</v>
      </c>
      <c r="F33" s="141" t="s">
        <v>45</v>
      </c>
      <c r="G33" s="142"/>
      <c r="H33" s="83" t="s">
        <v>46</v>
      </c>
      <c r="I33" s="84">
        <f>(120*I31+79*I32)/199</f>
        <v>0.5607537811442217</v>
      </c>
    </row>
    <row r="34" spans="2:9" ht="18" thickBot="1" x14ac:dyDescent="0.45">
      <c r="B34" s="107" t="s">
        <v>36</v>
      </c>
      <c r="C34" s="108"/>
      <c r="D34" s="50">
        <f>D31/$D$32</f>
        <v>0.41000001230000044</v>
      </c>
      <c r="F34" s="117"/>
      <c r="G34" s="118"/>
      <c r="H34" s="85" t="s">
        <v>47</v>
      </c>
      <c r="I34" s="77">
        <f>(120*I31+43*I32)/163</f>
        <v>0.59404909205460188</v>
      </c>
    </row>
    <row r="35" spans="2:9" ht="18" thickBot="1" x14ac:dyDescent="0.45">
      <c r="B35" s="109" t="s">
        <v>41</v>
      </c>
      <c r="C35" s="110"/>
      <c r="D35" s="51">
        <f>D31*2/D32</f>
        <v>0.82000002460000088</v>
      </c>
    </row>
    <row r="36" spans="2:9" ht="18" thickBot="1" x14ac:dyDescent="0.45">
      <c r="B36" s="111" t="s">
        <v>16</v>
      </c>
      <c r="C36" s="112"/>
      <c r="D36" s="78">
        <f>(D34*16+D35*20)/36</f>
        <v>0.63777779691111181</v>
      </c>
      <c r="F36" s="119" t="s">
        <v>17</v>
      </c>
      <c r="G36" s="120"/>
      <c r="H36" s="126"/>
    </row>
    <row r="37" spans="2:9" ht="18" thickBot="1" x14ac:dyDescent="0.45">
      <c r="F37" s="103" t="s">
        <v>15</v>
      </c>
      <c r="G37" s="115"/>
      <c r="H37" s="29">
        <f>D31*1.11842105263158</f>
        <v>15285087.719298262</v>
      </c>
    </row>
    <row r="38" spans="2:9" ht="18" thickBot="1" x14ac:dyDescent="0.45">
      <c r="B38" s="143" t="s">
        <v>68</v>
      </c>
      <c r="C38" s="144"/>
      <c r="D38" s="145"/>
      <c r="F38" s="107" t="s">
        <v>42</v>
      </c>
      <c r="G38" s="116"/>
      <c r="H38" s="19">
        <f>(D32)*1.11842105263158</f>
        <v>37280700.635964952</v>
      </c>
    </row>
    <row r="39" spans="2:9" ht="18" thickBot="1" x14ac:dyDescent="0.45">
      <c r="B39" s="103" t="s">
        <v>48</v>
      </c>
      <c r="C39" s="127"/>
      <c r="D39" s="68">
        <f>T18*30</f>
        <v>8423835</v>
      </c>
      <c r="F39" s="124" t="s">
        <v>14</v>
      </c>
      <c r="G39" s="125"/>
      <c r="H39" s="20">
        <f>(H37+H38-D32)/D32</f>
        <v>0.57697369796710751</v>
      </c>
    </row>
    <row r="40" spans="2:9" ht="18" thickBot="1" x14ac:dyDescent="0.45">
      <c r="B40" s="107" t="s">
        <v>60</v>
      </c>
      <c r="C40" s="128"/>
      <c r="D40" s="68">
        <f>T19*30/3</f>
        <v>4095665</v>
      </c>
    </row>
    <row r="41" spans="2:9" ht="18" thickBot="1" x14ac:dyDescent="0.45">
      <c r="B41" s="129" t="s">
        <v>49</v>
      </c>
      <c r="C41" s="130"/>
      <c r="D41" s="68">
        <f>T20*3</f>
        <v>8477490</v>
      </c>
      <c r="F41" s="119" t="s">
        <v>72</v>
      </c>
      <c r="G41" s="120"/>
      <c r="H41" s="120"/>
      <c r="I41" s="12" t="s">
        <v>14</v>
      </c>
    </row>
    <row r="42" spans="2:9" ht="18" thickBot="1" x14ac:dyDescent="0.45">
      <c r="B42" s="105" t="s">
        <v>59</v>
      </c>
      <c r="C42" s="131"/>
      <c r="D42" s="69">
        <f>D32*2</f>
        <v>66666664.666666664</v>
      </c>
      <c r="F42" s="103" t="s">
        <v>39</v>
      </c>
      <c r="G42" s="115"/>
      <c r="H42" s="40">
        <f>(D32/1.1)</f>
        <v>30303029.393939391</v>
      </c>
      <c r="I42" s="43">
        <f>(H42-$D$32)/$D$32</f>
        <v>-9.0909090909090967E-2</v>
      </c>
    </row>
    <row r="43" spans="2:9" ht="18" thickBot="1" x14ac:dyDescent="0.45">
      <c r="B43" s="90" t="s">
        <v>66</v>
      </c>
      <c r="C43" s="101"/>
      <c r="D43" s="69">
        <f>D32/0.65</f>
        <v>51282049.743589737</v>
      </c>
      <c r="F43" s="103" t="s">
        <v>19</v>
      </c>
      <c r="G43" s="115"/>
      <c r="H43" s="40">
        <f>(D32/1.1)*1.1/0.88</f>
        <v>37878786.742424242</v>
      </c>
      <c r="I43" s="43">
        <f>(H43-$D$32)/$D$32</f>
        <v>0.13636363636363641</v>
      </c>
    </row>
    <row r="44" spans="2:9" ht="18" thickBot="1" x14ac:dyDescent="0.45">
      <c r="B44" s="91" t="s">
        <v>64</v>
      </c>
      <c r="C44" s="92"/>
      <c r="D44" s="80">
        <f>D39+D40+D41</f>
        <v>20996990</v>
      </c>
      <c r="F44" s="107" t="s">
        <v>20</v>
      </c>
      <c r="G44" s="116"/>
      <c r="H44" s="60">
        <f>(D32/1.1)*1.28/0.88</f>
        <v>44077133.663911834</v>
      </c>
      <c r="I44" s="61">
        <f>(H44-$D$32)/$D$32</f>
        <v>0.32231404958677656</v>
      </c>
    </row>
    <row r="45" spans="2:9" ht="18" thickBot="1" x14ac:dyDescent="0.45">
      <c r="B45" s="93" t="s">
        <v>63</v>
      </c>
      <c r="C45" s="94"/>
      <c r="D45" s="70">
        <f>(D39+D41)/2*3</f>
        <v>25351987.5</v>
      </c>
      <c r="F45" s="117" t="s">
        <v>21</v>
      </c>
      <c r="G45" s="118"/>
      <c r="H45" s="76">
        <f>(D32/1.1)*1.28*1.18/0.88</f>
        <v>52011017.723415971</v>
      </c>
      <c r="I45" s="77">
        <f>(H45-$D$32)/$D$32</f>
        <v>0.56033057851239654</v>
      </c>
    </row>
    <row r="46" spans="2:9" ht="18" thickBot="1" x14ac:dyDescent="0.45">
      <c r="B46" s="95" t="s">
        <v>61</v>
      </c>
      <c r="C46" s="96"/>
      <c r="D46" s="71">
        <f>D40*2+(D39+D41)/2</f>
        <v>16641992.5</v>
      </c>
    </row>
    <row r="47" spans="2:9" ht="18" thickBot="1" x14ac:dyDescent="0.45">
      <c r="B47" s="109" t="s">
        <v>62</v>
      </c>
      <c r="C47" s="132"/>
      <c r="D47" s="72">
        <f>D40*3</f>
        <v>12286995</v>
      </c>
      <c r="F47" s="119" t="s">
        <v>81</v>
      </c>
      <c r="G47" s="120"/>
      <c r="H47" s="120"/>
      <c r="I47" s="62" t="s">
        <v>14</v>
      </c>
    </row>
    <row r="48" spans="2:9" ht="18" thickBot="1" x14ac:dyDescent="0.45">
      <c r="B48" s="133" t="s">
        <v>65</v>
      </c>
      <c r="C48" s="134"/>
      <c r="D48" s="73">
        <f>D44/$D$42</f>
        <v>0.31495485944864582</v>
      </c>
      <c r="F48" s="103" t="s">
        <v>15</v>
      </c>
      <c r="G48" s="115"/>
      <c r="H48" s="40">
        <f>D31*1.1</f>
        <v>15033333.333333336</v>
      </c>
      <c r="I48" s="43">
        <f>(H48)/$D$32</f>
        <v>0.45100001353000052</v>
      </c>
    </row>
    <row r="49" spans="2:9" ht="18" thickBot="1" x14ac:dyDescent="0.45">
      <c r="B49" s="111" t="s">
        <v>67</v>
      </c>
      <c r="C49" s="135"/>
      <c r="D49" s="79">
        <f>D48+(D43+D32-D42)/D42</f>
        <v>0.58418562867941504</v>
      </c>
      <c r="F49" s="107" t="s">
        <v>40</v>
      </c>
      <c r="G49" s="116"/>
      <c r="H49" s="41">
        <f>(D32)*1.1/0.88</f>
        <v>41666665.416666672</v>
      </c>
      <c r="I49" s="44">
        <f>(H49-$D$32)/$D$32</f>
        <v>0.25000000000000022</v>
      </c>
    </row>
    <row r="50" spans="2:9" ht="18" thickBot="1" x14ac:dyDescent="0.45">
      <c r="F50" s="139" t="s">
        <v>44</v>
      </c>
      <c r="G50" s="140"/>
      <c r="H50" s="81">
        <f>SUM(H48:H49)</f>
        <v>56699998.750000007</v>
      </c>
      <c r="I50" s="82">
        <f>(H50-$D$32)/$D$32</f>
        <v>0.70100001353000074</v>
      </c>
    </row>
    <row r="51" spans="2:9" ht="18" thickBot="1" x14ac:dyDescent="0.45">
      <c r="B51" s="121" t="s">
        <v>76</v>
      </c>
      <c r="C51" s="122"/>
      <c r="D51" s="123"/>
      <c r="F51" s="113" t="s">
        <v>43</v>
      </c>
      <c r="G51" s="114"/>
      <c r="H51" s="146">
        <f>H29+D32</f>
        <v>46999999</v>
      </c>
      <c r="I51" s="45">
        <f>(H51-$D$32)/$D$32</f>
        <v>0.41000001230000044</v>
      </c>
    </row>
    <row r="52" spans="2:9" ht="18" thickBot="1" x14ac:dyDescent="0.45">
      <c r="B52" s="133" t="s">
        <v>73</v>
      </c>
      <c r="C52" s="136"/>
      <c r="D52" s="47">
        <f>(I20-D13)*1.05</f>
        <v>14350000.000000002</v>
      </c>
      <c r="F52" s="141" t="s">
        <v>45</v>
      </c>
      <c r="G52" s="142"/>
      <c r="H52" s="83" t="s">
        <v>46</v>
      </c>
      <c r="I52" s="84">
        <f>(120*I50+79*I51)/199</f>
        <v>0.58547739997638248</v>
      </c>
    </row>
    <row r="53" spans="2:9" ht="18" thickBot="1" x14ac:dyDescent="0.45">
      <c r="B53" s="105" t="s">
        <v>34</v>
      </c>
      <c r="C53" s="106"/>
      <c r="D53" s="48">
        <f>D13</f>
        <v>33333332.333333332</v>
      </c>
      <c r="F53" s="117"/>
      <c r="G53" s="118"/>
      <c r="H53" s="85" t="s">
        <v>47</v>
      </c>
      <c r="I53" s="77">
        <f>(120*I50+43*I51)/163</f>
        <v>0.62423314203987801</v>
      </c>
    </row>
    <row r="54" spans="2:9" x14ac:dyDescent="0.4">
      <c r="B54" s="107" t="s">
        <v>74</v>
      </c>
      <c r="C54" s="108"/>
      <c r="D54" s="50">
        <f>D52/$D$32</f>
        <v>0.43050001291500045</v>
      </c>
    </row>
    <row r="55" spans="2:9" ht="18" thickBot="1" x14ac:dyDescent="0.45">
      <c r="B55" s="109" t="s">
        <v>75</v>
      </c>
      <c r="C55" s="110"/>
      <c r="D55" s="51">
        <f>D52*2/D53</f>
        <v>0.8610000258300009</v>
      </c>
    </row>
    <row r="56" spans="2:9" ht="18" thickBot="1" x14ac:dyDescent="0.45">
      <c r="B56" s="111" t="s">
        <v>45</v>
      </c>
      <c r="C56" s="112"/>
      <c r="D56" s="78">
        <f>(D54*16+D55*20)/36</f>
        <v>0.66966668675666741</v>
      </c>
    </row>
    <row r="57" spans="2:9" ht="18" thickBot="1" x14ac:dyDescent="0.45"/>
    <row r="58" spans="2:9" ht="18" thickBot="1" x14ac:dyDescent="0.45">
      <c r="B58" s="121" t="s">
        <v>77</v>
      </c>
      <c r="C58" s="122"/>
      <c r="D58" s="123"/>
    </row>
    <row r="59" spans="2:9" ht="18" thickBot="1" x14ac:dyDescent="0.45">
      <c r="B59" s="133" t="s">
        <v>73</v>
      </c>
      <c r="C59" s="136"/>
      <c r="D59" s="47">
        <f>(I20-D13)*1.1</f>
        <v>15033333.333333336</v>
      </c>
    </row>
    <row r="60" spans="2:9" ht="18" thickBot="1" x14ac:dyDescent="0.45">
      <c r="B60" s="105" t="s">
        <v>34</v>
      </c>
      <c r="C60" s="106"/>
      <c r="D60" s="48">
        <f>D13</f>
        <v>33333332.333333332</v>
      </c>
    </row>
    <row r="61" spans="2:9" x14ac:dyDescent="0.4">
      <c r="B61" s="107" t="s">
        <v>74</v>
      </c>
      <c r="C61" s="108"/>
      <c r="D61" s="50">
        <f>D59/$D$32</f>
        <v>0.45100001353000052</v>
      </c>
    </row>
    <row r="62" spans="2:9" ht="18" thickBot="1" x14ac:dyDescent="0.45">
      <c r="B62" s="109" t="s">
        <v>75</v>
      </c>
      <c r="C62" s="110"/>
      <c r="D62" s="51">
        <f>D59*2/D60</f>
        <v>0.90200002706000104</v>
      </c>
    </row>
    <row r="63" spans="2:9" ht="18" thickBot="1" x14ac:dyDescent="0.45">
      <c r="B63" s="111" t="s">
        <v>45</v>
      </c>
      <c r="C63" s="112"/>
      <c r="D63" s="78">
        <f>(D61*16+D62*20)/36</f>
        <v>0.70155557660222312</v>
      </c>
    </row>
    <row r="64" spans="2:9" ht="18" thickBot="1" x14ac:dyDescent="0.45"/>
    <row r="65" spans="2:4" ht="18" thickBot="1" x14ac:dyDescent="0.45">
      <c r="B65" s="121" t="s">
        <v>78</v>
      </c>
      <c r="C65" s="122"/>
      <c r="D65" s="123"/>
    </row>
    <row r="66" spans="2:4" ht="18" thickBot="1" x14ac:dyDescent="0.45">
      <c r="B66" s="133" t="s">
        <v>73</v>
      </c>
      <c r="C66" s="136"/>
      <c r="D66" s="47">
        <f>(I20-D13)*1.1</f>
        <v>15033333.333333336</v>
      </c>
    </row>
    <row r="67" spans="2:4" ht="18" thickBot="1" x14ac:dyDescent="0.45">
      <c r="B67" s="105" t="s">
        <v>34</v>
      </c>
      <c r="C67" s="106"/>
      <c r="D67" s="48">
        <f>D13</f>
        <v>33333332.333333332</v>
      </c>
    </row>
    <row r="68" spans="2:4" x14ac:dyDescent="0.4">
      <c r="B68" s="107" t="s">
        <v>74</v>
      </c>
      <c r="C68" s="108"/>
      <c r="D68" s="50">
        <f>D66/$D$32</f>
        <v>0.45100001353000052</v>
      </c>
    </row>
    <row r="69" spans="2:4" ht="18" thickBot="1" x14ac:dyDescent="0.45">
      <c r="B69" s="109" t="s">
        <v>75</v>
      </c>
      <c r="C69" s="110"/>
      <c r="D69" s="51">
        <f>D66*2.2/D67</f>
        <v>0.99220002976600119</v>
      </c>
    </row>
    <row r="70" spans="2:4" ht="18" thickBot="1" x14ac:dyDescent="0.45">
      <c r="B70" s="111" t="s">
        <v>45</v>
      </c>
      <c r="C70" s="112"/>
      <c r="D70" s="78">
        <f>(D68*16+D69*20)/36</f>
        <v>0.75166668921666757</v>
      </c>
    </row>
    <row r="71" spans="2:4" ht="18" thickBot="1" x14ac:dyDescent="0.45"/>
    <row r="72" spans="2:4" ht="18" thickBot="1" x14ac:dyDescent="0.45">
      <c r="B72" s="143" t="s">
        <v>80</v>
      </c>
      <c r="C72" s="144"/>
      <c r="D72" s="145"/>
    </row>
    <row r="73" spans="2:4" ht="18" thickBot="1" x14ac:dyDescent="0.45">
      <c r="B73" s="103" t="s">
        <v>48</v>
      </c>
      <c r="C73" s="127"/>
      <c r="D73" s="68">
        <f>T18*30</f>
        <v>8423835</v>
      </c>
    </row>
    <row r="74" spans="2:4" ht="18" thickBot="1" x14ac:dyDescent="0.45">
      <c r="B74" s="107" t="s">
        <v>60</v>
      </c>
      <c r="C74" s="128"/>
      <c r="D74" s="68">
        <f>T19*30/3</f>
        <v>4095665</v>
      </c>
    </row>
    <row r="75" spans="2:4" ht="18" thickBot="1" x14ac:dyDescent="0.45">
      <c r="B75" s="129" t="s">
        <v>49</v>
      </c>
      <c r="C75" s="130"/>
      <c r="D75" s="68">
        <f>T20*3</f>
        <v>8477490</v>
      </c>
    </row>
    <row r="76" spans="2:4" ht="18" thickBot="1" x14ac:dyDescent="0.45">
      <c r="B76" s="105" t="s">
        <v>79</v>
      </c>
      <c r="C76" s="131"/>
      <c r="D76" s="69">
        <f>D32*2*5/6</f>
        <v>55555553.888888888</v>
      </c>
    </row>
    <row r="77" spans="2:4" ht="18" thickBot="1" x14ac:dyDescent="0.45">
      <c r="B77" s="90" t="s">
        <v>66</v>
      </c>
      <c r="C77" s="101"/>
      <c r="D77" s="69">
        <f>D32/0.65</f>
        <v>51282049.743589737</v>
      </c>
    </row>
    <row r="78" spans="2:4" ht="18" thickBot="1" x14ac:dyDescent="0.45">
      <c r="B78" s="91" t="s">
        <v>64</v>
      </c>
      <c r="C78" s="92"/>
      <c r="D78" s="80">
        <f>D73+D74+D75</f>
        <v>20996990</v>
      </c>
    </row>
    <row r="79" spans="2:4" x14ac:dyDescent="0.4">
      <c r="B79" s="93" t="s">
        <v>63</v>
      </c>
      <c r="C79" s="94"/>
      <c r="D79" s="70">
        <f>(D73+D75)/2*3</f>
        <v>25351987.5</v>
      </c>
    </row>
    <row r="80" spans="2:4" x14ac:dyDescent="0.4">
      <c r="B80" s="95" t="s">
        <v>61</v>
      </c>
      <c r="C80" s="96"/>
      <c r="D80" s="71">
        <f>D74*2+(D73+D75)/2</f>
        <v>16641992.5</v>
      </c>
    </row>
    <row r="81" spans="1:8" ht="18" thickBot="1" x14ac:dyDescent="0.45">
      <c r="B81" s="109" t="s">
        <v>62</v>
      </c>
      <c r="C81" s="132"/>
      <c r="D81" s="72">
        <f>D74*3</f>
        <v>12286995</v>
      </c>
    </row>
    <row r="82" spans="1:8" ht="18" thickBot="1" x14ac:dyDescent="0.45">
      <c r="B82" s="133" t="s">
        <v>65</v>
      </c>
      <c r="C82" s="134"/>
      <c r="D82" s="73">
        <f>D78/$D$76</f>
        <v>0.37794583133837495</v>
      </c>
    </row>
    <row r="83" spans="1:8" ht="18" thickBot="1" x14ac:dyDescent="0.45">
      <c r="B83" s="111" t="s">
        <v>67</v>
      </c>
      <c r="C83" s="135"/>
      <c r="D83" s="79">
        <f>D82+(D77+D13*2/3-D76)/D76</f>
        <v>0.70102275441529804</v>
      </c>
    </row>
    <row r="92" spans="1:8" x14ac:dyDescent="0.4">
      <c r="C92" t="s">
        <v>9</v>
      </c>
      <c r="D92" s="1" t="s">
        <v>10</v>
      </c>
      <c r="E92" t="s">
        <v>11</v>
      </c>
    </row>
    <row r="93" spans="1:8" x14ac:dyDescent="0.4">
      <c r="A93" s="102" t="s">
        <v>8</v>
      </c>
      <c r="B93" s="102"/>
      <c r="C93">
        <v>85600</v>
      </c>
      <c r="D93" s="1">
        <f>C93*2.5</f>
        <v>214000</v>
      </c>
      <c r="E93">
        <f>(C93*0.45+D93*0.55)*0.98</f>
        <v>153095.6</v>
      </c>
    </row>
    <row r="94" spans="1:8" x14ac:dyDescent="0.4">
      <c r="A94" s="102" t="s">
        <v>12</v>
      </c>
      <c r="B94" s="102"/>
      <c r="C94">
        <v>300000</v>
      </c>
      <c r="D94" s="1">
        <f>C94*2.5</f>
        <v>750000</v>
      </c>
      <c r="G94" s="18">
        <v>120</v>
      </c>
      <c r="H94">
        <v>76</v>
      </c>
    </row>
    <row r="95" spans="1:8" x14ac:dyDescent="0.4">
      <c r="E95" s="18">
        <f>D30/E93*2</f>
        <v>47.900353330424487</v>
      </c>
      <c r="G95">
        <v>56.11</v>
      </c>
      <c r="H95">
        <v>33</v>
      </c>
    </row>
    <row r="97" spans="1:9" x14ac:dyDescent="0.4">
      <c r="A97" s="1" t="s">
        <v>22</v>
      </c>
      <c r="B97" s="1" t="s">
        <v>23</v>
      </c>
      <c r="C97">
        <v>307000</v>
      </c>
      <c r="D97" s="30">
        <f>C97*2.5</f>
        <v>767500</v>
      </c>
      <c r="E97">
        <f>(C97*0.45+D97*0.55)*0.98</f>
        <v>549069.5</v>
      </c>
      <c r="G97">
        <f>G94*G95</f>
        <v>6733.2</v>
      </c>
      <c r="H97">
        <f>H94*H95</f>
        <v>2508</v>
      </c>
      <c r="I97">
        <f>(G97+H97)/196</f>
        <v>47.148979591836735</v>
      </c>
    </row>
    <row r="98" spans="1:9" x14ac:dyDescent="0.4">
      <c r="B98" s="1" t="s">
        <v>24</v>
      </c>
      <c r="C98">
        <v>157000</v>
      </c>
      <c r="D98" s="30">
        <f t="shared" ref="D98" si="8">C98*2.5</f>
        <v>392500</v>
      </c>
      <c r="E98">
        <f>(C98*0.45+D98*0.55)*0.98</f>
        <v>280794.5</v>
      </c>
      <c r="G98">
        <f>E98*30</f>
        <v>8423835</v>
      </c>
    </row>
    <row r="99" spans="1:9" x14ac:dyDescent="0.4">
      <c r="B99" s="1" t="s">
        <v>25</v>
      </c>
      <c r="C99">
        <v>229000</v>
      </c>
      <c r="D99" s="30">
        <f>C99*2.5</f>
        <v>572500</v>
      </c>
      <c r="E99">
        <f>(C99*0.45+D99*0.55)*0.98</f>
        <v>409566.5</v>
      </c>
      <c r="G99">
        <f>E99*30</f>
        <v>12286995</v>
      </c>
    </row>
    <row r="100" spans="1:9" x14ac:dyDescent="0.4">
      <c r="B100" s="1" t="s">
        <v>26</v>
      </c>
      <c r="C100">
        <v>1580000</v>
      </c>
      <c r="D100" s="30">
        <f>C100*2.5</f>
        <v>3950000</v>
      </c>
      <c r="E100">
        <f>(C100*0.45+D100*0.55)*0.98</f>
        <v>2825830</v>
      </c>
      <c r="G100">
        <f>E100*3</f>
        <v>8477490</v>
      </c>
    </row>
    <row r="103" spans="1:9" x14ac:dyDescent="0.4">
      <c r="F103">
        <f>SUM(G98:G100)/2</f>
        <v>14594160</v>
      </c>
    </row>
  </sheetData>
  <mergeCells count="89">
    <mergeCell ref="B82:C82"/>
    <mergeCell ref="B83:C83"/>
    <mergeCell ref="B77:C77"/>
    <mergeCell ref="B78:C78"/>
    <mergeCell ref="B79:C79"/>
    <mergeCell ref="B80:C80"/>
    <mergeCell ref="B81:C81"/>
    <mergeCell ref="B72:D72"/>
    <mergeCell ref="B73:C73"/>
    <mergeCell ref="B74:C74"/>
    <mergeCell ref="B75:C75"/>
    <mergeCell ref="B76:C76"/>
    <mergeCell ref="B68:C68"/>
    <mergeCell ref="B69:C69"/>
    <mergeCell ref="B70:C70"/>
    <mergeCell ref="B65:D65"/>
    <mergeCell ref="B66:C66"/>
    <mergeCell ref="B67:C67"/>
    <mergeCell ref="B62:C62"/>
    <mergeCell ref="B63:C63"/>
    <mergeCell ref="F45:G45"/>
    <mergeCell ref="B51:D51"/>
    <mergeCell ref="B52:C52"/>
    <mergeCell ref="B53:C53"/>
    <mergeCell ref="F47:H47"/>
    <mergeCell ref="F48:G48"/>
    <mergeCell ref="F49:G49"/>
    <mergeCell ref="F50:G50"/>
    <mergeCell ref="F51:G51"/>
    <mergeCell ref="F52:G53"/>
    <mergeCell ref="P15:T15"/>
    <mergeCell ref="B47:C47"/>
    <mergeCell ref="B48:C48"/>
    <mergeCell ref="B43:C43"/>
    <mergeCell ref="B49:C49"/>
    <mergeCell ref="A15:D15"/>
    <mergeCell ref="F28:H28"/>
    <mergeCell ref="F29:G29"/>
    <mergeCell ref="F30:G30"/>
    <mergeCell ref="A22:D22"/>
    <mergeCell ref="B31:C31"/>
    <mergeCell ref="B33:C33"/>
    <mergeCell ref="F31:G31"/>
    <mergeCell ref="F32:G32"/>
    <mergeCell ref="F33:G34"/>
    <mergeCell ref="B38:D38"/>
    <mergeCell ref="A1:B1"/>
    <mergeCell ref="F1:G1"/>
    <mergeCell ref="A93:B93"/>
    <mergeCell ref="A8:D8"/>
    <mergeCell ref="F24:G24"/>
    <mergeCell ref="F23:G23"/>
    <mergeCell ref="F25:G25"/>
    <mergeCell ref="F26:G26"/>
    <mergeCell ref="F22:H22"/>
    <mergeCell ref="B29:D29"/>
    <mergeCell ref="F37:G37"/>
    <mergeCell ref="F38:G38"/>
    <mergeCell ref="F39:G39"/>
    <mergeCell ref="F36:H36"/>
    <mergeCell ref="B39:C39"/>
    <mergeCell ref="B40:C40"/>
    <mergeCell ref="A94:B94"/>
    <mergeCell ref="B30:C30"/>
    <mergeCell ref="B32:C32"/>
    <mergeCell ref="B34:C34"/>
    <mergeCell ref="B35:C35"/>
    <mergeCell ref="B36:C36"/>
    <mergeCell ref="B41:C41"/>
    <mergeCell ref="B42:C42"/>
    <mergeCell ref="B54:C54"/>
    <mergeCell ref="B55:C55"/>
    <mergeCell ref="B56:C56"/>
    <mergeCell ref="B58:D58"/>
    <mergeCell ref="B59:C59"/>
    <mergeCell ref="B60:C60"/>
    <mergeCell ref="B61:C61"/>
    <mergeCell ref="B44:C44"/>
    <mergeCell ref="B45:C45"/>
    <mergeCell ref="B46:C46"/>
    <mergeCell ref="F8:I8"/>
    <mergeCell ref="F15:I15"/>
    <mergeCell ref="K15:N15"/>
    <mergeCell ref="K22:N22"/>
    <mergeCell ref="K8:N8"/>
    <mergeCell ref="F41:H41"/>
    <mergeCell ref="F42:G42"/>
    <mergeCell ref="F43:G43"/>
    <mergeCell ref="F44:G4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 Woog Kang</dc:creator>
  <cp:lastModifiedBy>Tae Woog Kang</cp:lastModifiedBy>
  <dcterms:created xsi:type="dcterms:W3CDTF">2021-03-27T12:42:16Z</dcterms:created>
  <dcterms:modified xsi:type="dcterms:W3CDTF">2021-06-08T12:57:38Z</dcterms:modified>
</cp:coreProperties>
</file>