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1555" windowHeight="11370" activeTab="4"/>
  </bookViews>
  <sheets>
    <sheet name="입력란" sheetId="7" r:id="rId1"/>
    <sheet name="DPS표" sheetId="1" r:id="rId2"/>
    <sheet name="트라이포드" sheetId="6" r:id="rId3"/>
    <sheet name="스킬 계수" sheetId="2" r:id="rId4"/>
    <sheet name="업데이트 내역" sheetId="8" r:id="rId5"/>
  </sheets>
  <definedNames>
    <definedName name="_xlnm._FilterDatabase" localSheetId="1" hidden="1">DPS표!$B$15:$AQ$627</definedName>
  </definedNames>
  <calcPr calcId="145621"/>
</workbook>
</file>

<file path=xl/calcChain.xml><?xml version="1.0" encoding="utf-8"?>
<calcChain xmlns="http://schemas.openxmlformats.org/spreadsheetml/2006/main">
  <c r="D25" i="6" l="1"/>
  <c r="P11" i="6"/>
  <c r="S410" i="1" l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C37" i="7" l="1"/>
  <c r="C38" i="7" l="1"/>
  <c r="AK596" i="1"/>
  <c r="AK595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37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498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62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16" i="1"/>
  <c r="AL596" i="1"/>
  <c r="AL595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37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215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17" i="1"/>
  <c r="AL16" i="1"/>
  <c r="C39" i="7"/>
  <c r="C31" i="7"/>
  <c r="C33" i="7" l="1"/>
  <c r="L15" i="6"/>
  <c r="P14" i="6"/>
  <c r="L14" i="6"/>
  <c r="R15" i="6"/>
  <c r="P15" i="6"/>
  <c r="H19" i="6"/>
  <c r="D18" i="6"/>
  <c r="D16" i="6"/>
  <c r="C30" i="7"/>
  <c r="AH5" i="2"/>
  <c r="AH12" i="2"/>
  <c r="P20" i="6" l="1"/>
  <c r="R25" i="6" l="1"/>
  <c r="N25" i="6"/>
  <c r="J25" i="6"/>
  <c r="J22" i="6"/>
  <c r="L19" i="6"/>
  <c r="D19" i="6"/>
  <c r="F18" i="6"/>
  <c r="R17" i="6"/>
  <c r="P17" i="6"/>
  <c r="L17" i="6"/>
  <c r="J17" i="6"/>
  <c r="F16" i="6"/>
  <c r="R11" i="6"/>
  <c r="N11" i="6"/>
  <c r="L11" i="6"/>
  <c r="J11" i="6"/>
  <c r="R20" i="6"/>
  <c r="N20" i="6"/>
  <c r="L20" i="6"/>
  <c r="C43" i="7" l="1"/>
  <c r="D20" i="6" l="1"/>
  <c r="R19" i="6"/>
  <c r="P19" i="6"/>
  <c r="J19" i="6"/>
  <c r="V346" i="1"/>
  <c r="V342" i="1"/>
  <c r="V338" i="1"/>
  <c r="V331" i="1"/>
  <c r="V329" i="1"/>
  <c r="V327" i="1"/>
  <c r="V322" i="1"/>
  <c r="V319" i="1"/>
  <c r="V315" i="1"/>
  <c r="V311" i="1"/>
  <c r="V304" i="1"/>
  <c r="V302" i="1"/>
  <c r="V300" i="1"/>
  <c r="V295" i="1"/>
  <c r="R18" i="6"/>
  <c r="P18" i="6"/>
  <c r="N18" i="6"/>
  <c r="J18" i="6"/>
  <c r="D17" i="6"/>
  <c r="R16" i="6"/>
  <c r="P16" i="6"/>
  <c r="N16" i="6"/>
  <c r="J16" i="6"/>
  <c r="Y143" i="1" l="1"/>
  <c r="AH143" i="1" s="1"/>
  <c r="X143" i="1"/>
  <c r="AG143" i="1" s="1"/>
  <c r="W143" i="1"/>
  <c r="AF143" i="1" s="1"/>
  <c r="Y141" i="1"/>
  <c r="AH141" i="1" s="1"/>
  <c r="X141" i="1"/>
  <c r="AG141" i="1" s="1"/>
  <c r="W141" i="1"/>
  <c r="AF141" i="1" s="1"/>
  <c r="Y135" i="1"/>
  <c r="AH135" i="1" s="1"/>
  <c r="X135" i="1"/>
  <c r="AG135" i="1" s="1"/>
  <c r="W135" i="1"/>
  <c r="AF135" i="1" s="1"/>
  <c r="Y133" i="1"/>
  <c r="AH133" i="1" s="1"/>
  <c r="X133" i="1"/>
  <c r="AG133" i="1" s="1"/>
  <c r="W133" i="1"/>
  <c r="AF133" i="1" s="1"/>
  <c r="Y126" i="1"/>
  <c r="AH126" i="1" s="1"/>
  <c r="X126" i="1"/>
  <c r="AG126" i="1" s="1"/>
  <c r="W126" i="1"/>
  <c r="AF126" i="1" s="1"/>
  <c r="Y122" i="1"/>
  <c r="AH122" i="1" s="1"/>
  <c r="X122" i="1"/>
  <c r="AG122" i="1" s="1"/>
  <c r="W122" i="1"/>
  <c r="AF122" i="1" s="1"/>
  <c r="W117" i="1"/>
  <c r="AF117" i="1" s="1"/>
  <c r="X117" i="1"/>
  <c r="AG117" i="1" s="1"/>
  <c r="Y117" i="1"/>
  <c r="AH117" i="1" s="1"/>
  <c r="W118" i="1"/>
  <c r="AF118" i="1" s="1"/>
  <c r="X118" i="1"/>
  <c r="AG118" i="1" s="1"/>
  <c r="Y118" i="1"/>
  <c r="AH118" i="1" s="1"/>
  <c r="W119" i="1"/>
  <c r="AF119" i="1" s="1"/>
  <c r="X119" i="1"/>
  <c r="AG119" i="1" s="1"/>
  <c r="Y119" i="1"/>
  <c r="AH119" i="1" s="1"/>
  <c r="W121" i="1"/>
  <c r="AF121" i="1" s="1"/>
  <c r="X121" i="1"/>
  <c r="AG121" i="1" s="1"/>
  <c r="Y121" i="1"/>
  <c r="AH121" i="1" s="1"/>
  <c r="W123" i="1"/>
  <c r="AF123" i="1" s="1"/>
  <c r="X123" i="1"/>
  <c r="AG123" i="1" s="1"/>
  <c r="Y123" i="1"/>
  <c r="AH123" i="1" s="1"/>
  <c r="W125" i="1"/>
  <c r="AF125" i="1" s="1"/>
  <c r="X125" i="1"/>
  <c r="AG125" i="1" s="1"/>
  <c r="Y125" i="1"/>
  <c r="AH125" i="1" s="1"/>
  <c r="W127" i="1"/>
  <c r="AF127" i="1" s="1"/>
  <c r="X127" i="1"/>
  <c r="AG127" i="1" s="1"/>
  <c r="Y127" i="1"/>
  <c r="AH127" i="1" s="1"/>
  <c r="W128" i="1"/>
  <c r="AF128" i="1" s="1"/>
  <c r="X128" i="1"/>
  <c r="AG128" i="1" s="1"/>
  <c r="Y128" i="1"/>
  <c r="AH128" i="1" s="1"/>
  <c r="W129" i="1"/>
  <c r="AF129" i="1" s="1"/>
  <c r="X129" i="1"/>
  <c r="AG129" i="1" s="1"/>
  <c r="Y129" i="1"/>
  <c r="AH129" i="1" s="1"/>
  <c r="W132" i="1"/>
  <c r="AF132" i="1" s="1"/>
  <c r="X132" i="1"/>
  <c r="AG132" i="1" s="1"/>
  <c r="Y132" i="1"/>
  <c r="AH132" i="1" s="1"/>
  <c r="W134" i="1"/>
  <c r="AF134" i="1" s="1"/>
  <c r="X134" i="1"/>
  <c r="AG134" i="1" s="1"/>
  <c r="Y134" i="1"/>
  <c r="AH134" i="1" s="1"/>
  <c r="W136" i="1"/>
  <c r="AF136" i="1" s="1"/>
  <c r="X136" i="1"/>
  <c r="AG136" i="1" s="1"/>
  <c r="Y136" i="1"/>
  <c r="AH136" i="1" s="1"/>
  <c r="W137" i="1"/>
  <c r="AF137" i="1" s="1"/>
  <c r="X137" i="1"/>
  <c r="AG137" i="1" s="1"/>
  <c r="Y137" i="1"/>
  <c r="AH137" i="1" s="1"/>
  <c r="W140" i="1"/>
  <c r="AF140" i="1" s="1"/>
  <c r="X140" i="1"/>
  <c r="AG140" i="1" s="1"/>
  <c r="Y140" i="1"/>
  <c r="AH140" i="1" s="1"/>
  <c r="W142" i="1"/>
  <c r="AF142" i="1" s="1"/>
  <c r="X142" i="1"/>
  <c r="AG142" i="1" s="1"/>
  <c r="Y142" i="1"/>
  <c r="AH142" i="1" s="1"/>
  <c r="X116" i="1"/>
  <c r="AG116" i="1" s="1"/>
  <c r="Y116" i="1"/>
  <c r="AH116" i="1" s="1"/>
  <c r="W116" i="1"/>
  <c r="AF116" i="1" s="1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B23" i="2" l="1"/>
  <c r="B24" i="2"/>
  <c r="J24" i="6" l="1"/>
  <c r="H24" i="6"/>
  <c r="R23" i="6"/>
  <c r="P23" i="6"/>
  <c r="F23" i="6"/>
  <c r="R22" i="6"/>
  <c r="L22" i="6"/>
  <c r="R21" i="6"/>
  <c r="P21" i="6"/>
  <c r="N21" i="6"/>
  <c r="J21" i="6"/>
  <c r="F21" i="6"/>
  <c r="J15" i="6"/>
  <c r="N14" i="6"/>
  <c r="J13" i="6"/>
  <c r="H13" i="6"/>
  <c r="R12" i="6"/>
  <c r="H12" i="6"/>
  <c r="R10" i="6"/>
  <c r="L10" i="6"/>
  <c r="R9" i="6"/>
  <c r="P9" i="6"/>
  <c r="N9" i="6"/>
  <c r="L9" i="6"/>
  <c r="H9" i="6"/>
  <c r="R8" i="6"/>
  <c r="P8" i="6"/>
  <c r="N8" i="6"/>
  <c r="R7" i="6"/>
  <c r="P7" i="6"/>
  <c r="N7" i="6"/>
  <c r="H7" i="6"/>
  <c r="R6" i="6" l="1"/>
  <c r="P6" i="6"/>
  <c r="N6" i="6"/>
  <c r="L6" i="6"/>
  <c r="J6" i="6"/>
  <c r="N5" i="6"/>
  <c r="C34" i="7"/>
  <c r="C35" i="7"/>
  <c r="C41" i="7"/>
  <c r="C42" i="7"/>
  <c r="C44" i="7"/>
  <c r="C45" i="7"/>
  <c r="L5" i="6"/>
  <c r="AJ521" i="1" l="1"/>
  <c r="AJ517" i="1"/>
  <c r="AJ513" i="1"/>
  <c r="AJ577" i="1"/>
  <c r="AJ573" i="1"/>
  <c r="AJ569" i="1"/>
  <c r="AJ565" i="1"/>
  <c r="AJ484" i="1"/>
  <c r="AJ480" i="1"/>
  <c r="AJ476" i="1"/>
  <c r="AJ443" i="1"/>
  <c r="AJ439" i="1"/>
  <c r="AJ435" i="1"/>
  <c r="AJ431" i="1"/>
  <c r="AJ520" i="1"/>
  <c r="AJ522" i="1"/>
  <c r="AJ518" i="1"/>
  <c r="AJ514" i="1"/>
  <c r="AJ578" i="1"/>
  <c r="AJ574" i="1"/>
  <c r="AJ570" i="1"/>
  <c r="AJ566" i="1"/>
  <c r="AJ485" i="1"/>
  <c r="AJ481" i="1"/>
  <c r="AJ477" i="1"/>
  <c r="AJ444" i="1"/>
  <c r="AJ440" i="1"/>
  <c r="AJ436" i="1"/>
  <c r="AJ432" i="1"/>
  <c r="AJ428" i="1"/>
  <c r="AJ479" i="1"/>
  <c r="AJ475" i="1"/>
  <c r="AJ442" i="1"/>
  <c r="AJ438" i="1"/>
  <c r="AJ434" i="1"/>
  <c r="AJ523" i="1"/>
  <c r="AJ519" i="1"/>
  <c r="AJ515" i="1"/>
  <c r="AJ511" i="1"/>
  <c r="AJ575" i="1"/>
  <c r="AJ571" i="1"/>
  <c r="AJ567" i="1"/>
  <c r="AJ563" i="1"/>
  <c r="AJ482" i="1"/>
  <c r="AJ478" i="1"/>
  <c r="AJ474" i="1"/>
  <c r="AJ441" i="1"/>
  <c r="AJ437" i="1"/>
  <c r="AJ433" i="1"/>
  <c r="AJ429" i="1"/>
  <c r="AJ516" i="1"/>
  <c r="AJ512" i="1"/>
  <c r="AJ576" i="1"/>
  <c r="AJ572" i="1"/>
  <c r="AJ568" i="1"/>
  <c r="AJ564" i="1"/>
  <c r="AJ483" i="1"/>
  <c r="AJ430" i="1"/>
  <c r="AJ553" i="1"/>
  <c r="AJ185" i="1"/>
  <c r="AJ189" i="1"/>
  <c r="AJ181" i="1"/>
  <c r="AJ187" i="1"/>
  <c r="AJ184" i="1"/>
  <c r="AJ192" i="1"/>
  <c r="AJ182" i="1"/>
  <c r="AJ186" i="1"/>
  <c r="AJ190" i="1"/>
  <c r="AJ183" i="1"/>
  <c r="AJ191" i="1"/>
  <c r="AJ188" i="1"/>
  <c r="AJ265" i="1"/>
  <c r="AJ557" i="1"/>
  <c r="AJ559" i="1"/>
  <c r="AJ548" i="1"/>
  <c r="AJ561" i="1"/>
  <c r="AJ551" i="1"/>
  <c r="AJ554" i="1"/>
  <c r="X542" i="1"/>
  <c r="AJ381" i="1"/>
  <c r="AJ377" i="1"/>
  <c r="AJ373" i="1"/>
  <c r="AJ369" i="1"/>
  <c r="AJ365" i="1"/>
  <c r="AJ361" i="1"/>
  <c r="AJ357" i="1"/>
  <c r="AJ353" i="1"/>
  <c r="AJ349" i="1"/>
  <c r="AJ380" i="1"/>
  <c r="AJ376" i="1"/>
  <c r="AJ372" i="1"/>
  <c r="AJ368" i="1"/>
  <c r="AJ364" i="1"/>
  <c r="AJ360" i="1"/>
  <c r="AJ356" i="1"/>
  <c r="AJ352" i="1"/>
  <c r="AJ379" i="1"/>
  <c r="AJ375" i="1"/>
  <c r="AJ371" i="1"/>
  <c r="AJ367" i="1"/>
  <c r="AJ363" i="1"/>
  <c r="AJ359" i="1"/>
  <c r="AJ355" i="1"/>
  <c r="AJ351" i="1"/>
  <c r="AJ378" i="1"/>
  <c r="AJ374" i="1"/>
  <c r="AJ370" i="1"/>
  <c r="AJ366" i="1"/>
  <c r="AJ362" i="1"/>
  <c r="AJ358" i="1"/>
  <c r="AJ354" i="1"/>
  <c r="AJ350" i="1"/>
  <c r="AJ238" i="1"/>
  <c r="AJ106" i="1"/>
  <c r="AJ344" i="1"/>
  <c r="AJ327" i="1"/>
  <c r="AJ322" i="1"/>
  <c r="AJ300" i="1"/>
  <c r="AJ295" i="1"/>
  <c r="AJ348" i="1"/>
  <c r="AJ309" i="1"/>
  <c r="AJ315" i="1"/>
  <c r="AJ342" i="1"/>
  <c r="AJ340" i="1"/>
  <c r="AJ336" i="1"/>
  <c r="AJ329" i="1"/>
  <c r="AJ302" i="1"/>
  <c r="AJ311" i="1"/>
  <c r="AJ338" i="1"/>
  <c r="AJ313" i="1"/>
  <c r="AJ346" i="1"/>
  <c r="AJ319" i="1"/>
  <c r="AJ284" i="1"/>
  <c r="AJ286" i="1"/>
  <c r="AJ287" i="1"/>
  <c r="AJ273" i="1"/>
  <c r="AJ259" i="1"/>
  <c r="AJ234" i="1"/>
  <c r="AJ135" i="1"/>
  <c r="AJ331" i="1"/>
  <c r="AJ282" i="1"/>
  <c r="AJ276" i="1"/>
  <c r="AJ248" i="1"/>
  <c r="AJ122" i="1"/>
  <c r="AJ290" i="1"/>
  <c r="AJ271" i="1"/>
  <c r="AJ243" i="1"/>
  <c r="AJ143" i="1"/>
  <c r="AJ126" i="1"/>
  <c r="AJ317" i="1"/>
  <c r="AJ288" i="1"/>
  <c r="AJ289" i="1"/>
  <c r="AJ275" i="1"/>
  <c r="AJ261" i="1"/>
  <c r="AJ236" i="1"/>
  <c r="AJ133" i="1"/>
  <c r="AJ280" i="1"/>
  <c r="AJ283" i="1"/>
  <c r="AJ223" i="1"/>
  <c r="AJ141" i="1"/>
  <c r="AJ304" i="1"/>
  <c r="AJ291" i="1"/>
  <c r="AJ274" i="1"/>
  <c r="AJ218" i="1"/>
  <c r="AJ263" i="1"/>
  <c r="AJ240" i="1"/>
  <c r="AJ225" i="1"/>
  <c r="AJ250" i="1"/>
  <c r="AJ108" i="1"/>
  <c r="AJ110" i="1"/>
  <c r="AJ114" i="1"/>
  <c r="AJ105" i="1"/>
  <c r="AJ111" i="1"/>
  <c r="AJ115" i="1"/>
  <c r="AJ112" i="1"/>
  <c r="AJ107" i="1"/>
  <c r="AJ109" i="1"/>
  <c r="AJ113" i="1"/>
  <c r="AJ104" i="1"/>
  <c r="X541" i="1"/>
  <c r="X539" i="1"/>
  <c r="X537" i="1"/>
  <c r="AG537" i="1" s="1"/>
  <c r="W541" i="1"/>
  <c r="W539" i="1"/>
  <c r="W537" i="1"/>
  <c r="AF537" i="1" s="1"/>
  <c r="X543" i="1"/>
  <c r="X540" i="1"/>
  <c r="X538" i="1"/>
  <c r="W543" i="1"/>
  <c r="W540" i="1"/>
  <c r="W538" i="1"/>
  <c r="W542" i="1"/>
  <c r="AJ411" i="1"/>
  <c r="AJ415" i="1"/>
  <c r="AJ419" i="1"/>
  <c r="AJ423" i="1"/>
  <c r="AJ412" i="1"/>
  <c r="AJ416" i="1"/>
  <c r="AJ420" i="1"/>
  <c r="AJ424" i="1"/>
  <c r="AJ413" i="1"/>
  <c r="AJ417" i="1"/>
  <c r="AJ421" i="1"/>
  <c r="AJ425" i="1"/>
  <c r="AJ414" i="1"/>
  <c r="AJ418" i="1"/>
  <c r="AJ422" i="1"/>
  <c r="AJ426" i="1"/>
  <c r="C29" i="7"/>
  <c r="AN523" i="1" l="1"/>
  <c r="AN522" i="1"/>
  <c r="AN521" i="1"/>
  <c r="AN520" i="1"/>
  <c r="AN519" i="1"/>
  <c r="AN518" i="1"/>
  <c r="AN517" i="1"/>
  <c r="AN516" i="1"/>
  <c r="AN515" i="1"/>
  <c r="AN514" i="1"/>
  <c r="AN513" i="1"/>
  <c r="AN512" i="1"/>
  <c r="AN511" i="1"/>
  <c r="AN578" i="1"/>
  <c r="AN577" i="1"/>
  <c r="AN576" i="1"/>
  <c r="AN575" i="1"/>
  <c r="AN482" i="1"/>
  <c r="AN481" i="1"/>
  <c r="AN480" i="1"/>
  <c r="AN479" i="1"/>
  <c r="AN478" i="1"/>
  <c r="AN477" i="1"/>
  <c r="AN442" i="1"/>
  <c r="AO441" i="1"/>
  <c r="T441" i="1" s="1"/>
  <c r="AN438" i="1"/>
  <c r="AO437" i="1"/>
  <c r="T437" i="1" s="1"/>
  <c r="AN434" i="1"/>
  <c r="AO433" i="1"/>
  <c r="T433" i="1" s="1"/>
  <c r="AN430" i="1"/>
  <c r="AO429" i="1"/>
  <c r="T429" i="1" s="1"/>
  <c r="AN476" i="1"/>
  <c r="AO444" i="1"/>
  <c r="T444" i="1" s="1"/>
  <c r="AO436" i="1"/>
  <c r="T436" i="1" s="1"/>
  <c r="AN433" i="1"/>
  <c r="AO428" i="1"/>
  <c r="T428" i="1" s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485" i="1"/>
  <c r="AN444" i="1"/>
  <c r="AO443" i="1"/>
  <c r="T443" i="1" s="1"/>
  <c r="AN440" i="1"/>
  <c r="AO439" i="1"/>
  <c r="T439" i="1" s="1"/>
  <c r="AN436" i="1"/>
  <c r="AO435" i="1"/>
  <c r="T435" i="1" s="1"/>
  <c r="AN432" i="1"/>
  <c r="AO431" i="1"/>
  <c r="T431" i="1" s="1"/>
  <c r="AN428" i="1"/>
  <c r="AN475" i="1"/>
  <c r="AN441" i="1"/>
  <c r="AN484" i="1"/>
  <c r="AN483" i="1"/>
  <c r="AN443" i="1"/>
  <c r="AO442" i="1"/>
  <c r="T442" i="1" s="1"/>
  <c r="AN439" i="1"/>
  <c r="AO438" i="1"/>
  <c r="T438" i="1" s="1"/>
  <c r="AN435" i="1"/>
  <c r="AO434" i="1"/>
  <c r="T434" i="1" s="1"/>
  <c r="AN431" i="1"/>
  <c r="AO430" i="1"/>
  <c r="T430" i="1" s="1"/>
  <c r="AN474" i="1"/>
  <c r="AO440" i="1"/>
  <c r="T440" i="1" s="1"/>
  <c r="AN437" i="1"/>
  <c r="AO432" i="1"/>
  <c r="T432" i="1" s="1"/>
  <c r="AN429" i="1"/>
  <c r="AN553" i="1"/>
  <c r="AM553" i="1" s="1"/>
  <c r="AO268" i="1"/>
  <c r="AO270" i="1"/>
  <c r="AO272" i="1"/>
  <c r="AO274" i="1"/>
  <c r="T274" i="1" s="1"/>
  <c r="AC274" i="1" s="1"/>
  <c r="AO276" i="1"/>
  <c r="AO278" i="1"/>
  <c r="AO280" i="1"/>
  <c r="T280" i="1" s="1"/>
  <c r="AC280" i="1" s="1"/>
  <c r="AO282" i="1"/>
  <c r="T282" i="1" s="1"/>
  <c r="AC282" i="1" s="1"/>
  <c r="AO284" i="1"/>
  <c r="AO286" i="1"/>
  <c r="T286" i="1" s="1"/>
  <c r="AC286" i="1" s="1"/>
  <c r="AO288" i="1"/>
  <c r="T288" i="1" s="1"/>
  <c r="AC288" i="1" s="1"/>
  <c r="AO290" i="1"/>
  <c r="T290" i="1" s="1"/>
  <c r="AC290" i="1" s="1"/>
  <c r="AN267" i="1"/>
  <c r="AN272" i="1"/>
  <c r="AN278" i="1"/>
  <c r="AN284" i="1"/>
  <c r="AN290" i="1"/>
  <c r="AN269" i="1"/>
  <c r="AN271" i="1"/>
  <c r="AN273" i="1"/>
  <c r="AN275" i="1"/>
  <c r="AN277" i="1"/>
  <c r="AN279" i="1"/>
  <c r="AN281" i="1"/>
  <c r="AN283" i="1"/>
  <c r="AN285" i="1"/>
  <c r="AN287" i="1"/>
  <c r="AN289" i="1"/>
  <c r="AN291" i="1"/>
  <c r="AN270" i="1"/>
  <c r="AN276" i="1"/>
  <c r="AN280" i="1"/>
  <c r="AN286" i="1"/>
  <c r="AO267" i="1"/>
  <c r="AO269" i="1"/>
  <c r="AO271" i="1"/>
  <c r="T271" i="1" s="1"/>
  <c r="AC271" i="1" s="1"/>
  <c r="AO273" i="1"/>
  <c r="T273" i="1" s="1"/>
  <c r="AC273" i="1" s="1"/>
  <c r="AO275" i="1"/>
  <c r="T275" i="1" s="1"/>
  <c r="AC275" i="1" s="1"/>
  <c r="AO277" i="1"/>
  <c r="AO279" i="1"/>
  <c r="AO281" i="1"/>
  <c r="AO283" i="1"/>
  <c r="T283" i="1" s="1"/>
  <c r="AC283" i="1" s="1"/>
  <c r="AO285" i="1"/>
  <c r="AO287" i="1"/>
  <c r="T287" i="1" s="1"/>
  <c r="AC287" i="1" s="1"/>
  <c r="AO289" i="1"/>
  <c r="AO291" i="1"/>
  <c r="AN268" i="1"/>
  <c r="AN274" i="1"/>
  <c r="AN282" i="1"/>
  <c r="AN288" i="1"/>
  <c r="AN106" i="1"/>
  <c r="AN561" i="1"/>
  <c r="AN557" i="1"/>
  <c r="AN551" i="1"/>
  <c r="AO350" i="1"/>
  <c r="AO352" i="1"/>
  <c r="AO354" i="1"/>
  <c r="AO356" i="1"/>
  <c r="AO358" i="1"/>
  <c r="AO360" i="1"/>
  <c r="AO362" i="1"/>
  <c r="AO364" i="1"/>
  <c r="AO366" i="1"/>
  <c r="AO368" i="1"/>
  <c r="AO370" i="1"/>
  <c r="AO372" i="1"/>
  <c r="AO374" i="1"/>
  <c r="AO376" i="1"/>
  <c r="AO378" i="1"/>
  <c r="AO380" i="1"/>
  <c r="AN348" i="1"/>
  <c r="AN294" i="1"/>
  <c r="AO295" i="1"/>
  <c r="AP296" i="1"/>
  <c r="AN298" i="1"/>
  <c r="AO299" i="1"/>
  <c r="AP301" i="1"/>
  <c r="AN300" i="1"/>
  <c r="AO302" i="1"/>
  <c r="AP304" i="1"/>
  <c r="AN306" i="1"/>
  <c r="AO307" i="1"/>
  <c r="AP308" i="1"/>
  <c r="AN312" i="1"/>
  <c r="AO314" i="1"/>
  <c r="AP316" i="1"/>
  <c r="AN309" i="1"/>
  <c r="AO311" i="1"/>
  <c r="AP313" i="1"/>
  <c r="AN317" i="1"/>
  <c r="AO319" i="1"/>
  <c r="AP320" i="1"/>
  <c r="AN323" i="1"/>
  <c r="AO322" i="1"/>
  <c r="AP324" i="1"/>
  <c r="AN326" i="1"/>
  <c r="AO328" i="1"/>
  <c r="AP330" i="1"/>
  <c r="AN327" i="1"/>
  <c r="AO329" i="1"/>
  <c r="AP331" i="1"/>
  <c r="AN334" i="1"/>
  <c r="AO335" i="1"/>
  <c r="AP337" i="1"/>
  <c r="AN341" i="1"/>
  <c r="AO343" i="1"/>
  <c r="AP345" i="1"/>
  <c r="AN336" i="1"/>
  <c r="AO338" i="1"/>
  <c r="AP340" i="1"/>
  <c r="AN344" i="1"/>
  <c r="AO346" i="1"/>
  <c r="AN292" i="1"/>
  <c r="AN349" i="1"/>
  <c r="AN351" i="1"/>
  <c r="AN353" i="1"/>
  <c r="AN355" i="1"/>
  <c r="AN357" i="1"/>
  <c r="AN359" i="1"/>
  <c r="AN361" i="1"/>
  <c r="AN363" i="1"/>
  <c r="AN365" i="1"/>
  <c r="AN367" i="1"/>
  <c r="AN369" i="1"/>
  <c r="AN371" i="1"/>
  <c r="AN373" i="1"/>
  <c r="AN375" i="1"/>
  <c r="AN377" i="1"/>
  <c r="AN379" i="1"/>
  <c r="AN381" i="1"/>
  <c r="AN293" i="1"/>
  <c r="AO294" i="1"/>
  <c r="AP295" i="1"/>
  <c r="AN297" i="1"/>
  <c r="AO298" i="1"/>
  <c r="AP299" i="1"/>
  <c r="AN303" i="1"/>
  <c r="AO300" i="1"/>
  <c r="AP302" i="1"/>
  <c r="AN305" i="1"/>
  <c r="AO306" i="1"/>
  <c r="AP307" i="1"/>
  <c r="AN310" i="1"/>
  <c r="AO312" i="1"/>
  <c r="AP314" i="1"/>
  <c r="AN318" i="1"/>
  <c r="AO309" i="1"/>
  <c r="AP311" i="1"/>
  <c r="AN315" i="1"/>
  <c r="AO317" i="1"/>
  <c r="AP319" i="1"/>
  <c r="AN321" i="1"/>
  <c r="AO323" i="1"/>
  <c r="AP322" i="1"/>
  <c r="AN325" i="1"/>
  <c r="AO326" i="1"/>
  <c r="AP328" i="1"/>
  <c r="AN332" i="1"/>
  <c r="AO327" i="1"/>
  <c r="AP329" i="1"/>
  <c r="AN333" i="1"/>
  <c r="AO334" i="1"/>
  <c r="AP335" i="1"/>
  <c r="AN339" i="1"/>
  <c r="AO341" i="1"/>
  <c r="AP343" i="1"/>
  <c r="AN347" i="1"/>
  <c r="AO336" i="1"/>
  <c r="AP338" i="1"/>
  <c r="AN342" i="1"/>
  <c r="AO344" i="1"/>
  <c r="AP346" i="1"/>
  <c r="AN559" i="1"/>
  <c r="AN554" i="1"/>
  <c r="AN548" i="1"/>
  <c r="AO349" i="1"/>
  <c r="AO351" i="1"/>
  <c r="AO353" i="1"/>
  <c r="AO355" i="1"/>
  <c r="AO357" i="1"/>
  <c r="AO359" i="1"/>
  <c r="AO361" i="1"/>
  <c r="AO363" i="1"/>
  <c r="AO365" i="1"/>
  <c r="AO367" i="1"/>
  <c r="AO369" i="1"/>
  <c r="AO371" i="1"/>
  <c r="AO373" i="1"/>
  <c r="AO375" i="1"/>
  <c r="AO377" i="1"/>
  <c r="AO379" i="1"/>
  <c r="AO381" i="1"/>
  <c r="AO293" i="1"/>
  <c r="AP294" i="1"/>
  <c r="AN296" i="1"/>
  <c r="AO297" i="1"/>
  <c r="AP298" i="1"/>
  <c r="AN301" i="1"/>
  <c r="AO303" i="1"/>
  <c r="AP300" i="1"/>
  <c r="AN304" i="1"/>
  <c r="AO305" i="1"/>
  <c r="AP306" i="1"/>
  <c r="AN308" i="1"/>
  <c r="AO310" i="1"/>
  <c r="AP312" i="1"/>
  <c r="AN316" i="1"/>
  <c r="AO318" i="1"/>
  <c r="AP309" i="1"/>
  <c r="AN313" i="1"/>
  <c r="AO315" i="1"/>
  <c r="AP317" i="1"/>
  <c r="AN320" i="1"/>
  <c r="AO321" i="1"/>
  <c r="AP323" i="1"/>
  <c r="AN324" i="1"/>
  <c r="AO325" i="1"/>
  <c r="AP326" i="1"/>
  <c r="AN330" i="1"/>
  <c r="AO332" i="1"/>
  <c r="AP327" i="1"/>
  <c r="AN331" i="1"/>
  <c r="AO333" i="1"/>
  <c r="AP334" i="1"/>
  <c r="AN337" i="1"/>
  <c r="AO339" i="1"/>
  <c r="AP341" i="1"/>
  <c r="AN345" i="1"/>
  <c r="AO347" i="1"/>
  <c r="AP336" i="1"/>
  <c r="AN340" i="1"/>
  <c r="AO342" i="1"/>
  <c r="AP344" i="1"/>
  <c r="AP292" i="1"/>
  <c r="AN350" i="1"/>
  <c r="AN352" i="1"/>
  <c r="AN354" i="1"/>
  <c r="AN356" i="1"/>
  <c r="AN358" i="1"/>
  <c r="AN360" i="1"/>
  <c r="AN362" i="1"/>
  <c r="AN364" i="1"/>
  <c r="AN366" i="1"/>
  <c r="AN368" i="1"/>
  <c r="AN370" i="1"/>
  <c r="AN372" i="1"/>
  <c r="AN374" i="1"/>
  <c r="AN376" i="1"/>
  <c r="AN378" i="1"/>
  <c r="AN380" i="1"/>
  <c r="AO348" i="1"/>
  <c r="AP293" i="1"/>
  <c r="AN295" i="1"/>
  <c r="AO296" i="1"/>
  <c r="AP297" i="1"/>
  <c r="AN299" i="1"/>
  <c r="AO301" i="1"/>
  <c r="AP303" i="1"/>
  <c r="AN302" i="1"/>
  <c r="AO304" i="1"/>
  <c r="AP305" i="1"/>
  <c r="AN307" i="1"/>
  <c r="AO308" i="1"/>
  <c r="AP310" i="1"/>
  <c r="AN314" i="1"/>
  <c r="AO316" i="1"/>
  <c r="AP318" i="1"/>
  <c r="AN311" i="1"/>
  <c r="AO313" i="1"/>
  <c r="AP315" i="1"/>
  <c r="AN319" i="1"/>
  <c r="AO320" i="1"/>
  <c r="AP321" i="1"/>
  <c r="AN322" i="1"/>
  <c r="AO324" i="1"/>
  <c r="AP325" i="1"/>
  <c r="AN328" i="1"/>
  <c r="AO330" i="1"/>
  <c r="AP332" i="1"/>
  <c r="AN329" i="1"/>
  <c r="AO331" i="1"/>
  <c r="AP333" i="1"/>
  <c r="AN335" i="1"/>
  <c r="AO337" i="1"/>
  <c r="AP339" i="1"/>
  <c r="AN343" i="1"/>
  <c r="AO345" i="1"/>
  <c r="AP347" i="1"/>
  <c r="AN338" i="1"/>
  <c r="AO340" i="1"/>
  <c r="AP342" i="1"/>
  <c r="AN346" i="1"/>
  <c r="AO292" i="1"/>
  <c r="T291" i="1"/>
  <c r="AC291" i="1" s="1"/>
  <c r="AN265" i="1"/>
  <c r="AO259" i="1"/>
  <c r="AN250" i="1"/>
  <c r="AO240" i="1"/>
  <c r="AN238" i="1"/>
  <c r="AO225" i="1"/>
  <c r="AN223" i="1"/>
  <c r="AO217" i="1"/>
  <c r="AO220" i="1"/>
  <c r="AO222" i="1"/>
  <c r="AO226" i="1"/>
  <c r="AO228" i="1"/>
  <c r="AO230" i="1"/>
  <c r="AO232" i="1"/>
  <c r="AO235" i="1"/>
  <c r="AO239" i="1"/>
  <c r="AO242" i="1"/>
  <c r="AO245" i="1"/>
  <c r="AO247" i="1"/>
  <c r="AO251" i="1"/>
  <c r="AO253" i="1"/>
  <c r="AO255" i="1"/>
  <c r="AO257" i="1"/>
  <c r="AO260" i="1"/>
  <c r="AO264" i="1"/>
  <c r="AN215" i="1"/>
  <c r="T276" i="1"/>
  <c r="AC276" i="1" s="1"/>
  <c r="AO261" i="1"/>
  <c r="AN259" i="1"/>
  <c r="AO243" i="1"/>
  <c r="AN240" i="1"/>
  <c r="AO234" i="1"/>
  <c r="AN225" i="1"/>
  <c r="AN216" i="1"/>
  <c r="AN219" i="1"/>
  <c r="AN221" i="1"/>
  <c r="AN224" i="1"/>
  <c r="AN227" i="1"/>
  <c r="AN229" i="1"/>
  <c r="AN231" i="1"/>
  <c r="AN233" i="1"/>
  <c r="AN237" i="1"/>
  <c r="AN241" i="1"/>
  <c r="AN244" i="1"/>
  <c r="AN246" i="1"/>
  <c r="AN249" i="1"/>
  <c r="AN252" i="1"/>
  <c r="AN254" i="1"/>
  <c r="AN256" i="1"/>
  <c r="AN258" i="1"/>
  <c r="AN262" i="1"/>
  <c r="AN266" i="1"/>
  <c r="AN143" i="1"/>
  <c r="AN141" i="1"/>
  <c r="AN135" i="1"/>
  <c r="AN133" i="1"/>
  <c r="AN126" i="1"/>
  <c r="AN122" i="1"/>
  <c r="T284" i="1"/>
  <c r="AC284" i="1" s="1"/>
  <c r="AO263" i="1"/>
  <c r="AN261" i="1"/>
  <c r="AO248" i="1"/>
  <c r="AN243" i="1"/>
  <c r="AO236" i="1"/>
  <c r="AN234" i="1"/>
  <c r="AO218" i="1"/>
  <c r="AO216" i="1"/>
  <c r="AO219" i="1"/>
  <c r="AO221" i="1"/>
  <c r="AO224" i="1"/>
  <c r="AO227" i="1"/>
  <c r="AO229" i="1"/>
  <c r="AO231" i="1"/>
  <c r="AO233" i="1"/>
  <c r="AO237" i="1"/>
  <c r="AO241" i="1"/>
  <c r="AO244" i="1"/>
  <c r="AO246" i="1"/>
  <c r="AO249" i="1"/>
  <c r="AO252" i="1"/>
  <c r="AO254" i="1"/>
  <c r="AO256" i="1"/>
  <c r="AO258" i="1"/>
  <c r="AO262" i="1"/>
  <c r="AO266" i="1"/>
  <c r="T289" i="1"/>
  <c r="AC289" i="1" s="1"/>
  <c r="AO265" i="1"/>
  <c r="AN263" i="1"/>
  <c r="AO250" i="1"/>
  <c r="AN248" i="1"/>
  <c r="AO238" i="1"/>
  <c r="AN236" i="1"/>
  <c r="AO223" i="1"/>
  <c r="AN218" i="1"/>
  <c r="AN217" i="1"/>
  <c r="AN220" i="1"/>
  <c r="AN222" i="1"/>
  <c r="AN226" i="1"/>
  <c r="AN228" i="1"/>
  <c r="AN230" i="1"/>
  <c r="AN232" i="1"/>
  <c r="AN235" i="1"/>
  <c r="AN239" i="1"/>
  <c r="AN242" i="1"/>
  <c r="AN245" i="1"/>
  <c r="AN247" i="1"/>
  <c r="AN251" i="1"/>
  <c r="AN253" i="1"/>
  <c r="AN255" i="1"/>
  <c r="AN257" i="1"/>
  <c r="AN260" i="1"/>
  <c r="AN264" i="1"/>
  <c r="AO215" i="1"/>
  <c r="M311" i="1"/>
  <c r="M315" i="1"/>
  <c r="M302" i="1"/>
  <c r="M329" i="1"/>
  <c r="N122" i="1"/>
  <c r="O122" i="1"/>
  <c r="P122" i="1"/>
  <c r="P126" i="1"/>
  <c r="N126" i="1"/>
  <c r="O126" i="1"/>
  <c r="M338" i="1"/>
  <c r="M322" i="1"/>
  <c r="M327" i="1"/>
  <c r="M319" i="1"/>
  <c r="N141" i="1"/>
  <c r="O141" i="1"/>
  <c r="P141" i="1"/>
  <c r="P143" i="1"/>
  <c r="O143" i="1"/>
  <c r="N143" i="1"/>
  <c r="M346" i="1"/>
  <c r="M295" i="1"/>
  <c r="P133" i="1"/>
  <c r="O133" i="1"/>
  <c r="N133" i="1"/>
  <c r="N135" i="1"/>
  <c r="P135" i="1"/>
  <c r="O135" i="1"/>
  <c r="M300" i="1"/>
  <c r="M304" i="1"/>
  <c r="M342" i="1"/>
  <c r="M331" i="1"/>
  <c r="AN412" i="1"/>
  <c r="AN416" i="1"/>
  <c r="AN420" i="1"/>
  <c r="AN424" i="1"/>
  <c r="AO411" i="1"/>
  <c r="AO415" i="1"/>
  <c r="AO419" i="1"/>
  <c r="AO423" i="1"/>
  <c r="AO427" i="1"/>
  <c r="AN465" i="1"/>
  <c r="AN469" i="1"/>
  <c r="AN473" i="1"/>
  <c r="AN501" i="1"/>
  <c r="AN510" i="1"/>
  <c r="AN540" i="1"/>
  <c r="AN544" i="1"/>
  <c r="AO538" i="1"/>
  <c r="V538" i="1" s="1"/>
  <c r="AO542" i="1"/>
  <c r="V542" i="1" s="1"/>
  <c r="AO546" i="1"/>
  <c r="X546" i="1" s="1"/>
  <c r="AN552" i="1"/>
  <c r="S552" i="1" s="1"/>
  <c r="AN560" i="1"/>
  <c r="S560" i="1" s="1"/>
  <c r="AN427" i="1"/>
  <c r="AO422" i="1"/>
  <c r="AN468" i="1"/>
  <c r="AN504" i="1"/>
  <c r="AN539" i="1"/>
  <c r="AO541" i="1"/>
  <c r="V541" i="1" s="1"/>
  <c r="AN558" i="1"/>
  <c r="S558" i="1" s="1"/>
  <c r="AN413" i="1"/>
  <c r="AN417" i="1"/>
  <c r="AN421" i="1"/>
  <c r="AN425" i="1"/>
  <c r="AO412" i="1"/>
  <c r="AO416" i="1"/>
  <c r="AO420" i="1"/>
  <c r="AO424" i="1"/>
  <c r="AN462" i="1"/>
  <c r="AN466" i="1"/>
  <c r="AN470" i="1"/>
  <c r="AN498" i="1"/>
  <c r="AN502" i="1"/>
  <c r="AN505" i="1"/>
  <c r="AN508" i="1"/>
  <c r="AN537" i="1"/>
  <c r="AN541" i="1"/>
  <c r="AN545" i="1"/>
  <c r="AO539" i="1"/>
  <c r="V539" i="1" s="1"/>
  <c r="AO543" i="1"/>
  <c r="V543" i="1" s="1"/>
  <c r="AN547" i="1"/>
  <c r="S547" i="1" s="1"/>
  <c r="AN555" i="1"/>
  <c r="S555" i="1" s="1"/>
  <c r="AN562" i="1"/>
  <c r="S562" i="1" s="1"/>
  <c r="AN415" i="1"/>
  <c r="AN423" i="1"/>
  <c r="AO418" i="1"/>
  <c r="AN464" i="1"/>
  <c r="AN500" i="1"/>
  <c r="AN543" i="1"/>
  <c r="AN550" i="1"/>
  <c r="S550" i="1" s="1"/>
  <c r="AN414" i="1"/>
  <c r="AN418" i="1"/>
  <c r="AN422" i="1"/>
  <c r="AN426" i="1"/>
  <c r="AO413" i="1"/>
  <c r="AO417" i="1"/>
  <c r="AO421" i="1"/>
  <c r="AO425" i="1"/>
  <c r="AN463" i="1"/>
  <c r="AN467" i="1"/>
  <c r="AN471" i="1"/>
  <c r="AN499" i="1"/>
  <c r="AN503" i="1"/>
  <c r="AN506" i="1"/>
  <c r="AN509" i="1"/>
  <c r="AN538" i="1"/>
  <c r="AN542" i="1"/>
  <c r="AN546" i="1"/>
  <c r="AO540" i="1"/>
  <c r="V540" i="1" s="1"/>
  <c r="AO544" i="1"/>
  <c r="X544" i="1" s="1"/>
  <c r="AN549" i="1"/>
  <c r="S549" i="1" s="1"/>
  <c r="AN556" i="1"/>
  <c r="S556" i="1" s="1"/>
  <c r="AN595" i="1"/>
  <c r="S595" i="1" s="1"/>
  <c r="AN411" i="1"/>
  <c r="AN419" i="1"/>
  <c r="AO414" i="1"/>
  <c r="AO426" i="1"/>
  <c r="AN472" i="1"/>
  <c r="AN507" i="1"/>
  <c r="AO537" i="1"/>
  <c r="V537" i="1" s="1"/>
  <c r="AO545" i="1"/>
  <c r="X545" i="1" s="1"/>
  <c r="AN596" i="1"/>
  <c r="S596" i="1" s="1"/>
  <c r="AC304" i="1" l="1"/>
  <c r="AC342" i="1"/>
  <c r="AD317" i="1"/>
  <c r="AD300" i="1"/>
  <c r="AD346" i="1"/>
  <c r="AC336" i="1"/>
  <c r="AD329" i="1"/>
  <c r="AD311" i="1"/>
  <c r="AC346" i="1"/>
  <c r="AC329" i="1"/>
  <c r="AC311" i="1"/>
  <c r="AD304" i="1"/>
  <c r="AD342" i="1"/>
  <c r="AC315" i="1"/>
  <c r="AC344" i="1"/>
  <c r="AC327" i="1"/>
  <c r="AD319" i="1"/>
  <c r="AC309" i="1"/>
  <c r="AD302" i="1"/>
  <c r="AC319" i="1"/>
  <c r="AC302" i="1"/>
  <c r="AC340" i="1"/>
  <c r="AD315" i="1"/>
  <c r="AD336" i="1"/>
  <c r="AD322" i="1"/>
  <c r="AC317" i="1"/>
  <c r="AC300" i="1"/>
  <c r="AD340" i="1"/>
  <c r="AC322" i="1"/>
  <c r="AC331" i="1"/>
  <c r="AC313" i="1"/>
  <c r="AD344" i="1"/>
  <c r="AD327" i="1"/>
  <c r="AD309" i="1"/>
  <c r="AD338" i="1"/>
  <c r="AD295" i="1"/>
  <c r="AC338" i="1"/>
  <c r="AD331" i="1"/>
  <c r="AD313" i="1"/>
  <c r="AC295" i="1"/>
  <c r="AC440" i="1"/>
  <c r="K440" i="1"/>
  <c r="K434" i="1"/>
  <c r="AC434" i="1"/>
  <c r="AC442" i="1"/>
  <c r="K442" i="1"/>
  <c r="S441" i="1"/>
  <c r="AM441" i="1"/>
  <c r="Z441" i="1"/>
  <c r="S432" i="1"/>
  <c r="AM432" i="1"/>
  <c r="Z432" i="1"/>
  <c r="S440" i="1"/>
  <c r="AM440" i="1"/>
  <c r="Z440" i="1"/>
  <c r="AM563" i="1"/>
  <c r="S563" i="1"/>
  <c r="Z563" i="1"/>
  <c r="AM567" i="1"/>
  <c r="S567" i="1"/>
  <c r="Z567" i="1"/>
  <c r="Z571" i="1"/>
  <c r="S571" i="1"/>
  <c r="AM571" i="1"/>
  <c r="K428" i="1"/>
  <c r="AC428" i="1"/>
  <c r="AM476" i="1"/>
  <c r="T476" i="1"/>
  <c r="V476" i="1"/>
  <c r="U476" i="1"/>
  <c r="S476" i="1"/>
  <c r="S434" i="1"/>
  <c r="Z434" i="1"/>
  <c r="AM434" i="1"/>
  <c r="S442" i="1"/>
  <c r="Z442" i="1"/>
  <c r="AM442" i="1"/>
  <c r="T480" i="1"/>
  <c r="S480" i="1"/>
  <c r="U480" i="1"/>
  <c r="AM480" i="1"/>
  <c r="V480" i="1"/>
  <c r="S576" i="1"/>
  <c r="AM576" i="1"/>
  <c r="Z576" i="1"/>
  <c r="S512" i="1"/>
  <c r="T512" i="1"/>
  <c r="U512" i="1"/>
  <c r="Z512" i="1"/>
  <c r="AM512" i="1"/>
  <c r="V512" i="1"/>
  <c r="T516" i="1"/>
  <c r="Z516" i="1"/>
  <c r="AM516" i="1"/>
  <c r="V516" i="1"/>
  <c r="U516" i="1"/>
  <c r="S516" i="1"/>
  <c r="S520" i="1"/>
  <c r="V520" i="1"/>
  <c r="Z520" i="1"/>
  <c r="T520" i="1"/>
  <c r="U520" i="1"/>
  <c r="AM520" i="1"/>
  <c r="S429" i="1"/>
  <c r="AM429" i="1"/>
  <c r="Z429" i="1"/>
  <c r="AM474" i="1"/>
  <c r="T474" i="1"/>
  <c r="V474" i="1"/>
  <c r="S474" i="1"/>
  <c r="U474" i="1"/>
  <c r="S435" i="1"/>
  <c r="Z435" i="1"/>
  <c r="AM435" i="1"/>
  <c r="S443" i="1"/>
  <c r="Z443" i="1"/>
  <c r="AM443" i="1"/>
  <c r="U475" i="1"/>
  <c r="S475" i="1"/>
  <c r="AM475" i="1"/>
  <c r="T475" i="1"/>
  <c r="V475" i="1"/>
  <c r="K435" i="1"/>
  <c r="AC435" i="1"/>
  <c r="AC443" i="1"/>
  <c r="K443" i="1"/>
  <c r="S564" i="1"/>
  <c r="Z564" i="1"/>
  <c r="AM564" i="1"/>
  <c r="S568" i="1"/>
  <c r="Z568" i="1"/>
  <c r="AM568" i="1"/>
  <c r="S572" i="1"/>
  <c r="Z572" i="1"/>
  <c r="AM572" i="1"/>
  <c r="S433" i="1"/>
  <c r="AM433" i="1"/>
  <c r="Z433" i="1"/>
  <c r="K429" i="1"/>
  <c r="AC429" i="1"/>
  <c r="AC437" i="1"/>
  <c r="K437" i="1"/>
  <c r="AM477" i="1"/>
  <c r="T477" i="1"/>
  <c r="V477" i="1"/>
  <c r="S477" i="1"/>
  <c r="U477" i="1"/>
  <c r="AM481" i="1"/>
  <c r="T481" i="1"/>
  <c r="U481" i="1"/>
  <c r="V481" i="1"/>
  <c r="S481" i="1"/>
  <c r="AM577" i="1"/>
  <c r="Z577" i="1"/>
  <c r="S577" i="1"/>
  <c r="S513" i="1"/>
  <c r="T513" i="1"/>
  <c r="Z513" i="1"/>
  <c r="AM513" i="1"/>
  <c r="V513" i="1"/>
  <c r="U513" i="1"/>
  <c r="V517" i="1"/>
  <c r="S517" i="1"/>
  <c r="T517" i="1"/>
  <c r="Z517" i="1"/>
  <c r="U517" i="1"/>
  <c r="AM517" i="1"/>
  <c r="V521" i="1"/>
  <c r="U521" i="1"/>
  <c r="Z521" i="1"/>
  <c r="AM521" i="1"/>
  <c r="S521" i="1"/>
  <c r="T521" i="1"/>
  <c r="AC432" i="1"/>
  <c r="K432" i="1"/>
  <c r="AC430" i="1"/>
  <c r="K430" i="1"/>
  <c r="AC438" i="1"/>
  <c r="K438" i="1"/>
  <c r="AM483" i="1"/>
  <c r="V483" i="1"/>
  <c r="U483" i="1"/>
  <c r="T483" i="1"/>
  <c r="S483" i="1"/>
  <c r="S428" i="1"/>
  <c r="Z428" i="1"/>
  <c r="AM428" i="1"/>
  <c r="S436" i="1"/>
  <c r="Z436" i="1"/>
  <c r="AM436" i="1"/>
  <c r="S444" i="1"/>
  <c r="Z444" i="1"/>
  <c r="AM444" i="1"/>
  <c r="S565" i="1"/>
  <c r="Z565" i="1"/>
  <c r="AM565" i="1"/>
  <c r="S569" i="1"/>
  <c r="AM569" i="1"/>
  <c r="Z569" i="1"/>
  <c r="S573" i="1"/>
  <c r="Z573" i="1"/>
  <c r="AM573" i="1"/>
  <c r="K436" i="1"/>
  <c r="AC436" i="1"/>
  <c r="S430" i="1"/>
  <c r="AM430" i="1"/>
  <c r="Z430" i="1"/>
  <c r="S438" i="1"/>
  <c r="AM438" i="1"/>
  <c r="Z438" i="1"/>
  <c r="S478" i="1"/>
  <c r="T478" i="1"/>
  <c r="U478" i="1"/>
  <c r="V478" i="1"/>
  <c r="AM478" i="1"/>
  <c r="U482" i="1"/>
  <c r="S482" i="1"/>
  <c r="V482" i="1"/>
  <c r="T482" i="1"/>
  <c r="AM482" i="1"/>
  <c r="Z578" i="1"/>
  <c r="AM578" i="1"/>
  <c r="S578" i="1"/>
  <c r="S514" i="1"/>
  <c r="Z514" i="1"/>
  <c r="V514" i="1"/>
  <c r="AM514" i="1"/>
  <c r="T514" i="1"/>
  <c r="U514" i="1"/>
  <c r="V518" i="1"/>
  <c r="S518" i="1"/>
  <c r="U518" i="1"/>
  <c r="AM518" i="1"/>
  <c r="Z518" i="1"/>
  <c r="T518" i="1"/>
  <c r="V522" i="1"/>
  <c r="AM522" i="1"/>
  <c r="T522" i="1"/>
  <c r="U522" i="1"/>
  <c r="S522" i="1"/>
  <c r="Z522" i="1"/>
  <c r="S437" i="1"/>
  <c r="Z437" i="1"/>
  <c r="AM437" i="1"/>
  <c r="S431" i="1"/>
  <c r="Z431" i="1"/>
  <c r="AM431" i="1"/>
  <c r="S439" i="1"/>
  <c r="AM439" i="1"/>
  <c r="Z439" i="1"/>
  <c r="U484" i="1"/>
  <c r="T484" i="1"/>
  <c r="AM484" i="1"/>
  <c r="V484" i="1"/>
  <c r="S484" i="1"/>
  <c r="K431" i="1"/>
  <c r="AC431" i="1"/>
  <c r="AC439" i="1"/>
  <c r="K439" i="1"/>
  <c r="AM485" i="1"/>
  <c r="T485" i="1"/>
  <c r="V485" i="1"/>
  <c r="U485" i="1"/>
  <c r="S485" i="1"/>
  <c r="S566" i="1"/>
  <c r="Z566" i="1"/>
  <c r="AM566" i="1"/>
  <c r="S570" i="1"/>
  <c r="AM570" i="1"/>
  <c r="Z570" i="1"/>
  <c r="S574" i="1"/>
  <c r="Z574" i="1"/>
  <c r="AM574" i="1"/>
  <c r="AC444" i="1"/>
  <c r="K444" i="1"/>
  <c r="K433" i="1"/>
  <c r="AC433" i="1"/>
  <c r="AC441" i="1"/>
  <c r="K441" i="1"/>
  <c r="AM479" i="1"/>
  <c r="V479" i="1"/>
  <c r="S479" i="1"/>
  <c r="U479" i="1"/>
  <c r="T479" i="1"/>
  <c r="AM575" i="1"/>
  <c r="Z575" i="1"/>
  <c r="S575" i="1"/>
  <c r="U511" i="1"/>
  <c r="V511" i="1"/>
  <c r="T511" i="1"/>
  <c r="AM511" i="1"/>
  <c r="Z511" i="1"/>
  <c r="S511" i="1"/>
  <c r="V515" i="1"/>
  <c r="T515" i="1"/>
  <c r="AM515" i="1"/>
  <c r="S515" i="1"/>
  <c r="U515" i="1"/>
  <c r="Z515" i="1"/>
  <c r="V519" i="1"/>
  <c r="AM519" i="1"/>
  <c r="U519" i="1"/>
  <c r="T519" i="1"/>
  <c r="Z519" i="1"/>
  <c r="S519" i="1"/>
  <c r="U523" i="1"/>
  <c r="AM523" i="1"/>
  <c r="T523" i="1"/>
  <c r="S523" i="1"/>
  <c r="V523" i="1"/>
  <c r="Z523" i="1"/>
  <c r="V504" i="1"/>
  <c r="M504" i="1" s="1"/>
  <c r="T504" i="1"/>
  <c r="K504" i="1" s="1"/>
  <c r="U504" i="1"/>
  <c r="L504" i="1" s="1"/>
  <c r="S504" i="1"/>
  <c r="J504" i="1" s="1"/>
  <c r="V507" i="1"/>
  <c r="M507" i="1" s="1"/>
  <c r="T507" i="1"/>
  <c r="K507" i="1" s="1"/>
  <c r="U507" i="1"/>
  <c r="L507" i="1" s="1"/>
  <c r="S507" i="1"/>
  <c r="J507" i="1" s="1"/>
  <c r="V503" i="1"/>
  <c r="M503" i="1" s="1"/>
  <c r="T503" i="1"/>
  <c r="K503" i="1" s="1"/>
  <c r="U503" i="1"/>
  <c r="L503" i="1" s="1"/>
  <c r="S503" i="1"/>
  <c r="J503" i="1" s="1"/>
  <c r="V500" i="1"/>
  <c r="M500" i="1" s="1"/>
  <c r="T500" i="1"/>
  <c r="K500" i="1" s="1"/>
  <c r="U500" i="1"/>
  <c r="L500" i="1" s="1"/>
  <c r="S500" i="1"/>
  <c r="J500" i="1" s="1"/>
  <c r="S498" i="1"/>
  <c r="J498" i="1" s="1"/>
  <c r="U498" i="1"/>
  <c r="L498" i="1" s="1"/>
  <c r="V498" i="1"/>
  <c r="M498" i="1" s="1"/>
  <c r="T498" i="1"/>
  <c r="K498" i="1" s="1"/>
  <c r="V501" i="1"/>
  <c r="M501" i="1" s="1"/>
  <c r="T501" i="1"/>
  <c r="K501" i="1" s="1"/>
  <c r="U501" i="1"/>
  <c r="L501" i="1" s="1"/>
  <c r="S501" i="1"/>
  <c r="J501" i="1" s="1"/>
  <c r="V509" i="1"/>
  <c r="M509" i="1" s="1"/>
  <c r="T509" i="1"/>
  <c r="K509" i="1" s="1"/>
  <c r="U509" i="1"/>
  <c r="L509" i="1" s="1"/>
  <c r="S509" i="1"/>
  <c r="J509" i="1" s="1"/>
  <c r="V505" i="1"/>
  <c r="M505" i="1" s="1"/>
  <c r="T505" i="1"/>
  <c r="K505" i="1" s="1"/>
  <c r="U505" i="1"/>
  <c r="L505" i="1" s="1"/>
  <c r="S505" i="1"/>
  <c r="J505" i="1" s="1"/>
  <c r="V506" i="1"/>
  <c r="M506" i="1" s="1"/>
  <c r="T506" i="1"/>
  <c r="K506" i="1" s="1"/>
  <c r="U506" i="1"/>
  <c r="L506" i="1" s="1"/>
  <c r="S506" i="1"/>
  <c r="J506" i="1" s="1"/>
  <c r="V502" i="1"/>
  <c r="M502" i="1" s="1"/>
  <c r="T502" i="1"/>
  <c r="K502" i="1" s="1"/>
  <c r="U502" i="1"/>
  <c r="L502" i="1" s="1"/>
  <c r="S502" i="1"/>
  <c r="J502" i="1" s="1"/>
  <c r="V499" i="1"/>
  <c r="M499" i="1" s="1"/>
  <c r="T499" i="1"/>
  <c r="K499" i="1" s="1"/>
  <c r="U499" i="1"/>
  <c r="L499" i="1" s="1"/>
  <c r="S499" i="1"/>
  <c r="J499" i="1" s="1"/>
  <c r="V508" i="1"/>
  <c r="M508" i="1" s="1"/>
  <c r="T508" i="1"/>
  <c r="K508" i="1" s="1"/>
  <c r="U508" i="1"/>
  <c r="L508" i="1" s="1"/>
  <c r="S508" i="1"/>
  <c r="J508" i="1" s="1"/>
  <c r="V510" i="1"/>
  <c r="M510" i="1" s="1"/>
  <c r="T510" i="1"/>
  <c r="K510" i="1" s="1"/>
  <c r="U510" i="1"/>
  <c r="L510" i="1" s="1"/>
  <c r="S510" i="1"/>
  <c r="J510" i="1" s="1"/>
  <c r="S554" i="1"/>
  <c r="J554" i="1" s="1"/>
  <c r="S551" i="1"/>
  <c r="J551" i="1" s="1"/>
  <c r="S559" i="1"/>
  <c r="J559" i="1" s="1"/>
  <c r="S557" i="1"/>
  <c r="J557" i="1" s="1"/>
  <c r="S561" i="1"/>
  <c r="J561" i="1" s="1"/>
  <c r="S548" i="1"/>
  <c r="J548" i="1" s="1"/>
  <c r="Z553" i="1"/>
  <c r="Q553" i="1" s="1"/>
  <c r="S553" i="1"/>
  <c r="AB553" i="1" s="1"/>
  <c r="Z133" i="1"/>
  <c r="Z135" i="1"/>
  <c r="AM106" i="1"/>
  <c r="Z106" i="1"/>
  <c r="Q106" i="1" s="1"/>
  <c r="S106" i="1"/>
  <c r="AB106" i="1" s="1"/>
  <c r="Z122" i="1"/>
  <c r="Z141" i="1"/>
  <c r="Z126" i="1"/>
  <c r="Z143" i="1"/>
  <c r="K344" i="1"/>
  <c r="K289" i="1"/>
  <c r="K302" i="1"/>
  <c r="K283" i="1"/>
  <c r="K280" i="1"/>
  <c r="L342" i="1"/>
  <c r="L309" i="1"/>
  <c r="K271" i="1"/>
  <c r="K287" i="1"/>
  <c r="L300" i="1"/>
  <c r="K286" i="1"/>
  <c r="L311" i="1"/>
  <c r="K291" i="1"/>
  <c r="K317" i="1"/>
  <c r="K290" i="1"/>
  <c r="K284" i="1"/>
  <c r="K274" i="1"/>
  <c r="K273" i="1"/>
  <c r="L331" i="1"/>
  <c r="K276" i="1"/>
  <c r="K282" i="1"/>
  <c r="Z562" i="1"/>
  <c r="AI562" i="1" s="1"/>
  <c r="Z550" i="1"/>
  <c r="AI550" i="1" s="1"/>
  <c r="Z556" i="1"/>
  <c r="AI556" i="1" s="1"/>
  <c r="Z549" i="1"/>
  <c r="AI549" i="1" s="1"/>
  <c r="Z558" i="1"/>
  <c r="AI558" i="1" s="1"/>
  <c r="Z552" i="1"/>
  <c r="AI552" i="1" s="1"/>
  <c r="AM218" i="1"/>
  <c r="AM248" i="1"/>
  <c r="AM273" i="1"/>
  <c r="S273" i="1"/>
  <c r="AM286" i="1"/>
  <c r="S286" i="1"/>
  <c r="AM135" i="1"/>
  <c r="AM240" i="1"/>
  <c r="AM274" i="1"/>
  <c r="S274" i="1"/>
  <c r="AM291" i="1"/>
  <c r="S291" i="1"/>
  <c r="AM322" i="1"/>
  <c r="AM331" i="1"/>
  <c r="AM313" i="1"/>
  <c r="AM554" i="1"/>
  <c r="Z554" i="1"/>
  <c r="AM342" i="1"/>
  <c r="AM317" i="1"/>
  <c r="AM300" i="1"/>
  <c r="AM551" i="1"/>
  <c r="Z551" i="1"/>
  <c r="AM243" i="1"/>
  <c r="AM122" i="1"/>
  <c r="AM238" i="1"/>
  <c r="AM338" i="1"/>
  <c r="AM295" i="1"/>
  <c r="AM304" i="1"/>
  <c r="AM559" i="1"/>
  <c r="Z559" i="1"/>
  <c r="AM315" i="1"/>
  <c r="AM557" i="1"/>
  <c r="Z557" i="1"/>
  <c r="AM276" i="1"/>
  <c r="S276" i="1"/>
  <c r="AM282" i="1"/>
  <c r="S282" i="1"/>
  <c r="AM141" i="1"/>
  <c r="AM289" i="1"/>
  <c r="S289" i="1"/>
  <c r="Z555" i="1"/>
  <c r="AI555" i="1" s="1"/>
  <c r="K288" i="1"/>
  <c r="K275" i="1"/>
  <c r="AM236" i="1"/>
  <c r="AM263" i="1"/>
  <c r="AM287" i="1"/>
  <c r="S287" i="1"/>
  <c r="AM284" i="1"/>
  <c r="S284" i="1"/>
  <c r="AM126" i="1"/>
  <c r="AM143" i="1"/>
  <c r="AM225" i="1"/>
  <c r="AM259" i="1"/>
  <c r="AM271" i="1"/>
  <c r="S271" i="1"/>
  <c r="AM290" i="1"/>
  <c r="S290" i="1"/>
  <c r="AM346" i="1"/>
  <c r="AM329" i="1"/>
  <c r="AM311" i="1"/>
  <c r="AM336" i="1"/>
  <c r="AM561" i="1"/>
  <c r="Z561" i="1"/>
  <c r="AM265" i="1"/>
  <c r="Z547" i="1"/>
  <c r="AI547" i="1" s="1"/>
  <c r="Z560" i="1"/>
  <c r="AI560" i="1" s="1"/>
  <c r="AM234" i="1"/>
  <c r="AM261" i="1"/>
  <c r="AM283" i="1"/>
  <c r="S283" i="1"/>
  <c r="AM280" i="1"/>
  <c r="S280" i="1"/>
  <c r="AM133" i="1"/>
  <c r="AM223" i="1"/>
  <c r="AM250" i="1"/>
  <c r="AM275" i="1"/>
  <c r="S275" i="1"/>
  <c r="AM288" i="1"/>
  <c r="S288" i="1"/>
  <c r="AM319" i="1"/>
  <c r="AM302" i="1"/>
  <c r="AM340" i="1"/>
  <c r="AM548" i="1"/>
  <c r="Z548" i="1"/>
  <c r="AM344" i="1"/>
  <c r="AM327" i="1"/>
  <c r="AM309" i="1"/>
  <c r="U463" i="1"/>
  <c r="L463" i="1" s="1"/>
  <c r="V463" i="1"/>
  <c r="M463" i="1" s="1"/>
  <c r="T463" i="1"/>
  <c r="K463" i="1" s="1"/>
  <c r="S463" i="1"/>
  <c r="J463" i="1" s="1"/>
  <c r="V468" i="1"/>
  <c r="M468" i="1" s="1"/>
  <c r="S468" i="1"/>
  <c r="J468" i="1" s="1"/>
  <c r="T468" i="1"/>
  <c r="K468" i="1" s="1"/>
  <c r="U468" i="1"/>
  <c r="L468" i="1" s="1"/>
  <c r="T465" i="1"/>
  <c r="K465" i="1" s="1"/>
  <c r="S465" i="1"/>
  <c r="J465" i="1" s="1"/>
  <c r="U465" i="1"/>
  <c r="L465" i="1" s="1"/>
  <c r="V465" i="1"/>
  <c r="M465" i="1" s="1"/>
  <c r="V472" i="1"/>
  <c r="M472" i="1" s="1"/>
  <c r="S472" i="1"/>
  <c r="J472" i="1" s="1"/>
  <c r="T472" i="1"/>
  <c r="K472" i="1" s="1"/>
  <c r="U472" i="1"/>
  <c r="L472" i="1" s="1"/>
  <c r="V464" i="1"/>
  <c r="M464" i="1" s="1"/>
  <c r="S464" i="1"/>
  <c r="J464" i="1" s="1"/>
  <c r="T464" i="1"/>
  <c r="K464" i="1" s="1"/>
  <c r="U464" i="1"/>
  <c r="L464" i="1" s="1"/>
  <c r="T470" i="1"/>
  <c r="K470" i="1" s="1"/>
  <c r="U470" i="1"/>
  <c r="L470" i="1" s="1"/>
  <c r="V470" i="1"/>
  <c r="M470" i="1" s="1"/>
  <c r="S470" i="1"/>
  <c r="J470" i="1" s="1"/>
  <c r="U471" i="1"/>
  <c r="L471" i="1" s="1"/>
  <c r="V471" i="1"/>
  <c r="M471" i="1" s="1"/>
  <c r="T471" i="1"/>
  <c r="K471" i="1" s="1"/>
  <c r="S471" i="1"/>
  <c r="J471" i="1" s="1"/>
  <c r="T466" i="1"/>
  <c r="K466" i="1" s="1"/>
  <c r="U466" i="1"/>
  <c r="L466" i="1" s="1"/>
  <c r="V466" i="1"/>
  <c r="M466" i="1" s="1"/>
  <c r="S466" i="1"/>
  <c r="J466" i="1" s="1"/>
  <c r="T473" i="1"/>
  <c r="K473" i="1" s="1"/>
  <c r="S473" i="1"/>
  <c r="J473" i="1" s="1"/>
  <c r="U473" i="1"/>
  <c r="L473" i="1" s="1"/>
  <c r="V473" i="1"/>
  <c r="M473" i="1" s="1"/>
  <c r="U467" i="1"/>
  <c r="L467" i="1" s="1"/>
  <c r="V467" i="1"/>
  <c r="M467" i="1" s="1"/>
  <c r="T467" i="1"/>
  <c r="K467" i="1" s="1"/>
  <c r="S467" i="1"/>
  <c r="J467" i="1" s="1"/>
  <c r="V462" i="1"/>
  <c r="M462" i="1" s="1"/>
  <c r="U462" i="1"/>
  <c r="L462" i="1" s="1"/>
  <c r="T462" i="1"/>
  <c r="K462" i="1" s="1"/>
  <c r="S462" i="1"/>
  <c r="J462" i="1" s="1"/>
  <c r="T469" i="1"/>
  <c r="K469" i="1" s="1"/>
  <c r="S469" i="1"/>
  <c r="J469" i="1" s="1"/>
  <c r="U469" i="1"/>
  <c r="L469" i="1" s="1"/>
  <c r="V469" i="1"/>
  <c r="M469" i="1" s="1"/>
  <c r="S543" i="1"/>
  <c r="U543" i="1"/>
  <c r="T543" i="1"/>
  <c r="W545" i="1"/>
  <c r="S545" i="1"/>
  <c r="V545" i="1"/>
  <c r="U545" i="1"/>
  <c r="T545" i="1"/>
  <c r="U539" i="1"/>
  <c r="T539" i="1"/>
  <c r="S539" i="1"/>
  <c r="V546" i="1"/>
  <c r="U546" i="1"/>
  <c r="S546" i="1"/>
  <c r="W546" i="1"/>
  <c r="T546" i="1"/>
  <c r="T541" i="1"/>
  <c r="S541" i="1"/>
  <c r="U541" i="1"/>
  <c r="U542" i="1"/>
  <c r="T542" i="1"/>
  <c r="S542" i="1"/>
  <c r="U537" i="1"/>
  <c r="T537" i="1"/>
  <c r="S537" i="1"/>
  <c r="U544" i="1"/>
  <c r="T544" i="1"/>
  <c r="W544" i="1"/>
  <c r="S544" i="1"/>
  <c r="V544" i="1"/>
  <c r="S538" i="1"/>
  <c r="U538" i="1"/>
  <c r="T538" i="1"/>
  <c r="S540" i="1"/>
  <c r="U540" i="1"/>
  <c r="T540" i="1"/>
  <c r="Z509" i="1"/>
  <c r="Z506" i="1"/>
  <c r="Z502" i="1"/>
  <c r="Z504" i="1"/>
  <c r="Z510" i="1"/>
  <c r="Z507" i="1"/>
  <c r="Z503" i="1"/>
  <c r="Z500" i="1"/>
  <c r="Z498" i="1"/>
  <c r="Z505" i="1"/>
  <c r="Z499" i="1"/>
  <c r="Z508" i="1"/>
  <c r="Z501" i="1"/>
  <c r="AM549" i="1"/>
  <c r="AM562" i="1"/>
  <c r="AM555" i="1"/>
  <c r="AM546" i="1"/>
  <c r="AM544" i="1"/>
  <c r="AM542" i="1"/>
  <c r="AM596" i="1"/>
  <c r="R596" i="1"/>
  <c r="AB596" i="1"/>
  <c r="AA596" i="1" s="1"/>
  <c r="K313" i="1" l="1"/>
  <c r="K346" i="1"/>
  <c r="L313" i="1"/>
  <c r="L338" i="1"/>
  <c r="L315" i="1"/>
  <c r="L346" i="1"/>
  <c r="K304" i="1"/>
  <c r="K300" i="1"/>
  <c r="L319" i="1"/>
  <c r="K327" i="1"/>
  <c r="K331" i="1"/>
  <c r="K340" i="1"/>
  <c r="K319" i="1"/>
  <c r="L304" i="1"/>
  <c r="I462" i="1"/>
  <c r="I467" i="1"/>
  <c r="I466" i="1"/>
  <c r="I471" i="1"/>
  <c r="I470" i="1"/>
  <c r="I463" i="1"/>
  <c r="I469" i="1"/>
  <c r="I473" i="1"/>
  <c r="I464" i="1"/>
  <c r="I472" i="1"/>
  <c r="I465" i="1"/>
  <c r="I468" i="1"/>
  <c r="L327" i="1"/>
  <c r="L317" i="1"/>
  <c r="K322" i="1"/>
  <c r="L322" i="1"/>
  <c r="L329" i="1"/>
  <c r="K311" i="1"/>
  <c r="L295" i="1"/>
  <c r="K338" i="1"/>
  <c r="L336" i="1"/>
  <c r="L302" i="1"/>
  <c r="L340" i="1"/>
  <c r="K295" i="1"/>
  <c r="K336" i="1"/>
  <c r="K315" i="1"/>
  <c r="L344" i="1"/>
  <c r="K342" i="1"/>
  <c r="K329" i="1"/>
  <c r="K309" i="1"/>
  <c r="AI553" i="1"/>
  <c r="K523" i="1"/>
  <c r="AC523" i="1"/>
  <c r="AI519" i="1"/>
  <c r="Q519" i="1"/>
  <c r="M519" i="1"/>
  <c r="AE519" i="1"/>
  <c r="AI511" i="1"/>
  <c r="Q511" i="1"/>
  <c r="L511" i="1"/>
  <c r="AD511" i="1"/>
  <c r="AC479" i="1"/>
  <c r="K479" i="1"/>
  <c r="AI574" i="1"/>
  <c r="Q574" i="1"/>
  <c r="AB570" i="1"/>
  <c r="J570" i="1"/>
  <c r="R570" i="1"/>
  <c r="J485" i="1"/>
  <c r="AB485" i="1"/>
  <c r="R485" i="1"/>
  <c r="K484" i="1"/>
  <c r="AC484" i="1"/>
  <c r="J439" i="1"/>
  <c r="AB439" i="1"/>
  <c r="J522" i="1"/>
  <c r="R522" i="1"/>
  <c r="AB522" i="1"/>
  <c r="M522" i="1"/>
  <c r="AE522" i="1"/>
  <c r="L518" i="1"/>
  <c r="AD518" i="1"/>
  <c r="K514" i="1"/>
  <c r="AC514" i="1"/>
  <c r="J514" i="1"/>
  <c r="R514" i="1"/>
  <c r="AB514" i="1"/>
  <c r="AD482" i="1"/>
  <c r="L482" i="1"/>
  <c r="K478" i="1"/>
  <c r="AC478" i="1"/>
  <c r="J438" i="1"/>
  <c r="AB438" i="1"/>
  <c r="R438" i="1"/>
  <c r="AB573" i="1"/>
  <c r="J573" i="1"/>
  <c r="R573" i="1"/>
  <c r="R444" i="1"/>
  <c r="Q444" i="1"/>
  <c r="AI444" i="1"/>
  <c r="AB436" i="1"/>
  <c r="J436" i="1"/>
  <c r="J483" i="1"/>
  <c r="R483" i="1"/>
  <c r="AB483" i="1"/>
  <c r="J521" i="1"/>
  <c r="AB521" i="1"/>
  <c r="R521" i="1"/>
  <c r="M521" i="1"/>
  <c r="AE521" i="1"/>
  <c r="K517" i="1"/>
  <c r="AC517" i="1"/>
  <c r="M513" i="1"/>
  <c r="AE513" i="1"/>
  <c r="J513" i="1"/>
  <c r="AB513" i="1"/>
  <c r="R513" i="1"/>
  <c r="J481" i="1"/>
  <c r="AB481" i="1"/>
  <c r="R481" i="1"/>
  <c r="K477" i="1"/>
  <c r="AC477" i="1"/>
  <c r="AB433" i="1"/>
  <c r="J433" i="1"/>
  <c r="AI564" i="1"/>
  <c r="Q564" i="1"/>
  <c r="R443" i="1"/>
  <c r="Q443" i="1"/>
  <c r="AI443" i="1"/>
  <c r="J435" i="1"/>
  <c r="AB435" i="1"/>
  <c r="R435" i="1"/>
  <c r="K474" i="1"/>
  <c r="AC474" i="1"/>
  <c r="AB429" i="1"/>
  <c r="J429" i="1"/>
  <c r="R429" i="1"/>
  <c r="Q520" i="1"/>
  <c r="AI520" i="1"/>
  <c r="L516" i="1"/>
  <c r="AD516" i="1"/>
  <c r="K516" i="1"/>
  <c r="AC516" i="1"/>
  <c r="L512" i="1"/>
  <c r="AD512" i="1"/>
  <c r="L480" i="1"/>
  <c r="AD480" i="1"/>
  <c r="AI442" i="1"/>
  <c r="Q442" i="1"/>
  <c r="AB434" i="1"/>
  <c r="J434" i="1"/>
  <c r="R434" i="1"/>
  <c r="AC476" i="1"/>
  <c r="K476" i="1"/>
  <c r="R567" i="1"/>
  <c r="J567" i="1"/>
  <c r="AB567" i="1"/>
  <c r="AI432" i="1"/>
  <c r="Q432" i="1"/>
  <c r="AI523" i="1"/>
  <c r="Q523" i="1"/>
  <c r="K519" i="1"/>
  <c r="AC519" i="1"/>
  <c r="AI515" i="1"/>
  <c r="Q515" i="1"/>
  <c r="K515" i="1"/>
  <c r="AC515" i="1"/>
  <c r="R575" i="1"/>
  <c r="AB575" i="1"/>
  <c r="J575" i="1"/>
  <c r="AD479" i="1"/>
  <c r="L479" i="1"/>
  <c r="AB574" i="1"/>
  <c r="J574" i="1"/>
  <c r="R574" i="1"/>
  <c r="L485" i="1"/>
  <c r="AD485" i="1"/>
  <c r="J484" i="1"/>
  <c r="R484" i="1"/>
  <c r="AB484" i="1"/>
  <c r="AD484" i="1"/>
  <c r="L484" i="1"/>
  <c r="Q437" i="1"/>
  <c r="AI437" i="1"/>
  <c r="L522" i="1"/>
  <c r="AD522" i="1"/>
  <c r="K518" i="1"/>
  <c r="AC518" i="1"/>
  <c r="J518" i="1"/>
  <c r="R518" i="1"/>
  <c r="AB518" i="1"/>
  <c r="R578" i="1"/>
  <c r="J578" i="1"/>
  <c r="AB578" i="1"/>
  <c r="AC482" i="1"/>
  <c r="K482" i="1"/>
  <c r="AB478" i="1"/>
  <c r="J478" i="1"/>
  <c r="R478" i="1"/>
  <c r="AI430" i="1"/>
  <c r="Q430" i="1"/>
  <c r="Q569" i="1"/>
  <c r="AI569" i="1"/>
  <c r="AI565" i="1"/>
  <c r="Q565" i="1"/>
  <c r="AB444" i="1"/>
  <c r="J444" i="1"/>
  <c r="I444" i="1" s="1"/>
  <c r="K483" i="1"/>
  <c r="AC483" i="1"/>
  <c r="J517" i="1"/>
  <c r="AB517" i="1"/>
  <c r="R517" i="1"/>
  <c r="AB577" i="1"/>
  <c r="J577" i="1"/>
  <c r="R577" i="1"/>
  <c r="M481" i="1"/>
  <c r="AE481" i="1"/>
  <c r="L477" i="1"/>
  <c r="AD477" i="1"/>
  <c r="Q568" i="1"/>
  <c r="AI568" i="1"/>
  <c r="AB564" i="1"/>
  <c r="R564" i="1"/>
  <c r="J564" i="1"/>
  <c r="J475" i="1"/>
  <c r="AB475" i="1"/>
  <c r="R475" i="1"/>
  <c r="J443" i="1"/>
  <c r="I443" i="1" s="1"/>
  <c r="AB443" i="1"/>
  <c r="AA443" i="1" s="1"/>
  <c r="L474" i="1"/>
  <c r="AD474" i="1"/>
  <c r="M520" i="1"/>
  <c r="AE520" i="1"/>
  <c r="M516" i="1"/>
  <c r="AE516" i="1"/>
  <c r="M512" i="1"/>
  <c r="AE512" i="1"/>
  <c r="K512" i="1"/>
  <c r="AC512" i="1"/>
  <c r="AB576" i="1"/>
  <c r="J576" i="1"/>
  <c r="J480" i="1"/>
  <c r="AB480" i="1"/>
  <c r="R480" i="1"/>
  <c r="J442" i="1"/>
  <c r="AB442" i="1"/>
  <c r="R442" i="1"/>
  <c r="J476" i="1"/>
  <c r="AB476" i="1"/>
  <c r="R476" i="1"/>
  <c r="R571" i="1"/>
  <c r="AB571" i="1"/>
  <c r="J571" i="1"/>
  <c r="R440" i="1"/>
  <c r="Q440" i="1"/>
  <c r="AI440" i="1"/>
  <c r="AB441" i="1"/>
  <c r="J441" i="1"/>
  <c r="M523" i="1"/>
  <c r="AE523" i="1"/>
  <c r="L523" i="1"/>
  <c r="AD523" i="1"/>
  <c r="L519" i="1"/>
  <c r="AD519" i="1"/>
  <c r="AD515" i="1"/>
  <c r="L515" i="1"/>
  <c r="M515" i="1"/>
  <c r="AE515" i="1"/>
  <c r="K511" i="1"/>
  <c r="AC511" i="1"/>
  <c r="Q575" i="1"/>
  <c r="AI575" i="1"/>
  <c r="J479" i="1"/>
  <c r="AB479" i="1"/>
  <c r="R479" i="1"/>
  <c r="AI570" i="1"/>
  <c r="Q570" i="1"/>
  <c r="Q566" i="1"/>
  <c r="AI566" i="1"/>
  <c r="M485" i="1"/>
  <c r="AE485" i="1"/>
  <c r="M484" i="1"/>
  <c r="AE484" i="1"/>
  <c r="R439" i="1"/>
  <c r="Q439" i="1"/>
  <c r="AI439" i="1"/>
  <c r="R431" i="1"/>
  <c r="AI431" i="1"/>
  <c r="Q431" i="1"/>
  <c r="AB437" i="1"/>
  <c r="J437" i="1"/>
  <c r="I437" i="1" s="1"/>
  <c r="R437" i="1"/>
  <c r="K522" i="1"/>
  <c r="AC522" i="1"/>
  <c r="AI518" i="1"/>
  <c r="Q518" i="1"/>
  <c r="M518" i="1"/>
  <c r="AE518" i="1"/>
  <c r="M514" i="1"/>
  <c r="AE514" i="1"/>
  <c r="M482" i="1"/>
  <c r="AE482" i="1"/>
  <c r="M478" i="1"/>
  <c r="AE478" i="1"/>
  <c r="AI438" i="1"/>
  <c r="AA438" i="1" s="1"/>
  <c r="Q438" i="1"/>
  <c r="R565" i="1"/>
  <c r="AB565" i="1"/>
  <c r="AA565" i="1" s="1"/>
  <c r="J565" i="1"/>
  <c r="AI428" i="1"/>
  <c r="Q428" i="1"/>
  <c r="AD483" i="1"/>
  <c r="L483" i="1"/>
  <c r="Q521" i="1"/>
  <c r="AI521" i="1"/>
  <c r="L517" i="1"/>
  <c r="AD517" i="1"/>
  <c r="M517" i="1"/>
  <c r="AE517" i="1"/>
  <c r="Q513" i="1"/>
  <c r="AI513" i="1"/>
  <c r="AI577" i="1"/>
  <c r="Q577" i="1"/>
  <c r="L481" i="1"/>
  <c r="AD481" i="1"/>
  <c r="J477" i="1"/>
  <c r="R477" i="1"/>
  <c r="AB477" i="1"/>
  <c r="R433" i="1"/>
  <c r="AI433" i="1"/>
  <c r="Q433" i="1"/>
  <c r="AI572" i="1"/>
  <c r="Q572" i="1"/>
  <c r="AB568" i="1"/>
  <c r="J568" i="1"/>
  <c r="I568" i="1" s="1"/>
  <c r="R568" i="1"/>
  <c r="M475" i="1"/>
  <c r="AE475" i="1"/>
  <c r="L475" i="1"/>
  <c r="AD475" i="1"/>
  <c r="J474" i="1"/>
  <c r="AB474" i="1"/>
  <c r="R474" i="1"/>
  <c r="AI429" i="1"/>
  <c r="Q429" i="1"/>
  <c r="L520" i="1"/>
  <c r="AD520" i="1"/>
  <c r="J520" i="1"/>
  <c r="R520" i="1"/>
  <c r="AB520" i="1"/>
  <c r="J512" i="1"/>
  <c r="R512" i="1"/>
  <c r="AB512" i="1"/>
  <c r="M480" i="1"/>
  <c r="AE480" i="1"/>
  <c r="AC480" i="1"/>
  <c r="K480" i="1"/>
  <c r="L476" i="1"/>
  <c r="AD476" i="1"/>
  <c r="Q571" i="1"/>
  <c r="AI571" i="1"/>
  <c r="AI563" i="1"/>
  <c r="Q563" i="1"/>
  <c r="AB432" i="1"/>
  <c r="J432" i="1"/>
  <c r="R432" i="1"/>
  <c r="J523" i="1"/>
  <c r="I523" i="1" s="1"/>
  <c r="AB523" i="1"/>
  <c r="R523" i="1"/>
  <c r="J519" i="1"/>
  <c r="AB519" i="1"/>
  <c r="R519" i="1"/>
  <c r="J515" i="1"/>
  <c r="R515" i="1"/>
  <c r="AB515" i="1"/>
  <c r="J511" i="1"/>
  <c r="R511" i="1"/>
  <c r="AB511" i="1"/>
  <c r="M511" i="1"/>
  <c r="AE511" i="1"/>
  <c r="M479" i="1"/>
  <c r="AE479" i="1"/>
  <c r="AB566" i="1"/>
  <c r="J566" i="1"/>
  <c r="R566" i="1"/>
  <c r="K485" i="1"/>
  <c r="AC485" i="1"/>
  <c r="J431" i="1"/>
  <c r="AB431" i="1"/>
  <c r="AI522" i="1"/>
  <c r="Q522" i="1"/>
  <c r="L514" i="1"/>
  <c r="AD514" i="1"/>
  <c r="Q514" i="1"/>
  <c r="AI514" i="1"/>
  <c r="AI578" i="1"/>
  <c r="Q578" i="1"/>
  <c r="AB482" i="1"/>
  <c r="R482" i="1"/>
  <c r="J482" i="1"/>
  <c r="AD478" i="1"/>
  <c r="L478" i="1"/>
  <c r="AB430" i="1"/>
  <c r="J430" i="1"/>
  <c r="R430" i="1"/>
  <c r="Q573" i="1"/>
  <c r="AI573" i="1"/>
  <c r="J569" i="1"/>
  <c r="AB569" i="1"/>
  <c r="R569" i="1"/>
  <c r="R436" i="1"/>
  <c r="AI436" i="1"/>
  <c r="Q436" i="1"/>
  <c r="J428" i="1"/>
  <c r="AB428" i="1"/>
  <c r="R428" i="1"/>
  <c r="M483" i="1"/>
  <c r="AE483" i="1"/>
  <c r="K521" i="1"/>
  <c r="AC521" i="1"/>
  <c r="L521" i="1"/>
  <c r="AD521" i="1"/>
  <c r="Q517" i="1"/>
  <c r="AI517" i="1"/>
  <c r="L513" i="1"/>
  <c r="AD513" i="1"/>
  <c r="K513" i="1"/>
  <c r="AC513" i="1"/>
  <c r="K481" i="1"/>
  <c r="AC481" i="1"/>
  <c r="M477" i="1"/>
  <c r="AE477" i="1"/>
  <c r="AB572" i="1"/>
  <c r="R572" i="1"/>
  <c r="J572" i="1"/>
  <c r="I572" i="1" s="1"/>
  <c r="AC475" i="1"/>
  <c r="K475" i="1"/>
  <c r="Q435" i="1"/>
  <c r="AI435" i="1"/>
  <c r="M474" i="1"/>
  <c r="AE474" i="1"/>
  <c r="K520" i="1"/>
  <c r="AC520" i="1"/>
  <c r="J516" i="1"/>
  <c r="R516" i="1"/>
  <c r="AB516" i="1"/>
  <c r="AI516" i="1"/>
  <c r="Q516" i="1"/>
  <c r="AI512" i="1"/>
  <c r="Q512" i="1"/>
  <c r="R576" i="1"/>
  <c r="AI576" i="1"/>
  <c r="AA576" i="1" s="1"/>
  <c r="Q576" i="1"/>
  <c r="AI434" i="1"/>
  <c r="Q434" i="1"/>
  <c r="M476" i="1"/>
  <c r="AE476" i="1"/>
  <c r="AI567" i="1"/>
  <c r="Q567" i="1"/>
  <c r="R563" i="1"/>
  <c r="AB563" i="1"/>
  <c r="J563" i="1"/>
  <c r="AB440" i="1"/>
  <c r="J440" i="1"/>
  <c r="R441" i="1"/>
  <c r="Q441" i="1"/>
  <c r="AI441" i="1"/>
  <c r="R553" i="1"/>
  <c r="J553" i="1"/>
  <c r="J106" i="1"/>
  <c r="AA553" i="1"/>
  <c r="Q551" i="1"/>
  <c r="AI551" i="1"/>
  <c r="Q554" i="1"/>
  <c r="AI554" i="1"/>
  <c r="AI106" i="1"/>
  <c r="AA106" i="1" s="1"/>
  <c r="Q548" i="1"/>
  <c r="I548" i="1" s="1"/>
  <c r="AI548" i="1"/>
  <c r="Q557" i="1"/>
  <c r="AI557" i="1"/>
  <c r="Q559" i="1"/>
  <c r="I559" i="1" s="1"/>
  <c r="AI559" i="1"/>
  <c r="Q561" i="1"/>
  <c r="AI561" i="1"/>
  <c r="R106" i="1"/>
  <c r="AB327" i="1"/>
  <c r="AA327" i="1" s="1"/>
  <c r="J327" i="1"/>
  <c r="I327" i="1" s="1"/>
  <c r="R327" i="1"/>
  <c r="R548" i="1"/>
  <c r="AB548" i="1"/>
  <c r="AA548" i="1" s="1"/>
  <c r="AD234" i="1"/>
  <c r="L234" i="1"/>
  <c r="R280" i="1"/>
  <c r="AB280" i="1"/>
  <c r="AA280" i="1" s="1"/>
  <c r="J280" i="1"/>
  <c r="I280" i="1" s="1"/>
  <c r="AB261" i="1"/>
  <c r="J261" i="1"/>
  <c r="AD238" i="1"/>
  <c r="L238" i="1"/>
  <c r="J265" i="1"/>
  <c r="AB265" i="1"/>
  <c r="R265" i="1"/>
  <c r="AD240" i="1"/>
  <c r="L240" i="1"/>
  <c r="AI143" i="1"/>
  <c r="Q143" i="1"/>
  <c r="AD218" i="1"/>
  <c r="L218" i="1"/>
  <c r="AB276" i="1"/>
  <c r="AA276" i="1" s="1"/>
  <c r="R276" i="1"/>
  <c r="J276" i="1"/>
  <c r="I276" i="1" s="1"/>
  <c r="R557" i="1"/>
  <c r="AB557" i="1"/>
  <c r="R304" i="1"/>
  <c r="AB304" i="1"/>
  <c r="AA304" i="1" s="1"/>
  <c r="J304" i="1"/>
  <c r="I304" i="1" s="1"/>
  <c r="R338" i="1"/>
  <c r="AB338" i="1"/>
  <c r="AA338" i="1" s="1"/>
  <c r="J338" i="1"/>
  <c r="J300" i="1"/>
  <c r="R300" i="1"/>
  <c r="AB300" i="1"/>
  <c r="AA300" i="1" s="1"/>
  <c r="R342" i="1"/>
  <c r="J342" i="1"/>
  <c r="I342" i="1" s="1"/>
  <c r="AB342" i="1"/>
  <c r="AA342" i="1" s="1"/>
  <c r="AC259" i="1"/>
  <c r="K259" i="1"/>
  <c r="AC263" i="1"/>
  <c r="K263" i="1"/>
  <c r="R273" i="1"/>
  <c r="AB273" i="1"/>
  <c r="AA273" i="1" s="1"/>
  <c r="J273" i="1"/>
  <c r="I273" i="1" s="1"/>
  <c r="J218" i="1"/>
  <c r="AB218" i="1"/>
  <c r="R218" i="1"/>
  <c r="R302" i="1"/>
  <c r="AB302" i="1"/>
  <c r="AA302" i="1" s="1"/>
  <c r="J302" i="1"/>
  <c r="I302" i="1" s="1"/>
  <c r="R288" i="1"/>
  <c r="J288" i="1"/>
  <c r="I288" i="1" s="1"/>
  <c r="AB288" i="1"/>
  <c r="AA288" i="1" s="1"/>
  <c r="AB250" i="1"/>
  <c r="R250" i="1"/>
  <c r="J250" i="1"/>
  <c r="R261" i="1"/>
  <c r="AC261" i="1"/>
  <c r="K261" i="1"/>
  <c r="AB133" i="1"/>
  <c r="T133" i="1"/>
  <c r="J133" i="1"/>
  <c r="AC238" i="1"/>
  <c r="K238" i="1"/>
  <c r="AB561" i="1"/>
  <c r="R561" i="1"/>
  <c r="AB311" i="1"/>
  <c r="AA311" i="1" s="1"/>
  <c r="J311" i="1"/>
  <c r="R311" i="1"/>
  <c r="AB346" i="1"/>
  <c r="AA346" i="1" s="1"/>
  <c r="R346" i="1"/>
  <c r="J346" i="1"/>
  <c r="I346" i="1" s="1"/>
  <c r="R271" i="1"/>
  <c r="AB271" i="1"/>
  <c r="AA271" i="1" s="1"/>
  <c r="J271" i="1"/>
  <c r="I271" i="1" s="1"/>
  <c r="AB225" i="1"/>
  <c r="R225" i="1"/>
  <c r="J225" i="1"/>
  <c r="AD248" i="1"/>
  <c r="L248" i="1"/>
  <c r="R284" i="1"/>
  <c r="AB284" i="1"/>
  <c r="AA284" i="1" s="1"/>
  <c r="J284" i="1"/>
  <c r="I284" i="1" s="1"/>
  <c r="AB263" i="1"/>
  <c r="R263" i="1"/>
  <c r="J263" i="1"/>
  <c r="AB289" i="1"/>
  <c r="AA289" i="1" s="1"/>
  <c r="J289" i="1"/>
  <c r="I289" i="1" s="1"/>
  <c r="R289" i="1"/>
  <c r="AC243" i="1"/>
  <c r="K243" i="1"/>
  <c r="AI141" i="1"/>
  <c r="Q141" i="1"/>
  <c r="AB243" i="1"/>
  <c r="R243" i="1"/>
  <c r="J243" i="1"/>
  <c r="AD223" i="1"/>
  <c r="L223" i="1"/>
  <c r="R551" i="1"/>
  <c r="AB551" i="1"/>
  <c r="J313" i="1"/>
  <c r="AB313" i="1"/>
  <c r="AA313" i="1" s="1"/>
  <c r="V313" i="1"/>
  <c r="M313" i="1" s="1"/>
  <c r="AB322" i="1"/>
  <c r="AA322" i="1" s="1"/>
  <c r="R322" i="1"/>
  <c r="J322" i="1"/>
  <c r="AC225" i="1"/>
  <c r="K225" i="1"/>
  <c r="AB274" i="1"/>
  <c r="AA274" i="1" s="1"/>
  <c r="R274" i="1"/>
  <c r="J274" i="1"/>
  <c r="I274" i="1" s="1"/>
  <c r="AB135" i="1"/>
  <c r="T135" i="1"/>
  <c r="J135" i="1"/>
  <c r="AD263" i="1"/>
  <c r="L263" i="1"/>
  <c r="V309" i="1"/>
  <c r="M309" i="1" s="1"/>
  <c r="AB309" i="1"/>
  <c r="AA309" i="1" s="1"/>
  <c r="J309" i="1"/>
  <c r="AB344" i="1"/>
  <c r="AA344" i="1" s="1"/>
  <c r="V344" i="1"/>
  <c r="J344" i="1"/>
  <c r="AD261" i="1"/>
  <c r="L261" i="1"/>
  <c r="AI133" i="1"/>
  <c r="Q133" i="1"/>
  <c r="R283" i="1"/>
  <c r="AB283" i="1"/>
  <c r="AA283" i="1" s="1"/>
  <c r="J283" i="1"/>
  <c r="I283" i="1" s="1"/>
  <c r="AB234" i="1"/>
  <c r="R234" i="1"/>
  <c r="J234" i="1"/>
  <c r="AC265" i="1"/>
  <c r="K265" i="1"/>
  <c r="AD250" i="1"/>
  <c r="L250" i="1"/>
  <c r="AI126" i="1"/>
  <c r="Q126" i="1"/>
  <c r="AC248" i="1"/>
  <c r="K248" i="1"/>
  <c r="AD243" i="1"/>
  <c r="L243" i="1"/>
  <c r="AB282" i="1"/>
  <c r="AA282" i="1" s="1"/>
  <c r="R282" i="1"/>
  <c r="J282" i="1"/>
  <c r="I282" i="1" s="1"/>
  <c r="AB559" i="1"/>
  <c r="AA559" i="1" s="1"/>
  <c r="R559" i="1"/>
  <c r="R295" i="1"/>
  <c r="J295" i="1"/>
  <c r="AB295" i="1"/>
  <c r="AA295" i="1" s="1"/>
  <c r="AB238" i="1"/>
  <c r="R238" i="1"/>
  <c r="J238" i="1"/>
  <c r="T122" i="1"/>
  <c r="AB122" i="1"/>
  <c r="J122" i="1"/>
  <c r="AC223" i="1"/>
  <c r="K223" i="1"/>
  <c r="AB317" i="1"/>
  <c r="AA317" i="1" s="1"/>
  <c r="V317" i="1"/>
  <c r="J317" i="1"/>
  <c r="AB554" i="1"/>
  <c r="R554" i="1"/>
  <c r="AD225" i="1"/>
  <c r="L225" i="1"/>
  <c r="AI135" i="1"/>
  <c r="Q135" i="1"/>
  <c r="K236" i="1"/>
  <c r="AC236" i="1"/>
  <c r="R286" i="1"/>
  <c r="J286" i="1"/>
  <c r="I286" i="1" s="1"/>
  <c r="AB286" i="1"/>
  <c r="AA286" i="1" s="1"/>
  <c r="AB248" i="1"/>
  <c r="J248" i="1"/>
  <c r="R248" i="1"/>
  <c r="V340" i="1"/>
  <c r="J340" i="1"/>
  <c r="AB340" i="1"/>
  <c r="AA340" i="1" s="1"/>
  <c r="AB319" i="1"/>
  <c r="AA319" i="1" s="1"/>
  <c r="J319" i="1"/>
  <c r="R319" i="1"/>
  <c r="R275" i="1"/>
  <c r="J275" i="1"/>
  <c r="I275" i="1" s="1"/>
  <c r="AB275" i="1"/>
  <c r="AA275" i="1" s="1"/>
  <c r="R223" i="1"/>
  <c r="AB223" i="1"/>
  <c r="J223" i="1"/>
  <c r="AC234" i="1"/>
  <c r="K234" i="1"/>
  <c r="AD265" i="1"/>
  <c r="L265" i="1"/>
  <c r="AC250" i="1"/>
  <c r="K250" i="1"/>
  <c r="J336" i="1"/>
  <c r="AB336" i="1"/>
  <c r="AA336" i="1" s="1"/>
  <c r="V336" i="1"/>
  <c r="AB329" i="1"/>
  <c r="AA329" i="1" s="1"/>
  <c r="J329" i="1"/>
  <c r="R329" i="1"/>
  <c r="AC240" i="1"/>
  <c r="K240" i="1"/>
  <c r="R290" i="1"/>
  <c r="J290" i="1"/>
  <c r="I290" i="1" s="1"/>
  <c r="AB290" i="1"/>
  <c r="AA290" i="1" s="1"/>
  <c r="AB259" i="1"/>
  <c r="R259" i="1"/>
  <c r="J259" i="1"/>
  <c r="T143" i="1"/>
  <c r="AB143" i="1"/>
  <c r="J143" i="1"/>
  <c r="AB126" i="1"/>
  <c r="T126" i="1"/>
  <c r="J126" i="1"/>
  <c r="AC218" i="1"/>
  <c r="K218" i="1"/>
  <c r="AB287" i="1"/>
  <c r="AA287" i="1" s="1"/>
  <c r="R287" i="1"/>
  <c r="J287" i="1"/>
  <c r="I287" i="1" s="1"/>
  <c r="J236" i="1"/>
  <c r="AB236" i="1"/>
  <c r="R236" i="1"/>
  <c r="AB141" i="1"/>
  <c r="T141" i="1"/>
  <c r="J141" i="1"/>
  <c r="R315" i="1"/>
  <c r="J315" i="1"/>
  <c r="I315" i="1" s="1"/>
  <c r="AB315" i="1"/>
  <c r="AA315" i="1" s="1"/>
  <c r="AI122" i="1"/>
  <c r="Q122" i="1"/>
  <c r="R331" i="1"/>
  <c r="AB331" i="1"/>
  <c r="AA331" i="1" s="1"/>
  <c r="J331" i="1"/>
  <c r="AD259" i="1"/>
  <c r="L259" i="1"/>
  <c r="R291" i="1"/>
  <c r="AB291" i="1"/>
  <c r="AA291" i="1" s="1"/>
  <c r="J291" i="1"/>
  <c r="I291" i="1" s="1"/>
  <c r="J240" i="1"/>
  <c r="R240" i="1"/>
  <c r="AB240" i="1"/>
  <c r="AD236" i="1"/>
  <c r="L236" i="1"/>
  <c r="AB550" i="1"/>
  <c r="AA550" i="1" s="1"/>
  <c r="AB558" i="1"/>
  <c r="AA558" i="1" s="1"/>
  <c r="AD465" i="1"/>
  <c r="AC463" i="1"/>
  <c r="AE473" i="1"/>
  <c r="AD471" i="1"/>
  <c r="AC462" i="1"/>
  <c r="AD470" i="1"/>
  <c r="AE464" i="1"/>
  <c r="AC472" i="1"/>
  <c r="AE465" i="1"/>
  <c r="AD468" i="1"/>
  <c r="AC473" i="1"/>
  <c r="AC471" i="1"/>
  <c r="AC467" i="1"/>
  <c r="AC466" i="1"/>
  <c r="AE472" i="1"/>
  <c r="AC469" i="1"/>
  <c r="AE466" i="1"/>
  <c r="AC470" i="1"/>
  <c r="AD472" i="1"/>
  <c r="AC468" i="1"/>
  <c r="AD463" i="1"/>
  <c r="AD473" i="1"/>
  <c r="AE471" i="1"/>
  <c r="AE469" i="1"/>
  <c r="AD462" i="1"/>
  <c r="AE467" i="1"/>
  <c r="AD466" i="1"/>
  <c r="AD464" i="1"/>
  <c r="AD467" i="1"/>
  <c r="AE470" i="1"/>
  <c r="AC464" i="1"/>
  <c r="AC465" i="1"/>
  <c r="AE468" i="1"/>
  <c r="AE463" i="1"/>
  <c r="AD469" i="1"/>
  <c r="AE462" i="1"/>
  <c r="AM543" i="1"/>
  <c r="AM545" i="1"/>
  <c r="R550" i="1"/>
  <c r="AM558" i="1"/>
  <c r="AM541" i="1"/>
  <c r="AB549" i="1"/>
  <c r="AA549" i="1" s="1"/>
  <c r="AM550" i="1"/>
  <c r="AM595" i="1"/>
  <c r="AB556" i="1"/>
  <c r="AA556" i="1" s="1"/>
  <c r="R558" i="1"/>
  <c r="AB555" i="1"/>
  <c r="AA555" i="1" s="1"/>
  <c r="R547" i="1"/>
  <c r="AM556" i="1"/>
  <c r="AB560" i="1"/>
  <c r="AA560" i="1" s="1"/>
  <c r="AM560" i="1"/>
  <c r="AB562" i="1"/>
  <c r="AA562" i="1" s="1"/>
  <c r="AM547" i="1"/>
  <c r="AB552" i="1"/>
  <c r="AA552" i="1" s="1"/>
  <c r="AM552" i="1"/>
  <c r="AB595" i="1"/>
  <c r="AA595" i="1" s="1"/>
  <c r="R595" i="1"/>
  <c r="AB547" i="1"/>
  <c r="AA547" i="1" s="1"/>
  <c r="I300" i="1" l="1"/>
  <c r="I338" i="1"/>
  <c r="I240" i="1"/>
  <c r="I329" i="1"/>
  <c r="I574" i="1"/>
  <c r="I331" i="1"/>
  <c r="I430" i="1"/>
  <c r="I482" i="1"/>
  <c r="I431" i="1"/>
  <c r="I319" i="1"/>
  <c r="I563" i="1"/>
  <c r="I238" i="1"/>
  <c r="H238" i="1" s="1"/>
  <c r="I295" i="1"/>
  <c r="I432" i="1"/>
  <c r="I322" i="1"/>
  <c r="H322" i="1" s="1"/>
  <c r="I428" i="1"/>
  <c r="H428" i="1" s="1"/>
  <c r="K445" i="1" s="1" a="1"/>
  <c r="K445" i="1" s="1"/>
  <c r="I519" i="1"/>
  <c r="I440" i="1"/>
  <c r="H440" i="1" s="1"/>
  <c r="K457" i="1" s="1" a="1"/>
  <c r="K457" i="1" s="1"/>
  <c r="I248" i="1"/>
  <c r="H248" i="1" s="1"/>
  <c r="I263" i="1"/>
  <c r="I313" i="1"/>
  <c r="I515" i="1"/>
  <c r="I311" i="1"/>
  <c r="H311" i="1" s="1"/>
  <c r="I569" i="1"/>
  <c r="H569" i="1" s="1"/>
  <c r="K585" i="1" s="1" a="1"/>
  <c r="K585" i="1" s="1"/>
  <c r="I564" i="1"/>
  <c r="I236" i="1"/>
  <c r="H236" i="1" s="1"/>
  <c r="I259" i="1"/>
  <c r="I223" i="1"/>
  <c r="H223" i="1" s="1"/>
  <c r="I309" i="1"/>
  <c r="I512" i="1"/>
  <c r="H512" i="1" s="1"/>
  <c r="K525" i="1" s="1" a="1"/>
  <c r="K525" i="1" s="1"/>
  <c r="I434" i="1"/>
  <c r="I513" i="1"/>
  <c r="I483" i="1"/>
  <c r="I570" i="1"/>
  <c r="I225" i="1"/>
  <c r="I106" i="1"/>
  <c r="H106" i="1" s="1"/>
  <c r="I477" i="1"/>
  <c r="I441" i="1"/>
  <c r="I480" i="1"/>
  <c r="I577" i="1"/>
  <c r="H577" i="1" s="1"/>
  <c r="K593" i="1" s="1" a="1"/>
  <c r="K593" i="1" s="1"/>
  <c r="I517" i="1"/>
  <c r="I478" i="1"/>
  <c r="H478" i="1" s="1"/>
  <c r="K490" i="1" s="1" a="1"/>
  <c r="K490" i="1" s="1"/>
  <c r="I484" i="1"/>
  <c r="I575" i="1"/>
  <c r="H575" i="1" s="1"/>
  <c r="K591" i="1" s="1" a="1"/>
  <c r="K591" i="1" s="1"/>
  <c r="I435" i="1"/>
  <c r="I481" i="1"/>
  <c r="I521" i="1"/>
  <c r="I436" i="1"/>
  <c r="H436" i="1" s="1"/>
  <c r="K453" i="1" s="1" a="1"/>
  <c r="K453" i="1" s="1"/>
  <c r="I439" i="1"/>
  <c r="I561" i="1"/>
  <c r="H561" i="1" s="1"/>
  <c r="J593" i="1" s="1" a="1"/>
  <c r="J593" i="1" s="1"/>
  <c r="I218" i="1"/>
  <c r="H218" i="1" s="1"/>
  <c r="I261" i="1"/>
  <c r="H261" i="1" s="1"/>
  <c r="H559" i="1"/>
  <c r="J591" i="1" s="1" a="1"/>
  <c r="J591" i="1" s="1"/>
  <c r="I553" i="1"/>
  <c r="H553" i="1" s="1"/>
  <c r="J585" i="1" s="1" a="1"/>
  <c r="J585" i="1" s="1"/>
  <c r="I474" i="1"/>
  <c r="H474" i="1" s="1"/>
  <c r="K486" i="1" s="1" a="1"/>
  <c r="K486" i="1" s="1"/>
  <c r="I565" i="1"/>
  <c r="H565" i="1" s="1"/>
  <c r="K581" i="1" s="1" a="1"/>
  <c r="K581" i="1" s="1"/>
  <c r="I479" i="1"/>
  <c r="I571" i="1"/>
  <c r="H571" i="1" s="1"/>
  <c r="K587" i="1" s="1" a="1"/>
  <c r="K587" i="1" s="1"/>
  <c r="I442" i="1"/>
  <c r="H442" i="1" s="1"/>
  <c r="K459" i="1" s="1" a="1"/>
  <c r="K459" i="1" s="1"/>
  <c r="I576" i="1"/>
  <c r="H576" i="1" s="1"/>
  <c r="K592" i="1" s="1" a="1"/>
  <c r="K592" i="1" s="1"/>
  <c r="I475" i="1"/>
  <c r="H475" i="1" s="1"/>
  <c r="K487" i="1" s="1" a="1"/>
  <c r="K487" i="1" s="1"/>
  <c r="I578" i="1"/>
  <c r="I518" i="1"/>
  <c r="I514" i="1"/>
  <c r="H514" i="1" s="1"/>
  <c r="K527" i="1" s="1" a="1"/>
  <c r="K527" i="1" s="1"/>
  <c r="I485" i="1"/>
  <c r="I557" i="1"/>
  <c r="H557" i="1" s="1"/>
  <c r="J589" i="1" s="1" a="1"/>
  <c r="J589" i="1" s="1"/>
  <c r="I234" i="1"/>
  <c r="I243" i="1"/>
  <c r="H243" i="1" s="1"/>
  <c r="I250" i="1"/>
  <c r="I265" i="1"/>
  <c r="H265" i="1" s="1"/>
  <c r="I516" i="1"/>
  <c r="I566" i="1"/>
  <c r="H566" i="1" s="1"/>
  <c r="K582" i="1" s="1" a="1"/>
  <c r="K582" i="1" s="1"/>
  <c r="I511" i="1"/>
  <c r="I520" i="1"/>
  <c r="H520" i="1" s="1"/>
  <c r="K533" i="1" s="1" a="1"/>
  <c r="K533" i="1" s="1"/>
  <c r="I476" i="1"/>
  <c r="I567" i="1"/>
  <c r="H567" i="1" s="1"/>
  <c r="K583" i="1" s="1" a="1"/>
  <c r="K583" i="1" s="1"/>
  <c r="I429" i="1"/>
  <c r="I433" i="1"/>
  <c r="H433" i="1" s="1"/>
  <c r="K450" i="1" s="1" a="1"/>
  <c r="K450" i="1" s="1"/>
  <c r="I573" i="1"/>
  <c r="I438" i="1"/>
  <c r="H438" i="1" s="1"/>
  <c r="K455" i="1" s="1" a="1"/>
  <c r="K455" i="1" s="1"/>
  <c r="I522" i="1"/>
  <c r="I551" i="1"/>
  <c r="H551" i="1" s="1"/>
  <c r="J583" i="1" s="1" a="1"/>
  <c r="J583" i="1" s="1"/>
  <c r="I554" i="1"/>
  <c r="H554" i="1" s="1"/>
  <c r="J586" i="1" s="1" a="1"/>
  <c r="J586" i="1" s="1"/>
  <c r="AA574" i="1"/>
  <c r="AA430" i="1"/>
  <c r="H568" i="1"/>
  <c r="K584" i="1" s="1" a="1"/>
  <c r="K584" i="1" s="1"/>
  <c r="AA442" i="1"/>
  <c r="H439" i="1"/>
  <c r="K456" i="1" s="1" a="1"/>
  <c r="K456" i="1" s="1"/>
  <c r="H564" i="1"/>
  <c r="K580" i="1" s="1" a="1"/>
  <c r="K580" i="1" s="1"/>
  <c r="AA441" i="1"/>
  <c r="AA577" i="1"/>
  <c r="AA564" i="1"/>
  <c r="AA436" i="1"/>
  <c r="H482" i="1"/>
  <c r="K494" i="1" s="1" a="1"/>
  <c r="K494" i="1" s="1"/>
  <c r="H444" i="1"/>
  <c r="K461" i="1" s="1" a="1"/>
  <c r="K461" i="1" s="1"/>
  <c r="AA563" i="1"/>
  <c r="AA572" i="1"/>
  <c r="H515" i="1"/>
  <c r="K528" i="1" s="1" a="1"/>
  <c r="K528" i="1" s="1"/>
  <c r="H480" i="1"/>
  <c r="K492" i="1" s="1" a="1"/>
  <c r="K492" i="1" s="1"/>
  <c r="AA428" i="1"/>
  <c r="AA439" i="1"/>
  <c r="AA479" i="1"/>
  <c r="AA475" i="1"/>
  <c r="H517" i="1"/>
  <c r="K530" i="1" s="1" a="1"/>
  <c r="K530" i="1" s="1"/>
  <c r="AA578" i="1"/>
  <c r="AA432" i="1"/>
  <c r="AA434" i="1"/>
  <c r="H435" i="1"/>
  <c r="K452" i="1" s="1" a="1"/>
  <c r="K452" i="1" s="1"/>
  <c r="H511" i="1"/>
  <c r="K524" i="1" s="1" a="1"/>
  <c r="K524" i="1" s="1"/>
  <c r="H434" i="1"/>
  <c r="K451" i="1" s="1" a="1"/>
  <c r="K451" i="1" s="1"/>
  <c r="AA435" i="1"/>
  <c r="AA573" i="1"/>
  <c r="AA566" i="1"/>
  <c r="AA515" i="1"/>
  <c r="AA519" i="1"/>
  <c r="H523" i="1"/>
  <c r="K536" i="1" s="1" a="1"/>
  <c r="K536" i="1" s="1"/>
  <c r="AA481" i="1"/>
  <c r="H513" i="1"/>
  <c r="K526" i="1" s="1" a="1"/>
  <c r="K526" i="1" s="1"/>
  <c r="AA521" i="1"/>
  <c r="AA514" i="1"/>
  <c r="H484" i="1"/>
  <c r="K496" i="1" s="1" a="1"/>
  <c r="K496" i="1" s="1"/>
  <c r="H516" i="1"/>
  <c r="K529" i="1" s="1" a="1"/>
  <c r="K529" i="1" s="1"/>
  <c r="AA523" i="1"/>
  <c r="AA477" i="1"/>
  <c r="H431" i="1"/>
  <c r="K448" i="1" s="1" a="1"/>
  <c r="K448" i="1" s="1"/>
  <c r="H570" i="1"/>
  <c r="K586" i="1" s="1" a="1"/>
  <c r="K586" i="1" s="1"/>
  <c r="H479" i="1"/>
  <c r="K491" i="1" s="1" a="1"/>
  <c r="K491" i="1" s="1"/>
  <c r="AA476" i="1"/>
  <c r="AA568" i="1"/>
  <c r="H430" i="1"/>
  <c r="K447" i="1" s="1" a="1"/>
  <c r="K447" i="1" s="1"/>
  <c r="AA478" i="1"/>
  <c r="H578" i="1"/>
  <c r="K594" i="1" s="1" a="1"/>
  <c r="K594" i="1" s="1"/>
  <c r="H518" i="1"/>
  <c r="K531" i="1" s="1" a="1"/>
  <c r="K531" i="1" s="1"/>
  <c r="AA575" i="1"/>
  <c r="AA567" i="1"/>
  <c r="H481" i="1"/>
  <c r="K493" i="1" s="1" a="1"/>
  <c r="K493" i="1" s="1"/>
  <c r="H521" i="1"/>
  <c r="K534" i="1" s="1" a="1"/>
  <c r="K534" i="1" s="1"/>
  <c r="AA522" i="1"/>
  <c r="AA485" i="1"/>
  <c r="AA570" i="1"/>
  <c r="AA512" i="1"/>
  <c r="H572" i="1"/>
  <c r="K588" i="1" s="1" a="1"/>
  <c r="K588" i="1" s="1"/>
  <c r="AA431" i="1"/>
  <c r="AA440" i="1"/>
  <c r="AA571" i="1"/>
  <c r="H476" i="1"/>
  <c r="K488" i="1" s="1" a="1"/>
  <c r="K488" i="1" s="1"/>
  <c r="H483" i="1"/>
  <c r="K495" i="1" s="1" a="1"/>
  <c r="K495" i="1" s="1"/>
  <c r="AA437" i="1"/>
  <c r="AA484" i="1"/>
  <c r="H429" i="1"/>
  <c r="K446" i="1" s="1" a="1"/>
  <c r="K446" i="1" s="1"/>
  <c r="H443" i="1"/>
  <c r="K460" i="1" s="1" a="1"/>
  <c r="K460" i="1" s="1"/>
  <c r="AA483" i="1"/>
  <c r="H485" i="1"/>
  <c r="K497" i="1" s="1" a="1"/>
  <c r="K497" i="1" s="1"/>
  <c r="H574" i="1"/>
  <c r="K590" i="1" s="1" a="1"/>
  <c r="K590" i="1" s="1"/>
  <c r="H441" i="1"/>
  <c r="K458" i="1" s="1" a="1"/>
  <c r="K458" i="1" s="1"/>
  <c r="H563" i="1"/>
  <c r="K579" i="1" s="1" a="1"/>
  <c r="K579" i="1" s="1"/>
  <c r="AA516" i="1"/>
  <c r="AA482" i="1"/>
  <c r="AA511" i="1"/>
  <c r="H519" i="1"/>
  <c r="K532" i="1" s="1" a="1"/>
  <c r="K532" i="1" s="1"/>
  <c r="AA520" i="1"/>
  <c r="AA474" i="1"/>
  <c r="AA433" i="1"/>
  <c r="H477" i="1"/>
  <c r="K489" i="1" s="1" a="1"/>
  <c r="K489" i="1" s="1"/>
  <c r="AA480" i="1"/>
  <c r="AA517" i="1"/>
  <c r="AA569" i="1"/>
  <c r="AA518" i="1"/>
  <c r="H437" i="1"/>
  <c r="K454" i="1" s="1" a="1"/>
  <c r="K454" i="1" s="1"/>
  <c r="H432" i="1"/>
  <c r="K449" i="1" s="1" a="1"/>
  <c r="K449" i="1" s="1"/>
  <c r="AA429" i="1"/>
  <c r="AA513" i="1"/>
  <c r="AA444" i="1"/>
  <c r="H573" i="1"/>
  <c r="K589" i="1" s="1" a="1"/>
  <c r="K589" i="1" s="1"/>
  <c r="H522" i="1"/>
  <c r="K535" i="1" s="1" a="1"/>
  <c r="K535" i="1" s="1"/>
  <c r="AA248" i="1"/>
  <c r="AA551" i="1"/>
  <c r="AA263" i="1"/>
  <c r="H313" i="1"/>
  <c r="H259" i="1"/>
  <c r="AA561" i="1"/>
  <c r="AA554" i="1"/>
  <c r="AA557" i="1"/>
  <c r="H263" i="1"/>
  <c r="H240" i="1"/>
  <c r="H548" i="1"/>
  <c r="J580" i="1" s="1" a="1"/>
  <c r="J580" i="1" s="1"/>
  <c r="H315" i="1"/>
  <c r="H287" i="1"/>
  <c r="H329" i="1"/>
  <c r="H234" i="1"/>
  <c r="H302" i="1"/>
  <c r="H276" i="1"/>
  <c r="H280" i="1"/>
  <c r="H327" i="1"/>
  <c r="H291" i="1"/>
  <c r="H309" i="1"/>
  <c r="H274" i="1"/>
  <c r="H289" i="1"/>
  <c r="H346" i="1"/>
  <c r="H331" i="1"/>
  <c r="H319" i="1"/>
  <c r="H295" i="1"/>
  <c r="H284" i="1"/>
  <c r="H271" i="1"/>
  <c r="H250" i="1"/>
  <c r="H288" i="1"/>
  <c r="H273" i="1"/>
  <c r="H342" i="1"/>
  <c r="H300" i="1"/>
  <c r="H304" i="1"/>
  <c r="H290" i="1"/>
  <c r="H275" i="1"/>
  <c r="H286" i="1"/>
  <c r="H282" i="1"/>
  <c r="H283" i="1"/>
  <c r="H225" i="1"/>
  <c r="H338" i="1"/>
  <c r="AA259" i="1"/>
  <c r="AA240" i="1"/>
  <c r="AA223" i="1"/>
  <c r="AA236" i="1"/>
  <c r="R344" i="1"/>
  <c r="M344" i="1"/>
  <c r="I344" i="1" s="1"/>
  <c r="AA225" i="1"/>
  <c r="R313" i="1"/>
  <c r="AA261" i="1"/>
  <c r="U141" i="1"/>
  <c r="AC141" i="1"/>
  <c r="K141" i="1"/>
  <c r="AC126" i="1"/>
  <c r="U126" i="1"/>
  <c r="K126" i="1"/>
  <c r="R309" i="1"/>
  <c r="AA250" i="1"/>
  <c r="AA218" i="1"/>
  <c r="AA234" i="1"/>
  <c r="AC143" i="1"/>
  <c r="U143" i="1"/>
  <c r="K143" i="1"/>
  <c r="R336" i="1"/>
  <c r="M336" i="1"/>
  <c r="I336" i="1" s="1"/>
  <c r="R340" i="1"/>
  <c r="M340" i="1"/>
  <c r="I340" i="1" s="1"/>
  <c r="AC122" i="1"/>
  <c r="U122" i="1"/>
  <c r="K122" i="1"/>
  <c r="U135" i="1"/>
  <c r="AC135" i="1"/>
  <c r="K135" i="1"/>
  <c r="U133" i="1"/>
  <c r="AC133" i="1"/>
  <c r="K133" i="1"/>
  <c r="AA238" i="1"/>
  <c r="R317" i="1"/>
  <c r="M317" i="1"/>
  <c r="I317" i="1" s="1"/>
  <c r="AA243" i="1"/>
  <c r="AA265" i="1"/>
  <c r="R549" i="1"/>
  <c r="R556" i="1"/>
  <c r="R560" i="1"/>
  <c r="R555" i="1"/>
  <c r="R552" i="1"/>
  <c r="R562" i="1"/>
  <c r="AN383" i="1"/>
  <c r="AN387" i="1"/>
  <c r="AN391" i="1"/>
  <c r="AN395" i="1"/>
  <c r="AN399" i="1"/>
  <c r="AN403" i="1"/>
  <c r="AN407" i="1"/>
  <c r="AN382" i="1"/>
  <c r="AN385" i="1"/>
  <c r="AN389" i="1"/>
  <c r="AN393" i="1"/>
  <c r="AN397" i="1"/>
  <c r="AN401" i="1"/>
  <c r="AN405" i="1"/>
  <c r="AN409" i="1"/>
  <c r="AN386" i="1"/>
  <c r="AN390" i="1"/>
  <c r="AN394" i="1"/>
  <c r="AN398" i="1"/>
  <c r="AN402" i="1"/>
  <c r="AN406" i="1"/>
  <c r="AN410" i="1"/>
  <c r="AN384" i="1"/>
  <c r="AN400" i="1"/>
  <c r="AN404" i="1"/>
  <c r="AN392" i="1"/>
  <c r="AN408" i="1"/>
  <c r="AN388" i="1"/>
  <c r="AN396" i="1"/>
  <c r="V293" i="1"/>
  <c r="V294" i="1"/>
  <c r="V296" i="1"/>
  <c r="V297" i="1"/>
  <c r="V298" i="1"/>
  <c r="V299" i="1"/>
  <c r="V301" i="1"/>
  <c r="V303" i="1"/>
  <c r="V305" i="1"/>
  <c r="V307" i="1"/>
  <c r="V310" i="1"/>
  <c r="V314" i="1"/>
  <c r="V318" i="1"/>
  <c r="V320" i="1"/>
  <c r="V321" i="1"/>
  <c r="V323" i="1"/>
  <c r="V324" i="1"/>
  <c r="V325" i="1"/>
  <c r="V326" i="1"/>
  <c r="V328" i="1"/>
  <c r="V330" i="1"/>
  <c r="V332" i="1"/>
  <c r="V333" i="1"/>
  <c r="V335" i="1"/>
  <c r="V339" i="1"/>
  <c r="V343" i="1"/>
  <c r="V347" i="1"/>
  <c r="V292" i="1"/>
  <c r="H591" i="1" l="1"/>
  <c r="H593" i="1"/>
  <c r="H583" i="1"/>
  <c r="H589" i="1"/>
  <c r="H586" i="1"/>
  <c r="H344" i="1"/>
  <c r="H585" i="1"/>
  <c r="H580" i="1"/>
  <c r="H317" i="1"/>
  <c r="H336" i="1"/>
  <c r="H340" i="1"/>
  <c r="Z396" i="1"/>
  <c r="T396" i="1"/>
  <c r="Z390" i="1"/>
  <c r="T390" i="1"/>
  <c r="Z399" i="1"/>
  <c r="T399" i="1"/>
  <c r="Z408" i="1"/>
  <c r="T408" i="1"/>
  <c r="Z384" i="1"/>
  <c r="T384" i="1"/>
  <c r="Z398" i="1"/>
  <c r="T398" i="1"/>
  <c r="Z409" i="1"/>
  <c r="T409" i="1"/>
  <c r="Z393" i="1"/>
  <c r="T393" i="1"/>
  <c r="Z407" i="1"/>
  <c r="T407" i="1"/>
  <c r="Z391" i="1"/>
  <c r="T391" i="1"/>
  <c r="Z406" i="1"/>
  <c r="T406" i="1"/>
  <c r="Z401" i="1"/>
  <c r="T401" i="1"/>
  <c r="Z383" i="1"/>
  <c r="T383" i="1"/>
  <c r="Z400" i="1"/>
  <c r="T400" i="1"/>
  <c r="Z392" i="1"/>
  <c r="T392" i="1"/>
  <c r="Z410" i="1"/>
  <c r="T410" i="1"/>
  <c r="Z394" i="1"/>
  <c r="T394" i="1"/>
  <c r="Z405" i="1"/>
  <c r="T405" i="1"/>
  <c r="Z389" i="1"/>
  <c r="T389" i="1"/>
  <c r="Z403" i="1"/>
  <c r="T403" i="1"/>
  <c r="Z387" i="1"/>
  <c r="T387" i="1"/>
  <c r="Z404" i="1"/>
  <c r="T404" i="1"/>
  <c r="Z385" i="1"/>
  <c r="T385" i="1"/>
  <c r="Z388" i="1"/>
  <c r="T388" i="1"/>
  <c r="Z402" i="1"/>
  <c r="T402" i="1"/>
  <c r="Z386" i="1"/>
  <c r="T386" i="1"/>
  <c r="Z397" i="1"/>
  <c r="T397" i="1"/>
  <c r="Z382" i="1"/>
  <c r="T382" i="1"/>
  <c r="Z395" i="1"/>
  <c r="T395" i="1"/>
  <c r="V133" i="1"/>
  <c r="R133" i="1" s="1"/>
  <c r="AD133" i="1"/>
  <c r="L133" i="1"/>
  <c r="AD126" i="1"/>
  <c r="V126" i="1"/>
  <c r="R126" i="1" s="1"/>
  <c r="L126" i="1"/>
  <c r="V122" i="1"/>
  <c r="R122" i="1" s="1"/>
  <c r="AD122" i="1"/>
  <c r="L122" i="1"/>
  <c r="AD143" i="1"/>
  <c r="V143" i="1"/>
  <c r="R143" i="1" s="1"/>
  <c r="L143" i="1"/>
  <c r="AD141" i="1"/>
  <c r="V141" i="1"/>
  <c r="R141" i="1" s="1"/>
  <c r="L141" i="1"/>
  <c r="V135" i="1"/>
  <c r="R135" i="1" s="1"/>
  <c r="AD135" i="1"/>
  <c r="L135" i="1"/>
  <c r="AM415" i="1"/>
  <c r="AM425" i="1"/>
  <c r="AM420" i="1"/>
  <c r="AM539" i="1"/>
  <c r="AM424" i="1"/>
  <c r="AM464" i="1"/>
  <c r="AM472" i="1"/>
  <c r="AM470" i="1"/>
  <c r="AM465" i="1"/>
  <c r="AM505" i="1"/>
  <c r="AM538" i="1"/>
  <c r="AM499" i="1"/>
  <c r="AM427" i="1"/>
  <c r="AM417" i="1"/>
  <c r="AM414" i="1"/>
  <c r="AM418" i="1"/>
  <c r="AM510" i="1"/>
  <c r="AM466" i="1"/>
  <c r="AM504" i="1"/>
  <c r="AM498" i="1"/>
  <c r="AM503" i="1"/>
  <c r="AM471" i="1"/>
  <c r="AM508" i="1"/>
  <c r="AM419" i="1"/>
  <c r="AM421" i="1"/>
  <c r="AM500" i="1"/>
  <c r="AM412" i="1"/>
  <c r="AM422" i="1"/>
  <c r="AM540" i="1"/>
  <c r="AM501" i="1"/>
  <c r="AM473" i="1"/>
  <c r="AM537" i="1"/>
  <c r="AM467" i="1"/>
  <c r="AM506" i="1"/>
  <c r="AM411" i="1"/>
  <c r="AM423" i="1"/>
  <c r="AM413" i="1"/>
  <c r="AM426" i="1"/>
  <c r="AM468" i="1"/>
  <c r="AM507" i="1"/>
  <c r="AM416" i="1"/>
  <c r="AM462" i="1"/>
  <c r="AM469" i="1"/>
  <c r="AM509" i="1"/>
  <c r="AM463" i="1"/>
  <c r="AM502" i="1"/>
  <c r="AM410" i="1"/>
  <c r="AM406" i="1"/>
  <c r="AM402" i="1"/>
  <c r="AM398" i="1"/>
  <c r="AM394" i="1"/>
  <c r="AM390" i="1"/>
  <c r="AM386" i="1"/>
  <c r="AM409" i="1"/>
  <c r="AM405" i="1"/>
  <c r="AM401" i="1"/>
  <c r="AM397" i="1"/>
  <c r="AM393" i="1"/>
  <c r="AM389" i="1"/>
  <c r="AM385" i="1"/>
  <c r="AM408" i="1"/>
  <c r="AM404" i="1"/>
  <c r="AM400" i="1"/>
  <c r="AM396" i="1"/>
  <c r="AM392" i="1"/>
  <c r="AM388" i="1"/>
  <c r="AM384" i="1"/>
  <c r="AM407" i="1"/>
  <c r="AM403" i="1"/>
  <c r="AM399" i="1"/>
  <c r="AM395" i="1"/>
  <c r="AM391" i="1"/>
  <c r="AM387" i="1"/>
  <c r="AM383" i="1"/>
  <c r="AE141" i="1" l="1"/>
  <c r="AA141" i="1" s="1"/>
  <c r="M141" i="1"/>
  <c r="I141" i="1" s="1"/>
  <c r="AE143" i="1"/>
  <c r="AA143" i="1" s="1"/>
  <c r="M143" i="1"/>
  <c r="I143" i="1" s="1"/>
  <c r="AE126" i="1"/>
  <c r="AA126" i="1" s="1"/>
  <c r="M126" i="1"/>
  <c r="I126" i="1" s="1"/>
  <c r="AE133" i="1"/>
  <c r="AA133" i="1" s="1"/>
  <c r="M133" i="1"/>
  <c r="I133" i="1" s="1"/>
  <c r="AE135" i="1"/>
  <c r="AA135" i="1" s="1"/>
  <c r="M135" i="1"/>
  <c r="I135" i="1" s="1"/>
  <c r="AE122" i="1"/>
  <c r="AA122" i="1" s="1"/>
  <c r="M122" i="1"/>
  <c r="I122" i="1" s="1"/>
  <c r="AI510" i="1"/>
  <c r="AI509" i="1"/>
  <c r="AI500" i="1"/>
  <c r="AI499" i="1"/>
  <c r="AI507" i="1"/>
  <c r="AI502" i="1"/>
  <c r="AI503" i="1"/>
  <c r="AI504" i="1"/>
  <c r="AI505" i="1"/>
  <c r="AI506" i="1"/>
  <c r="AI501" i="1"/>
  <c r="AI508" i="1"/>
  <c r="AI498" i="1"/>
  <c r="AC382" i="1"/>
  <c r="AI382" i="1"/>
  <c r="AC389" i="1"/>
  <c r="AI393" i="1"/>
  <c r="AC405" i="1"/>
  <c r="AI409" i="1"/>
  <c r="AC385" i="1"/>
  <c r="AI389" i="1"/>
  <c r="AC401" i="1"/>
  <c r="AI405" i="1"/>
  <c r="AC390" i="1"/>
  <c r="AI394" i="1"/>
  <c r="AC406" i="1"/>
  <c r="AI410" i="1"/>
  <c r="AC387" i="1"/>
  <c r="AI391" i="1"/>
  <c r="AC403" i="1"/>
  <c r="AI407" i="1"/>
  <c r="AC384" i="1"/>
  <c r="AI388" i="1"/>
  <c r="AC400" i="1"/>
  <c r="AI404" i="1"/>
  <c r="AC394" i="1"/>
  <c r="AI398" i="1"/>
  <c r="AC410" i="1"/>
  <c r="AI408" i="1"/>
  <c r="AI385" i="1"/>
  <c r="AC397" i="1"/>
  <c r="AI401" i="1"/>
  <c r="AC386" i="1"/>
  <c r="AI390" i="1"/>
  <c r="AC402" i="1"/>
  <c r="AI406" i="1"/>
  <c r="AC383" i="1"/>
  <c r="AI387" i="1"/>
  <c r="AC399" i="1"/>
  <c r="AI403" i="1"/>
  <c r="AI384" i="1"/>
  <c r="AC396" i="1"/>
  <c r="AI400" i="1"/>
  <c r="AC391" i="1"/>
  <c r="AI395" i="1"/>
  <c r="AC407" i="1"/>
  <c r="AC388" i="1"/>
  <c r="AI392" i="1"/>
  <c r="AC404" i="1"/>
  <c r="AC393" i="1"/>
  <c r="AI397" i="1"/>
  <c r="AC409" i="1"/>
  <c r="AI386" i="1"/>
  <c r="AC398" i="1"/>
  <c r="AI402" i="1"/>
  <c r="AI383" i="1"/>
  <c r="AC395" i="1"/>
  <c r="AI399" i="1"/>
  <c r="AC392" i="1"/>
  <c r="AI396" i="1"/>
  <c r="AC408" i="1"/>
  <c r="H122" i="1" l="1"/>
  <c r="H143" i="1"/>
  <c r="H126" i="1"/>
  <c r="H133" i="1"/>
  <c r="H141" i="1"/>
  <c r="H135" i="1"/>
  <c r="AI19" i="2"/>
  <c r="AH19" i="2"/>
  <c r="B20" i="2"/>
  <c r="B21" i="2"/>
  <c r="B22" i="2"/>
  <c r="B19" i="2"/>
  <c r="AJ547" i="1" l="1"/>
  <c r="AJ541" i="1"/>
  <c r="AJ543" i="1"/>
  <c r="AJ545" i="1"/>
  <c r="AJ550" i="1"/>
  <c r="AJ555" i="1"/>
  <c r="AJ558" i="1"/>
  <c r="AJ562" i="1"/>
  <c r="AJ596" i="1"/>
  <c r="AJ546" i="1"/>
  <c r="AJ542" i="1"/>
  <c r="AJ544" i="1"/>
  <c r="AJ549" i="1"/>
  <c r="AJ552" i="1"/>
  <c r="AJ556" i="1"/>
  <c r="AJ560" i="1"/>
  <c r="AJ595" i="1"/>
  <c r="J547" i="1"/>
  <c r="J555" i="1"/>
  <c r="J562" i="1"/>
  <c r="J558" i="1"/>
  <c r="J556" i="1"/>
  <c r="J552" i="1"/>
  <c r="J560" i="1"/>
  <c r="J550" i="1"/>
  <c r="J596" i="1"/>
  <c r="I596" i="1" s="1"/>
  <c r="J549" i="1"/>
  <c r="J595" i="1"/>
  <c r="I595" i="1" s="1"/>
  <c r="Z415" i="1"/>
  <c r="S425" i="1"/>
  <c r="J425" i="1" s="1"/>
  <c r="S424" i="1"/>
  <c r="J424" i="1" s="1"/>
  <c r="T427" i="1"/>
  <c r="Z417" i="1"/>
  <c r="T414" i="1"/>
  <c r="Z414" i="1"/>
  <c r="T418" i="1"/>
  <c r="S419" i="1"/>
  <c r="J419" i="1" s="1"/>
  <c r="S421" i="1"/>
  <c r="J421" i="1" s="1"/>
  <c r="S420" i="1"/>
  <c r="J420" i="1" s="1"/>
  <c r="T415" i="1"/>
  <c r="S423" i="1"/>
  <c r="J423" i="1" s="1"/>
  <c r="Z426" i="1"/>
  <c r="T421" i="1"/>
  <c r="T416" i="1"/>
  <c r="S415" i="1"/>
  <c r="J415" i="1" s="1"/>
  <c r="Z424" i="1"/>
  <c r="T419" i="1"/>
  <c r="Z427" i="1"/>
  <c r="S417" i="1"/>
  <c r="J417" i="1" s="1"/>
  <c r="S422" i="1"/>
  <c r="J422" i="1" s="1"/>
  <c r="T425" i="1"/>
  <c r="Z411" i="1"/>
  <c r="Z420" i="1"/>
  <c r="S418" i="1"/>
  <c r="J418" i="1" s="1"/>
  <c r="T413" i="1"/>
  <c r="S416" i="1"/>
  <c r="J416" i="1" s="1"/>
  <c r="S427" i="1"/>
  <c r="J427" i="1" s="1"/>
  <c r="Z422" i="1"/>
  <c r="T417" i="1"/>
  <c r="S411" i="1"/>
  <c r="J411" i="1" s="1"/>
  <c r="Z421" i="1"/>
  <c r="S412" i="1"/>
  <c r="J412" i="1" s="1"/>
  <c r="T412" i="1"/>
  <c r="Z413" i="1"/>
  <c r="T426" i="1"/>
  <c r="Z418" i="1"/>
  <c r="Z425" i="1"/>
  <c r="T420" i="1"/>
  <c r="Z416" i="1"/>
  <c r="T424" i="1"/>
  <c r="S414" i="1"/>
  <c r="J414" i="1" s="1"/>
  <c r="Z419" i="1"/>
  <c r="T411" i="1"/>
  <c r="Z412" i="1"/>
  <c r="T423" i="1"/>
  <c r="T422" i="1"/>
  <c r="Z423" i="1"/>
  <c r="S413" i="1"/>
  <c r="J413" i="1" s="1"/>
  <c r="S426" i="1"/>
  <c r="J426" i="1" s="1"/>
  <c r="AJ508" i="1"/>
  <c r="AJ537" i="1"/>
  <c r="AJ501" i="1"/>
  <c r="AJ540" i="1"/>
  <c r="AJ462" i="1"/>
  <c r="AJ466" i="1"/>
  <c r="AJ470" i="1"/>
  <c r="AJ539" i="1"/>
  <c r="AJ499" i="1"/>
  <c r="AJ503" i="1"/>
  <c r="AJ506" i="1"/>
  <c r="AJ464" i="1"/>
  <c r="AJ468" i="1"/>
  <c r="AJ472" i="1"/>
  <c r="AJ509" i="1"/>
  <c r="AJ538" i="1"/>
  <c r="AJ498" i="1"/>
  <c r="AJ502" i="1"/>
  <c r="AJ505" i="1"/>
  <c r="AJ463" i="1"/>
  <c r="AJ467" i="1"/>
  <c r="AJ471" i="1"/>
  <c r="AJ510" i="1"/>
  <c r="AJ504" i="1"/>
  <c r="AJ500" i="1"/>
  <c r="AJ507" i="1"/>
  <c r="AJ469" i="1"/>
  <c r="AJ465" i="1"/>
  <c r="AJ473" i="1"/>
  <c r="AJ427" i="1"/>
  <c r="AJ385" i="1"/>
  <c r="AJ389" i="1"/>
  <c r="AJ393" i="1"/>
  <c r="AJ397" i="1"/>
  <c r="AJ401" i="1"/>
  <c r="AJ405" i="1"/>
  <c r="AJ409" i="1"/>
  <c r="AJ384" i="1"/>
  <c r="AJ388" i="1"/>
  <c r="AJ392" i="1"/>
  <c r="AJ396" i="1"/>
  <c r="AJ400" i="1"/>
  <c r="AJ404" i="1"/>
  <c r="AJ408" i="1"/>
  <c r="AJ383" i="1"/>
  <c r="AJ387" i="1"/>
  <c r="AJ391" i="1"/>
  <c r="AJ395" i="1"/>
  <c r="AJ399" i="1"/>
  <c r="AJ403" i="1"/>
  <c r="AJ407" i="1"/>
  <c r="AJ386" i="1"/>
  <c r="AJ390" i="1"/>
  <c r="AJ394" i="1"/>
  <c r="AJ398" i="1"/>
  <c r="AJ402" i="1"/>
  <c r="AJ406" i="1"/>
  <c r="AJ410" i="1"/>
  <c r="AJ382" i="1"/>
  <c r="AJ294" i="1"/>
  <c r="AJ299" i="1"/>
  <c r="AJ306" i="1"/>
  <c r="AJ312" i="1"/>
  <c r="AJ320" i="1"/>
  <c r="AJ325" i="1"/>
  <c r="AJ332" i="1"/>
  <c r="AJ337" i="1"/>
  <c r="AJ345" i="1"/>
  <c r="AJ270" i="1"/>
  <c r="AJ278" i="1"/>
  <c r="AJ296" i="1"/>
  <c r="AJ301" i="1"/>
  <c r="AJ307" i="1"/>
  <c r="AJ314" i="1"/>
  <c r="AJ321" i="1"/>
  <c r="AJ326" i="1"/>
  <c r="AJ333" i="1"/>
  <c r="AJ339" i="1"/>
  <c r="AJ347" i="1"/>
  <c r="AJ268" i="1"/>
  <c r="AJ272" i="1"/>
  <c r="AJ279" i="1"/>
  <c r="AJ297" i="1"/>
  <c r="AJ303" i="1"/>
  <c r="AJ308" i="1"/>
  <c r="AJ316" i="1"/>
  <c r="AJ323" i="1"/>
  <c r="AJ328" i="1"/>
  <c r="AJ334" i="1"/>
  <c r="AJ341" i="1"/>
  <c r="AJ292" i="1"/>
  <c r="AJ269" i="1"/>
  <c r="AJ281" i="1"/>
  <c r="AJ305" i="1"/>
  <c r="AJ330" i="1"/>
  <c r="AJ310" i="1"/>
  <c r="AJ335" i="1"/>
  <c r="AJ293" i="1"/>
  <c r="AJ318" i="1"/>
  <c r="AJ343" i="1"/>
  <c r="AJ277" i="1"/>
  <c r="AJ298" i="1"/>
  <c r="AJ219" i="1"/>
  <c r="AJ224" i="1"/>
  <c r="AJ229" i="1"/>
  <c r="AJ233" i="1"/>
  <c r="AJ241" i="1"/>
  <c r="AJ246" i="1"/>
  <c r="AJ252" i="1"/>
  <c r="AJ256" i="1"/>
  <c r="AJ262" i="1"/>
  <c r="AJ222" i="1"/>
  <c r="AJ239" i="1"/>
  <c r="AJ255" i="1"/>
  <c r="AJ324" i="1"/>
  <c r="AJ220" i="1"/>
  <c r="AJ226" i="1"/>
  <c r="AJ230" i="1"/>
  <c r="AJ235" i="1"/>
  <c r="AJ242" i="1"/>
  <c r="AJ247" i="1"/>
  <c r="AJ253" i="1"/>
  <c r="AJ257" i="1"/>
  <c r="AJ264" i="1"/>
  <c r="AJ228" i="1"/>
  <c r="AJ232" i="1"/>
  <c r="AJ251" i="1"/>
  <c r="AJ215" i="1"/>
  <c r="AJ285" i="1"/>
  <c r="AJ267" i="1"/>
  <c r="AJ216" i="1"/>
  <c r="AJ221" i="1"/>
  <c r="AJ227" i="1"/>
  <c r="AJ231" i="1"/>
  <c r="AJ237" i="1"/>
  <c r="AJ244" i="1"/>
  <c r="AJ249" i="1"/>
  <c r="AJ254" i="1"/>
  <c r="AJ258" i="1"/>
  <c r="AJ266" i="1"/>
  <c r="AJ217" i="1"/>
  <c r="AJ245" i="1"/>
  <c r="AJ260" i="1"/>
  <c r="AJ194" i="1"/>
  <c r="AJ198" i="1"/>
  <c r="AJ202" i="1"/>
  <c r="AJ206" i="1"/>
  <c r="AJ210" i="1"/>
  <c r="AJ214" i="1"/>
  <c r="AJ164" i="1"/>
  <c r="AJ168" i="1"/>
  <c r="AJ172" i="1"/>
  <c r="AJ176" i="1"/>
  <c r="AJ180" i="1"/>
  <c r="AJ55" i="1"/>
  <c r="AJ51" i="1"/>
  <c r="AJ47" i="1"/>
  <c r="AJ43" i="1"/>
  <c r="AJ39" i="1"/>
  <c r="AJ35" i="1"/>
  <c r="AJ146" i="1"/>
  <c r="AJ150" i="1"/>
  <c r="AJ154" i="1"/>
  <c r="AJ158" i="1"/>
  <c r="AJ162" i="1"/>
  <c r="AJ195" i="1"/>
  <c r="AJ199" i="1"/>
  <c r="AJ203" i="1"/>
  <c r="AJ207" i="1"/>
  <c r="AJ211" i="1"/>
  <c r="AJ193" i="1"/>
  <c r="AJ163" i="1"/>
  <c r="AJ167" i="1"/>
  <c r="AJ171" i="1"/>
  <c r="AJ175" i="1"/>
  <c r="AJ179" i="1"/>
  <c r="AJ54" i="1"/>
  <c r="AJ50" i="1"/>
  <c r="AJ46" i="1"/>
  <c r="AJ42" i="1"/>
  <c r="AJ38" i="1"/>
  <c r="AJ34" i="1"/>
  <c r="AJ145" i="1"/>
  <c r="AJ149" i="1"/>
  <c r="AJ153" i="1"/>
  <c r="AJ157" i="1"/>
  <c r="AJ161" i="1"/>
  <c r="AJ196" i="1"/>
  <c r="AJ200" i="1"/>
  <c r="AJ204" i="1"/>
  <c r="AJ208" i="1"/>
  <c r="AJ212" i="1"/>
  <c r="AJ166" i="1"/>
  <c r="AJ170" i="1"/>
  <c r="AJ174" i="1"/>
  <c r="AJ178" i="1"/>
  <c r="AJ57" i="1"/>
  <c r="AJ53" i="1"/>
  <c r="AJ49" i="1"/>
  <c r="AJ45" i="1"/>
  <c r="AJ41" i="1"/>
  <c r="AJ37" i="1"/>
  <c r="AJ144" i="1"/>
  <c r="AJ148" i="1"/>
  <c r="AJ152" i="1"/>
  <c r="AJ156" i="1"/>
  <c r="AJ160" i="1"/>
  <c r="AJ197" i="1"/>
  <c r="AJ201" i="1"/>
  <c r="AJ205" i="1"/>
  <c r="AJ209" i="1"/>
  <c r="AJ213" i="1"/>
  <c r="AJ165" i="1"/>
  <c r="AJ169" i="1"/>
  <c r="AJ173" i="1"/>
  <c r="AJ177" i="1"/>
  <c r="AJ56" i="1"/>
  <c r="AJ52" i="1"/>
  <c r="AJ48" i="1"/>
  <c r="AJ44" i="1"/>
  <c r="AJ40" i="1"/>
  <c r="AJ36" i="1"/>
  <c r="AJ147" i="1"/>
  <c r="AJ151" i="1"/>
  <c r="AJ155" i="1"/>
  <c r="AJ159" i="1"/>
  <c r="AM382" i="1"/>
  <c r="S268" i="1"/>
  <c r="S272" i="1"/>
  <c r="S277" i="1"/>
  <c r="S279" i="1"/>
  <c r="S285" i="1"/>
  <c r="AO197" i="1"/>
  <c r="AO201" i="1"/>
  <c r="AO205" i="1"/>
  <c r="AO209" i="1"/>
  <c r="AO213" i="1"/>
  <c r="AN195" i="1"/>
  <c r="AN199" i="1"/>
  <c r="AN203" i="1"/>
  <c r="AN207" i="1"/>
  <c r="T268" i="1"/>
  <c r="T272" i="1"/>
  <c r="T277" i="1"/>
  <c r="T279" i="1"/>
  <c r="T285" i="1"/>
  <c r="AO194" i="1"/>
  <c r="AO198" i="1"/>
  <c r="AO202" i="1"/>
  <c r="AO206" i="1"/>
  <c r="AO210" i="1"/>
  <c r="AO214" i="1"/>
  <c r="AN196" i="1"/>
  <c r="AN200" i="1"/>
  <c r="AN204" i="1"/>
  <c r="AN208" i="1"/>
  <c r="S269" i="1"/>
  <c r="S270" i="1"/>
  <c r="S278" i="1"/>
  <c r="S281" i="1"/>
  <c r="T267" i="1"/>
  <c r="AO195" i="1"/>
  <c r="AO199" i="1"/>
  <c r="AO203" i="1"/>
  <c r="AO207" i="1"/>
  <c r="AO211" i="1"/>
  <c r="AO193" i="1"/>
  <c r="AN197" i="1"/>
  <c r="AN201" i="1"/>
  <c r="AN205" i="1"/>
  <c r="T270" i="1"/>
  <c r="AO196" i="1"/>
  <c r="AO212" i="1"/>
  <c r="AN206" i="1"/>
  <c r="AN212" i="1"/>
  <c r="AN183" i="1"/>
  <c r="AN187" i="1"/>
  <c r="AN191" i="1"/>
  <c r="AN165" i="1"/>
  <c r="AN169" i="1"/>
  <c r="AN173" i="1"/>
  <c r="AN177" i="1"/>
  <c r="AN163" i="1"/>
  <c r="AO148" i="1"/>
  <c r="AO152" i="1"/>
  <c r="AO156" i="1"/>
  <c r="AO160" i="1"/>
  <c r="AN145" i="1"/>
  <c r="AN149" i="1"/>
  <c r="AN153" i="1"/>
  <c r="AN157" i="1"/>
  <c r="AN161" i="1"/>
  <c r="AN118" i="1"/>
  <c r="AN123" i="1"/>
  <c r="AN128" i="1"/>
  <c r="AN132" i="1"/>
  <c r="AN138" i="1"/>
  <c r="AN116" i="1"/>
  <c r="AN108" i="1"/>
  <c r="AN110" i="1"/>
  <c r="AN114" i="1"/>
  <c r="AN87" i="1"/>
  <c r="S87" i="1" s="1"/>
  <c r="AN91" i="1"/>
  <c r="S91" i="1" s="1"/>
  <c r="AN95" i="1"/>
  <c r="S95" i="1" s="1"/>
  <c r="AN99" i="1"/>
  <c r="S99" i="1" s="1"/>
  <c r="AN103" i="1"/>
  <c r="S103" i="1" s="1"/>
  <c r="AN79" i="1"/>
  <c r="S79" i="1" s="1"/>
  <c r="AN83" i="1"/>
  <c r="S83" i="1" s="1"/>
  <c r="AO59" i="1"/>
  <c r="AO63" i="1"/>
  <c r="AO67" i="1"/>
  <c r="AO71" i="1"/>
  <c r="AO75" i="1"/>
  <c r="AN61" i="1"/>
  <c r="AN65" i="1"/>
  <c r="AN69" i="1"/>
  <c r="AN73" i="1"/>
  <c r="AN35" i="1"/>
  <c r="AN39" i="1"/>
  <c r="AN43" i="1"/>
  <c r="AN47" i="1"/>
  <c r="AN51" i="1"/>
  <c r="AN55" i="1"/>
  <c r="AN17" i="1"/>
  <c r="AN21" i="1"/>
  <c r="AN25" i="1"/>
  <c r="AN29" i="1"/>
  <c r="AN33" i="1"/>
  <c r="T269" i="1"/>
  <c r="AN211" i="1"/>
  <c r="AN190" i="1"/>
  <c r="AN168" i="1"/>
  <c r="AN180" i="1"/>
  <c r="AO155" i="1"/>
  <c r="AN148" i="1"/>
  <c r="AN160" i="1"/>
  <c r="AN127" i="1"/>
  <c r="AN142" i="1"/>
  <c r="AN113" i="1"/>
  <c r="AN94" i="1"/>
  <c r="S94" i="1" s="1"/>
  <c r="AN78" i="1"/>
  <c r="S78" i="1" s="1"/>
  <c r="AO62" i="1"/>
  <c r="AO74" i="1"/>
  <c r="AN68" i="1"/>
  <c r="AN38" i="1"/>
  <c r="AN50" i="1"/>
  <c r="AN20" i="1"/>
  <c r="AN32" i="1"/>
  <c r="AO200" i="1"/>
  <c r="AN194" i="1"/>
  <c r="AN209" i="1"/>
  <c r="AN213" i="1"/>
  <c r="AN184" i="1"/>
  <c r="AN188" i="1"/>
  <c r="AN192" i="1"/>
  <c r="AN166" i="1"/>
  <c r="AN170" i="1"/>
  <c r="AN174" i="1"/>
  <c r="AN178" i="1"/>
  <c r="AO145" i="1"/>
  <c r="AO149" i="1"/>
  <c r="AO153" i="1"/>
  <c r="AO157" i="1"/>
  <c r="AO161" i="1"/>
  <c r="AN146" i="1"/>
  <c r="AN150" i="1"/>
  <c r="AN154" i="1"/>
  <c r="AN158" i="1"/>
  <c r="AN162" i="1"/>
  <c r="AN119" i="1"/>
  <c r="AN124" i="1"/>
  <c r="AN129" i="1"/>
  <c r="AN134" i="1"/>
  <c r="AN139" i="1"/>
  <c r="AN105" i="1"/>
  <c r="AN111" i="1"/>
  <c r="AN115" i="1"/>
  <c r="AN88" i="1"/>
  <c r="S88" i="1" s="1"/>
  <c r="AN92" i="1"/>
  <c r="S92" i="1" s="1"/>
  <c r="AN96" i="1"/>
  <c r="S96" i="1" s="1"/>
  <c r="AN100" i="1"/>
  <c r="S100" i="1" s="1"/>
  <c r="AN86" i="1"/>
  <c r="S86" i="1" s="1"/>
  <c r="AN80" i="1"/>
  <c r="S80" i="1" s="1"/>
  <c r="AN84" i="1"/>
  <c r="S84" i="1" s="1"/>
  <c r="AO60" i="1"/>
  <c r="AO64" i="1"/>
  <c r="AO68" i="1"/>
  <c r="AO72" i="1"/>
  <c r="AO58" i="1"/>
  <c r="AN62" i="1"/>
  <c r="AN66" i="1"/>
  <c r="AN70" i="1"/>
  <c r="AN74" i="1"/>
  <c r="AN36" i="1"/>
  <c r="AN40" i="1"/>
  <c r="AN44" i="1"/>
  <c r="AN48" i="1"/>
  <c r="AN52" i="1"/>
  <c r="AN56" i="1"/>
  <c r="AN18" i="1"/>
  <c r="AN22" i="1"/>
  <c r="AN26" i="1"/>
  <c r="AN30" i="1"/>
  <c r="AN16" i="1"/>
  <c r="AN202" i="1"/>
  <c r="AN186" i="1"/>
  <c r="AN172" i="1"/>
  <c r="AO147" i="1"/>
  <c r="AO159" i="1"/>
  <c r="AN152" i="1"/>
  <c r="AN117" i="1"/>
  <c r="AN131" i="1"/>
  <c r="AN107" i="1"/>
  <c r="AN104" i="1"/>
  <c r="AN98" i="1"/>
  <c r="S98" i="1" s="1"/>
  <c r="AN82" i="1"/>
  <c r="S82" i="1" s="1"/>
  <c r="AO66" i="1"/>
  <c r="AN60" i="1"/>
  <c r="AN72" i="1"/>
  <c r="AN42" i="1"/>
  <c r="AN54" i="1"/>
  <c r="AN24" i="1"/>
  <c r="T278" i="1"/>
  <c r="AN214" i="1"/>
  <c r="AO204" i="1"/>
  <c r="AN198" i="1"/>
  <c r="AN210" i="1"/>
  <c r="AN193" i="1"/>
  <c r="AN185" i="1"/>
  <c r="AN189" i="1"/>
  <c r="AN181" i="1"/>
  <c r="AN167" i="1"/>
  <c r="AN171" i="1"/>
  <c r="AN175" i="1"/>
  <c r="AN179" i="1"/>
  <c r="AO146" i="1"/>
  <c r="AO150" i="1"/>
  <c r="AO154" i="1"/>
  <c r="AO158" i="1"/>
  <c r="AO162" i="1"/>
  <c r="AN147" i="1"/>
  <c r="AN151" i="1"/>
  <c r="AN155" i="1"/>
  <c r="AN159" i="1"/>
  <c r="AN144" i="1"/>
  <c r="AN120" i="1"/>
  <c r="AN125" i="1"/>
  <c r="AN130" i="1"/>
  <c r="AN136" i="1"/>
  <c r="AN140" i="1"/>
  <c r="AN112" i="1"/>
  <c r="AN89" i="1"/>
  <c r="S89" i="1" s="1"/>
  <c r="AN93" i="1"/>
  <c r="S93" i="1" s="1"/>
  <c r="AN97" i="1"/>
  <c r="S97" i="1" s="1"/>
  <c r="AN101" i="1"/>
  <c r="S101" i="1" s="1"/>
  <c r="AN77" i="1"/>
  <c r="S77" i="1" s="1"/>
  <c r="AN81" i="1"/>
  <c r="S81" i="1" s="1"/>
  <c r="AN85" i="1"/>
  <c r="S85" i="1" s="1"/>
  <c r="AO61" i="1"/>
  <c r="AO65" i="1"/>
  <c r="AO69" i="1"/>
  <c r="AO73" i="1"/>
  <c r="AN59" i="1"/>
  <c r="AN63" i="1"/>
  <c r="AN67" i="1"/>
  <c r="AN71" i="1"/>
  <c r="AN75" i="1"/>
  <c r="AN37" i="1"/>
  <c r="AN41" i="1"/>
  <c r="AN45" i="1"/>
  <c r="AN49" i="1"/>
  <c r="AN53" i="1"/>
  <c r="AN57" i="1"/>
  <c r="AN19" i="1"/>
  <c r="AN23" i="1"/>
  <c r="AN27" i="1"/>
  <c r="AN31" i="1"/>
  <c r="T281" i="1"/>
  <c r="S267" i="1"/>
  <c r="AO208" i="1"/>
  <c r="AN182" i="1"/>
  <c r="AN164" i="1"/>
  <c r="AN176" i="1"/>
  <c r="AO151" i="1"/>
  <c r="AO144" i="1"/>
  <c r="AN156" i="1"/>
  <c r="AN121" i="1"/>
  <c r="AN137" i="1"/>
  <c r="AN109" i="1"/>
  <c r="AN90" i="1"/>
  <c r="S90" i="1" s="1"/>
  <c r="AN102" i="1"/>
  <c r="S102" i="1" s="1"/>
  <c r="AN76" i="1"/>
  <c r="S76" i="1" s="1"/>
  <c r="AO70" i="1"/>
  <c r="AN64" i="1"/>
  <c r="AN58" i="1"/>
  <c r="AN46" i="1"/>
  <c r="AN34" i="1"/>
  <c r="AN28" i="1"/>
  <c r="M307" i="1"/>
  <c r="M310" i="1"/>
  <c r="M314" i="1"/>
  <c r="M318" i="1"/>
  <c r="M321" i="1"/>
  <c r="M324" i="1"/>
  <c r="M326" i="1"/>
  <c r="M330" i="1"/>
  <c r="M333" i="1"/>
  <c r="M335" i="1"/>
  <c r="M339" i="1"/>
  <c r="M343" i="1"/>
  <c r="M347" i="1"/>
  <c r="M328" i="1"/>
  <c r="M292" i="1"/>
  <c r="M294" i="1"/>
  <c r="M297" i="1"/>
  <c r="M299" i="1"/>
  <c r="M303" i="1"/>
  <c r="M325" i="1"/>
  <c r="M323" i="1"/>
  <c r="M293" i="1"/>
  <c r="M296" i="1"/>
  <c r="M298" i="1"/>
  <c r="M301" i="1"/>
  <c r="M305" i="1"/>
  <c r="M332" i="1"/>
  <c r="M320" i="1"/>
  <c r="AJ118" i="1"/>
  <c r="AJ123" i="1"/>
  <c r="AJ128" i="1"/>
  <c r="AJ132" i="1"/>
  <c r="AJ138" i="1"/>
  <c r="AJ117" i="1"/>
  <c r="AJ121" i="1"/>
  <c r="AJ127" i="1"/>
  <c r="AJ131" i="1"/>
  <c r="AJ137" i="1"/>
  <c r="AJ142" i="1"/>
  <c r="AJ116" i="1"/>
  <c r="AJ120" i="1"/>
  <c r="AJ125" i="1"/>
  <c r="AJ130" i="1"/>
  <c r="AJ136" i="1"/>
  <c r="AJ140" i="1"/>
  <c r="AJ124" i="1"/>
  <c r="AJ90" i="1"/>
  <c r="AJ94" i="1"/>
  <c r="AJ98" i="1"/>
  <c r="AJ102" i="1"/>
  <c r="AJ79" i="1"/>
  <c r="AJ83" i="1"/>
  <c r="AJ87" i="1"/>
  <c r="AJ75" i="1"/>
  <c r="AJ95" i="1"/>
  <c r="AJ80" i="1"/>
  <c r="AJ119" i="1"/>
  <c r="AJ139" i="1"/>
  <c r="AJ89" i="1"/>
  <c r="AJ93" i="1"/>
  <c r="AJ97" i="1"/>
  <c r="AJ101" i="1"/>
  <c r="AJ78" i="1"/>
  <c r="AJ82" i="1"/>
  <c r="AJ86" i="1"/>
  <c r="AJ74" i="1"/>
  <c r="AJ129" i="1"/>
  <c r="AJ99" i="1"/>
  <c r="AJ134" i="1"/>
  <c r="AJ103" i="1"/>
  <c r="AJ88" i="1"/>
  <c r="AJ92" i="1"/>
  <c r="AJ96" i="1"/>
  <c r="AJ100" i="1"/>
  <c r="AJ77" i="1"/>
  <c r="AJ81" i="1"/>
  <c r="AJ85" i="1"/>
  <c r="AJ73" i="1"/>
  <c r="AJ91" i="1"/>
  <c r="AJ76" i="1"/>
  <c r="AJ84" i="1"/>
  <c r="AJ62" i="1"/>
  <c r="AJ66" i="1"/>
  <c r="AJ70" i="1"/>
  <c r="AJ59" i="1"/>
  <c r="AJ63" i="1"/>
  <c r="AJ67" i="1"/>
  <c r="AJ71" i="1"/>
  <c r="AJ60" i="1"/>
  <c r="AJ64" i="1"/>
  <c r="AJ68" i="1"/>
  <c r="AJ72" i="1"/>
  <c r="AJ61" i="1"/>
  <c r="AJ65" i="1"/>
  <c r="AJ69" i="1"/>
  <c r="AJ58" i="1"/>
  <c r="AJ21" i="1"/>
  <c r="AJ22" i="1"/>
  <c r="AJ23" i="1"/>
  <c r="AJ29" i="1"/>
  <c r="AJ30" i="1"/>
  <c r="AJ31" i="1"/>
  <c r="AJ32" i="1"/>
  <c r="AJ24" i="1"/>
  <c r="AJ33" i="1"/>
  <c r="AJ17" i="1"/>
  <c r="AJ18" i="1"/>
  <c r="AJ19" i="1"/>
  <c r="AJ25" i="1"/>
  <c r="AJ26" i="1"/>
  <c r="AJ27" i="1"/>
  <c r="AJ20" i="1"/>
  <c r="AJ28" i="1"/>
  <c r="AJ16" i="1"/>
  <c r="J182" i="1" l="1"/>
  <c r="L182" i="1"/>
  <c r="L171" i="1"/>
  <c r="J171" i="1"/>
  <c r="J185" i="1"/>
  <c r="L185" i="1"/>
  <c r="J202" i="1"/>
  <c r="K170" i="1"/>
  <c r="L170" i="1"/>
  <c r="L184" i="1"/>
  <c r="K184" i="1"/>
  <c r="L180" i="1"/>
  <c r="K180" i="1"/>
  <c r="J180" i="1"/>
  <c r="L173" i="1"/>
  <c r="K173" i="1"/>
  <c r="L187" i="1"/>
  <c r="J187" i="1"/>
  <c r="J196" i="1"/>
  <c r="J207" i="1"/>
  <c r="K176" i="1"/>
  <c r="J176" i="1"/>
  <c r="L167" i="1"/>
  <c r="J193" i="1"/>
  <c r="J214" i="1"/>
  <c r="K166" i="1"/>
  <c r="L168" i="1"/>
  <c r="J168" i="1"/>
  <c r="J169" i="1"/>
  <c r="L169" i="1"/>
  <c r="L183" i="1"/>
  <c r="K183" i="1"/>
  <c r="J183" i="1"/>
  <c r="J208" i="1"/>
  <c r="L179" i="1"/>
  <c r="K179" i="1"/>
  <c r="J181" i="1"/>
  <c r="L181" i="1"/>
  <c r="K181" i="1"/>
  <c r="J210" i="1"/>
  <c r="L172" i="1"/>
  <c r="K172" i="1"/>
  <c r="K178" i="1"/>
  <c r="L178" i="1"/>
  <c r="K192" i="1"/>
  <c r="J192" i="1"/>
  <c r="K190" i="1"/>
  <c r="J190" i="1"/>
  <c r="L190" i="1"/>
  <c r="K163" i="1"/>
  <c r="J163" i="1"/>
  <c r="J165" i="1"/>
  <c r="K165" i="1"/>
  <c r="J212" i="1"/>
  <c r="J204" i="1"/>
  <c r="J199" i="1"/>
  <c r="K164" i="1"/>
  <c r="J164" i="1"/>
  <c r="L175" i="1"/>
  <c r="J189" i="1"/>
  <c r="L189" i="1"/>
  <c r="J198" i="1"/>
  <c r="K186" i="1"/>
  <c r="L186" i="1"/>
  <c r="K174" i="1"/>
  <c r="K188" i="1"/>
  <c r="J188" i="1"/>
  <c r="J194" i="1"/>
  <c r="J211" i="1"/>
  <c r="L177" i="1"/>
  <c r="K177" i="1"/>
  <c r="L191" i="1"/>
  <c r="J191" i="1"/>
  <c r="J206" i="1"/>
  <c r="J200" i="1"/>
  <c r="S34" i="1"/>
  <c r="Z34" i="1"/>
  <c r="S109" i="1"/>
  <c r="J109" i="1" s="1"/>
  <c r="Z109" i="1"/>
  <c r="Z144" i="1"/>
  <c r="Q144" i="1" s="1"/>
  <c r="U31" i="1"/>
  <c r="V31" i="1"/>
  <c r="T31" i="1"/>
  <c r="W31" i="1"/>
  <c r="N31" i="1" s="1"/>
  <c r="S31" i="1"/>
  <c r="S57" i="1"/>
  <c r="Z57" i="1"/>
  <c r="Z41" i="1"/>
  <c r="S41" i="1"/>
  <c r="Z136" i="1"/>
  <c r="Q136" i="1" s="1"/>
  <c r="J136" i="1"/>
  <c r="Z150" i="1"/>
  <c r="Q150" i="1" s="1"/>
  <c r="K171" i="1"/>
  <c r="K185" i="1"/>
  <c r="S54" i="1"/>
  <c r="Z54" i="1"/>
  <c r="S107" i="1"/>
  <c r="J107" i="1" s="1"/>
  <c r="Z107" i="1"/>
  <c r="Z159" i="1"/>
  <c r="Q159" i="1" s="1"/>
  <c r="V22" i="1"/>
  <c r="W22" i="1"/>
  <c r="N22" i="1" s="1"/>
  <c r="U22" i="1"/>
  <c r="S22" i="1"/>
  <c r="T22" i="1"/>
  <c r="S48" i="1"/>
  <c r="Z48" i="1"/>
  <c r="S115" i="1"/>
  <c r="J115" i="1" s="1"/>
  <c r="Z115" i="1"/>
  <c r="Z134" i="1"/>
  <c r="Q134" i="1" s="1"/>
  <c r="J134" i="1"/>
  <c r="Z149" i="1"/>
  <c r="Q149" i="1" s="1"/>
  <c r="J184" i="1"/>
  <c r="Z38" i="1"/>
  <c r="S38" i="1"/>
  <c r="J127" i="1"/>
  <c r="Z127" i="1"/>
  <c r="Q127" i="1" s="1"/>
  <c r="W21" i="1"/>
  <c r="N21" i="1" s="1"/>
  <c r="S21" i="1"/>
  <c r="V21" i="1"/>
  <c r="U21" i="1"/>
  <c r="T21" i="1"/>
  <c r="Z47" i="1"/>
  <c r="S47" i="1"/>
  <c r="AB47" i="1" s="1"/>
  <c r="Z114" i="1"/>
  <c r="S114" i="1"/>
  <c r="AB114" i="1" s="1"/>
  <c r="Z138" i="1"/>
  <c r="Q138" i="1" s="1"/>
  <c r="Z118" i="1"/>
  <c r="Q118" i="1" s="1"/>
  <c r="J118" i="1"/>
  <c r="Z152" i="1"/>
  <c r="J173" i="1"/>
  <c r="Z46" i="1"/>
  <c r="S46" i="1"/>
  <c r="J137" i="1"/>
  <c r="Z137" i="1"/>
  <c r="Q137" i="1" s="1"/>
  <c r="Z151" i="1"/>
  <c r="Q151" i="1" s="1"/>
  <c r="U27" i="1"/>
  <c r="V27" i="1"/>
  <c r="T27" i="1"/>
  <c r="W27" i="1"/>
  <c r="N27" i="1" s="1"/>
  <c r="S27" i="1"/>
  <c r="Z53" i="1"/>
  <c r="S53" i="1"/>
  <c r="Z37" i="1"/>
  <c r="S37" i="1"/>
  <c r="Z130" i="1"/>
  <c r="Q130" i="1" s="1"/>
  <c r="Z162" i="1"/>
  <c r="Q162" i="1" s="1"/>
  <c r="Z146" i="1"/>
  <c r="Q146" i="1" s="1"/>
  <c r="K167" i="1"/>
  <c r="S42" i="1"/>
  <c r="Z42" i="1"/>
  <c r="J131" i="1"/>
  <c r="Z131" i="1"/>
  <c r="Q131" i="1" s="1"/>
  <c r="Z147" i="1"/>
  <c r="Q147" i="1" s="1"/>
  <c r="T16" i="1"/>
  <c r="W16" i="1"/>
  <c r="N16" i="1" s="1"/>
  <c r="S16" i="1"/>
  <c r="J16" i="1" s="1"/>
  <c r="V16" i="1"/>
  <c r="U16" i="1"/>
  <c r="V18" i="1"/>
  <c r="S18" i="1"/>
  <c r="U18" i="1"/>
  <c r="T18" i="1"/>
  <c r="W18" i="1"/>
  <c r="N18" i="1" s="1"/>
  <c r="Z44" i="1"/>
  <c r="S44" i="1"/>
  <c r="S111" i="1"/>
  <c r="J111" i="1" s="1"/>
  <c r="Z111" i="1"/>
  <c r="J129" i="1"/>
  <c r="Z129" i="1"/>
  <c r="Q129" i="1" s="1"/>
  <c r="Z161" i="1"/>
  <c r="Q161" i="1" s="1"/>
  <c r="Z145" i="1"/>
  <c r="AI145" i="1" s="1"/>
  <c r="T32" i="1"/>
  <c r="W32" i="1"/>
  <c r="N32" i="1" s="1"/>
  <c r="S32" i="1"/>
  <c r="U32" i="1"/>
  <c r="V32" i="1"/>
  <c r="K168" i="1"/>
  <c r="W33" i="1"/>
  <c r="N33" i="1" s="1"/>
  <c r="S33" i="1"/>
  <c r="V33" i="1"/>
  <c r="U33" i="1"/>
  <c r="T33" i="1"/>
  <c r="W17" i="1"/>
  <c r="N17" i="1" s="1"/>
  <c r="S17" i="1"/>
  <c r="V17" i="1"/>
  <c r="T17" i="1"/>
  <c r="U17" i="1"/>
  <c r="Z43" i="1"/>
  <c r="S43" i="1"/>
  <c r="AB43" i="1" s="1"/>
  <c r="Z110" i="1"/>
  <c r="S110" i="1"/>
  <c r="AB110" i="1" s="1"/>
  <c r="Z132" i="1"/>
  <c r="Q132" i="1" s="1"/>
  <c r="J132" i="1"/>
  <c r="Z148" i="1"/>
  <c r="Q148" i="1" s="1"/>
  <c r="K169" i="1"/>
  <c r="J203" i="1"/>
  <c r="J121" i="1"/>
  <c r="Z121" i="1"/>
  <c r="Q121" i="1" s="1"/>
  <c r="U23" i="1"/>
  <c r="T23" i="1"/>
  <c r="W23" i="1"/>
  <c r="N23" i="1" s="1"/>
  <c r="S23" i="1"/>
  <c r="V23" i="1"/>
  <c r="Z49" i="1"/>
  <c r="S49" i="1"/>
  <c r="Z112" i="1"/>
  <c r="S112" i="1"/>
  <c r="J112" i="1" s="1"/>
  <c r="J125" i="1"/>
  <c r="Z125" i="1"/>
  <c r="Q125" i="1" s="1"/>
  <c r="Z158" i="1"/>
  <c r="Q158" i="1" s="1"/>
  <c r="J179" i="1"/>
  <c r="J117" i="1"/>
  <c r="Z117" i="1"/>
  <c r="Q117" i="1" s="1"/>
  <c r="J172" i="1"/>
  <c r="V30" i="1"/>
  <c r="S30" i="1"/>
  <c r="U30" i="1"/>
  <c r="T30" i="1"/>
  <c r="W30" i="1"/>
  <c r="N30" i="1" s="1"/>
  <c r="Z56" i="1"/>
  <c r="S56" i="1"/>
  <c r="S40" i="1"/>
  <c r="Z40" i="1"/>
  <c r="S105" i="1"/>
  <c r="J105" i="1" s="1"/>
  <c r="Z105" i="1"/>
  <c r="Z124" i="1"/>
  <c r="Q124" i="1" s="1"/>
  <c r="J124" i="1"/>
  <c r="Z157" i="1"/>
  <c r="Q157" i="1" s="1"/>
  <c r="L192" i="1"/>
  <c r="T20" i="1"/>
  <c r="U20" i="1"/>
  <c r="W20" i="1"/>
  <c r="N20" i="1" s="1"/>
  <c r="S20" i="1"/>
  <c r="V20" i="1"/>
  <c r="S113" i="1"/>
  <c r="J113" i="1" s="1"/>
  <c r="Z113" i="1"/>
  <c r="W29" i="1"/>
  <c r="N29" i="1" s="1"/>
  <c r="S29" i="1"/>
  <c r="V29" i="1"/>
  <c r="T29" i="1"/>
  <c r="U29" i="1"/>
  <c r="Z55" i="1"/>
  <c r="S55" i="1"/>
  <c r="AB55" i="1" s="1"/>
  <c r="Z39" i="1"/>
  <c r="S39" i="1"/>
  <c r="AB39" i="1" s="1"/>
  <c r="Z108" i="1"/>
  <c r="S108" i="1"/>
  <c r="AB108" i="1" s="1"/>
  <c r="Z128" i="1"/>
  <c r="Q128" i="1" s="1"/>
  <c r="J128" i="1"/>
  <c r="Z160" i="1"/>
  <c r="Q160" i="1" s="1"/>
  <c r="L163" i="1"/>
  <c r="T28" i="1"/>
  <c r="W28" i="1"/>
  <c r="N28" i="1" s="1"/>
  <c r="S28" i="1"/>
  <c r="V28" i="1"/>
  <c r="U28" i="1"/>
  <c r="L164" i="1"/>
  <c r="U19" i="1"/>
  <c r="T19" i="1"/>
  <c r="V19" i="1"/>
  <c r="W19" i="1"/>
  <c r="N19" i="1" s="1"/>
  <c r="S19" i="1"/>
  <c r="Z45" i="1"/>
  <c r="S45" i="1"/>
  <c r="Z140" i="1"/>
  <c r="Q140" i="1" s="1"/>
  <c r="J140" i="1"/>
  <c r="Z120" i="1"/>
  <c r="Q120" i="1" s="1"/>
  <c r="J120" i="1"/>
  <c r="Z154" i="1"/>
  <c r="Q154" i="1" s="1"/>
  <c r="K175" i="1"/>
  <c r="K189" i="1"/>
  <c r="T24" i="1"/>
  <c r="W24" i="1"/>
  <c r="N24" i="1" s="1"/>
  <c r="S24" i="1"/>
  <c r="U24" i="1"/>
  <c r="V24" i="1"/>
  <c r="Z104" i="1"/>
  <c r="S104" i="1"/>
  <c r="J104" i="1" s="1"/>
  <c r="J186" i="1"/>
  <c r="V26" i="1"/>
  <c r="U26" i="1"/>
  <c r="W26" i="1"/>
  <c r="N26" i="1" s="1"/>
  <c r="T26" i="1"/>
  <c r="S26" i="1"/>
  <c r="Z52" i="1"/>
  <c r="S52" i="1"/>
  <c r="S36" i="1"/>
  <c r="Z36" i="1"/>
  <c r="J139" i="1"/>
  <c r="Z139" i="1"/>
  <c r="Q139" i="1" s="1"/>
  <c r="J119" i="1"/>
  <c r="Z119" i="1"/>
  <c r="Q119" i="1" s="1"/>
  <c r="Z153" i="1"/>
  <c r="Q153" i="1" s="1"/>
  <c r="L174" i="1"/>
  <c r="L188" i="1"/>
  <c r="S50" i="1"/>
  <c r="Z50" i="1"/>
  <c r="Z142" i="1"/>
  <c r="Q142" i="1" s="1"/>
  <c r="J142" i="1"/>
  <c r="Z155" i="1"/>
  <c r="Q155" i="1" s="1"/>
  <c r="W25" i="1"/>
  <c r="N25" i="1" s="1"/>
  <c r="S25" i="1"/>
  <c r="T25" i="1"/>
  <c r="V25" i="1"/>
  <c r="U25" i="1"/>
  <c r="Z51" i="1"/>
  <c r="S51" i="1"/>
  <c r="AB51" i="1" s="1"/>
  <c r="Z35" i="1"/>
  <c r="S35" i="1"/>
  <c r="AB35" i="1" s="1"/>
  <c r="Z116" i="1"/>
  <c r="Q116" i="1" s="1"/>
  <c r="J116" i="1"/>
  <c r="J123" i="1"/>
  <c r="Z123" i="1"/>
  <c r="Q123" i="1" s="1"/>
  <c r="Z156" i="1"/>
  <c r="Q156" i="1" s="1"/>
  <c r="J177" i="1"/>
  <c r="K191" i="1"/>
  <c r="J195" i="1"/>
  <c r="P116" i="1"/>
  <c r="N116" i="1"/>
  <c r="O116" i="1"/>
  <c r="N127" i="1"/>
  <c r="P127" i="1"/>
  <c r="O127" i="1"/>
  <c r="P132" i="1"/>
  <c r="N132" i="1"/>
  <c r="O132" i="1"/>
  <c r="O134" i="1"/>
  <c r="N134" i="1"/>
  <c r="P134" i="1"/>
  <c r="N140" i="1"/>
  <c r="P140" i="1"/>
  <c r="O140" i="1"/>
  <c r="O142" i="1"/>
  <c r="P142" i="1"/>
  <c r="N142" i="1"/>
  <c r="P121" i="1"/>
  <c r="O121" i="1"/>
  <c r="N121" i="1"/>
  <c r="P128" i="1"/>
  <c r="O128" i="1"/>
  <c r="N128" i="1"/>
  <c r="O129" i="1"/>
  <c r="P129" i="1"/>
  <c r="N129" i="1"/>
  <c r="J138" i="1"/>
  <c r="P136" i="1"/>
  <c r="N136" i="1"/>
  <c r="O136" i="1"/>
  <c r="O137" i="1"/>
  <c r="N137" i="1"/>
  <c r="P137" i="1"/>
  <c r="O117" i="1"/>
  <c r="P117" i="1"/>
  <c r="N117" i="1"/>
  <c r="O123" i="1"/>
  <c r="N123" i="1"/>
  <c r="P123" i="1"/>
  <c r="O125" i="1"/>
  <c r="N125" i="1"/>
  <c r="P125" i="1"/>
  <c r="N118" i="1"/>
  <c r="O118" i="1"/>
  <c r="P118" i="1"/>
  <c r="P119" i="1"/>
  <c r="N119" i="1"/>
  <c r="O119" i="1"/>
  <c r="J130" i="1"/>
  <c r="Q501" i="1"/>
  <c r="I501" i="1" s="1"/>
  <c r="Q508" i="1"/>
  <c r="I508" i="1" s="1"/>
  <c r="Q506" i="1"/>
  <c r="I506" i="1" s="1"/>
  <c r="Q507" i="1"/>
  <c r="I507" i="1" s="1"/>
  <c r="Q502" i="1"/>
  <c r="I502" i="1" s="1"/>
  <c r="O544" i="1"/>
  <c r="M544" i="1"/>
  <c r="J544" i="1"/>
  <c r="N544" i="1"/>
  <c r="L544" i="1"/>
  <c r="K544" i="1"/>
  <c r="J71" i="1"/>
  <c r="J73" i="1"/>
  <c r="O540" i="1"/>
  <c r="N540" i="1"/>
  <c r="M540" i="1"/>
  <c r="J540" i="1"/>
  <c r="K540" i="1"/>
  <c r="L540" i="1"/>
  <c r="Q503" i="1"/>
  <c r="I503" i="1" s="1"/>
  <c r="Q504" i="1"/>
  <c r="I504" i="1" s="1"/>
  <c r="Q498" i="1"/>
  <c r="I498" i="1" s="1"/>
  <c r="Q499" i="1"/>
  <c r="I499" i="1" s="1"/>
  <c r="Q500" i="1"/>
  <c r="I500" i="1" s="1"/>
  <c r="O538" i="1"/>
  <c r="N538" i="1"/>
  <c r="M538" i="1"/>
  <c r="K538" i="1"/>
  <c r="L538" i="1"/>
  <c r="J538" i="1"/>
  <c r="O546" i="1"/>
  <c r="K546" i="1"/>
  <c r="M546" i="1"/>
  <c r="N546" i="1"/>
  <c r="J546" i="1"/>
  <c r="L546" i="1"/>
  <c r="O545" i="1"/>
  <c r="J545" i="1"/>
  <c r="N545" i="1"/>
  <c r="L545" i="1"/>
  <c r="M545" i="1"/>
  <c r="K545" i="1"/>
  <c r="N543" i="1"/>
  <c r="O543" i="1"/>
  <c r="M543" i="1"/>
  <c r="L543" i="1"/>
  <c r="J543" i="1"/>
  <c r="K543" i="1"/>
  <c r="N537" i="1"/>
  <c r="O537" i="1"/>
  <c r="M537" i="1"/>
  <c r="L537" i="1"/>
  <c r="J537" i="1"/>
  <c r="K537" i="1"/>
  <c r="O539" i="1"/>
  <c r="N539" i="1"/>
  <c r="M539" i="1"/>
  <c r="J539" i="1"/>
  <c r="K539" i="1"/>
  <c r="L539" i="1"/>
  <c r="Q510" i="1"/>
  <c r="I510" i="1" s="1"/>
  <c r="Q505" i="1"/>
  <c r="I505" i="1" s="1"/>
  <c r="Q509" i="1"/>
  <c r="I509" i="1" s="1"/>
  <c r="N541" i="1"/>
  <c r="O541" i="1"/>
  <c r="M541" i="1"/>
  <c r="L541" i="1"/>
  <c r="J541" i="1"/>
  <c r="K541" i="1"/>
  <c r="N542" i="1"/>
  <c r="O542" i="1"/>
  <c r="M542" i="1"/>
  <c r="J542" i="1"/>
  <c r="K542" i="1"/>
  <c r="L542" i="1"/>
  <c r="J67" i="1"/>
  <c r="J63" i="1"/>
  <c r="J156" i="1"/>
  <c r="J151" i="1"/>
  <c r="J162" i="1"/>
  <c r="J146" i="1"/>
  <c r="J153" i="1"/>
  <c r="J144" i="1"/>
  <c r="J147" i="1"/>
  <c r="J158" i="1"/>
  <c r="J149" i="1"/>
  <c r="J159" i="1"/>
  <c r="J152" i="1"/>
  <c r="J154" i="1"/>
  <c r="J160" i="1"/>
  <c r="J161" i="1"/>
  <c r="J145" i="1"/>
  <c r="J155" i="1"/>
  <c r="J150" i="1"/>
  <c r="J148" i="1"/>
  <c r="J157" i="1"/>
  <c r="J59" i="1"/>
  <c r="J72" i="1"/>
  <c r="J66" i="1"/>
  <c r="J61" i="1"/>
  <c r="J75" i="1"/>
  <c r="J70" i="1"/>
  <c r="J64" i="1"/>
  <c r="J62" i="1"/>
  <c r="J60" i="1"/>
  <c r="J69" i="1"/>
  <c r="J68" i="1"/>
  <c r="J65" i="1"/>
  <c r="J74" i="1"/>
  <c r="J90" i="1"/>
  <c r="I90" i="1" s="1"/>
  <c r="K61" i="1"/>
  <c r="J101" i="1"/>
  <c r="I101" i="1" s="1"/>
  <c r="J82" i="1"/>
  <c r="I82" i="1" s="1"/>
  <c r="K62" i="1"/>
  <c r="K63" i="1"/>
  <c r="J103" i="1"/>
  <c r="I103" i="1" s="1"/>
  <c r="K72" i="1"/>
  <c r="J102" i="1"/>
  <c r="I102" i="1" s="1"/>
  <c r="K65" i="1"/>
  <c r="J77" i="1"/>
  <c r="I77" i="1" s="1"/>
  <c r="J89" i="1"/>
  <c r="I89" i="1" s="1"/>
  <c r="K66" i="1"/>
  <c r="K60" i="1"/>
  <c r="J100" i="1"/>
  <c r="I100" i="1" s="1"/>
  <c r="K74" i="1"/>
  <c r="K67" i="1"/>
  <c r="J79" i="1"/>
  <c r="I79" i="1" s="1"/>
  <c r="J91" i="1"/>
  <c r="I91" i="1" s="1"/>
  <c r="J58" i="1"/>
  <c r="K58" i="1"/>
  <c r="J84" i="1"/>
  <c r="I84" i="1" s="1"/>
  <c r="J87" i="1"/>
  <c r="I87" i="1" s="1"/>
  <c r="K70" i="1"/>
  <c r="K73" i="1"/>
  <c r="J85" i="1"/>
  <c r="I85" i="1" s="1"/>
  <c r="J97" i="1"/>
  <c r="I97" i="1" s="1"/>
  <c r="J98" i="1"/>
  <c r="I98" i="1" s="1"/>
  <c r="K68" i="1"/>
  <c r="J80" i="1"/>
  <c r="I80" i="1" s="1"/>
  <c r="J92" i="1"/>
  <c r="I92" i="1" s="1"/>
  <c r="J78" i="1"/>
  <c r="I78" i="1" s="1"/>
  <c r="K75" i="1"/>
  <c r="K59" i="1"/>
  <c r="J99" i="1"/>
  <c r="I99" i="1" s="1"/>
  <c r="J96" i="1"/>
  <c r="I96" i="1" s="1"/>
  <c r="J76" i="1"/>
  <c r="I76" i="1" s="1"/>
  <c r="K69" i="1"/>
  <c r="J81" i="1"/>
  <c r="I81" i="1" s="1"/>
  <c r="J93" i="1"/>
  <c r="I93" i="1" s="1"/>
  <c r="K64" i="1"/>
  <c r="J86" i="1"/>
  <c r="I86" i="1" s="1"/>
  <c r="J88" i="1"/>
  <c r="I88" i="1" s="1"/>
  <c r="J94" i="1"/>
  <c r="I94" i="1" s="1"/>
  <c r="K71" i="1"/>
  <c r="J83" i="1"/>
  <c r="I83" i="1" s="1"/>
  <c r="J95" i="1"/>
  <c r="I95" i="1" s="1"/>
  <c r="H596" i="1"/>
  <c r="H595" i="1"/>
  <c r="Q549" i="1"/>
  <c r="I549" i="1" s="1"/>
  <c r="Q562" i="1"/>
  <c r="I562" i="1" s="1"/>
  <c r="R543" i="1"/>
  <c r="AB543" i="1"/>
  <c r="AB542" i="1"/>
  <c r="R542" i="1"/>
  <c r="AE539" i="1"/>
  <c r="AD545" i="1"/>
  <c r="AD540" i="1"/>
  <c r="AC537" i="1"/>
  <c r="AG544" i="1"/>
  <c r="AB538" i="1"/>
  <c r="R538" i="1"/>
  <c r="AC538" i="1"/>
  <c r="AC542" i="1"/>
  <c r="AE538" i="1"/>
  <c r="AE544" i="1"/>
  <c r="AF539" i="1"/>
  <c r="AG540" i="1"/>
  <c r="AF538" i="1"/>
  <c r="Q560" i="1"/>
  <c r="I560" i="1" s="1"/>
  <c r="Q556" i="1"/>
  <c r="I556" i="1" s="1"/>
  <c r="Q555" i="1"/>
  <c r="I555" i="1" s="1"/>
  <c r="AC546" i="1"/>
  <c r="AF545" i="1"/>
  <c r="AD537" i="1"/>
  <c r="AD546" i="1"/>
  <c r="AB541" i="1"/>
  <c r="R541" i="1"/>
  <c r="AE542" i="1"/>
  <c r="R537" i="1"/>
  <c r="AB537" i="1"/>
  <c r="AD542" i="1"/>
  <c r="AC539" i="1"/>
  <c r="AC544" i="1"/>
  <c r="AE545" i="1"/>
  <c r="AC543" i="1"/>
  <c r="AG538" i="1"/>
  <c r="AG543" i="1"/>
  <c r="Q552" i="1"/>
  <c r="I552" i="1" s="1"/>
  <c r="Q558" i="1"/>
  <c r="I558" i="1" s="1"/>
  <c r="Q547" i="1"/>
  <c r="I547" i="1" s="1"/>
  <c r="AF544" i="1"/>
  <c r="AD539" i="1"/>
  <c r="AB546" i="1"/>
  <c r="R546" i="1"/>
  <c r="AD538" i="1"/>
  <c r="AD543" i="1"/>
  <c r="AE541" i="1"/>
  <c r="R539" i="1"/>
  <c r="AB539" i="1"/>
  <c r="AE543" i="1"/>
  <c r="AD541" i="1"/>
  <c r="AD544" i="1"/>
  <c r="AG545" i="1"/>
  <c r="AF543" i="1"/>
  <c r="AF542" i="1"/>
  <c r="AG541" i="1"/>
  <c r="Q550" i="1"/>
  <c r="I550" i="1" s="1"/>
  <c r="AB540" i="1"/>
  <c r="R540" i="1"/>
  <c r="AE540" i="1"/>
  <c r="AC545" i="1"/>
  <c r="AB544" i="1"/>
  <c r="R544" i="1"/>
  <c r="AB545" i="1"/>
  <c r="R545" i="1"/>
  <c r="AG546" i="1"/>
  <c r="AE546" i="1"/>
  <c r="AC541" i="1"/>
  <c r="AF546" i="1"/>
  <c r="AC540" i="1"/>
  <c r="AE537" i="1"/>
  <c r="AF541" i="1"/>
  <c r="AG542" i="1"/>
  <c r="AF540" i="1"/>
  <c r="AG539" i="1"/>
  <c r="K182" i="1"/>
  <c r="AB71" i="1"/>
  <c r="R71" i="1"/>
  <c r="AB85" i="1"/>
  <c r="AA85" i="1" s="1"/>
  <c r="R85" i="1"/>
  <c r="AB97" i="1"/>
  <c r="AA97" i="1" s="1"/>
  <c r="R97" i="1"/>
  <c r="AB144" i="1"/>
  <c r="AB147" i="1"/>
  <c r="AB72" i="1"/>
  <c r="R72" i="1"/>
  <c r="AB98" i="1"/>
  <c r="AA98" i="1" s="1"/>
  <c r="R98" i="1"/>
  <c r="AB66" i="1"/>
  <c r="R66" i="1"/>
  <c r="AB80" i="1"/>
  <c r="AA80" i="1" s="1"/>
  <c r="R80" i="1"/>
  <c r="AB92" i="1"/>
  <c r="AA92" i="1" s="1"/>
  <c r="R92" i="1"/>
  <c r="AB158" i="1"/>
  <c r="L166" i="1"/>
  <c r="AB78" i="1"/>
  <c r="AA78" i="1" s="1"/>
  <c r="R78" i="1"/>
  <c r="AB73" i="1"/>
  <c r="R73" i="1"/>
  <c r="R99" i="1"/>
  <c r="AB99" i="1"/>
  <c r="AA99" i="1" s="1"/>
  <c r="AB149" i="1"/>
  <c r="K187" i="1"/>
  <c r="AB471" i="1"/>
  <c r="AA471" i="1" s="1"/>
  <c r="R471" i="1"/>
  <c r="R464" i="1"/>
  <c r="AB464" i="1"/>
  <c r="AA464" i="1" s="1"/>
  <c r="R462" i="1"/>
  <c r="AB462" i="1"/>
  <c r="AA462" i="1" s="1"/>
  <c r="R505" i="1"/>
  <c r="AB505" i="1"/>
  <c r="R416" i="1"/>
  <c r="AB416" i="1"/>
  <c r="R508" i="1"/>
  <c r="AB508" i="1"/>
  <c r="AB509" i="1"/>
  <c r="R509" i="1"/>
  <c r="AB467" i="1"/>
  <c r="AA467" i="1" s="1"/>
  <c r="R467" i="1"/>
  <c r="R420" i="1"/>
  <c r="AB420" i="1"/>
  <c r="R424" i="1"/>
  <c r="AB424" i="1"/>
  <c r="R394" i="1"/>
  <c r="AB394" i="1"/>
  <c r="AA394" i="1" s="1"/>
  <c r="AB399" i="1"/>
  <c r="AA399" i="1" s="1"/>
  <c r="R399" i="1"/>
  <c r="R392" i="1"/>
  <c r="AB392" i="1"/>
  <c r="AA392" i="1" s="1"/>
  <c r="AB385" i="1"/>
  <c r="AA385" i="1" s="1"/>
  <c r="R385" i="1"/>
  <c r="R398" i="1"/>
  <c r="AB398" i="1"/>
  <c r="AA398" i="1" s="1"/>
  <c r="AB405" i="1"/>
  <c r="AA405" i="1" s="1"/>
  <c r="R405" i="1"/>
  <c r="R402" i="1"/>
  <c r="AB402" i="1"/>
  <c r="AA402" i="1" s="1"/>
  <c r="AB76" i="1"/>
  <c r="AA76" i="1" s="1"/>
  <c r="R76" i="1"/>
  <c r="AB67" i="1"/>
  <c r="R67" i="1"/>
  <c r="AB81" i="1"/>
  <c r="AA81" i="1" s="1"/>
  <c r="R81" i="1"/>
  <c r="AB93" i="1"/>
  <c r="AA93" i="1" s="1"/>
  <c r="R93" i="1"/>
  <c r="AB159" i="1"/>
  <c r="AB60" i="1"/>
  <c r="R60" i="1"/>
  <c r="AB152" i="1"/>
  <c r="AB62" i="1"/>
  <c r="R62" i="1"/>
  <c r="AB86" i="1"/>
  <c r="AA86" i="1" s="1"/>
  <c r="R86" i="1"/>
  <c r="AB88" i="1"/>
  <c r="AA88" i="1" s="1"/>
  <c r="R88" i="1"/>
  <c r="AB154" i="1"/>
  <c r="AB68" i="1"/>
  <c r="R68" i="1"/>
  <c r="AB94" i="1"/>
  <c r="AA94" i="1" s="1"/>
  <c r="R94" i="1"/>
  <c r="AB160" i="1"/>
  <c r="R69" i="1"/>
  <c r="AB69" i="1"/>
  <c r="AB83" i="1"/>
  <c r="AA83" i="1" s="1"/>
  <c r="R83" i="1"/>
  <c r="R95" i="1"/>
  <c r="AB95" i="1"/>
  <c r="AA95" i="1" s="1"/>
  <c r="AB161" i="1"/>
  <c r="AB145" i="1"/>
  <c r="R426" i="1"/>
  <c r="AB426" i="1"/>
  <c r="AB473" i="1"/>
  <c r="AA473" i="1" s="1"/>
  <c r="R473" i="1"/>
  <c r="R414" i="1"/>
  <c r="AB414" i="1"/>
  <c r="AB463" i="1"/>
  <c r="AA463" i="1" s="1"/>
  <c r="R463" i="1"/>
  <c r="R507" i="1"/>
  <c r="AB507" i="1"/>
  <c r="R412" i="1"/>
  <c r="AB412" i="1"/>
  <c r="R498" i="1"/>
  <c r="AB498" i="1"/>
  <c r="AB427" i="1"/>
  <c r="R427" i="1"/>
  <c r="AB465" i="1"/>
  <c r="AA465" i="1" s="1"/>
  <c r="R465" i="1"/>
  <c r="R502" i="1"/>
  <c r="AB502" i="1"/>
  <c r="R422" i="1"/>
  <c r="AB422" i="1"/>
  <c r="AB469" i="1"/>
  <c r="AA469" i="1" s="1"/>
  <c r="R469" i="1"/>
  <c r="R468" i="1"/>
  <c r="AB468" i="1"/>
  <c r="AA468" i="1" s="1"/>
  <c r="AB501" i="1"/>
  <c r="R501" i="1"/>
  <c r="AB421" i="1"/>
  <c r="R421" i="1"/>
  <c r="R504" i="1"/>
  <c r="AB504" i="1"/>
  <c r="AB425" i="1"/>
  <c r="R425" i="1"/>
  <c r="AB393" i="1"/>
  <c r="AA393" i="1" s="1"/>
  <c r="R393" i="1"/>
  <c r="R406" i="1"/>
  <c r="AB406" i="1"/>
  <c r="AA406" i="1" s="1"/>
  <c r="AB409" i="1"/>
  <c r="AA409" i="1" s="1"/>
  <c r="R409" i="1"/>
  <c r="AB389" i="1"/>
  <c r="AA389" i="1" s="1"/>
  <c r="R389" i="1"/>
  <c r="R408" i="1"/>
  <c r="AB408" i="1"/>
  <c r="AA408" i="1" s="1"/>
  <c r="AB407" i="1"/>
  <c r="AA407" i="1" s="1"/>
  <c r="R407" i="1"/>
  <c r="AB383" i="1"/>
  <c r="AA383" i="1" s="1"/>
  <c r="R383" i="1"/>
  <c r="AB58" i="1"/>
  <c r="R58" i="1"/>
  <c r="AB102" i="1"/>
  <c r="AA102" i="1" s="1"/>
  <c r="R102" i="1"/>
  <c r="L176" i="1"/>
  <c r="AB63" i="1"/>
  <c r="R63" i="1"/>
  <c r="AB77" i="1"/>
  <c r="AA77" i="1" s="1"/>
  <c r="R77" i="1"/>
  <c r="AB89" i="1"/>
  <c r="AA89" i="1" s="1"/>
  <c r="R89" i="1"/>
  <c r="AB155" i="1"/>
  <c r="AB74" i="1"/>
  <c r="R74" i="1"/>
  <c r="AB100" i="1"/>
  <c r="AA100" i="1" s="1"/>
  <c r="R100" i="1"/>
  <c r="AB150" i="1"/>
  <c r="AB148" i="1"/>
  <c r="AB65" i="1"/>
  <c r="R65" i="1"/>
  <c r="AB79" i="1"/>
  <c r="AA79" i="1" s="1"/>
  <c r="R79" i="1"/>
  <c r="R91" i="1"/>
  <c r="AB91" i="1"/>
  <c r="AA91" i="1" s="1"/>
  <c r="AB157" i="1"/>
  <c r="L165" i="1"/>
  <c r="AB413" i="1"/>
  <c r="R413" i="1"/>
  <c r="R500" i="1"/>
  <c r="AB500" i="1"/>
  <c r="AB499" i="1"/>
  <c r="R499" i="1"/>
  <c r="R418" i="1"/>
  <c r="AB418" i="1"/>
  <c r="AB503" i="1"/>
  <c r="R503" i="1"/>
  <c r="AB510" i="1"/>
  <c r="R510" i="1"/>
  <c r="AB417" i="1"/>
  <c r="R417" i="1"/>
  <c r="AB415" i="1"/>
  <c r="R415" i="1"/>
  <c r="AB419" i="1"/>
  <c r="R419" i="1"/>
  <c r="R466" i="1"/>
  <c r="AB466" i="1"/>
  <c r="AA466" i="1" s="1"/>
  <c r="R382" i="1"/>
  <c r="AB382" i="1"/>
  <c r="AA382" i="1" s="1"/>
  <c r="AB403" i="1"/>
  <c r="AA403" i="1" s="1"/>
  <c r="R403" i="1"/>
  <c r="AB395" i="1"/>
  <c r="AA395" i="1" s="1"/>
  <c r="R395" i="1"/>
  <c r="R388" i="1"/>
  <c r="AB388" i="1"/>
  <c r="AA388" i="1" s="1"/>
  <c r="R386" i="1"/>
  <c r="AB386" i="1"/>
  <c r="AA386" i="1" s="1"/>
  <c r="R384" i="1"/>
  <c r="AB384" i="1"/>
  <c r="AA384" i="1" s="1"/>
  <c r="R390" i="1"/>
  <c r="AB390" i="1"/>
  <c r="AA390" i="1" s="1"/>
  <c r="AB64" i="1"/>
  <c r="R64" i="1"/>
  <c r="AB90" i="1"/>
  <c r="AA90" i="1" s="1"/>
  <c r="R90" i="1"/>
  <c r="AB156" i="1"/>
  <c r="AB75" i="1"/>
  <c r="R75" i="1"/>
  <c r="AB59" i="1"/>
  <c r="R59" i="1"/>
  <c r="AB101" i="1"/>
  <c r="AA101" i="1" s="1"/>
  <c r="R101" i="1"/>
  <c r="AB151" i="1"/>
  <c r="AB82" i="1"/>
  <c r="AA82" i="1" s="1"/>
  <c r="R82" i="1"/>
  <c r="AB70" i="1"/>
  <c r="R70" i="1"/>
  <c r="AB84" i="1"/>
  <c r="AA84" i="1" s="1"/>
  <c r="R84" i="1"/>
  <c r="AB96" i="1"/>
  <c r="AA96" i="1" s="1"/>
  <c r="R96" i="1"/>
  <c r="AB162" i="1"/>
  <c r="AB146" i="1"/>
  <c r="AB61" i="1"/>
  <c r="R61" i="1"/>
  <c r="R103" i="1"/>
  <c r="AB103" i="1"/>
  <c r="AA103" i="1" s="1"/>
  <c r="R87" i="1"/>
  <c r="AB87" i="1"/>
  <c r="AA87" i="1" s="1"/>
  <c r="AB153" i="1"/>
  <c r="R470" i="1"/>
  <c r="AB470" i="1"/>
  <c r="AA470" i="1" s="1"/>
  <c r="AB411" i="1"/>
  <c r="R411" i="1"/>
  <c r="AB506" i="1"/>
  <c r="R506" i="1"/>
  <c r="R472" i="1"/>
  <c r="AB472" i="1"/>
  <c r="AA472" i="1" s="1"/>
  <c r="AB423" i="1"/>
  <c r="R423" i="1"/>
  <c r="AB387" i="1"/>
  <c r="AA387" i="1" s="1"/>
  <c r="R387" i="1"/>
  <c r="R400" i="1"/>
  <c r="AB400" i="1"/>
  <c r="AA400" i="1" s="1"/>
  <c r="R410" i="1"/>
  <c r="AB410" i="1"/>
  <c r="AA410" i="1" s="1"/>
  <c r="AB397" i="1"/>
  <c r="AA397" i="1" s="1"/>
  <c r="R397" i="1"/>
  <c r="AB391" i="1"/>
  <c r="AA391" i="1" s="1"/>
  <c r="R391" i="1"/>
  <c r="AB401" i="1"/>
  <c r="AA401" i="1" s="1"/>
  <c r="R401" i="1"/>
  <c r="R396" i="1"/>
  <c r="AB396" i="1"/>
  <c r="AA396" i="1" s="1"/>
  <c r="R404" i="1"/>
  <c r="AB404" i="1"/>
  <c r="AA404" i="1" s="1"/>
  <c r="K382" i="1"/>
  <c r="Q382" i="1"/>
  <c r="Q403" i="1"/>
  <c r="K403" i="1"/>
  <c r="Q387" i="1"/>
  <c r="K387" i="1"/>
  <c r="Q404" i="1"/>
  <c r="K404" i="1"/>
  <c r="Q388" i="1"/>
  <c r="K388" i="1"/>
  <c r="K405" i="1"/>
  <c r="Q405" i="1"/>
  <c r="K389" i="1"/>
  <c r="Q389" i="1"/>
  <c r="Q402" i="1"/>
  <c r="K402" i="1"/>
  <c r="Q386" i="1"/>
  <c r="K386" i="1"/>
  <c r="Q423" i="1"/>
  <c r="AI423" i="1"/>
  <c r="AC422" i="1"/>
  <c r="K422" i="1"/>
  <c r="Q419" i="1"/>
  <c r="AI419" i="1"/>
  <c r="K420" i="1"/>
  <c r="AC420" i="1"/>
  <c r="Q418" i="1"/>
  <c r="AI418" i="1"/>
  <c r="AD504" i="1"/>
  <c r="Q420" i="1"/>
  <c r="AI420" i="1"/>
  <c r="AI411" i="1"/>
  <c r="Q411" i="1"/>
  <c r="K421" i="1"/>
  <c r="AC421" i="1"/>
  <c r="AD498" i="1"/>
  <c r="AC418" i="1"/>
  <c r="K418" i="1"/>
  <c r="AD499" i="1"/>
  <c r="AC427" i="1"/>
  <c r="K427" i="1"/>
  <c r="Q399" i="1"/>
  <c r="K399" i="1"/>
  <c r="Q383" i="1"/>
  <c r="K383" i="1"/>
  <c r="K400" i="1"/>
  <c r="Q400" i="1"/>
  <c r="K384" i="1"/>
  <c r="Q384" i="1"/>
  <c r="K401" i="1"/>
  <c r="Q401" i="1"/>
  <c r="K385" i="1"/>
  <c r="Q385" i="1"/>
  <c r="K398" i="1"/>
  <c r="Q398" i="1"/>
  <c r="AD506" i="1"/>
  <c r="K423" i="1"/>
  <c r="AC423" i="1"/>
  <c r="AI425" i="1"/>
  <c r="Q425" i="1"/>
  <c r="K426" i="1"/>
  <c r="AC426" i="1"/>
  <c r="Q424" i="1"/>
  <c r="AI424" i="1"/>
  <c r="AI414" i="1"/>
  <c r="Q414" i="1"/>
  <c r="Q395" i="1"/>
  <c r="K395" i="1"/>
  <c r="K396" i="1"/>
  <c r="Q396" i="1"/>
  <c r="K397" i="1"/>
  <c r="Q397" i="1"/>
  <c r="K410" i="1"/>
  <c r="Q410" i="1"/>
  <c r="K394" i="1"/>
  <c r="Q394" i="1"/>
  <c r="AD509" i="1"/>
  <c r="Q412" i="1"/>
  <c r="AI412" i="1"/>
  <c r="AD503" i="1"/>
  <c r="AC424" i="1"/>
  <c r="K424" i="1"/>
  <c r="Q413" i="1"/>
  <c r="AI413" i="1"/>
  <c r="K412" i="1"/>
  <c r="AC412" i="1"/>
  <c r="Q421" i="1"/>
  <c r="AI421" i="1"/>
  <c r="AC510" i="1"/>
  <c r="AI422" i="1"/>
  <c r="Q422" i="1"/>
  <c r="AD500" i="1"/>
  <c r="K425" i="1"/>
  <c r="AC425" i="1"/>
  <c r="Q427" i="1"/>
  <c r="AI427" i="1"/>
  <c r="Q426" i="1"/>
  <c r="AI426" i="1"/>
  <c r="AC414" i="1"/>
  <c r="K414" i="1"/>
  <c r="K407" i="1"/>
  <c r="Q407" i="1"/>
  <c r="K391" i="1"/>
  <c r="Q391" i="1"/>
  <c r="Q408" i="1"/>
  <c r="K408" i="1"/>
  <c r="Q392" i="1"/>
  <c r="K392" i="1"/>
  <c r="K409" i="1"/>
  <c r="Q409" i="1"/>
  <c r="K393" i="1"/>
  <c r="Q393" i="1"/>
  <c r="Q406" i="1"/>
  <c r="K406" i="1"/>
  <c r="Q390" i="1"/>
  <c r="K390" i="1"/>
  <c r="AD501" i="1"/>
  <c r="K411" i="1"/>
  <c r="AC411" i="1"/>
  <c r="AD505" i="1"/>
  <c r="Q416" i="1"/>
  <c r="AI416" i="1"/>
  <c r="AC509" i="1"/>
  <c r="AD507" i="1"/>
  <c r="AC417" i="1"/>
  <c r="K417" i="1"/>
  <c r="K413" i="1"/>
  <c r="I413" i="1" s="1"/>
  <c r="AC413" i="1"/>
  <c r="K419" i="1"/>
  <c r="AC419" i="1"/>
  <c r="AD502" i="1"/>
  <c r="K416" i="1"/>
  <c r="AC416" i="1"/>
  <c r="K415" i="1"/>
  <c r="AC415" i="1"/>
  <c r="AD508" i="1"/>
  <c r="AD510" i="1"/>
  <c r="Q417" i="1"/>
  <c r="AI417" i="1"/>
  <c r="Q415" i="1"/>
  <c r="AI415" i="1"/>
  <c r="J405" i="1"/>
  <c r="J404" i="1"/>
  <c r="J393" i="1"/>
  <c r="J395" i="1"/>
  <c r="J397" i="1"/>
  <c r="J402" i="1"/>
  <c r="J399" i="1"/>
  <c r="J396" i="1"/>
  <c r="J389" i="1"/>
  <c r="J394" i="1"/>
  <c r="J391" i="1"/>
  <c r="J388" i="1"/>
  <c r="J401" i="1"/>
  <c r="J406" i="1"/>
  <c r="J403" i="1"/>
  <c r="I403" i="1" s="1"/>
  <c r="J400" i="1"/>
  <c r="J410" i="1"/>
  <c r="J407" i="1"/>
  <c r="J398" i="1"/>
  <c r="J392" i="1"/>
  <c r="J386" i="1"/>
  <c r="J383" i="1"/>
  <c r="J409" i="1"/>
  <c r="J408" i="1"/>
  <c r="J385" i="1"/>
  <c r="J390" i="1"/>
  <c r="J387" i="1"/>
  <c r="J384" i="1"/>
  <c r="J382" i="1"/>
  <c r="AM182" i="1"/>
  <c r="AM144" i="1"/>
  <c r="AM171" i="1"/>
  <c r="AC352" i="1"/>
  <c r="K352" i="1"/>
  <c r="AM172" i="1"/>
  <c r="AM166" i="1"/>
  <c r="AM213" i="1"/>
  <c r="AM247" i="1"/>
  <c r="AM293" i="1"/>
  <c r="AM180" i="1"/>
  <c r="AM343" i="1"/>
  <c r="AM149" i="1"/>
  <c r="AM173" i="1"/>
  <c r="AM241" i="1"/>
  <c r="AM281" i="1"/>
  <c r="AM269" i="1"/>
  <c r="L314" i="1"/>
  <c r="AD314" i="1"/>
  <c r="AM204" i="1"/>
  <c r="AM251" i="1"/>
  <c r="AM228" i="1"/>
  <c r="K285" i="1"/>
  <c r="AC285" i="1"/>
  <c r="AM330" i="1"/>
  <c r="L296" i="1"/>
  <c r="AD296" i="1"/>
  <c r="AM199" i="1"/>
  <c r="AM258" i="1"/>
  <c r="AM237" i="1"/>
  <c r="AM216" i="1"/>
  <c r="AC345" i="1"/>
  <c r="K345" i="1"/>
  <c r="K339" i="1"/>
  <c r="AC339" i="1"/>
  <c r="L323" i="1"/>
  <c r="AD323" i="1"/>
  <c r="AD297" i="1"/>
  <c r="L297" i="1"/>
  <c r="K341" i="1"/>
  <c r="AC341" i="1"/>
  <c r="L324" i="1"/>
  <c r="AD324" i="1"/>
  <c r="AD298" i="1"/>
  <c r="L298" i="1"/>
  <c r="AC343" i="1"/>
  <c r="K343" i="1"/>
  <c r="L325" i="1"/>
  <c r="AD325" i="1"/>
  <c r="L299" i="1"/>
  <c r="AD299" i="1"/>
  <c r="K293" i="1"/>
  <c r="AC293" i="1"/>
  <c r="AC370" i="1"/>
  <c r="K370" i="1"/>
  <c r="K362" i="1"/>
  <c r="AC362" i="1"/>
  <c r="AC354" i="1"/>
  <c r="K354" i="1"/>
  <c r="AM363" i="1"/>
  <c r="AM377" i="1"/>
  <c r="AC378" i="1"/>
  <c r="K378" i="1"/>
  <c r="AC367" i="1"/>
  <c r="K367" i="1"/>
  <c r="AC351" i="1"/>
  <c r="K351" i="1"/>
  <c r="AM159" i="1"/>
  <c r="AM167" i="1"/>
  <c r="AM193" i="1"/>
  <c r="AM214" i="1"/>
  <c r="K278" i="1"/>
  <c r="AC278" i="1"/>
  <c r="AM152" i="1"/>
  <c r="AM186" i="1"/>
  <c r="AM154" i="1"/>
  <c r="AM178" i="1"/>
  <c r="AM192" i="1"/>
  <c r="AM209" i="1"/>
  <c r="AM226" i="1"/>
  <c r="AM160" i="1"/>
  <c r="AM168" i="1"/>
  <c r="AM161" i="1"/>
  <c r="AM145" i="1"/>
  <c r="AM169" i="1"/>
  <c r="AM183" i="1"/>
  <c r="K270" i="1"/>
  <c r="AC270" i="1"/>
  <c r="AM197" i="1"/>
  <c r="AM256" i="1"/>
  <c r="AM233" i="1"/>
  <c r="AM278" i="1"/>
  <c r="L339" i="1"/>
  <c r="AD339" i="1"/>
  <c r="K306" i="1"/>
  <c r="AC306" i="1"/>
  <c r="AM200" i="1"/>
  <c r="AM215" i="1"/>
  <c r="AM245" i="1"/>
  <c r="AM222" i="1"/>
  <c r="K279" i="1"/>
  <c r="AC279" i="1"/>
  <c r="AC268" i="1"/>
  <c r="K268" i="1"/>
  <c r="L321" i="1"/>
  <c r="AD321" i="1"/>
  <c r="AM380" i="1"/>
  <c r="AM195" i="1"/>
  <c r="AM254" i="1"/>
  <c r="AM231" i="1"/>
  <c r="AM272" i="1"/>
  <c r="AM335" i="1"/>
  <c r="L301" i="1"/>
  <c r="AD301" i="1"/>
  <c r="K347" i="1"/>
  <c r="AC347" i="1"/>
  <c r="AM337" i="1"/>
  <c r="L328" i="1"/>
  <c r="AD328" i="1"/>
  <c r="K321" i="1"/>
  <c r="AC321" i="1"/>
  <c r="AM312" i="1"/>
  <c r="AD303" i="1"/>
  <c r="L303" i="1"/>
  <c r="K296" i="1"/>
  <c r="AC296" i="1"/>
  <c r="K292" i="1"/>
  <c r="AC292" i="1"/>
  <c r="AM339" i="1"/>
  <c r="L330" i="1"/>
  <c r="AD330" i="1"/>
  <c r="K323" i="1"/>
  <c r="AC323" i="1"/>
  <c r="AM314" i="1"/>
  <c r="AD305" i="1"/>
  <c r="L305" i="1"/>
  <c r="K297" i="1"/>
  <c r="AC297" i="1"/>
  <c r="AM341" i="1"/>
  <c r="L332" i="1"/>
  <c r="AD332" i="1"/>
  <c r="AC324" i="1"/>
  <c r="K324" i="1"/>
  <c r="AM316" i="1"/>
  <c r="L306" i="1"/>
  <c r="AD306" i="1"/>
  <c r="K298" i="1"/>
  <c r="AC298" i="1"/>
  <c r="AM348" i="1"/>
  <c r="AM351" i="1"/>
  <c r="AC372" i="1"/>
  <c r="K372" i="1"/>
  <c r="K358" i="1"/>
  <c r="AC358" i="1"/>
  <c r="AM378" i="1"/>
  <c r="AC364" i="1"/>
  <c r="K364" i="1"/>
  <c r="AM361" i="1"/>
  <c r="AM349" i="1"/>
  <c r="AM375" i="1"/>
  <c r="AM370" i="1"/>
  <c r="AM364" i="1"/>
  <c r="AM360" i="1"/>
  <c r="AM354" i="1"/>
  <c r="K365" i="1"/>
  <c r="AC365" i="1"/>
  <c r="K361" i="1"/>
  <c r="AC361" i="1"/>
  <c r="K349" i="1"/>
  <c r="AC349" i="1"/>
  <c r="AM147" i="1"/>
  <c r="AM185" i="1"/>
  <c r="AM257" i="1"/>
  <c r="AM187" i="1"/>
  <c r="AM220" i="1"/>
  <c r="AM201" i="1"/>
  <c r="AM262" i="1"/>
  <c r="AM219" i="1"/>
  <c r="K224" i="1"/>
  <c r="AM277" i="1"/>
  <c r="AM310" i="1"/>
  <c r="AM292" i="1"/>
  <c r="AM332" i="1"/>
  <c r="K314" i="1"/>
  <c r="AC314" i="1"/>
  <c r="AM306" i="1"/>
  <c r="AM333" i="1"/>
  <c r="K316" i="1"/>
  <c r="AC316" i="1"/>
  <c r="AM307" i="1"/>
  <c r="AC373" i="1"/>
  <c r="K373" i="1"/>
  <c r="AM334" i="1"/>
  <c r="K318" i="1"/>
  <c r="AC318" i="1"/>
  <c r="AM308" i="1"/>
  <c r="K355" i="1"/>
  <c r="AC355" i="1"/>
  <c r="AM376" i="1"/>
  <c r="AC381" i="1"/>
  <c r="K381" i="1"/>
  <c r="AM367" i="1"/>
  <c r="AM374" i="1"/>
  <c r="AM353" i="1"/>
  <c r="AM381" i="1"/>
  <c r="AM371" i="1"/>
  <c r="AM355" i="1"/>
  <c r="AC357" i="1"/>
  <c r="K357" i="1"/>
  <c r="AM176" i="1"/>
  <c r="AM155" i="1"/>
  <c r="AM179" i="1"/>
  <c r="AM181" i="1"/>
  <c r="AM210" i="1"/>
  <c r="AM253" i="1"/>
  <c r="L333" i="1"/>
  <c r="AD333" i="1"/>
  <c r="AM202" i="1"/>
  <c r="L307" i="1"/>
  <c r="AD307" i="1"/>
  <c r="AM150" i="1"/>
  <c r="AM174" i="1"/>
  <c r="AM188" i="1"/>
  <c r="AM194" i="1"/>
  <c r="AM148" i="1"/>
  <c r="AM190" i="1"/>
  <c r="AM157" i="1"/>
  <c r="AM163" i="1"/>
  <c r="AM165" i="1"/>
  <c r="AM212" i="1"/>
  <c r="AM264" i="1"/>
  <c r="AM318" i="1"/>
  <c r="AM252" i="1"/>
  <c r="AM229" i="1"/>
  <c r="AC332" i="1"/>
  <c r="K332" i="1"/>
  <c r="AM298" i="1"/>
  <c r="AM196" i="1"/>
  <c r="AM260" i="1"/>
  <c r="AM239" i="1"/>
  <c r="AM217" i="1"/>
  <c r="AC277" i="1"/>
  <c r="K277" i="1"/>
  <c r="L347" i="1"/>
  <c r="AD347" i="1"/>
  <c r="K312" i="1"/>
  <c r="AC312" i="1"/>
  <c r="AM207" i="1"/>
  <c r="AM249" i="1"/>
  <c r="AM227" i="1"/>
  <c r="K233" i="1"/>
  <c r="AM285" i="1"/>
  <c r="L326" i="1"/>
  <c r="AD326" i="1"/>
  <c r="K294" i="1"/>
  <c r="AC294" i="1"/>
  <c r="AM345" i="1"/>
  <c r="L334" i="1"/>
  <c r="AD334" i="1"/>
  <c r="K326" i="1"/>
  <c r="AC326" i="1"/>
  <c r="AM320" i="1"/>
  <c r="AD308" i="1"/>
  <c r="L308" i="1"/>
  <c r="K301" i="1"/>
  <c r="AC301" i="1"/>
  <c r="AM294" i="1"/>
  <c r="AM347" i="1"/>
  <c r="L335" i="1"/>
  <c r="AD335" i="1"/>
  <c r="K328" i="1"/>
  <c r="AC328" i="1"/>
  <c r="AM321" i="1"/>
  <c r="AD310" i="1"/>
  <c r="L310" i="1"/>
  <c r="K303" i="1"/>
  <c r="AC303" i="1"/>
  <c r="AM296" i="1"/>
  <c r="AD292" i="1"/>
  <c r="L292" i="1"/>
  <c r="L337" i="1"/>
  <c r="AD337" i="1"/>
  <c r="AC330" i="1"/>
  <c r="K330" i="1"/>
  <c r="AM323" i="1"/>
  <c r="L312" i="1"/>
  <c r="AD312" i="1"/>
  <c r="K305" i="1"/>
  <c r="AC305" i="1"/>
  <c r="AM297" i="1"/>
  <c r="AC377" i="1"/>
  <c r="K377" i="1"/>
  <c r="AC368" i="1"/>
  <c r="K368" i="1"/>
  <c r="AC375" i="1"/>
  <c r="K375" i="1"/>
  <c r="AM369" i="1"/>
  <c r="AM359" i="1"/>
  <c r="AC348" i="1"/>
  <c r="K348" i="1"/>
  <c r="AM379" i="1"/>
  <c r="AM373" i="1"/>
  <c r="AM368" i="1"/>
  <c r="AM358" i="1"/>
  <c r="AM352" i="1"/>
  <c r="AC380" i="1"/>
  <c r="K380" i="1"/>
  <c r="AC376" i="1"/>
  <c r="K376" i="1"/>
  <c r="K281" i="1"/>
  <c r="AC281" i="1"/>
  <c r="AM158" i="1"/>
  <c r="AM156" i="1"/>
  <c r="AM164" i="1"/>
  <c r="AM267" i="1"/>
  <c r="AM151" i="1"/>
  <c r="AM175" i="1"/>
  <c r="AM189" i="1"/>
  <c r="AM198" i="1"/>
  <c r="AM230" i="1"/>
  <c r="K299" i="1"/>
  <c r="AC299" i="1"/>
  <c r="AM235" i="1"/>
  <c r="AM162" i="1"/>
  <c r="AM146" i="1"/>
  <c r="AM170" i="1"/>
  <c r="AM184" i="1"/>
  <c r="AC325" i="1"/>
  <c r="K325" i="1"/>
  <c r="AM211" i="1"/>
  <c r="K269" i="1"/>
  <c r="AC269" i="1"/>
  <c r="AM153" i="1"/>
  <c r="AM177" i="1"/>
  <c r="AM191" i="1"/>
  <c r="AM206" i="1"/>
  <c r="AM242" i="1"/>
  <c r="AM205" i="1"/>
  <c r="AM246" i="1"/>
  <c r="AM224" i="1"/>
  <c r="K267" i="1"/>
  <c r="AC267" i="1"/>
  <c r="AM270" i="1"/>
  <c r="AM324" i="1"/>
  <c r="AM208" i="1"/>
  <c r="AM255" i="1"/>
  <c r="AM232" i="1"/>
  <c r="AC272" i="1"/>
  <c r="K272" i="1"/>
  <c r="AC337" i="1"/>
  <c r="K337" i="1"/>
  <c r="AM305" i="1"/>
  <c r="AM203" i="1"/>
  <c r="AM266" i="1"/>
  <c r="AM244" i="1"/>
  <c r="AM221" i="1"/>
  <c r="AM279" i="1"/>
  <c r="AM268" i="1"/>
  <c r="K320" i="1"/>
  <c r="AC320" i="1"/>
  <c r="AC366" i="1"/>
  <c r="K366" i="1"/>
  <c r="L341" i="1"/>
  <c r="AD341" i="1"/>
  <c r="K333" i="1"/>
  <c r="AC333" i="1"/>
  <c r="AM325" i="1"/>
  <c r="AD316" i="1"/>
  <c r="L316" i="1"/>
  <c r="K307" i="1"/>
  <c r="AC307" i="1"/>
  <c r="AM299" i="1"/>
  <c r="L343" i="1"/>
  <c r="AD343" i="1"/>
  <c r="K334" i="1"/>
  <c r="AC334" i="1"/>
  <c r="AM326" i="1"/>
  <c r="AD318" i="1"/>
  <c r="L318" i="1"/>
  <c r="K308" i="1"/>
  <c r="AC308" i="1"/>
  <c r="AM301" i="1"/>
  <c r="AD293" i="1"/>
  <c r="L293" i="1"/>
  <c r="L345" i="1"/>
  <c r="AD345" i="1"/>
  <c r="AC335" i="1"/>
  <c r="K335" i="1"/>
  <c r="AM328" i="1"/>
  <c r="L320" i="1"/>
  <c r="AD320" i="1"/>
  <c r="K310" i="1"/>
  <c r="AC310" i="1"/>
  <c r="AM303" i="1"/>
  <c r="L294" i="1"/>
  <c r="AD294" i="1"/>
  <c r="K356" i="1"/>
  <c r="AC356" i="1"/>
  <c r="AC360" i="1"/>
  <c r="K360" i="1"/>
  <c r="AC379" i="1"/>
  <c r="K379" i="1"/>
  <c r="K350" i="1"/>
  <c r="AC350" i="1"/>
  <c r="AC371" i="1"/>
  <c r="K371" i="1"/>
  <c r="AM357" i="1"/>
  <c r="AM365" i="1"/>
  <c r="AM372" i="1"/>
  <c r="AM366" i="1"/>
  <c r="AM362" i="1"/>
  <c r="AM356" i="1"/>
  <c r="AM350" i="1"/>
  <c r="AC374" i="1"/>
  <c r="K374" i="1"/>
  <c r="K369" i="1"/>
  <c r="AC369" i="1"/>
  <c r="AC363" i="1"/>
  <c r="K363" i="1"/>
  <c r="AC359" i="1"/>
  <c r="K359" i="1"/>
  <c r="AC353" i="1"/>
  <c r="K353" i="1"/>
  <c r="AM70" i="1"/>
  <c r="AM62" i="1"/>
  <c r="AM66" i="1"/>
  <c r="AM65" i="1"/>
  <c r="AM130" i="1"/>
  <c r="AM110" i="1"/>
  <c r="AM134" i="1"/>
  <c r="AC75" i="1"/>
  <c r="AM102" i="1"/>
  <c r="AC62" i="1"/>
  <c r="AM77" i="1"/>
  <c r="AC61" i="1"/>
  <c r="AM100" i="1"/>
  <c r="AM104" i="1"/>
  <c r="AM112" i="1"/>
  <c r="AM137" i="1"/>
  <c r="AM117" i="1"/>
  <c r="AM16" i="1"/>
  <c r="AM99" i="1"/>
  <c r="AC71" i="1"/>
  <c r="AM73" i="1"/>
  <c r="AM76" i="1"/>
  <c r="AM98" i="1"/>
  <c r="AM107" i="1"/>
  <c r="AM95" i="1"/>
  <c r="AC74" i="1"/>
  <c r="AM101" i="1"/>
  <c r="AM103" i="1"/>
  <c r="AM118" i="1"/>
  <c r="AC73" i="1"/>
  <c r="AM75" i="1"/>
  <c r="AM96" i="1"/>
  <c r="AM109" i="1"/>
  <c r="AM131" i="1"/>
  <c r="AM116" i="1"/>
  <c r="AM125" i="1"/>
  <c r="AM108" i="1"/>
  <c r="AM129" i="1"/>
  <c r="AC60" i="1"/>
  <c r="AC59" i="1"/>
  <c r="AM113" i="1"/>
  <c r="AM138" i="1"/>
  <c r="AC72" i="1"/>
  <c r="AC64" i="1"/>
  <c r="AM87" i="1"/>
  <c r="AC67" i="1"/>
  <c r="AM82" i="1"/>
  <c r="AM94" i="1"/>
  <c r="AC70" i="1"/>
  <c r="AM85" i="1"/>
  <c r="AM97" i="1"/>
  <c r="AM111" i="1"/>
  <c r="AM79" i="1"/>
  <c r="AC69" i="1"/>
  <c r="AM84" i="1"/>
  <c r="AM92" i="1"/>
  <c r="AM132" i="1"/>
  <c r="AM127" i="1"/>
  <c r="AM140" i="1"/>
  <c r="AM120" i="1"/>
  <c r="AM124" i="1"/>
  <c r="AC68" i="1"/>
  <c r="AM83" i="1"/>
  <c r="AM86" i="1"/>
  <c r="AM89" i="1"/>
  <c r="AM74" i="1"/>
  <c r="AM115" i="1"/>
  <c r="AC63" i="1"/>
  <c r="AM78" i="1"/>
  <c r="AM90" i="1"/>
  <c r="AM123" i="1"/>
  <c r="AM128" i="1"/>
  <c r="AC66" i="1"/>
  <c r="AM81" i="1"/>
  <c r="AM93" i="1"/>
  <c r="AM105" i="1"/>
  <c r="AM91" i="1"/>
  <c r="AC65" i="1"/>
  <c r="AM80" i="1"/>
  <c r="AM88" i="1"/>
  <c r="AM142" i="1"/>
  <c r="AM121" i="1"/>
  <c r="AM136" i="1"/>
  <c r="AM114" i="1"/>
  <c r="AM139" i="1"/>
  <c r="AM119" i="1"/>
  <c r="AC58" i="1"/>
  <c r="AM58" i="1"/>
  <c r="AM60" i="1"/>
  <c r="AM41" i="1"/>
  <c r="AM47" i="1"/>
  <c r="AM57" i="1"/>
  <c r="AM59" i="1"/>
  <c r="AM30" i="1"/>
  <c r="AM21" i="1"/>
  <c r="AM29" i="1"/>
  <c r="AM26" i="1"/>
  <c r="AM18" i="1"/>
  <c r="AM33" i="1"/>
  <c r="AM56" i="1"/>
  <c r="AM52" i="1"/>
  <c r="AM36" i="1"/>
  <c r="AM61" i="1"/>
  <c r="AM72" i="1"/>
  <c r="AM46" i="1"/>
  <c r="AM71" i="1"/>
  <c r="AM27" i="1"/>
  <c r="AM45" i="1"/>
  <c r="AM35" i="1"/>
  <c r="AM28" i="1"/>
  <c r="AM48" i="1"/>
  <c r="AM17" i="1"/>
  <c r="AM51" i="1"/>
  <c r="AM22" i="1"/>
  <c r="AM19" i="1"/>
  <c r="AM53" i="1"/>
  <c r="AM40" i="1"/>
  <c r="AM20" i="1"/>
  <c r="AM25" i="1"/>
  <c r="AM32" i="1"/>
  <c r="AM55" i="1"/>
  <c r="AM43" i="1"/>
  <c r="AM67" i="1"/>
  <c r="AM42" i="1"/>
  <c r="AM23" i="1"/>
  <c r="AM49" i="1"/>
  <c r="AM37" i="1"/>
  <c r="AM24" i="1"/>
  <c r="AM34" i="1"/>
  <c r="AM31" i="1"/>
  <c r="AM54" i="1"/>
  <c r="AM50" i="1"/>
  <c r="AM44" i="1"/>
  <c r="AM69" i="1"/>
  <c r="AM68" i="1"/>
  <c r="AM39" i="1"/>
  <c r="AM64" i="1"/>
  <c r="AM38" i="1"/>
  <c r="AM63" i="1"/>
  <c r="I419" i="1" l="1"/>
  <c r="I423" i="1"/>
  <c r="I391" i="1"/>
  <c r="H391" i="1" s="1"/>
  <c r="I393" i="1"/>
  <c r="I401" i="1"/>
  <c r="I424" i="1"/>
  <c r="I418" i="1"/>
  <c r="I427" i="1"/>
  <c r="I397" i="1"/>
  <c r="I405" i="1"/>
  <c r="H405" i="1" s="1"/>
  <c r="I415" i="1"/>
  <c r="H415" i="1" s="1"/>
  <c r="J449" i="1" s="1" a="1"/>
  <c r="J449" i="1" s="1"/>
  <c r="H449" i="1" s="1"/>
  <c r="I414" i="1"/>
  <c r="I421" i="1"/>
  <c r="I422" i="1"/>
  <c r="H422" i="1" s="1"/>
  <c r="J456" i="1" s="1" a="1"/>
  <c r="J456" i="1" s="1"/>
  <c r="H456" i="1" s="1"/>
  <c r="I425" i="1"/>
  <c r="I416" i="1"/>
  <c r="I58" i="1"/>
  <c r="I60" i="1"/>
  <c r="I75" i="1"/>
  <c r="I59" i="1"/>
  <c r="I63" i="1"/>
  <c r="I542" i="1"/>
  <c r="I537" i="1"/>
  <c r="H537" i="1" s="1"/>
  <c r="I540" i="1"/>
  <c r="I73" i="1"/>
  <c r="I382" i="1"/>
  <c r="H382" i="1" s="1"/>
  <c r="I385" i="1"/>
  <c r="H385" i="1" s="1"/>
  <c r="I386" i="1"/>
  <c r="I410" i="1"/>
  <c r="I389" i="1"/>
  <c r="H389" i="1" s="1"/>
  <c r="I411" i="1"/>
  <c r="H411" i="1" s="1"/>
  <c r="I412" i="1"/>
  <c r="I68" i="1"/>
  <c r="I64" i="1"/>
  <c r="H64" i="1" s="1"/>
  <c r="I66" i="1"/>
  <c r="H66" i="1" s="1"/>
  <c r="I417" i="1"/>
  <c r="I426" i="1"/>
  <c r="I420" i="1"/>
  <c r="I169" i="1"/>
  <c r="I184" i="1"/>
  <c r="I185" i="1"/>
  <c r="I179" i="1"/>
  <c r="I191" i="1"/>
  <c r="I181" i="1"/>
  <c r="I168" i="1"/>
  <c r="I187" i="1"/>
  <c r="I171" i="1"/>
  <c r="I182" i="1"/>
  <c r="I383" i="1"/>
  <c r="I384" i="1"/>
  <c r="H384" i="1" s="1"/>
  <c r="I408" i="1"/>
  <c r="I392" i="1"/>
  <c r="H392" i="1" s="1"/>
  <c r="I400" i="1"/>
  <c r="I388" i="1"/>
  <c r="I396" i="1"/>
  <c r="H396" i="1" s="1"/>
  <c r="I395" i="1"/>
  <c r="H395" i="1" s="1"/>
  <c r="I164" i="1"/>
  <c r="I65" i="1"/>
  <c r="H65" i="1" s="1"/>
  <c r="I62" i="1"/>
  <c r="H62" i="1" s="1"/>
  <c r="I61" i="1"/>
  <c r="I67" i="1"/>
  <c r="I541" i="1"/>
  <c r="H541" i="1" s="1"/>
  <c r="I71" i="1"/>
  <c r="H71" i="1" s="1"/>
  <c r="I544" i="1"/>
  <c r="I163" i="1"/>
  <c r="I172" i="1"/>
  <c r="I387" i="1"/>
  <c r="H387" i="1" s="1"/>
  <c r="I409" i="1"/>
  <c r="I398" i="1"/>
  <c r="I399" i="1"/>
  <c r="H399" i="1" s="1"/>
  <c r="I543" i="1"/>
  <c r="H543" i="1" s="1"/>
  <c r="I546" i="1"/>
  <c r="I186" i="1"/>
  <c r="I165" i="1"/>
  <c r="I188" i="1"/>
  <c r="I183" i="1"/>
  <c r="I180" i="1"/>
  <c r="I74" i="1"/>
  <c r="I390" i="1"/>
  <c r="H390" i="1" s="1"/>
  <c r="I407" i="1"/>
  <c r="H407" i="1" s="1"/>
  <c r="I406" i="1"/>
  <c r="I394" i="1"/>
  <c r="H394" i="1" s="1"/>
  <c r="I402" i="1"/>
  <c r="H402" i="1" s="1"/>
  <c r="I404" i="1"/>
  <c r="I176" i="1"/>
  <c r="I69" i="1"/>
  <c r="I70" i="1"/>
  <c r="H70" i="1" s="1"/>
  <c r="I72" i="1"/>
  <c r="I539" i="1"/>
  <c r="I545" i="1"/>
  <c r="H545" i="1" s="1"/>
  <c r="I538" i="1"/>
  <c r="H538" i="1" s="1"/>
  <c r="I177" i="1"/>
  <c r="I189" i="1"/>
  <c r="I190" i="1"/>
  <c r="I192" i="1"/>
  <c r="I173" i="1"/>
  <c r="X120" i="1"/>
  <c r="O120" i="1" s="1"/>
  <c r="H383" i="1"/>
  <c r="H403" i="1"/>
  <c r="H499" i="1"/>
  <c r="J525" i="1" s="1" a="1"/>
  <c r="J525" i="1" s="1"/>
  <c r="H525" i="1" s="1"/>
  <c r="H504" i="1"/>
  <c r="J530" i="1" s="1" a="1"/>
  <c r="J530" i="1" s="1"/>
  <c r="H530" i="1" s="1"/>
  <c r="H398" i="1"/>
  <c r="H502" i="1"/>
  <c r="J528" i="1" s="1" a="1"/>
  <c r="J528" i="1" s="1"/>
  <c r="H528" i="1" s="1"/>
  <c r="H506" i="1"/>
  <c r="J532" i="1" s="1" a="1"/>
  <c r="J532" i="1" s="1"/>
  <c r="H532" i="1" s="1"/>
  <c r="H409" i="1"/>
  <c r="H406" i="1"/>
  <c r="H425" i="1"/>
  <c r="J459" i="1" s="1" a="1"/>
  <c r="J459" i="1" s="1"/>
  <c r="H459" i="1" s="1"/>
  <c r="H505" i="1"/>
  <c r="H410" i="1"/>
  <c r="H401" i="1"/>
  <c r="H408" i="1"/>
  <c r="H400" i="1"/>
  <c r="H418" i="1"/>
  <c r="J452" i="1" s="1" a="1"/>
  <c r="J452" i="1" s="1"/>
  <c r="H452" i="1" s="1"/>
  <c r="H510" i="1"/>
  <c r="J536" i="1" s="1" a="1"/>
  <c r="J536" i="1" s="1"/>
  <c r="H536" i="1" s="1"/>
  <c r="H386" i="1"/>
  <c r="H397" i="1"/>
  <c r="H388" i="1"/>
  <c r="H393" i="1"/>
  <c r="H417" i="1"/>
  <c r="J451" i="1" s="1" a="1"/>
  <c r="J451" i="1" s="1"/>
  <c r="H451" i="1" s="1"/>
  <c r="H501" i="1"/>
  <c r="J527" i="1" s="1" a="1"/>
  <c r="J527" i="1" s="1"/>
  <c r="H527" i="1" s="1"/>
  <c r="H509" i="1"/>
  <c r="H546" i="1"/>
  <c r="H423" i="1"/>
  <c r="J457" i="1" s="1" a="1"/>
  <c r="J457" i="1" s="1"/>
  <c r="H457" i="1" s="1"/>
  <c r="H427" i="1"/>
  <c r="J461" i="1" s="1" a="1"/>
  <c r="J461" i="1" s="1"/>
  <c r="H461" i="1" s="1"/>
  <c r="H413" i="1"/>
  <c r="J447" i="1" s="1" a="1"/>
  <c r="J447" i="1" s="1"/>
  <c r="H447" i="1" s="1"/>
  <c r="H416" i="1"/>
  <c r="J450" i="1" s="1" a="1"/>
  <c r="J450" i="1" s="1"/>
  <c r="H450" i="1" s="1"/>
  <c r="H414" i="1"/>
  <c r="J448" i="1" s="1" a="1"/>
  <c r="J448" i="1" s="1"/>
  <c r="H448" i="1" s="1"/>
  <c r="H426" i="1"/>
  <c r="J460" i="1" s="1" a="1"/>
  <c r="J460" i="1" s="1"/>
  <c r="H460" i="1" s="1"/>
  <c r="H424" i="1"/>
  <c r="J458" i="1" s="1" a="1"/>
  <c r="J458" i="1" s="1"/>
  <c r="H458" i="1" s="1"/>
  <c r="H420" i="1"/>
  <c r="J454" i="1" s="1" a="1"/>
  <c r="J454" i="1" s="1"/>
  <c r="H454" i="1" s="1"/>
  <c r="H539" i="1"/>
  <c r="H500" i="1"/>
  <c r="J526" i="1" s="1" a="1"/>
  <c r="J526" i="1" s="1"/>
  <c r="H526" i="1" s="1"/>
  <c r="H503" i="1"/>
  <c r="J529" i="1" s="1" a="1"/>
  <c r="J529" i="1" s="1"/>
  <c r="H529" i="1" s="1"/>
  <c r="H544" i="1"/>
  <c r="H507" i="1"/>
  <c r="H508" i="1"/>
  <c r="J534" i="1" s="1" a="1"/>
  <c r="J534" i="1" s="1"/>
  <c r="H534" i="1" s="1"/>
  <c r="H421" i="1"/>
  <c r="J455" i="1" s="1" a="1"/>
  <c r="J455" i="1" s="1"/>
  <c r="H455" i="1" s="1"/>
  <c r="H540" i="1"/>
  <c r="H419" i="1"/>
  <c r="J453" i="1" s="1" a="1"/>
  <c r="J453" i="1" s="1"/>
  <c r="H453" i="1" s="1"/>
  <c r="H542" i="1"/>
  <c r="H61" i="1"/>
  <c r="H67" i="1"/>
  <c r="H68" i="1"/>
  <c r="H69" i="1"/>
  <c r="H72" i="1"/>
  <c r="H58" i="1"/>
  <c r="H60" i="1"/>
  <c r="H59" i="1"/>
  <c r="H63" i="1"/>
  <c r="X124" i="1"/>
  <c r="O124" i="1" s="1"/>
  <c r="Y138" i="1"/>
  <c r="P138" i="1" s="1"/>
  <c r="Y130" i="1"/>
  <c r="AH130" i="1" s="1"/>
  <c r="X130" i="1"/>
  <c r="O130" i="1" s="1"/>
  <c r="Y139" i="1"/>
  <c r="AH139" i="1" s="1"/>
  <c r="W130" i="1"/>
  <c r="N130" i="1" s="1"/>
  <c r="X138" i="1"/>
  <c r="AG138" i="1" s="1"/>
  <c r="Y120" i="1"/>
  <c r="P120" i="1" s="1"/>
  <c r="W138" i="1"/>
  <c r="N138" i="1" s="1"/>
  <c r="W120" i="1"/>
  <c r="N120" i="1" s="1"/>
  <c r="Y124" i="1"/>
  <c r="AH124" i="1" s="1"/>
  <c r="W131" i="1"/>
  <c r="N131" i="1" s="1"/>
  <c r="W124" i="1"/>
  <c r="N124" i="1" s="1"/>
  <c r="Y131" i="1"/>
  <c r="AH131" i="1" s="1"/>
  <c r="X131" i="1"/>
  <c r="AG131" i="1" s="1"/>
  <c r="W139" i="1"/>
  <c r="AF139" i="1" s="1"/>
  <c r="X139" i="1"/>
  <c r="AG139" i="1" s="1"/>
  <c r="AH138" i="1"/>
  <c r="AG120" i="1"/>
  <c r="H463" i="1"/>
  <c r="J487" i="1" s="1" a="1"/>
  <c r="J487" i="1" s="1"/>
  <c r="H487" i="1" s="1"/>
  <c r="H462" i="1"/>
  <c r="J486" i="1" s="1" a="1"/>
  <c r="J486" i="1" s="1"/>
  <c r="H486" i="1" s="1"/>
  <c r="H468" i="1"/>
  <c r="J492" i="1" s="1" a="1"/>
  <c r="J492" i="1" s="1"/>
  <c r="H492" i="1" s="1"/>
  <c r="H467" i="1"/>
  <c r="J491" i="1" s="1" a="1"/>
  <c r="J491" i="1" s="1"/>
  <c r="H491" i="1" s="1"/>
  <c r="H464" i="1"/>
  <c r="J488" i="1" s="1" a="1"/>
  <c r="J488" i="1" s="1"/>
  <c r="H488" i="1" s="1"/>
  <c r="H473" i="1"/>
  <c r="J497" i="1" s="1" a="1"/>
  <c r="J497" i="1" s="1"/>
  <c r="H497" i="1" s="1"/>
  <c r="H471" i="1"/>
  <c r="J495" i="1" s="1" a="1"/>
  <c r="J495" i="1" s="1"/>
  <c r="H495" i="1" s="1"/>
  <c r="H466" i="1"/>
  <c r="J490" i="1" s="1" a="1"/>
  <c r="J490" i="1" s="1"/>
  <c r="H490" i="1" s="1"/>
  <c r="H465" i="1"/>
  <c r="J489" i="1" s="1" a="1"/>
  <c r="J489" i="1" s="1"/>
  <c r="H489" i="1" s="1"/>
  <c r="H469" i="1"/>
  <c r="J493" i="1" s="1" a="1"/>
  <c r="J493" i="1" s="1"/>
  <c r="H493" i="1" s="1"/>
  <c r="H470" i="1"/>
  <c r="J494" i="1" s="1" a="1"/>
  <c r="J494" i="1" s="1"/>
  <c r="H494" i="1" s="1"/>
  <c r="H472" i="1"/>
  <c r="J496" i="1" s="1" a="1"/>
  <c r="J496" i="1" s="1"/>
  <c r="H496" i="1" s="1"/>
  <c r="AB209" i="1"/>
  <c r="J209" i="1"/>
  <c r="AB201" i="1"/>
  <c r="J201" i="1"/>
  <c r="AB197" i="1"/>
  <c r="J197" i="1"/>
  <c r="AB213" i="1"/>
  <c r="J213" i="1"/>
  <c r="AB205" i="1"/>
  <c r="J205" i="1"/>
  <c r="AB174" i="1"/>
  <c r="J174" i="1"/>
  <c r="I174" i="1" s="1"/>
  <c r="AB166" i="1"/>
  <c r="J166" i="1"/>
  <c r="I166" i="1" s="1"/>
  <c r="AB178" i="1"/>
  <c r="J178" i="1"/>
  <c r="I178" i="1" s="1"/>
  <c r="AB167" i="1"/>
  <c r="J167" i="1"/>
  <c r="I167" i="1" s="1"/>
  <c r="AB170" i="1"/>
  <c r="J170" i="1"/>
  <c r="I170" i="1" s="1"/>
  <c r="AB175" i="1"/>
  <c r="J175" i="1"/>
  <c r="I175" i="1" s="1"/>
  <c r="AB116" i="1"/>
  <c r="AB117" i="1"/>
  <c r="AB123" i="1"/>
  <c r="AB134" i="1"/>
  <c r="AB128" i="1"/>
  <c r="AB119" i="1"/>
  <c r="AB121" i="1"/>
  <c r="AB137" i="1"/>
  <c r="AB127" i="1"/>
  <c r="AB139" i="1"/>
  <c r="AB136" i="1"/>
  <c r="AB131" i="1"/>
  <c r="AB120" i="1"/>
  <c r="AB125" i="1"/>
  <c r="AB132" i="1"/>
  <c r="AB138" i="1"/>
  <c r="AB124" i="1"/>
  <c r="AB130" i="1"/>
  <c r="AB142" i="1"/>
  <c r="AB140" i="1"/>
  <c r="AB118" i="1"/>
  <c r="AB129" i="1"/>
  <c r="J114" i="1"/>
  <c r="J108" i="1"/>
  <c r="J110" i="1"/>
  <c r="H549" i="1"/>
  <c r="J581" i="1" s="1" a="1"/>
  <c r="J581" i="1" s="1"/>
  <c r="H581" i="1" s="1"/>
  <c r="H550" i="1"/>
  <c r="J582" i="1" s="1" a="1"/>
  <c r="J582" i="1" s="1"/>
  <c r="H582" i="1" s="1"/>
  <c r="H555" i="1"/>
  <c r="J587" i="1" s="1" a="1"/>
  <c r="J587" i="1" s="1"/>
  <c r="H587" i="1" s="1"/>
  <c r="H560" i="1"/>
  <c r="J592" i="1" s="1" a="1"/>
  <c r="J592" i="1" s="1"/>
  <c r="H592" i="1" s="1"/>
  <c r="H412" i="1"/>
  <c r="J446" i="1" s="1" a="1"/>
  <c r="J446" i="1" s="1"/>
  <c r="H446" i="1" s="1"/>
  <c r="H558" i="1"/>
  <c r="J590" i="1" s="1" a="1"/>
  <c r="J590" i="1" s="1"/>
  <c r="H590" i="1" s="1"/>
  <c r="H556" i="1"/>
  <c r="J588" i="1" s="1" a="1"/>
  <c r="J588" i="1" s="1"/>
  <c r="H588" i="1" s="1"/>
  <c r="H547" i="1"/>
  <c r="J579" i="1" s="1" a="1"/>
  <c r="J579" i="1" s="1"/>
  <c r="H579" i="1" s="1"/>
  <c r="H552" i="1"/>
  <c r="J584" i="1" s="1" a="1"/>
  <c r="J584" i="1" s="1"/>
  <c r="H584" i="1" s="1"/>
  <c r="H562" i="1"/>
  <c r="J594" i="1" s="1" a="1"/>
  <c r="J594" i="1" s="1"/>
  <c r="H594" i="1" s="1"/>
  <c r="AA544" i="1"/>
  <c r="AA546" i="1"/>
  <c r="AA545" i="1"/>
  <c r="AA543" i="1"/>
  <c r="AA540" i="1"/>
  <c r="AA537" i="1"/>
  <c r="AA542" i="1"/>
  <c r="AA541" i="1"/>
  <c r="AA539" i="1"/>
  <c r="AA538" i="1"/>
  <c r="AA69" i="1"/>
  <c r="AA60" i="1"/>
  <c r="AA66" i="1"/>
  <c r="AB18" i="1"/>
  <c r="AB28" i="1"/>
  <c r="AB20" i="1"/>
  <c r="AB27" i="1"/>
  <c r="AB33" i="1"/>
  <c r="AB26" i="1"/>
  <c r="AB31" i="1"/>
  <c r="AB30" i="1"/>
  <c r="AB25" i="1"/>
  <c r="AB23" i="1"/>
  <c r="AB29" i="1"/>
  <c r="AB22" i="1"/>
  <c r="AB17" i="1"/>
  <c r="AB32" i="1"/>
  <c r="AB24" i="1"/>
  <c r="AB21" i="1"/>
  <c r="AB19" i="1"/>
  <c r="R146" i="1"/>
  <c r="AA62" i="1"/>
  <c r="AA63" i="1"/>
  <c r="R201" i="1"/>
  <c r="AA68" i="1"/>
  <c r="Q145" i="1"/>
  <c r="AA74" i="1"/>
  <c r="R152" i="1"/>
  <c r="AA58" i="1"/>
  <c r="AB16" i="1"/>
  <c r="AC16" i="1" s="1"/>
  <c r="AD16" i="1" s="1"/>
  <c r="AE16" i="1" s="1"/>
  <c r="AF16" i="1" s="1"/>
  <c r="AA67" i="1"/>
  <c r="AA75" i="1"/>
  <c r="R47" i="1"/>
  <c r="AA61" i="1"/>
  <c r="R157" i="1"/>
  <c r="R161" i="1"/>
  <c r="Q152" i="1"/>
  <c r="R148" i="1"/>
  <c r="R145" i="1"/>
  <c r="R144" i="1"/>
  <c r="R160" i="1"/>
  <c r="R150" i="1"/>
  <c r="R55" i="1"/>
  <c r="R153" i="1"/>
  <c r="R209" i="1"/>
  <c r="AA65" i="1"/>
  <c r="AA72" i="1"/>
  <c r="R147" i="1"/>
  <c r="AA70" i="1"/>
  <c r="AA59" i="1"/>
  <c r="AA71" i="1"/>
  <c r="R162" i="1"/>
  <c r="AA64" i="1"/>
  <c r="AA73" i="1"/>
  <c r="R154" i="1"/>
  <c r="R149" i="1"/>
  <c r="R151" i="1"/>
  <c r="R158" i="1"/>
  <c r="R159" i="1"/>
  <c r="R114" i="1"/>
  <c r="R156" i="1"/>
  <c r="R51" i="1"/>
  <c r="R155" i="1"/>
  <c r="R43" i="1"/>
  <c r="R39" i="1"/>
  <c r="R175" i="1"/>
  <c r="R167" i="1"/>
  <c r="R205" i="1"/>
  <c r="R170" i="1"/>
  <c r="R174" i="1"/>
  <c r="L16" i="1"/>
  <c r="K16" i="1"/>
  <c r="AB326" i="1"/>
  <c r="AA326" i="1" s="1"/>
  <c r="R326" i="1"/>
  <c r="AB325" i="1"/>
  <c r="AA325" i="1" s="1"/>
  <c r="R325" i="1"/>
  <c r="AB279" i="1"/>
  <c r="AA279" i="1" s="1"/>
  <c r="R279" i="1"/>
  <c r="AB255" i="1"/>
  <c r="R255" i="1"/>
  <c r="R242" i="1"/>
  <c r="AB242" i="1"/>
  <c r="R235" i="1"/>
  <c r="AB235" i="1"/>
  <c r="AB359" i="1"/>
  <c r="AA359" i="1" s="1"/>
  <c r="R359" i="1"/>
  <c r="AB323" i="1"/>
  <c r="AA323" i="1" s="1"/>
  <c r="R323" i="1"/>
  <c r="AB296" i="1"/>
  <c r="AA296" i="1" s="1"/>
  <c r="R296" i="1"/>
  <c r="AB347" i="1"/>
  <c r="AA347" i="1" s="1"/>
  <c r="R347" i="1"/>
  <c r="AB227" i="1"/>
  <c r="R227" i="1"/>
  <c r="AB252" i="1"/>
  <c r="R252" i="1"/>
  <c r="AB353" i="1"/>
  <c r="AA353" i="1" s="1"/>
  <c r="R353" i="1"/>
  <c r="AB367" i="1"/>
  <c r="AA367" i="1" s="1"/>
  <c r="R367" i="1"/>
  <c r="R376" i="1"/>
  <c r="AB376" i="1"/>
  <c r="AA376" i="1" s="1"/>
  <c r="AB308" i="1"/>
  <c r="AA308" i="1" s="1"/>
  <c r="AB334" i="1"/>
  <c r="AA334" i="1" s="1"/>
  <c r="AB307" i="1"/>
  <c r="AA307" i="1" s="1"/>
  <c r="R307" i="1"/>
  <c r="AB333" i="1"/>
  <c r="AA333" i="1" s="1"/>
  <c r="R333" i="1"/>
  <c r="AB292" i="1"/>
  <c r="AA292" i="1" s="1"/>
  <c r="R292" i="1"/>
  <c r="AB219" i="1"/>
  <c r="R219" i="1"/>
  <c r="AB272" i="1"/>
  <c r="AA272" i="1" s="1"/>
  <c r="R272" i="1"/>
  <c r="AB245" i="1"/>
  <c r="R245" i="1"/>
  <c r="AB377" i="1"/>
  <c r="AA377" i="1" s="1"/>
  <c r="R377" i="1"/>
  <c r="AB228" i="1"/>
  <c r="R228" i="1"/>
  <c r="AB191" i="1"/>
  <c r="R191" i="1"/>
  <c r="AB42" i="1"/>
  <c r="R42" i="1"/>
  <c r="AA415" i="1"/>
  <c r="R207" i="1"/>
  <c r="AB207" i="1"/>
  <c r="AB212" i="1"/>
  <c r="R212" i="1"/>
  <c r="AB115" i="1"/>
  <c r="R115" i="1"/>
  <c r="R107" i="1"/>
  <c r="AB107" i="1"/>
  <c r="R53" i="1"/>
  <c r="AB53" i="1"/>
  <c r="AB200" i="1"/>
  <c r="R200" i="1"/>
  <c r="AB169" i="1"/>
  <c r="R169" i="1"/>
  <c r="AB168" i="1"/>
  <c r="R168" i="1"/>
  <c r="AB52" i="1"/>
  <c r="R52" i="1"/>
  <c r="R186" i="1"/>
  <c r="AB186" i="1"/>
  <c r="AB214" i="1"/>
  <c r="R214" i="1"/>
  <c r="AB57" i="1"/>
  <c r="R57" i="1"/>
  <c r="AB46" i="1"/>
  <c r="R46" i="1"/>
  <c r="AA424" i="1"/>
  <c r="AB180" i="1"/>
  <c r="R180" i="1"/>
  <c r="R166" i="1"/>
  <c r="AB109" i="1"/>
  <c r="R109" i="1"/>
  <c r="R356" i="1"/>
  <c r="AB356" i="1"/>
  <c r="AA356" i="1" s="1"/>
  <c r="R366" i="1"/>
  <c r="AB366" i="1"/>
  <c r="AA366" i="1" s="1"/>
  <c r="AB365" i="1"/>
  <c r="AA365" i="1" s="1"/>
  <c r="R365" i="1"/>
  <c r="AB303" i="1"/>
  <c r="AA303" i="1" s="1"/>
  <c r="R303" i="1"/>
  <c r="AB244" i="1"/>
  <c r="R244" i="1"/>
  <c r="AB270" i="1"/>
  <c r="AA270" i="1" s="1"/>
  <c r="R270" i="1"/>
  <c r="AB224" i="1"/>
  <c r="R224" i="1"/>
  <c r="R358" i="1"/>
  <c r="AB358" i="1"/>
  <c r="AA358" i="1" s="1"/>
  <c r="AB373" i="1"/>
  <c r="AA373" i="1" s="1"/>
  <c r="R373" i="1"/>
  <c r="AB369" i="1"/>
  <c r="AA369" i="1" s="1"/>
  <c r="R369" i="1"/>
  <c r="AB345" i="1"/>
  <c r="AA345" i="1" s="1"/>
  <c r="AB285" i="1"/>
  <c r="AA285" i="1" s="1"/>
  <c r="R285" i="1"/>
  <c r="AB249" i="1"/>
  <c r="R249" i="1"/>
  <c r="AB239" i="1"/>
  <c r="R239" i="1"/>
  <c r="R253" i="1"/>
  <c r="AB253" i="1"/>
  <c r="R374" i="1"/>
  <c r="AB374" i="1"/>
  <c r="AA374" i="1" s="1"/>
  <c r="AB310" i="1"/>
  <c r="AA310" i="1" s="1"/>
  <c r="R310" i="1"/>
  <c r="R220" i="1"/>
  <c r="AB220" i="1"/>
  <c r="R257" i="1"/>
  <c r="AB257" i="1"/>
  <c r="R360" i="1"/>
  <c r="AB360" i="1"/>
  <c r="AA360" i="1" s="1"/>
  <c r="R370" i="1"/>
  <c r="AB370" i="1"/>
  <c r="AA370" i="1" s="1"/>
  <c r="AB349" i="1"/>
  <c r="AA349" i="1" s="1"/>
  <c r="R349" i="1"/>
  <c r="J351" i="1"/>
  <c r="I351" i="1" s="1"/>
  <c r="AB351" i="1"/>
  <c r="AA351" i="1" s="1"/>
  <c r="R351" i="1"/>
  <c r="AB316" i="1"/>
  <c r="AA316" i="1" s="1"/>
  <c r="AB314" i="1"/>
  <c r="AA314" i="1" s="1"/>
  <c r="R314" i="1"/>
  <c r="AB337" i="1"/>
  <c r="AA337" i="1" s="1"/>
  <c r="AB231" i="1"/>
  <c r="R231" i="1"/>
  <c r="AB278" i="1"/>
  <c r="AA278" i="1" s="1"/>
  <c r="R278" i="1"/>
  <c r="AB233" i="1"/>
  <c r="R233" i="1"/>
  <c r="AB226" i="1"/>
  <c r="R226" i="1"/>
  <c r="AB216" i="1"/>
  <c r="R216" i="1"/>
  <c r="AB258" i="1"/>
  <c r="R258" i="1"/>
  <c r="R281" i="1"/>
  <c r="AB281" i="1"/>
  <c r="AA281" i="1" s="1"/>
  <c r="AB241" i="1"/>
  <c r="R241" i="1"/>
  <c r="R203" i="1"/>
  <c r="AB203" i="1"/>
  <c r="AB177" i="1"/>
  <c r="R177" i="1"/>
  <c r="R35" i="1"/>
  <c r="R211" i="1"/>
  <c r="AB211" i="1"/>
  <c r="AB184" i="1"/>
  <c r="R184" i="1"/>
  <c r="AB164" i="1"/>
  <c r="R164" i="1"/>
  <c r="R108" i="1"/>
  <c r="AB194" i="1"/>
  <c r="R194" i="1"/>
  <c r="AB202" i="1"/>
  <c r="R202" i="1"/>
  <c r="R210" i="1"/>
  <c r="AB210" i="1"/>
  <c r="AA412" i="1"/>
  <c r="R197" i="1"/>
  <c r="R110" i="1"/>
  <c r="AB193" i="1"/>
  <c r="R193" i="1"/>
  <c r="R199" i="1"/>
  <c r="AB199" i="1"/>
  <c r="R213" i="1"/>
  <c r="AB56" i="1"/>
  <c r="R56" i="1"/>
  <c r="AB185" i="1"/>
  <c r="R185" i="1"/>
  <c r="AB112" i="1"/>
  <c r="R112" i="1"/>
  <c r="AB45" i="1"/>
  <c r="R45" i="1"/>
  <c r="R182" i="1"/>
  <c r="AB182" i="1"/>
  <c r="AB268" i="1"/>
  <c r="AA268" i="1" s="1"/>
  <c r="R268" i="1"/>
  <c r="AB305" i="1"/>
  <c r="AA305" i="1" s="1"/>
  <c r="R305" i="1"/>
  <c r="AB232" i="1"/>
  <c r="R232" i="1"/>
  <c r="AB324" i="1"/>
  <c r="AA324" i="1" s="1"/>
  <c r="R324" i="1"/>
  <c r="AB267" i="1"/>
  <c r="AA267" i="1" s="1"/>
  <c r="R267" i="1"/>
  <c r="AB297" i="1"/>
  <c r="AA297" i="1" s="1"/>
  <c r="R297" i="1"/>
  <c r="AB321" i="1"/>
  <c r="AA321" i="1" s="1"/>
  <c r="R321" i="1"/>
  <c r="R294" i="1"/>
  <c r="AB294" i="1"/>
  <c r="AA294" i="1" s="1"/>
  <c r="AB298" i="1"/>
  <c r="AA298" i="1" s="1"/>
  <c r="R298" i="1"/>
  <c r="AB229" i="1"/>
  <c r="R229" i="1"/>
  <c r="AB318" i="1"/>
  <c r="AA318" i="1" s="1"/>
  <c r="R318" i="1"/>
  <c r="R264" i="1"/>
  <c r="AB264" i="1"/>
  <c r="AB355" i="1"/>
  <c r="AA355" i="1" s="1"/>
  <c r="R355" i="1"/>
  <c r="AB381" i="1"/>
  <c r="AA381" i="1" s="1"/>
  <c r="R381" i="1"/>
  <c r="AB306" i="1"/>
  <c r="AA306" i="1" s="1"/>
  <c r="R332" i="1"/>
  <c r="AB332" i="1"/>
  <c r="AA332" i="1" s="1"/>
  <c r="AB262" i="1"/>
  <c r="R262" i="1"/>
  <c r="AB361" i="1"/>
  <c r="AA361" i="1" s="1"/>
  <c r="R361" i="1"/>
  <c r="AB335" i="1"/>
  <c r="AA335" i="1" s="1"/>
  <c r="R335" i="1"/>
  <c r="R380" i="1"/>
  <c r="AB380" i="1"/>
  <c r="AA380" i="1" s="1"/>
  <c r="AB222" i="1"/>
  <c r="R222" i="1"/>
  <c r="R215" i="1"/>
  <c r="AB215" i="1"/>
  <c r="AB256" i="1"/>
  <c r="R256" i="1"/>
  <c r="AB330" i="1"/>
  <c r="AA330" i="1" s="1"/>
  <c r="R330" i="1"/>
  <c r="AB251" i="1"/>
  <c r="R251" i="1"/>
  <c r="AB343" i="1"/>
  <c r="AA343" i="1" s="1"/>
  <c r="R343" i="1"/>
  <c r="AB293" i="1"/>
  <c r="AA293" i="1" s="1"/>
  <c r="R293" i="1"/>
  <c r="AB50" i="1"/>
  <c r="R50" i="1"/>
  <c r="AB111" i="1"/>
  <c r="R111" i="1"/>
  <c r="AB189" i="1"/>
  <c r="R189" i="1"/>
  <c r="AB49" i="1"/>
  <c r="R49" i="1"/>
  <c r="AA419" i="1"/>
  <c r="AA417" i="1"/>
  <c r="AA413" i="1"/>
  <c r="AB196" i="1"/>
  <c r="R196" i="1"/>
  <c r="AB163" i="1"/>
  <c r="R163" i="1"/>
  <c r="AB113" i="1"/>
  <c r="R113" i="1"/>
  <c r="AB48" i="1"/>
  <c r="R48" i="1"/>
  <c r="AB54" i="1"/>
  <c r="R54" i="1"/>
  <c r="AB181" i="1"/>
  <c r="R181" i="1"/>
  <c r="R37" i="1"/>
  <c r="AB37" i="1"/>
  <c r="AA425" i="1"/>
  <c r="AA421" i="1"/>
  <c r="AA427" i="1"/>
  <c r="R195" i="1"/>
  <c r="AB195" i="1"/>
  <c r="R178" i="1"/>
  <c r="AB105" i="1"/>
  <c r="R105" i="1"/>
  <c r="AB36" i="1"/>
  <c r="R36" i="1"/>
  <c r="AB41" i="1"/>
  <c r="R41" i="1"/>
  <c r="AA420" i="1"/>
  <c r="AA416" i="1"/>
  <c r="AB187" i="1"/>
  <c r="R187" i="1"/>
  <c r="AB171" i="1"/>
  <c r="R171" i="1"/>
  <c r="R34" i="1"/>
  <c r="AB34" i="1"/>
  <c r="AB350" i="1"/>
  <c r="AA350" i="1" s="1"/>
  <c r="R350" i="1"/>
  <c r="R362" i="1"/>
  <c r="AB362" i="1"/>
  <c r="AA362" i="1" s="1"/>
  <c r="R372" i="1"/>
  <c r="AB372" i="1"/>
  <c r="AA372" i="1" s="1"/>
  <c r="AB357" i="1"/>
  <c r="AA357" i="1" s="1"/>
  <c r="R357" i="1"/>
  <c r="AB328" i="1"/>
  <c r="AA328" i="1" s="1"/>
  <c r="R328" i="1"/>
  <c r="AB301" i="1"/>
  <c r="AA301" i="1" s="1"/>
  <c r="R301" i="1"/>
  <c r="AB299" i="1"/>
  <c r="AA299" i="1" s="1"/>
  <c r="R299" i="1"/>
  <c r="AB221" i="1"/>
  <c r="R221" i="1"/>
  <c r="AB266" i="1"/>
  <c r="R266" i="1"/>
  <c r="AB246" i="1"/>
  <c r="R246" i="1"/>
  <c r="R230" i="1"/>
  <c r="AB230" i="1"/>
  <c r="AB352" i="1"/>
  <c r="AA352" i="1" s="1"/>
  <c r="R352" i="1"/>
  <c r="R368" i="1"/>
  <c r="AB368" i="1"/>
  <c r="AA368" i="1" s="1"/>
  <c r="AB379" i="1"/>
  <c r="AA379" i="1" s="1"/>
  <c r="R379" i="1"/>
  <c r="R320" i="1"/>
  <c r="AB320" i="1"/>
  <c r="AA320" i="1" s="1"/>
  <c r="AB217" i="1"/>
  <c r="R217" i="1"/>
  <c r="AB260" i="1"/>
  <c r="R260" i="1"/>
  <c r="AB371" i="1"/>
  <c r="AA371" i="1" s="1"/>
  <c r="R371" i="1"/>
  <c r="AB277" i="1"/>
  <c r="AA277" i="1" s="1"/>
  <c r="R277" i="1"/>
  <c r="R354" i="1"/>
  <c r="AB354" i="1"/>
  <c r="AA354" i="1" s="1"/>
  <c r="R364" i="1"/>
  <c r="AB364" i="1"/>
  <c r="AA364" i="1" s="1"/>
  <c r="AB375" i="1"/>
  <c r="AA375" i="1" s="1"/>
  <c r="R375" i="1"/>
  <c r="R378" i="1"/>
  <c r="AB378" i="1"/>
  <c r="AA378" i="1" s="1"/>
  <c r="AB348" i="1"/>
  <c r="AA348" i="1" s="1"/>
  <c r="R348" i="1"/>
  <c r="AB341" i="1"/>
  <c r="AA341" i="1" s="1"/>
  <c r="AB339" i="1"/>
  <c r="AA339" i="1" s="1"/>
  <c r="R339" i="1"/>
  <c r="AB312" i="1"/>
  <c r="AA312" i="1" s="1"/>
  <c r="AB254" i="1"/>
  <c r="R254" i="1"/>
  <c r="AB363" i="1"/>
  <c r="AA363" i="1" s="1"/>
  <c r="R363" i="1"/>
  <c r="AB237" i="1"/>
  <c r="R237" i="1"/>
  <c r="AB269" i="1"/>
  <c r="AA269" i="1" s="1"/>
  <c r="R269" i="1"/>
  <c r="AB247" i="1"/>
  <c r="R247" i="1"/>
  <c r="AA423" i="1"/>
  <c r="AA411" i="1"/>
  <c r="AB208" i="1"/>
  <c r="R208" i="1"/>
  <c r="AB206" i="1"/>
  <c r="R206" i="1"/>
  <c r="AB44" i="1"/>
  <c r="R44" i="1"/>
  <c r="AB198" i="1"/>
  <c r="R198" i="1"/>
  <c r="AA418" i="1"/>
  <c r="AB165" i="1"/>
  <c r="R165" i="1"/>
  <c r="R190" i="1"/>
  <c r="AB190" i="1"/>
  <c r="R188" i="1"/>
  <c r="AB188" i="1"/>
  <c r="AB179" i="1"/>
  <c r="R179" i="1"/>
  <c r="AB176" i="1"/>
  <c r="R176" i="1"/>
  <c r="AA422" i="1"/>
  <c r="AA414" i="1"/>
  <c r="AA426" i="1"/>
  <c r="AB183" i="1"/>
  <c r="R183" i="1"/>
  <c r="AB192" i="1"/>
  <c r="R192" i="1"/>
  <c r="AB104" i="1"/>
  <c r="R104" i="1"/>
  <c r="AB204" i="1"/>
  <c r="R204" i="1"/>
  <c r="AB173" i="1"/>
  <c r="R173" i="1"/>
  <c r="AB38" i="1"/>
  <c r="R38" i="1"/>
  <c r="AB40" i="1"/>
  <c r="R40" i="1"/>
  <c r="AB172" i="1"/>
  <c r="R172" i="1"/>
  <c r="AC224" i="1"/>
  <c r="J356" i="1"/>
  <c r="I356" i="1" s="1"/>
  <c r="J366" i="1"/>
  <c r="I366" i="1" s="1"/>
  <c r="J303" i="1"/>
  <c r="I303" i="1" s="1"/>
  <c r="J299" i="1"/>
  <c r="I299" i="1" s="1"/>
  <c r="AC229" i="1"/>
  <c r="K229" i="1"/>
  <c r="J221" i="1"/>
  <c r="J266" i="1"/>
  <c r="L242" i="1"/>
  <c r="AD242" i="1"/>
  <c r="AD254" i="1"/>
  <c r="L254" i="1"/>
  <c r="J242" i="1"/>
  <c r="AC191" i="1"/>
  <c r="AC156" i="1"/>
  <c r="K156" i="1"/>
  <c r="I156" i="1" s="1"/>
  <c r="AC211" i="1"/>
  <c r="K211" i="1"/>
  <c r="I211" i="1" s="1"/>
  <c r="K149" i="1"/>
  <c r="I149" i="1" s="1"/>
  <c r="AC149" i="1"/>
  <c r="AC147" i="1"/>
  <c r="K147" i="1"/>
  <c r="I147" i="1" s="1"/>
  <c r="AC189" i="1"/>
  <c r="AC175" i="1"/>
  <c r="AD164" i="1"/>
  <c r="K260" i="1"/>
  <c r="AC260" i="1"/>
  <c r="J358" i="1"/>
  <c r="I358" i="1" s="1"/>
  <c r="J368" i="1"/>
  <c r="I368" i="1" s="1"/>
  <c r="J379" i="1"/>
  <c r="I379" i="1" s="1"/>
  <c r="J320" i="1"/>
  <c r="I320" i="1" s="1"/>
  <c r="AD233" i="1"/>
  <c r="L233" i="1"/>
  <c r="AC247" i="1"/>
  <c r="K247" i="1"/>
  <c r="J239" i="1"/>
  <c r="AC216" i="1"/>
  <c r="K216" i="1"/>
  <c r="AC258" i="1"/>
  <c r="K258" i="1"/>
  <c r="K228" i="1"/>
  <c r="AC228" i="1"/>
  <c r="K212" i="1"/>
  <c r="I212" i="1" s="1"/>
  <c r="AC212" i="1"/>
  <c r="AD165" i="1"/>
  <c r="AI160" i="1"/>
  <c r="AD190" i="1"/>
  <c r="AC159" i="1"/>
  <c r="K159" i="1"/>
  <c r="I159" i="1" s="1"/>
  <c r="L217" i="1"/>
  <c r="AD217" i="1"/>
  <c r="J371" i="1"/>
  <c r="I371" i="1" s="1"/>
  <c r="J310" i="1"/>
  <c r="I310" i="1" s="1"/>
  <c r="AI152" i="1"/>
  <c r="L222" i="1"/>
  <c r="AD222" i="1"/>
  <c r="J360" i="1"/>
  <c r="I360" i="1" s="1"/>
  <c r="J370" i="1"/>
  <c r="I370" i="1" s="1"/>
  <c r="J378" i="1"/>
  <c r="I378" i="1" s="1"/>
  <c r="J348" i="1"/>
  <c r="I348" i="1" s="1"/>
  <c r="V341" i="1"/>
  <c r="M341" i="1" s="1"/>
  <c r="J341" i="1"/>
  <c r="J314" i="1"/>
  <c r="I314" i="1" s="1"/>
  <c r="J337" i="1"/>
  <c r="V337" i="1"/>
  <c r="M337" i="1" s="1"/>
  <c r="AC241" i="1"/>
  <c r="K241" i="1"/>
  <c r="J231" i="1"/>
  <c r="L253" i="1"/>
  <c r="AD253" i="1"/>
  <c r="AC200" i="1"/>
  <c r="K200" i="1"/>
  <c r="I200" i="1" s="1"/>
  <c r="J278" i="1"/>
  <c r="I278" i="1" s="1"/>
  <c r="L244" i="1"/>
  <c r="AD244" i="1"/>
  <c r="J233" i="1"/>
  <c r="K197" i="1"/>
  <c r="AC197" i="1"/>
  <c r="AD183" i="1"/>
  <c r="AI148" i="1"/>
  <c r="J226" i="1"/>
  <c r="AC192" i="1"/>
  <c r="AI157" i="1"/>
  <c r="AD167" i="1"/>
  <c r="K162" i="1"/>
  <c r="I162" i="1" s="1"/>
  <c r="AC162" i="1"/>
  <c r="AI151" i="1"/>
  <c r="J216" i="1"/>
  <c r="J258" i="1"/>
  <c r="L235" i="1"/>
  <c r="AD235" i="1"/>
  <c r="J281" i="1"/>
  <c r="I281" i="1" s="1"/>
  <c r="L227" i="1"/>
  <c r="AD227" i="1"/>
  <c r="J241" i="1"/>
  <c r="AD173" i="1"/>
  <c r="AD180" i="1"/>
  <c r="J293" i="1"/>
  <c r="I293" i="1" s="1"/>
  <c r="K213" i="1"/>
  <c r="AC213" i="1"/>
  <c r="AD166" i="1"/>
  <c r="AD172" i="1"/>
  <c r="AD171" i="1"/>
  <c r="J325" i="1"/>
  <c r="I325" i="1" s="1"/>
  <c r="J279" i="1"/>
  <c r="I279" i="1" s="1"/>
  <c r="K252" i="1"/>
  <c r="AC252" i="1"/>
  <c r="J305" i="1"/>
  <c r="I305" i="1" s="1"/>
  <c r="AC242" i="1"/>
  <c r="K242" i="1"/>
  <c r="J232" i="1"/>
  <c r="K208" i="1"/>
  <c r="I208" i="1" s="1"/>
  <c r="AC208" i="1"/>
  <c r="K231" i="1"/>
  <c r="AC231" i="1"/>
  <c r="J246" i="1"/>
  <c r="AD177" i="1"/>
  <c r="AI156" i="1"/>
  <c r="AI155" i="1"/>
  <c r="AC232" i="1"/>
  <c r="K232" i="1"/>
  <c r="AC184" i="1"/>
  <c r="K198" i="1"/>
  <c r="I198" i="1" s="1"/>
  <c r="AC198" i="1"/>
  <c r="L260" i="1"/>
  <c r="AD260" i="1"/>
  <c r="J359" i="1"/>
  <c r="I359" i="1" s="1"/>
  <c r="J323" i="1"/>
  <c r="I323" i="1" s="1"/>
  <c r="J296" i="1"/>
  <c r="I296" i="1" s="1"/>
  <c r="J347" i="1"/>
  <c r="I347" i="1" s="1"/>
  <c r="J227" i="1"/>
  <c r="L226" i="1"/>
  <c r="AD226" i="1"/>
  <c r="L216" i="1"/>
  <c r="AD216" i="1"/>
  <c r="L258" i="1"/>
  <c r="AD258" i="1"/>
  <c r="J252" i="1"/>
  <c r="AD228" i="1"/>
  <c r="L228" i="1"/>
  <c r="AD163" i="1"/>
  <c r="AC190" i="1"/>
  <c r="AC255" i="1"/>
  <c r="K255" i="1"/>
  <c r="K194" i="1"/>
  <c r="I194" i="1" s="1"/>
  <c r="AC194" i="1"/>
  <c r="AC174" i="1"/>
  <c r="J253" i="1"/>
  <c r="K210" i="1"/>
  <c r="I210" i="1" s="1"/>
  <c r="AC210" i="1"/>
  <c r="J355" i="1"/>
  <c r="I355" i="1" s="1"/>
  <c r="J353" i="1"/>
  <c r="I353" i="1" s="1"/>
  <c r="J367" i="1"/>
  <c r="I367" i="1" s="1"/>
  <c r="J376" i="1"/>
  <c r="I376" i="1" s="1"/>
  <c r="V308" i="1"/>
  <c r="M308" i="1" s="1"/>
  <c r="J308" i="1"/>
  <c r="V334" i="1"/>
  <c r="M334" i="1" s="1"/>
  <c r="J334" i="1"/>
  <c r="J307" i="1"/>
  <c r="I307" i="1" s="1"/>
  <c r="J333" i="1"/>
  <c r="I333" i="1" s="1"/>
  <c r="J306" i="1"/>
  <c r="V306" i="1"/>
  <c r="M306" i="1" s="1"/>
  <c r="J332" i="1"/>
  <c r="I332" i="1" s="1"/>
  <c r="J262" i="1"/>
  <c r="AD187" i="1"/>
  <c r="AI144" i="1"/>
  <c r="J335" i="1"/>
  <c r="I335" i="1" s="1"/>
  <c r="L219" i="1"/>
  <c r="AD219" i="1"/>
  <c r="L262" i="1"/>
  <c r="AD262" i="1"/>
  <c r="AC195" i="1"/>
  <c r="K195" i="1"/>
  <c r="I195" i="1" s="1"/>
  <c r="AC253" i="1"/>
  <c r="K253" i="1"/>
  <c r="J245" i="1"/>
  <c r="K221" i="1"/>
  <c r="AC221" i="1"/>
  <c r="K266" i="1"/>
  <c r="AC266" i="1"/>
  <c r="AC233" i="1"/>
  <c r="K251" i="1"/>
  <c r="AC251" i="1"/>
  <c r="AC245" i="1"/>
  <c r="K245" i="1"/>
  <c r="AD168" i="1"/>
  <c r="AD178" i="1"/>
  <c r="K157" i="1"/>
  <c r="I157" i="1" s="1"/>
  <c r="AC157" i="1"/>
  <c r="AD186" i="1"/>
  <c r="AC193" i="1"/>
  <c r="K193" i="1"/>
  <c r="I193" i="1" s="1"/>
  <c r="AI162" i="1"/>
  <c r="AC151" i="1"/>
  <c r="K151" i="1"/>
  <c r="I151" i="1" s="1"/>
  <c r="K246" i="1"/>
  <c r="AC246" i="1"/>
  <c r="AC235" i="1"/>
  <c r="K235" i="1"/>
  <c r="J228" i="1"/>
  <c r="K204" i="1"/>
  <c r="I204" i="1" s="1"/>
  <c r="AC204" i="1"/>
  <c r="AC249" i="1"/>
  <c r="K249" i="1"/>
  <c r="J343" i="1"/>
  <c r="I343" i="1" s="1"/>
  <c r="J247" i="1"/>
  <c r="AC166" i="1"/>
  <c r="AC172" i="1"/>
  <c r="J350" i="1"/>
  <c r="I350" i="1" s="1"/>
  <c r="J362" i="1"/>
  <c r="I362" i="1" s="1"/>
  <c r="J372" i="1"/>
  <c r="I372" i="1" s="1"/>
  <c r="J365" i="1"/>
  <c r="I365" i="1" s="1"/>
  <c r="J357" i="1"/>
  <c r="I357" i="1" s="1"/>
  <c r="J328" i="1"/>
  <c r="I328" i="1" s="1"/>
  <c r="J301" i="1"/>
  <c r="I301" i="1" s="1"/>
  <c r="AD252" i="1"/>
  <c r="L252" i="1"/>
  <c r="J244" i="1"/>
  <c r="AD220" i="1"/>
  <c r="L220" i="1"/>
  <c r="L264" i="1"/>
  <c r="AD264" i="1"/>
  <c r="J270" i="1"/>
  <c r="I270" i="1" s="1"/>
  <c r="L231" i="1"/>
  <c r="AD231" i="1"/>
  <c r="J224" i="1"/>
  <c r="AC205" i="1"/>
  <c r="K205" i="1"/>
  <c r="AC155" i="1"/>
  <c r="K155" i="1"/>
  <c r="I155" i="1" s="1"/>
  <c r="AD232" i="1"/>
  <c r="L232" i="1"/>
  <c r="AC170" i="1"/>
  <c r="J235" i="1"/>
  <c r="J230" i="1"/>
  <c r="AD175" i="1"/>
  <c r="K154" i="1"/>
  <c r="I154" i="1" s="1"/>
  <c r="AC154" i="1"/>
  <c r="AC164" i="1"/>
  <c r="K150" i="1"/>
  <c r="I150" i="1" s="1"/>
  <c r="AC150" i="1"/>
  <c r="J352" i="1"/>
  <c r="I352" i="1" s="1"/>
  <c r="J373" i="1"/>
  <c r="I373" i="1" s="1"/>
  <c r="J369" i="1"/>
  <c r="I369" i="1" s="1"/>
  <c r="J345" i="1"/>
  <c r="V345" i="1"/>
  <c r="M345" i="1" s="1"/>
  <c r="J285" i="1"/>
  <c r="I285" i="1" s="1"/>
  <c r="K256" i="1"/>
  <c r="AC256" i="1"/>
  <c r="J249" i="1"/>
  <c r="K207" i="1"/>
  <c r="I207" i="1" s="1"/>
  <c r="AC207" i="1"/>
  <c r="AC226" i="1"/>
  <c r="K226" i="1"/>
  <c r="J217" i="1"/>
  <c r="J260" i="1"/>
  <c r="AC237" i="1"/>
  <c r="K237" i="1"/>
  <c r="AC165" i="1"/>
  <c r="AC163" i="1"/>
  <c r="AD255" i="1"/>
  <c r="L255" i="1"/>
  <c r="AC188" i="1"/>
  <c r="AD174" i="1"/>
  <c r="AI153" i="1"/>
  <c r="K202" i="1"/>
  <c r="I202" i="1" s="1"/>
  <c r="AC202" i="1"/>
  <c r="AD181" i="1"/>
  <c r="AC179" i="1"/>
  <c r="K158" i="1"/>
  <c r="I158" i="1" s="1"/>
  <c r="AC158" i="1"/>
  <c r="AC215" i="1"/>
  <c r="K215" i="1"/>
  <c r="AC176" i="1"/>
  <c r="J374" i="1"/>
  <c r="I374" i="1" s="1"/>
  <c r="J277" i="1"/>
  <c r="I277" i="1" s="1"/>
  <c r="J220" i="1"/>
  <c r="J257" i="1"/>
  <c r="AC145" i="1"/>
  <c r="AA145" i="1" s="1"/>
  <c r="K145" i="1"/>
  <c r="AC185" i="1"/>
  <c r="K144" i="1"/>
  <c r="I144" i="1" s="1"/>
  <c r="AC144" i="1"/>
  <c r="J354" i="1"/>
  <c r="I354" i="1" s="1"/>
  <c r="J364" i="1"/>
  <c r="I364" i="1" s="1"/>
  <c r="J375" i="1"/>
  <c r="I375" i="1" s="1"/>
  <c r="J349" i="1"/>
  <c r="I349" i="1" s="1"/>
  <c r="V316" i="1"/>
  <c r="M316" i="1" s="1"/>
  <c r="J316" i="1"/>
  <c r="J339" i="1"/>
  <c r="I339" i="1" s="1"/>
  <c r="J312" i="1"/>
  <c r="V312" i="1"/>
  <c r="M312" i="1" s="1"/>
  <c r="AC219" i="1"/>
  <c r="K219" i="1"/>
  <c r="AC262" i="1"/>
  <c r="K262" i="1"/>
  <c r="J254" i="1"/>
  <c r="L230" i="1"/>
  <c r="AD230" i="1"/>
  <c r="AD221" i="1"/>
  <c r="L221" i="1"/>
  <c r="L266" i="1"/>
  <c r="AD266" i="1"/>
  <c r="J256" i="1"/>
  <c r="AD251" i="1"/>
  <c r="L251" i="1"/>
  <c r="AC183" i="1"/>
  <c r="AC169" i="1"/>
  <c r="L245" i="1"/>
  <c r="AD245" i="1"/>
  <c r="K209" i="1"/>
  <c r="AC209" i="1"/>
  <c r="AD192" i="1"/>
  <c r="AC186" i="1"/>
  <c r="K239" i="1"/>
  <c r="AC239" i="1"/>
  <c r="K214" i="1"/>
  <c r="I214" i="1" s="1"/>
  <c r="AC214" i="1"/>
  <c r="AC167" i="1"/>
  <c r="K146" i="1"/>
  <c r="I146" i="1" s="1"/>
  <c r="AC146" i="1"/>
  <c r="J363" i="1"/>
  <c r="I363" i="1" s="1"/>
  <c r="AD246" i="1"/>
  <c r="L246" i="1"/>
  <c r="J237" i="1"/>
  <c r="L257" i="1"/>
  <c r="AD257" i="1"/>
  <c r="J269" i="1"/>
  <c r="I269" i="1" s="1"/>
  <c r="L249" i="1"/>
  <c r="AD249" i="1"/>
  <c r="AC173" i="1"/>
  <c r="AI161" i="1"/>
  <c r="AC171" i="1"/>
  <c r="AD182" i="1"/>
  <c r="J326" i="1"/>
  <c r="I326" i="1" s="1"/>
  <c r="J268" i="1"/>
  <c r="I268" i="1" s="1"/>
  <c r="L229" i="1"/>
  <c r="AD229" i="1"/>
  <c r="AC203" i="1"/>
  <c r="K203" i="1"/>
  <c r="I203" i="1" s="1"/>
  <c r="AC220" i="1"/>
  <c r="K220" i="1"/>
  <c r="AC264" i="1"/>
  <c r="K264" i="1"/>
  <c r="J255" i="1"/>
  <c r="J324" i="1"/>
  <c r="I324" i="1" s="1"/>
  <c r="AC254" i="1"/>
  <c r="K254" i="1"/>
  <c r="K206" i="1"/>
  <c r="I206" i="1" s="1"/>
  <c r="AC206" i="1"/>
  <c r="AD191" i="1"/>
  <c r="AC177" i="1"/>
  <c r="AD184" i="1"/>
  <c r="AD170" i="1"/>
  <c r="AI149" i="1"/>
  <c r="AI147" i="1"/>
  <c r="AD189" i="1"/>
  <c r="AI154" i="1"/>
  <c r="J267" i="1"/>
  <c r="I267" i="1" s="1"/>
  <c r="AI150" i="1"/>
  <c r="J297" i="1"/>
  <c r="I297" i="1" s="1"/>
  <c r="J321" i="1"/>
  <c r="I321" i="1" s="1"/>
  <c r="J294" i="1"/>
  <c r="I294" i="1" s="1"/>
  <c r="AD256" i="1"/>
  <c r="L256" i="1"/>
  <c r="L247" i="1"/>
  <c r="AD247" i="1"/>
  <c r="K196" i="1"/>
  <c r="I196" i="1" s="1"/>
  <c r="AC196" i="1"/>
  <c r="J298" i="1"/>
  <c r="I298" i="1" s="1"/>
  <c r="AD237" i="1"/>
  <c r="L237" i="1"/>
  <c r="J229" i="1"/>
  <c r="J318" i="1"/>
  <c r="I318" i="1" s="1"/>
  <c r="J264" i="1"/>
  <c r="K160" i="1"/>
  <c r="I160" i="1" s="1"/>
  <c r="AC160" i="1"/>
  <c r="AD188" i="1"/>
  <c r="K153" i="1"/>
  <c r="I153" i="1" s="1"/>
  <c r="AC153" i="1"/>
  <c r="AI159" i="1"/>
  <c r="K217" i="1"/>
  <c r="AC217" i="1"/>
  <c r="AC181" i="1"/>
  <c r="AD179" i="1"/>
  <c r="AI158" i="1"/>
  <c r="L215" i="1"/>
  <c r="AD215" i="1"/>
  <c r="AD176" i="1"/>
  <c r="J381" i="1"/>
  <c r="I381" i="1" s="1"/>
  <c r="J292" i="1"/>
  <c r="I292" i="1" s="1"/>
  <c r="AD224" i="1"/>
  <c r="L224" i="1"/>
  <c r="J219" i="1"/>
  <c r="K201" i="1"/>
  <c r="AC201" i="1"/>
  <c r="AC187" i="1"/>
  <c r="AC152" i="1"/>
  <c r="K152" i="1"/>
  <c r="AC222" i="1"/>
  <c r="K222" i="1"/>
  <c r="AD185" i="1"/>
  <c r="J361" i="1"/>
  <c r="I361" i="1" s="1"/>
  <c r="J272" i="1"/>
  <c r="I272" i="1" s="1"/>
  <c r="L241" i="1"/>
  <c r="AD241" i="1"/>
  <c r="J380" i="1"/>
  <c r="I380" i="1" s="1"/>
  <c r="AC230" i="1"/>
  <c r="K230" i="1"/>
  <c r="J222" i="1"/>
  <c r="J215" i="1"/>
  <c r="AC244" i="1"/>
  <c r="K244" i="1"/>
  <c r="AD169" i="1"/>
  <c r="K148" i="1"/>
  <c r="I148" i="1" s="1"/>
  <c r="AC148" i="1"/>
  <c r="AC168" i="1"/>
  <c r="AC178" i="1"/>
  <c r="AD239" i="1"/>
  <c r="L239" i="1"/>
  <c r="AI146" i="1"/>
  <c r="J377" i="1"/>
  <c r="I377" i="1" s="1"/>
  <c r="K199" i="1"/>
  <c r="I199" i="1" s="1"/>
  <c r="AC199" i="1"/>
  <c r="J330" i="1"/>
  <c r="I330" i="1" s="1"/>
  <c r="AC257" i="1"/>
  <c r="K257" i="1"/>
  <c r="J251" i="1"/>
  <c r="AC227" i="1"/>
  <c r="K227" i="1"/>
  <c r="AC180" i="1"/>
  <c r="AC161" i="1"/>
  <c r="K161" i="1"/>
  <c r="I161" i="1" s="1"/>
  <c r="AC182" i="1"/>
  <c r="AI119" i="1"/>
  <c r="AI120" i="1"/>
  <c r="AI140" i="1"/>
  <c r="AI127" i="1"/>
  <c r="T134" i="1"/>
  <c r="K134" i="1" s="1"/>
  <c r="Q110" i="1"/>
  <c r="AI110" i="1"/>
  <c r="AA110" i="1" s="1"/>
  <c r="T136" i="1"/>
  <c r="K136" i="1" s="1"/>
  <c r="AI121" i="1"/>
  <c r="Q105" i="1"/>
  <c r="I105" i="1" s="1"/>
  <c r="AI105" i="1"/>
  <c r="Q115" i="1"/>
  <c r="I115" i="1" s="1"/>
  <c r="AI115" i="1"/>
  <c r="T124" i="1"/>
  <c r="K124" i="1" s="1"/>
  <c r="T120" i="1"/>
  <c r="K120" i="1" s="1"/>
  <c r="T140" i="1"/>
  <c r="K140" i="1" s="1"/>
  <c r="T132" i="1"/>
  <c r="K132" i="1" s="1"/>
  <c r="Q111" i="1"/>
  <c r="I111" i="1" s="1"/>
  <c r="AI111" i="1"/>
  <c r="T138" i="1"/>
  <c r="K138" i="1" s="1"/>
  <c r="Q113" i="1"/>
  <c r="I113" i="1" s="1"/>
  <c r="AI113" i="1"/>
  <c r="AI125" i="1"/>
  <c r="AI116" i="1"/>
  <c r="T118" i="1"/>
  <c r="K118" i="1" s="1"/>
  <c r="T117" i="1"/>
  <c r="K117" i="1" s="1"/>
  <c r="T137" i="1"/>
  <c r="K137" i="1" s="1"/>
  <c r="AI134" i="1"/>
  <c r="AI136" i="1"/>
  <c r="AI142" i="1"/>
  <c r="AI123" i="1"/>
  <c r="T116" i="1"/>
  <c r="K116" i="1" s="1"/>
  <c r="AI131" i="1"/>
  <c r="AI124" i="1"/>
  <c r="AI132" i="1"/>
  <c r="AI138" i="1"/>
  <c r="T125" i="1"/>
  <c r="K125" i="1" s="1"/>
  <c r="Q109" i="1"/>
  <c r="I109" i="1" s="1"/>
  <c r="AI109" i="1"/>
  <c r="AI118" i="1"/>
  <c r="Q107" i="1"/>
  <c r="I107" i="1" s="1"/>
  <c r="AI107" i="1"/>
  <c r="AI137" i="1"/>
  <c r="AI130" i="1"/>
  <c r="AI139" i="1"/>
  <c r="AI128" i="1"/>
  <c r="AI129" i="1"/>
  <c r="T119" i="1"/>
  <c r="K119" i="1" s="1"/>
  <c r="T139" i="1"/>
  <c r="K139" i="1" s="1"/>
  <c r="Q114" i="1"/>
  <c r="AI114" i="1"/>
  <c r="AA114" i="1" s="1"/>
  <c r="T121" i="1"/>
  <c r="K121" i="1" s="1"/>
  <c r="T142" i="1"/>
  <c r="K142" i="1" s="1"/>
  <c r="T128" i="1"/>
  <c r="K128" i="1" s="1"/>
  <c r="T123" i="1"/>
  <c r="K123" i="1" s="1"/>
  <c r="T127" i="1"/>
  <c r="K127" i="1" s="1"/>
  <c r="T129" i="1"/>
  <c r="K129" i="1" s="1"/>
  <c r="Q108" i="1"/>
  <c r="AI108" i="1"/>
  <c r="AA108" i="1" s="1"/>
  <c r="T131" i="1"/>
  <c r="K131" i="1" s="1"/>
  <c r="AI117" i="1"/>
  <c r="Q112" i="1"/>
  <c r="I112" i="1" s="1"/>
  <c r="AI112" i="1"/>
  <c r="Q104" i="1"/>
  <c r="I104" i="1" s="1"/>
  <c r="AI104" i="1"/>
  <c r="T130" i="1"/>
  <c r="K130" i="1" s="1"/>
  <c r="J38" i="1"/>
  <c r="J39" i="1"/>
  <c r="AI38" i="1"/>
  <c r="Q38" i="1"/>
  <c r="J54" i="1"/>
  <c r="J31" i="1"/>
  <c r="J42" i="1"/>
  <c r="J43" i="1"/>
  <c r="Q55" i="1"/>
  <c r="AI55" i="1"/>
  <c r="AA55" i="1" s="1"/>
  <c r="J25" i="1"/>
  <c r="Q40" i="1"/>
  <c r="AI40" i="1"/>
  <c r="J53" i="1"/>
  <c r="J22" i="1"/>
  <c r="J35" i="1"/>
  <c r="J52" i="1"/>
  <c r="Q56" i="1"/>
  <c r="AI56" i="1"/>
  <c r="J57" i="1"/>
  <c r="Q47" i="1"/>
  <c r="AI47" i="1"/>
  <c r="AA47" i="1" s="1"/>
  <c r="J50" i="1"/>
  <c r="Q54" i="1"/>
  <c r="AI54" i="1"/>
  <c r="J24" i="1"/>
  <c r="J49" i="1"/>
  <c r="J23" i="1"/>
  <c r="AI42" i="1"/>
  <c r="Q42" i="1"/>
  <c r="Q43" i="1"/>
  <c r="AI43" i="1"/>
  <c r="AA43" i="1" s="1"/>
  <c r="J51" i="1"/>
  <c r="J17" i="1"/>
  <c r="Q35" i="1"/>
  <c r="AI35" i="1"/>
  <c r="AA35" i="1" s="1"/>
  <c r="J46" i="1"/>
  <c r="J36" i="1"/>
  <c r="Q52" i="1"/>
  <c r="AI52" i="1"/>
  <c r="J18" i="1"/>
  <c r="J29" i="1"/>
  <c r="J30" i="1"/>
  <c r="AI57" i="1"/>
  <c r="Q57" i="1"/>
  <c r="J41" i="1"/>
  <c r="J44" i="1"/>
  <c r="Q34" i="1"/>
  <c r="AI34" i="1"/>
  <c r="J37" i="1"/>
  <c r="Q49" i="1"/>
  <c r="AI49" i="1"/>
  <c r="J32" i="1"/>
  <c r="J20" i="1"/>
  <c r="J19" i="1"/>
  <c r="Q51" i="1"/>
  <c r="AI51" i="1"/>
  <c r="AA51" i="1" s="1"/>
  <c r="J48" i="1"/>
  <c r="J28" i="1"/>
  <c r="J45" i="1"/>
  <c r="J27" i="1"/>
  <c r="AI46" i="1"/>
  <c r="Q46" i="1"/>
  <c r="Q36" i="1"/>
  <c r="AI36" i="1"/>
  <c r="Q41" i="1"/>
  <c r="AI41" i="1"/>
  <c r="Q50" i="1"/>
  <c r="AI50" i="1"/>
  <c r="Q39" i="1"/>
  <c r="AI39" i="1"/>
  <c r="AA39" i="1" s="1"/>
  <c r="Q44" i="1"/>
  <c r="AI44" i="1"/>
  <c r="J34" i="1"/>
  <c r="Q37" i="1"/>
  <c r="AI37" i="1"/>
  <c r="J55" i="1"/>
  <c r="I55" i="1" s="1"/>
  <c r="J40" i="1"/>
  <c r="Q53" i="1"/>
  <c r="AI53" i="1"/>
  <c r="Q48" i="1"/>
  <c r="AI48" i="1"/>
  <c r="Q45" i="1"/>
  <c r="AI45" i="1"/>
  <c r="J56" i="1"/>
  <c r="J33" i="1"/>
  <c r="J26" i="1"/>
  <c r="J21" i="1"/>
  <c r="J47" i="1"/>
  <c r="I47" i="1" s="1"/>
  <c r="I48" i="1" l="1"/>
  <c r="I224" i="1"/>
  <c r="I244" i="1"/>
  <c r="H244" i="1" s="1"/>
  <c r="I334" i="1"/>
  <c r="H334" i="1" s="1"/>
  <c r="I252" i="1"/>
  <c r="I341" i="1"/>
  <c r="I34" i="1"/>
  <c r="H34" i="1" s="1"/>
  <c r="I219" i="1"/>
  <c r="H219" i="1" s="1"/>
  <c r="I249" i="1"/>
  <c r="I40" i="1"/>
  <c r="H40" i="1" s="1"/>
  <c r="I36" i="1"/>
  <c r="I152" i="1"/>
  <c r="H152" i="1" s="1"/>
  <c r="I37" i="1"/>
  <c r="H37" i="1" s="1"/>
  <c r="I222" i="1"/>
  <c r="I235" i="1"/>
  <c r="I114" i="1"/>
  <c r="H114" i="1" s="1"/>
  <c r="I46" i="1"/>
  <c r="H46" i="1" s="1"/>
  <c r="I51" i="1"/>
  <c r="H51" i="1" s="1"/>
  <c r="I52" i="1"/>
  <c r="H52" i="1" s="1"/>
  <c r="I54" i="1"/>
  <c r="H54" i="1" s="1"/>
  <c r="I38" i="1"/>
  <c r="H38" i="1" s="1"/>
  <c r="I254" i="1"/>
  <c r="H254" i="1" s="1"/>
  <c r="I316" i="1"/>
  <c r="H316" i="1" s="1"/>
  <c r="I258" i="1"/>
  <c r="H258" i="1" s="1"/>
  <c r="I213" i="1"/>
  <c r="I201" i="1"/>
  <c r="H201" i="1" s="1"/>
  <c r="I53" i="1"/>
  <c r="H53" i="1" s="1"/>
  <c r="I45" i="1"/>
  <c r="H45" i="1" s="1"/>
  <c r="I35" i="1"/>
  <c r="H35" i="1" s="1"/>
  <c r="I43" i="1"/>
  <c r="H43" i="1" s="1"/>
  <c r="I145" i="1"/>
  <c r="I308" i="1"/>
  <c r="I41" i="1"/>
  <c r="I39" i="1"/>
  <c r="H39" i="1" s="1"/>
  <c r="I229" i="1"/>
  <c r="H229" i="1" s="1"/>
  <c r="I220" i="1"/>
  <c r="H220" i="1" s="1"/>
  <c r="I345" i="1"/>
  <c r="H345" i="1" s="1"/>
  <c r="I306" i="1"/>
  <c r="H306" i="1" s="1"/>
  <c r="I226" i="1"/>
  <c r="H226" i="1" s="1"/>
  <c r="I257" i="1"/>
  <c r="H257" i="1" s="1"/>
  <c r="I247" i="1"/>
  <c r="H247" i="1" s="1"/>
  <c r="I57" i="1"/>
  <c r="H57" i="1" s="1"/>
  <c r="I251" i="1"/>
  <c r="H251" i="1" s="1"/>
  <c r="I256" i="1"/>
  <c r="H256" i="1" s="1"/>
  <c r="I260" i="1"/>
  <c r="H260" i="1" s="1"/>
  <c r="I228" i="1"/>
  <c r="H228" i="1" s="1"/>
  <c r="I245" i="1"/>
  <c r="H245" i="1" s="1"/>
  <c r="I262" i="1"/>
  <c r="H262" i="1" s="1"/>
  <c r="I253" i="1"/>
  <c r="H253" i="1" s="1"/>
  <c r="I246" i="1"/>
  <c r="H246" i="1" s="1"/>
  <c r="I216" i="1"/>
  <c r="H216" i="1" s="1"/>
  <c r="I233" i="1"/>
  <c r="H233" i="1" s="1"/>
  <c r="I231" i="1"/>
  <c r="H231" i="1" s="1"/>
  <c r="I337" i="1"/>
  <c r="H337" i="1" s="1"/>
  <c r="I239" i="1"/>
  <c r="H239" i="1" s="1"/>
  <c r="I266" i="1"/>
  <c r="H266" i="1" s="1"/>
  <c r="I110" i="1"/>
  <c r="H110" i="1" s="1"/>
  <c r="I56" i="1"/>
  <c r="I255" i="1"/>
  <c r="H255" i="1" s="1"/>
  <c r="I237" i="1"/>
  <c r="H237" i="1" s="1"/>
  <c r="I242" i="1"/>
  <c r="H242" i="1" s="1"/>
  <c r="I44" i="1"/>
  <c r="H44" i="1" s="1"/>
  <c r="I49" i="1"/>
  <c r="H49" i="1" s="1"/>
  <c r="I50" i="1"/>
  <c r="H50" i="1" s="1"/>
  <c r="I42" i="1"/>
  <c r="H42" i="1" s="1"/>
  <c r="I215" i="1"/>
  <c r="H215" i="1" s="1"/>
  <c r="I264" i="1"/>
  <c r="H264" i="1" s="1"/>
  <c r="I312" i="1"/>
  <c r="H312" i="1" s="1"/>
  <c r="I217" i="1"/>
  <c r="H217" i="1" s="1"/>
  <c r="I230" i="1"/>
  <c r="H230" i="1" s="1"/>
  <c r="I227" i="1"/>
  <c r="H227" i="1" s="1"/>
  <c r="I232" i="1"/>
  <c r="H232" i="1" s="1"/>
  <c r="I241" i="1"/>
  <c r="H241" i="1" s="1"/>
  <c r="I221" i="1"/>
  <c r="I108" i="1"/>
  <c r="H108" i="1" s="1"/>
  <c r="I205" i="1"/>
  <c r="H205" i="1" s="1"/>
  <c r="I197" i="1"/>
  <c r="H197" i="1" s="1"/>
  <c r="I209" i="1"/>
  <c r="H209" i="1" s="1"/>
  <c r="J533" i="1" a="1"/>
  <c r="J533" i="1" s="1"/>
  <c r="H533" i="1" s="1"/>
  <c r="J535" i="1" a="1"/>
  <c r="J535" i="1" s="1"/>
  <c r="H535" i="1" s="1"/>
  <c r="J531" i="1" a="1"/>
  <c r="J531" i="1" s="1"/>
  <c r="H531" i="1" s="1"/>
  <c r="J445" i="1" a="1"/>
  <c r="J445" i="1" s="1"/>
  <c r="H445" i="1" s="1"/>
  <c r="AG124" i="1"/>
  <c r="AF131" i="1"/>
  <c r="H222" i="1"/>
  <c r="H308" i="1"/>
  <c r="H221" i="1"/>
  <c r="H249" i="1"/>
  <c r="H224" i="1"/>
  <c r="H252" i="1"/>
  <c r="H341" i="1"/>
  <c r="H41" i="1"/>
  <c r="H36" i="1"/>
  <c r="H56" i="1"/>
  <c r="AH120" i="1"/>
  <c r="P130" i="1"/>
  <c r="AG130" i="1"/>
  <c r="AA162" i="1"/>
  <c r="P131" i="1"/>
  <c r="AF120" i="1"/>
  <c r="AF130" i="1"/>
  <c r="O138" i="1"/>
  <c r="O131" i="1"/>
  <c r="P124" i="1"/>
  <c r="AA144" i="1"/>
  <c r="AF138" i="1"/>
  <c r="AF124" i="1"/>
  <c r="P139" i="1"/>
  <c r="O139" i="1"/>
  <c r="N139" i="1"/>
  <c r="H47" i="1"/>
  <c r="H55" i="1"/>
  <c r="AA197" i="1"/>
  <c r="AA205" i="1"/>
  <c r="AA209" i="1"/>
  <c r="AA213" i="1"/>
  <c r="AA147" i="1"/>
  <c r="AA201" i="1"/>
  <c r="H213" i="1"/>
  <c r="AA167" i="1"/>
  <c r="AA166" i="1"/>
  <c r="H149" i="1"/>
  <c r="H147" i="1"/>
  <c r="H165" i="1"/>
  <c r="H113" i="1"/>
  <c r="H166" i="1"/>
  <c r="H204" i="1"/>
  <c r="H194" i="1"/>
  <c r="H163" i="1"/>
  <c r="H190" i="1"/>
  <c r="H157" i="1"/>
  <c r="H208" i="1"/>
  <c r="H115" i="1"/>
  <c r="H105" i="1"/>
  <c r="H144" i="1"/>
  <c r="H159" i="1"/>
  <c r="H154" i="1"/>
  <c r="H172" i="1"/>
  <c r="H200" i="1"/>
  <c r="H187" i="1"/>
  <c r="H192" i="1"/>
  <c r="H104" i="1"/>
  <c r="H203" i="1"/>
  <c r="H171" i="1"/>
  <c r="H173" i="1"/>
  <c r="H199" i="1"/>
  <c r="H169" i="1"/>
  <c r="H179" i="1"/>
  <c r="H150" i="1"/>
  <c r="H151" i="1"/>
  <c r="H174" i="1"/>
  <c r="H162" i="1"/>
  <c r="H184" i="1"/>
  <c r="H112" i="1"/>
  <c r="H107" i="1"/>
  <c r="H158" i="1"/>
  <c r="H183" i="1"/>
  <c r="H185" i="1"/>
  <c r="H175" i="1"/>
  <c r="H146" i="1"/>
  <c r="H193" i="1"/>
  <c r="H178" i="1"/>
  <c r="H168" i="1"/>
  <c r="H176" i="1"/>
  <c r="H188" i="1"/>
  <c r="H198" i="1"/>
  <c r="H177" i="1"/>
  <c r="H351" i="1"/>
  <c r="H48" i="1"/>
  <c r="H109" i="1"/>
  <c r="H160" i="1"/>
  <c r="H164" i="1"/>
  <c r="H153" i="1"/>
  <c r="H180" i="1"/>
  <c r="H148" i="1"/>
  <c r="H167" i="1"/>
  <c r="H207" i="1"/>
  <c r="H189" i="1"/>
  <c r="H191" i="1"/>
  <c r="H214" i="1"/>
  <c r="H161" i="1"/>
  <c r="H181" i="1"/>
  <c r="H182" i="1"/>
  <c r="H155" i="1"/>
  <c r="H196" i="1"/>
  <c r="H206" i="1"/>
  <c r="H186" i="1"/>
  <c r="H202" i="1"/>
  <c r="H170" i="1"/>
  <c r="H404" i="1"/>
  <c r="AA16" i="1"/>
  <c r="AA214" i="1"/>
  <c r="AA48" i="1"/>
  <c r="AA202" i="1"/>
  <c r="AA56" i="1"/>
  <c r="AA105" i="1"/>
  <c r="M16" i="1"/>
  <c r="I16" i="1" s="1"/>
  <c r="AA44" i="1"/>
  <c r="AA38" i="1"/>
  <c r="AA107" i="1"/>
  <c r="AA111" i="1"/>
  <c r="AA109" i="1"/>
  <c r="AA45" i="1"/>
  <c r="AA158" i="1"/>
  <c r="AA150" i="1"/>
  <c r="AA199" i="1"/>
  <c r="AA164" i="1"/>
  <c r="AA57" i="1"/>
  <c r="AA113" i="1"/>
  <c r="AA200" i="1"/>
  <c r="AA194" i="1"/>
  <c r="AA36" i="1"/>
  <c r="AA50" i="1"/>
  <c r="AA40" i="1"/>
  <c r="AA104" i="1"/>
  <c r="AA207" i="1"/>
  <c r="AA53" i="1"/>
  <c r="AA37" i="1"/>
  <c r="AA34" i="1"/>
  <c r="AA42" i="1"/>
  <c r="H211" i="1"/>
  <c r="AA183" i="1"/>
  <c r="AA52" i="1"/>
  <c r="AA41" i="1"/>
  <c r="AA49" i="1"/>
  <c r="AA112" i="1"/>
  <c r="H111" i="1"/>
  <c r="AA115" i="1"/>
  <c r="AA180" i="1"/>
  <c r="AA146" i="1"/>
  <c r="AA168" i="1"/>
  <c r="AA206" i="1"/>
  <c r="AA173" i="1"/>
  <c r="AA165" i="1"/>
  <c r="AA172" i="1"/>
  <c r="AA211" i="1"/>
  <c r="AA195" i="1"/>
  <c r="AA46" i="1"/>
  <c r="AA54" i="1"/>
  <c r="AA182" i="1"/>
  <c r="H195" i="1"/>
  <c r="AA187" i="1"/>
  <c r="AA196" i="1"/>
  <c r="AA154" i="1"/>
  <c r="AA149" i="1"/>
  <c r="AA177" i="1"/>
  <c r="AA198" i="1"/>
  <c r="AA156" i="1"/>
  <c r="AA178" i="1"/>
  <c r="AA204" i="1"/>
  <c r="AA190" i="1"/>
  <c r="AA208" i="1"/>
  <c r="AA212" i="1"/>
  <c r="AA181" i="1"/>
  <c r="AA159" i="1"/>
  <c r="AA193" i="1"/>
  <c r="H210" i="1"/>
  <c r="AA203" i="1"/>
  <c r="AA171" i="1"/>
  <c r="AA163" i="1"/>
  <c r="AA210" i="1"/>
  <c r="AA186" i="1"/>
  <c r="H330" i="1"/>
  <c r="H377" i="1"/>
  <c r="H361" i="1"/>
  <c r="H318" i="1"/>
  <c r="H349" i="1"/>
  <c r="H369" i="1"/>
  <c r="H301" i="1"/>
  <c r="H372" i="1"/>
  <c r="H367" i="1"/>
  <c r="H359" i="1"/>
  <c r="H305" i="1"/>
  <c r="H279" i="1"/>
  <c r="H278" i="1"/>
  <c r="H360" i="1"/>
  <c r="H371" i="1"/>
  <c r="H358" i="1"/>
  <c r="H303" i="1"/>
  <c r="AA247" i="1"/>
  <c r="AA254" i="1"/>
  <c r="AA217" i="1"/>
  <c r="AA221" i="1"/>
  <c r="AA249" i="1"/>
  <c r="AA244" i="1"/>
  <c r="R308" i="1"/>
  <c r="AA235" i="1"/>
  <c r="H294" i="1"/>
  <c r="H268" i="1"/>
  <c r="H339" i="1"/>
  <c r="H375" i="1"/>
  <c r="H277" i="1"/>
  <c r="H285" i="1"/>
  <c r="H373" i="1"/>
  <c r="H328" i="1"/>
  <c r="H362" i="1"/>
  <c r="H333" i="1"/>
  <c r="H353" i="1"/>
  <c r="H347" i="1"/>
  <c r="H325" i="1"/>
  <c r="H348" i="1"/>
  <c r="H320" i="1"/>
  <c r="H366" i="1"/>
  <c r="R341" i="1"/>
  <c r="AA251" i="1"/>
  <c r="AA256" i="1"/>
  <c r="AA222" i="1"/>
  <c r="R306" i="1"/>
  <c r="AA232" i="1"/>
  <c r="AA241" i="1"/>
  <c r="AA258" i="1"/>
  <c r="AA226" i="1"/>
  <c r="AA231" i="1"/>
  <c r="AA257" i="1"/>
  <c r="AA245" i="1"/>
  <c r="AA252" i="1"/>
  <c r="AA227" i="1"/>
  <c r="AA255" i="1"/>
  <c r="H380" i="1"/>
  <c r="H292" i="1"/>
  <c r="H298" i="1"/>
  <c r="H321" i="1"/>
  <c r="H267" i="1"/>
  <c r="H324" i="1"/>
  <c r="H326" i="1"/>
  <c r="H363" i="1"/>
  <c r="H374" i="1"/>
  <c r="H352" i="1"/>
  <c r="H270" i="1"/>
  <c r="H357" i="1"/>
  <c r="H350" i="1"/>
  <c r="H332" i="1"/>
  <c r="H307" i="1"/>
  <c r="H355" i="1"/>
  <c r="H296" i="1"/>
  <c r="H293" i="1"/>
  <c r="H378" i="1"/>
  <c r="H379" i="1"/>
  <c r="H356" i="1"/>
  <c r="AA237" i="1"/>
  <c r="R312" i="1"/>
  <c r="AA260" i="1"/>
  <c r="AA246" i="1"/>
  <c r="AA266" i="1"/>
  <c r="AA215" i="1"/>
  <c r="AA264" i="1"/>
  <c r="R316" i="1"/>
  <c r="AA239" i="1"/>
  <c r="R345" i="1"/>
  <c r="AA224" i="1"/>
  <c r="R334" i="1"/>
  <c r="AA242" i="1"/>
  <c r="H272" i="1"/>
  <c r="H381" i="1"/>
  <c r="H297" i="1"/>
  <c r="H269" i="1"/>
  <c r="H354" i="1"/>
  <c r="H365" i="1"/>
  <c r="H343" i="1"/>
  <c r="H335" i="1"/>
  <c r="H376" i="1"/>
  <c r="H323" i="1"/>
  <c r="H281" i="1"/>
  <c r="H370" i="1"/>
  <c r="H310" i="1"/>
  <c r="H368" i="1"/>
  <c r="H299" i="1"/>
  <c r="AA230" i="1"/>
  <c r="AA262" i="1"/>
  <c r="AA229" i="1"/>
  <c r="AA216" i="1"/>
  <c r="AA233" i="1"/>
  <c r="R337" i="1"/>
  <c r="AA220" i="1"/>
  <c r="AA253" i="1"/>
  <c r="AA228" i="1"/>
  <c r="AA219" i="1"/>
  <c r="AA175" i="1"/>
  <c r="AA169" i="1"/>
  <c r="AA179" i="1"/>
  <c r="AA174" i="1"/>
  <c r="AA191" i="1"/>
  <c r="AA185" i="1"/>
  <c r="AA188" i="1"/>
  <c r="AA170" i="1"/>
  <c r="AA184" i="1"/>
  <c r="AA192" i="1"/>
  <c r="AA189" i="1"/>
  <c r="AA176" i="1"/>
  <c r="AA151" i="1"/>
  <c r="AA157" i="1"/>
  <c r="AA152" i="1"/>
  <c r="AA160" i="1"/>
  <c r="AA155" i="1"/>
  <c r="AA161" i="1"/>
  <c r="AA153" i="1"/>
  <c r="AA148" i="1"/>
  <c r="H95" i="1"/>
  <c r="H97" i="1"/>
  <c r="H90" i="1"/>
  <c r="H87" i="1"/>
  <c r="H103" i="1"/>
  <c r="H101" i="1"/>
  <c r="H91" i="1"/>
  <c r="H92" i="1"/>
  <c r="H99" i="1"/>
  <c r="H94" i="1"/>
  <c r="H98" i="1"/>
  <c r="H93" i="1"/>
  <c r="H102" i="1"/>
  <c r="H100" i="1"/>
  <c r="H89" i="1"/>
  <c r="H88" i="1"/>
  <c r="H96" i="1"/>
  <c r="H86" i="1"/>
  <c r="H85" i="1"/>
  <c r="H79" i="1"/>
  <c r="H81" i="1"/>
  <c r="H83" i="1"/>
  <c r="H80" i="1"/>
  <c r="H82" i="1"/>
  <c r="H84" i="1"/>
  <c r="H77" i="1"/>
  <c r="H78" i="1"/>
  <c r="H76" i="1"/>
  <c r="H74" i="1"/>
  <c r="H73" i="1"/>
  <c r="H75" i="1"/>
  <c r="H156" i="1"/>
  <c r="H212" i="1"/>
  <c r="U131" i="1"/>
  <c r="L131" i="1" s="1"/>
  <c r="AC131" i="1"/>
  <c r="U129" i="1"/>
  <c r="L129" i="1" s="1"/>
  <c r="AC129" i="1"/>
  <c r="U128" i="1"/>
  <c r="L128" i="1" s="1"/>
  <c r="AC128" i="1"/>
  <c r="U121" i="1"/>
  <c r="L121" i="1" s="1"/>
  <c r="AC121" i="1"/>
  <c r="U119" i="1"/>
  <c r="L119" i="1" s="1"/>
  <c r="AC119" i="1"/>
  <c r="U132" i="1"/>
  <c r="L132" i="1" s="1"/>
  <c r="AC132" i="1"/>
  <c r="U140" i="1"/>
  <c r="L140" i="1" s="1"/>
  <c r="AC140" i="1"/>
  <c r="U124" i="1"/>
  <c r="L124" i="1" s="1"/>
  <c r="AC124" i="1"/>
  <c r="U136" i="1"/>
  <c r="L136" i="1" s="1"/>
  <c r="AC136" i="1"/>
  <c r="U134" i="1"/>
  <c r="L134" i="1" s="1"/>
  <c r="AC134" i="1"/>
  <c r="U130" i="1"/>
  <c r="L130" i="1" s="1"/>
  <c r="AC130" i="1"/>
  <c r="U139" i="1"/>
  <c r="L139" i="1" s="1"/>
  <c r="AC139" i="1"/>
  <c r="U125" i="1"/>
  <c r="L125" i="1" s="1"/>
  <c r="AC125" i="1"/>
  <c r="U120" i="1"/>
  <c r="L120" i="1" s="1"/>
  <c r="AC120" i="1"/>
  <c r="U123" i="1"/>
  <c r="L123" i="1" s="1"/>
  <c r="AC123" i="1"/>
  <c r="U142" i="1"/>
  <c r="L142" i="1" s="1"/>
  <c r="AC142" i="1"/>
  <c r="U137" i="1"/>
  <c r="L137" i="1" s="1"/>
  <c r="AC137" i="1"/>
  <c r="U138" i="1"/>
  <c r="L138" i="1" s="1"/>
  <c r="AC138" i="1"/>
  <c r="U127" i="1"/>
  <c r="L127" i="1" s="1"/>
  <c r="AC127" i="1"/>
  <c r="U117" i="1"/>
  <c r="L117" i="1" s="1"/>
  <c r="AC117" i="1"/>
  <c r="U118" i="1"/>
  <c r="L118" i="1" s="1"/>
  <c r="AC118" i="1"/>
  <c r="U116" i="1"/>
  <c r="L116" i="1" s="1"/>
  <c r="AC116" i="1"/>
  <c r="AC33" i="1"/>
  <c r="AC30" i="1"/>
  <c r="AC18" i="1"/>
  <c r="AC24" i="1"/>
  <c r="K22" i="1"/>
  <c r="AC21" i="1"/>
  <c r="AC27" i="1"/>
  <c r="K28" i="1"/>
  <c r="K21" i="1"/>
  <c r="AC26" i="1"/>
  <c r="K33" i="1"/>
  <c r="AC28" i="1"/>
  <c r="K30" i="1"/>
  <c r="AC29" i="1"/>
  <c r="K18" i="1"/>
  <c r="AC23" i="1"/>
  <c r="K25" i="1"/>
  <c r="K27" i="1"/>
  <c r="AC19" i="1"/>
  <c r="K20" i="1"/>
  <c r="AC32" i="1"/>
  <c r="K17" i="1"/>
  <c r="K23" i="1"/>
  <c r="AC22" i="1"/>
  <c r="AC31" i="1"/>
  <c r="K26" i="1"/>
  <c r="K19" i="1"/>
  <c r="AC20" i="1"/>
  <c r="K32" i="1"/>
  <c r="K29" i="1"/>
  <c r="AC17" i="1"/>
  <c r="K24" i="1"/>
  <c r="AC25" i="1"/>
  <c r="K31" i="1"/>
  <c r="H16" i="1" l="1"/>
  <c r="H364" i="1"/>
  <c r="H235" i="1"/>
  <c r="H314" i="1"/>
  <c r="R16" i="1"/>
  <c r="AD20" i="1"/>
  <c r="AE20" i="1" s="1"/>
  <c r="AF20" i="1" s="1"/>
  <c r="AD22" i="1"/>
  <c r="AE22" i="1" s="1"/>
  <c r="AF22" i="1" s="1"/>
  <c r="AD21" i="1"/>
  <c r="AE21" i="1" s="1"/>
  <c r="AF21" i="1" s="1"/>
  <c r="AD30" i="1"/>
  <c r="AE30" i="1" s="1"/>
  <c r="AF30" i="1" s="1"/>
  <c r="AD17" i="1"/>
  <c r="AE17" i="1" s="1"/>
  <c r="AF17" i="1" s="1"/>
  <c r="AD19" i="1"/>
  <c r="AE19" i="1" s="1"/>
  <c r="AF19" i="1" s="1"/>
  <c r="AD23" i="1"/>
  <c r="AE23" i="1" s="1"/>
  <c r="AF23" i="1" s="1"/>
  <c r="AD24" i="1"/>
  <c r="AE24" i="1" s="1"/>
  <c r="AF24" i="1" s="1"/>
  <c r="AD31" i="1"/>
  <c r="AE31" i="1" s="1"/>
  <c r="AF31" i="1" s="1"/>
  <c r="AD32" i="1"/>
  <c r="AE32" i="1" s="1"/>
  <c r="AF32" i="1" s="1"/>
  <c r="AD29" i="1"/>
  <c r="AE29" i="1" s="1"/>
  <c r="AF29" i="1" s="1"/>
  <c r="AD26" i="1"/>
  <c r="AE26" i="1" s="1"/>
  <c r="AF26" i="1" s="1"/>
  <c r="AD33" i="1"/>
  <c r="AE33" i="1" s="1"/>
  <c r="AF33" i="1" s="1"/>
  <c r="AD25" i="1"/>
  <c r="AE25" i="1" s="1"/>
  <c r="AF25" i="1" s="1"/>
  <c r="AD28" i="1"/>
  <c r="AE28" i="1" s="1"/>
  <c r="AF28" i="1" s="1"/>
  <c r="AD27" i="1"/>
  <c r="AE27" i="1" s="1"/>
  <c r="AF27" i="1" s="1"/>
  <c r="AD18" i="1"/>
  <c r="AE18" i="1" s="1"/>
  <c r="AF18" i="1" s="1"/>
  <c r="V125" i="1"/>
  <c r="AD125" i="1"/>
  <c r="V128" i="1"/>
  <c r="M128" i="1" s="1"/>
  <c r="I128" i="1" s="1"/>
  <c r="AD128" i="1"/>
  <c r="V129" i="1"/>
  <c r="AD129" i="1"/>
  <c r="V138" i="1"/>
  <c r="M138" i="1" s="1"/>
  <c r="I138" i="1" s="1"/>
  <c r="AD138" i="1"/>
  <c r="V120" i="1"/>
  <c r="AD120" i="1"/>
  <c r="V136" i="1"/>
  <c r="M136" i="1" s="1"/>
  <c r="I136" i="1" s="1"/>
  <c r="AD136" i="1"/>
  <c r="V121" i="1"/>
  <c r="AD121" i="1"/>
  <c r="V118" i="1"/>
  <c r="AD118" i="1"/>
  <c r="V137" i="1"/>
  <c r="AD137" i="1"/>
  <c r="V124" i="1"/>
  <c r="AD124" i="1"/>
  <c r="V127" i="1"/>
  <c r="AD127" i="1"/>
  <c r="V123" i="1"/>
  <c r="AD123" i="1"/>
  <c r="V134" i="1"/>
  <c r="AD134" i="1"/>
  <c r="V132" i="1"/>
  <c r="M132" i="1" s="1"/>
  <c r="I132" i="1" s="1"/>
  <c r="AD132" i="1"/>
  <c r="V119" i="1"/>
  <c r="AD119" i="1"/>
  <c r="V117" i="1"/>
  <c r="AD117" i="1"/>
  <c r="V142" i="1"/>
  <c r="M142" i="1" s="1"/>
  <c r="I142" i="1" s="1"/>
  <c r="AD142" i="1"/>
  <c r="V139" i="1"/>
  <c r="AD139" i="1"/>
  <c r="V130" i="1"/>
  <c r="M130" i="1" s="1"/>
  <c r="I130" i="1" s="1"/>
  <c r="AD130" i="1"/>
  <c r="V140" i="1"/>
  <c r="M140" i="1" s="1"/>
  <c r="I140" i="1" s="1"/>
  <c r="AD140" i="1"/>
  <c r="V131" i="1"/>
  <c r="AD131" i="1"/>
  <c r="V116" i="1"/>
  <c r="M116" i="1" s="1"/>
  <c r="I116" i="1" s="1"/>
  <c r="AD116" i="1"/>
  <c r="M31" i="1"/>
  <c r="L31" i="1"/>
  <c r="M24" i="1"/>
  <c r="L24" i="1"/>
  <c r="M17" i="1"/>
  <c r="L17" i="1"/>
  <c r="R27" i="1"/>
  <c r="L27" i="1"/>
  <c r="R28" i="1"/>
  <c r="L28" i="1"/>
  <c r="M32" i="1"/>
  <c r="L32" i="1"/>
  <c r="M19" i="1"/>
  <c r="L19" i="1"/>
  <c r="M23" i="1"/>
  <c r="L23" i="1"/>
  <c r="M29" i="1"/>
  <c r="L29" i="1"/>
  <c r="M26" i="1"/>
  <c r="L26" i="1"/>
  <c r="M20" i="1"/>
  <c r="L20" i="1"/>
  <c r="M33" i="1"/>
  <c r="L33" i="1"/>
  <c r="M21" i="1"/>
  <c r="L21" i="1"/>
  <c r="R22" i="1"/>
  <c r="L22" i="1"/>
  <c r="M25" i="1"/>
  <c r="L25" i="1"/>
  <c r="R18" i="1"/>
  <c r="L18" i="1"/>
  <c r="R30" i="1"/>
  <c r="L30" i="1"/>
  <c r="I25" i="1" l="1"/>
  <c r="I21" i="1"/>
  <c r="I29" i="1"/>
  <c r="I19" i="1"/>
  <c r="H19" i="1" s="1"/>
  <c r="I17" i="1"/>
  <c r="I33" i="1"/>
  <c r="I26" i="1"/>
  <c r="H26" i="1" s="1"/>
  <c r="I23" i="1"/>
  <c r="H23" i="1" s="1"/>
  <c r="I24" i="1"/>
  <c r="H24" i="1" s="1"/>
  <c r="I32" i="1"/>
  <c r="H32" i="1" s="1"/>
  <c r="I20" i="1"/>
  <c r="I31" i="1"/>
  <c r="H31" i="1" s="1"/>
  <c r="H25" i="1"/>
  <c r="H21" i="1"/>
  <c r="H20" i="1"/>
  <c r="H29" i="1"/>
  <c r="H17" i="1"/>
  <c r="H33" i="1"/>
  <c r="AE119" i="1"/>
  <c r="AA119" i="1" s="1"/>
  <c r="M119" i="1"/>
  <c r="I119" i="1" s="1"/>
  <c r="AE134" i="1"/>
  <c r="AA134" i="1" s="1"/>
  <c r="M134" i="1"/>
  <c r="I134" i="1" s="1"/>
  <c r="AE127" i="1"/>
  <c r="AA127" i="1" s="1"/>
  <c r="M127" i="1"/>
  <c r="I127" i="1" s="1"/>
  <c r="AE137" i="1"/>
  <c r="AA137" i="1" s="1"/>
  <c r="M137" i="1"/>
  <c r="I137" i="1" s="1"/>
  <c r="AE121" i="1"/>
  <c r="AA121" i="1" s="1"/>
  <c r="M121" i="1"/>
  <c r="I121" i="1" s="1"/>
  <c r="AE120" i="1"/>
  <c r="AA120" i="1" s="1"/>
  <c r="M120" i="1"/>
  <c r="I120" i="1" s="1"/>
  <c r="AE129" i="1"/>
  <c r="AA129" i="1" s="1"/>
  <c r="M129" i="1"/>
  <c r="I129" i="1" s="1"/>
  <c r="AE125" i="1"/>
  <c r="AA125" i="1" s="1"/>
  <c r="M125" i="1"/>
  <c r="I125" i="1" s="1"/>
  <c r="AE139" i="1"/>
  <c r="AA139" i="1" s="1"/>
  <c r="M139" i="1"/>
  <c r="I139" i="1" s="1"/>
  <c r="AE117" i="1"/>
  <c r="AA117" i="1" s="1"/>
  <c r="M117" i="1"/>
  <c r="I117" i="1" s="1"/>
  <c r="AE123" i="1"/>
  <c r="AA123" i="1" s="1"/>
  <c r="M123" i="1"/>
  <c r="I123" i="1" s="1"/>
  <c r="AE124" i="1"/>
  <c r="AA124" i="1" s="1"/>
  <c r="M124" i="1"/>
  <c r="I124" i="1" s="1"/>
  <c r="AE118" i="1"/>
  <c r="AA118" i="1" s="1"/>
  <c r="M118" i="1"/>
  <c r="I118" i="1" s="1"/>
  <c r="AE131" i="1"/>
  <c r="AA131" i="1" s="1"/>
  <c r="M131" i="1"/>
  <c r="I131" i="1" s="1"/>
  <c r="AE142" i="1"/>
  <c r="AA142" i="1" s="1"/>
  <c r="AE130" i="1"/>
  <c r="AE140" i="1"/>
  <c r="AE132" i="1"/>
  <c r="AE136" i="1"/>
  <c r="AE138" i="1"/>
  <c r="AE128" i="1"/>
  <c r="H120" i="1"/>
  <c r="H116" i="1"/>
  <c r="R119" i="1"/>
  <c r="R137" i="1"/>
  <c r="R129" i="1"/>
  <c r="R124" i="1"/>
  <c r="R139" i="1"/>
  <c r="AA22" i="1"/>
  <c r="AA31" i="1"/>
  <c r="AA30" i="1"/>
  <c r="AA20" i="1"/>
  <c r="AA33" i="1"/>
  <c r="AA28" i="1"/>
  <c r="AA18" i="1"/>
  <c r="AA29" i="1"/>
  <c r="AA23" i="1"/>
  <c r="AA27" i="1"/>
  <c r="AA25" i="1"/>
  <c r="AA26" i="1"/>
  <c r="AA32" i="1"/>
  <c r="AA24" i="1"/>
  <c r="AA19" i="1"/>
  <c r="AA21" i="1"/>
  <c r="AA17" i="1"/>
  <c r="R123" i="1"/>
  <c r="R121" i="1"/>
  <c r="R117" i="1"/>
  <c r="R118" i="1"/>
  <c r="R142" i="1"/>
  <c r="R120" i="1"/>
  <c r="R131" i="1"/>
  <c r="R134" i="1"/>
  <c r="R125" i="1"/>
  <c r="R127" i="1"/>
  <c r="R116" i="1"/>
  <c r="R26" i="1"/>
  <c r="R33" i="1"/>
  <c r="R32" i="1"/>
  <c r="R20" i="1"/>
  <c r="R29" i="1"/>
  <c r="R25" i="1"/>
  <c r="R31" i="1"/>
  <c r="R19" i="1"/>
  <c r="R23" i="1"/>
  <c r="R17" i="1"/>
  <c r="R21" i="1"/>
  <c r="R24" i="1"/>
  <c r="H145" i="1"/>
  <c r="AE116" i="1"/>
  <c r="AA116" i="1" s="1"/>
  <c r="M30" i="1"/>
  <c r="I30" i="1" s="1"/>
  <c r="M22" i="1"/>
  <c r="I22" i="1" s="1"/>
  <c r="M27" i="1"/>
  <c r="I27" i="1" s="1"/>
  <c r="M28" i="1"/>
  <c r="I28" i="1" s="1"/>
  <c r="M18" i="1"/>
  <c r="I18" i="1" s="1"/>
  <c r="H131" i="1" l="1"/>
  <c r="H117" i="1"/>
  <c r="H123" i="1"/>
  <c r="H127" i="1"/>
  <c r="H118" i="1"/>
  <c r="H121" i="1"/>
  <c r="H125" i="1"/>
  <c r="H134" i="1"/>
  <c r="H142" i="1"/>
  <c r="H139" i="1"/>
  <c r="H129" i="1"/>
  <c r="H137" i="1"/>
  <c r="H119" i="1"/>
  <c r="H124" i="1"/>
  <c r="H30" i="1"/>
  <c r="H18" i="1"/>
  <c r="H28" i="1"/>
  <c r="H27" i="1"/>
  <c r="H22" i="1"/>
  <c r="H136" i="1" l="1"/>
  <c r="R130" i="1"/>
  <c r="R128" i="1"/>
  <c r="H132" i="1"/>
  <c r="H140" i="1"/>
  <c r="H138" i="1"/>
  <c r="R132" i="1"/>
  <c r="R140" i="1"/>
  <c r="R138" i="1"/>
  <c r="R136" i="1"/>
  <c r="AA140" i="1"/>
  <c r="AA130" i="1"/>
  <c r="AA132" i="1"/>
  <c r="AA128" i="1"/>
  <c r="AA136" i="1"/>
  <c r="AA138" i="1"/>
  <c r="AE507" i="1"/>
  <c r="AE504" i="1"/>
  <c r="AE503" i="1"/>
  <c r="AE508" i="1"/>
  <c r="AE498" i="1"/>
  <c r="AE505" i="1"/>
  <c r="AC508" i="1"/>
  <c r="AC505" i="1"/>
  <c r="AC503" i="1"/>
  <c r="AC498" i="1"/>
  <c r="AC504" i="1"/>
  <c r="AE506" i="1"/>
  <c r="AE502" i="1"/>
  <c r="AE501" i="1"/>
  <c r="AC501" i="1"/>
  <c r="AC502" i="1"/>
  <c r="AE500" i="1"/>
  <c r="AC500" i="1"/>
  <c r="AC507" i="1"/>
  <c r="AC506" i="1"/>
  <c r="AC499" i="1"/>
  <c r="AE499" i="1"/>
  <c r="AA504" i="1" l="1"/>
  <c r="AA505" i="1"/>
  <c r="AA503" i="1"/>
  <c r="AA498" i="1"/>
  <c r="AA507" i="1"/>
  <c r="AA508" i="1"/>
  <c r="AA502" i="1"/>
  <c r="AA499" i="1"/>
  <c r="AA506" i="1"/>
  <c r="AA500" i="1"/>
  <c r="AA501" i="1"/>
  <c r="H128" i="1"/>
  <c r="H130" i="1"/>
  <c r="AE509" i="1"/>
  <c r="AA509" i="1" s="1"/>
  <c r="AE510" i="1"/>
  <c r="AA510" i="1" s="1"/>
  <c r="H498" i="1"/>
  <c r="J524" i="1" s="1" a="1"/>
  <c r="J524" i="1" s="1"/>
  <c r="H524" i="1" s="1"/>
</calcChain>
</file>

<file path=xl/sharedStrings.xml><?xml version="1.0" encoding="utf-8"?>
<sst xmlns="http://schemas.openxmlformats.org/spreadsheetml/2006/main" count="1856" uniqueCount="433">
  <si>
    <t>공격력</t>
  </si>
  <si>
    <t>류탄</t>
  </si>
  <si>
    <t>사형 집행</t>
  </si>
  <si>
    <t>종말의 전조</t>
  </si>
  <si>
    <t>스파이럴 플레임</t>
  </si>
  <si>
    <t>심판의 시간</t>
  </si>
  <si>
    <t>대재앙</t>
  </si>
  <si>
    <t>데스파이어</t>
  </si>
  <si>
    <t>샷건 연사</t>
  </si>
  <si>
    <t>민첩한 사격</t>
  </si>
  <si>
    <t>퀵 샷</t>
  </si>
  <si>
    <t>샷건의 지배자</t>
  </si>
  <si>
    <t>조준 사격</t>
  </si>
  <si>
    <t>잔혹한 추적자</t>
  </si>
  <si>
    <t>최후의 만찬</t>
  </si>
  <si>
    <t>퍼펙트 샷</t>
  </si>
  <si>
    <t>나선</t>
    <phoneticPr fontId="4" type="noConversion"/>
  </si>
  <si>
    <t>플라즈마</t>
    <phoneticPr fontId="4" type="noConversion"/>
  </si>
  <si>
    <t>메테오</t>
    <phoneticPr fontId="4" type="noConversion"/>
  </si>
  <si>
    <t>썸머솔트</t>
    <phoneticPr fontId="4" type="noConversion"/>
  </si>
  <si>
    <t>이퀄</t>
    <phoneticPr fontId="4" type="noConversion"/>
  </si>
  <si>
    <t>트리플</t>
    <phoneticPr fontId="4" type="noConversion"/>
  </si>
  <si>
    <t>클레이폭격</t>
    <phoneticPr fontId="4" type="noConversion"/>
  </si>
  <si>
    <t>버스팅</t>
    <phoneticPr fontId="4" type="noConversion"/>
  </si>
  <si>
    <t>치명</t>
    <phoneticPr fontId="4" type="noConversion"/>
  </si>
  <si>
    <t>특화</t>
    <phoneticPr fontId="4" type="noConversion"/>
  </si>
  <si>
    <t>신속</t>
    <phoneticPr fontId="4" type="noConversion"/>
  </si>
  <si>
    <t>기습의 대가</t>
    <phoneticPr fontId="4" type="noConversion"/>
  </si>
  <si>
    <t>강화 무기</t>
    <phoneticPr fontId="4" type="noConversion"/>
  </si>
  <si>
    <t>무기 공격력</t>
    <phoneticPr fontId="4" type="noConversion"/>
  </si>
  <si>
    <t>공격속도(신속)</t>
    <phoneticPr fontId="4" type="noConversion"/>
  </si>
  <si>
    <t>쿨타임(신속)</t>
    <phoneticPr fontId="4" type="noConversion"/>
  </si>
  <si>
    <t>핸드건 치피</t>
    <phoneticPr fontId="4" type="noConversion"/>
  </si>
  <si>
    <t>샷건 증뎀</t>
    <phoneticPr fontId="4" type="noConversion"/>
  </si>
  <si>
    <t>라이플 방관</t>
    <phoneticPr fontId="4" type="noConversion"/>
  </si>
  <si>
    <t>라이플 증뎀</t>
    <phoneticPr fontId="4" type="noConversion"/>
  </si>
  <si>
    <t>각성 증뎀</t>
    <phoneticPr fontId="4" type="noConversion"/>
  </si>
  <si>
    <t>감소율</t>
    <phoneticPr fontId="4" type="noConversion"/>
  </si>
  <si>
    <t>원거리</t>
    <phoneticPr fontId="4" type="noConversion"/>
  </si>
  <si>
    <t>근접</t>
    <phoneticPr fontId="4" type="noConversion"/>
  </si>
  <si>
    <t>샷건 근접 보너스</t>
    <phoneticPr fontId="4" type="noConversion"/>
  </si>
  <si>
    <t>쿨타임</t>
    <phoneticPr fontId="4" type="noConversion"/>
  </si>
  <si>
    <t>류탄</t>
    <phoneticPr fontId="4" type="noConversion"/>
  </si>
  <si>
    <t>사형 집행</t>
    <phoneticPr fontId="4" type="noConversion"/>
  </si>
  <si>
    <t>데스파이어</t>
    <phoneticPr fontId="4" type="noConversion"/>
  </si>
  <si>
    <t>민첩한 사격</t>
    <phoneticPr fontId="4" type="noConversion"/>
  </si>
  <si>
    <t>퀵 샷</t>
    <phoneticPr fontId="4" type="noConversion"/>
  </si>
  <si>
    <t>잔혹한 추적자</t>
    <phoneticPr fontId="4" type="noConversion"/>
  </si>
  <si>
    <t>종말의 전조</t>
    <phoneticPr fontId="4" type="noConversion"/>
  </si>
  <si>
    <t>심판의 시간</t>
    <phoneticPr fontId="4" type="noConversion"/>
  </si>
  <si>
    <t>샷건 연사</t>
    <phoneticPr fontId="4" type="noConversion"/>
  </si>
  <si>
    <t>샷건의 지배자</t>
    <phoneticPr fontId="4" type="noConversion"/>
  </si>
  <si>
    <t>최후의 만찬</t>
    <phoneticPr fontId="4" type="noConversion"/>
  </si>
  <si>
    <t>스파이럴</t>
    <phoneticPr fontId="4" type="noConversion"/>
  </si>
  <si>
    <t>대재앙</t>
    <phoneticPr fontId="4" type="noConversion"/>
  </si>
  <si>
    <t>조준 사격</t>
    <phoneticPr fontId="4" type="noConversion"/>
  </si>
  <si>
    <t>퍼펙트 샷</t>
    <phoneticPr fontId="4" type="noConversion"/>
  </si>
  <si>
    <t>트라이포드</t>
    <phoneticPr fontId="4" type="noConversion"/>
  </si>
  <si>
    <t>백어택증뎀</t>
    <phoneticPr fontId="4" type="noConversion"/>
  </si>
  <si>
    <t>백어택치명</t>
    <phoneticPr fontId="4" type="noConversion"/>
  </si>
  <si>
    <t>1트포</t>
    <phoneticPr fontId="4" type="noConversion"/>
  </si>
  <si>
    <t>2트포</t>
    <phoneticPr fontId="4" type="noConversion"/>
  </si>
  <si>
    <t>3트포</t>
    <phoneticPr fontId="4" type="noConversion"/>
  </si>
  <si>
    <t>핸드거너</t>
    <phoneticPr fontId="4" type="noConversion"/>
  </si>
  <si>
    <t>백어택</t>
    <phoneticPr fontId="4" type="noConversion"/>
  </si>
  <si>
    <t>번호</t>
    <phoneticPr fontId="4" type="noConversion"/>
  </si>
  <si>
    <t>레벨</t>
    <phoneticPr fontId="4" type="noConversion"/>
  </si>
  <si>
    <t>스킬이름</t>
    <phoneticPr fontId="4" type="noConversion"/>
  </si>
  <si>
    <t>기타</t>
    <phoneticPr fontId="4" type="noConversion"/>
  </si>
  <si>
    <t>DPS</t>
    <phoneticPr fontId="4" type="noConversion"/>
  </si>
  <si>
    <t>2타</t>
    <phoneticPr fontId="4" type="noConversion"/>
  </si>
  <si>
    <t>1타</t>
    <phoneticPr fontId="4" type="noConversion"/>
  </si>
  <si>
    <t>3타</t>
    <phoneticPr fontId="4" type="noConversion"/>
  </si>
  <si>
    <t>4타</t>
    <phoneticPr fontId="4" type="noConversion"/>
  </si>
  <si>
    <t>합계</t>
    <phoneticPr fontId="4" type="noConversion"/>
  </si>
  <si>
    <t>최종 데미지</t>
    <phoneticPr fontId="4" type="noConversion"/>
  </si>
  <si>
    <t>기본 쿨타임</t>
    <phoneticPr fontId="4" type="noConversion"/>
  </si>
  <si>
    <t>나선의 추적자</t>
    <phoneticPr fontId="4" type="noConversion"/>
  </si>
  <si>
    <t>0/0/0</t>
    <phoneticPr fontId="4" type="noConversion"/>
  </si>
  <si>
    <t>2/0/0</t>
    <phoneticPr fontId="4" type="noConversion"/>
  </si>
  <si>
    <t>0/2/0</t>
    <phoneticPr fontId="4" type="noConversion"/>
  </si>
  <si>
    <t>0/3/0</t>
    <phoneticPr fontId="4" type="noConversion"/>
  </si>
  <si>
    <t>2/2/0</t>
    <phoneticPr fontId="4" type="noConversion"/>
  </si>
  <si>
    <t>2/3/0</t>
    <phoneticPr fontId="4" type="noConversion"/>
  </si>
  <si>
    <t>중심</t>
    <phoneticPr fontId="4" type="noConversion"/>
  </si>
  <si>
    <t>기본 합계</t>
    <phoneticPr fontId="4" type="noConversion"/>
  </si>
  <si>
    <t>기본 1타</t>
    <phoneticPr fontId="4" type="noConversion"/>
  </si>
  <si>
    <t>기본 2타</t>
    <phoneticPr fontId="4" type="noConversion"/>
  </si>
  <si>
    <t>기본 3타</t>
    <phoneticPr fontId="4" type="noConversion"/>
  </si>
  <si>
    <t>기본 치피</t>
    <phoneticPr fontId="4" type="noConversion"/>
  </si>
  <si>
    <t>계산 치명률</t>
    <phoneticPr fontId="4" type="noConversion"/>
  </si>
  <si>
    <t>계산 치피</t>
    <phoneticPr fontId="4" type="noConversion"/>
  </si>
  <si>
    <t>계산 쿨타임</t>
    <phoneticPr fontId="4" type="noConversion"/>
  </si>
  <si>
    <t>민첩</t>
    <phoneticPr fontId="4" type="noConversion"/>
  </si>
  <si>
    <t>AT02 유탄</t>
  </si>
  <si>
    <t>AT02 유탄</t>
    <phoneticPr fontId="4" type="noConversion"/>
  </si>
  <si>
    <t>0/0/0</t>
    <phoneticPr fontId="4" type="noConversion"/>
  </si>
  <si>
    <t>3/0/0</t>
    <phoneticPr fontId="4" type="noConversion"/>
  </si>
  <si>
    <t>0/1/0</t>
    <phoneticPr fontId="4" type="noConversion"/>
  </si>
  <si>
    <t>0/2/0</t>
    <phoneticPr fontId="4" type="noConversion"/>
  </si>
  <si>
    <t>0/3/0</t>
    <phoneticPr fontId="4" type="noConversion"/>
  </si>
  <si>
    <t>3/1/0</t>
    <phoneticPr fontId="4" type="noConversion"/>
  </si>
  <si>
    <t>2/2/1</t>
    <phoneticPr fontId="4" type="noConversion"/>
  </si>
  <si>
    <t>2/2/2</t>
    <phoneticPr fontId="4" type="noConversion"/>
  </si>
  <si>
    <t>나선의 추적자</t>
    <phoneticPr fontId="4" type="noConversion"/>
  </si>
  <si>
    <t>2/3/1</t>
    <phoneticPr fontId="4" type="noConversion"/>
  </si>
  <si>
    <t>2/3/2</t>
    <phoneticPr fontId="4" type="noConversion"/>
  </si>
  <si>
    <t>2/0/0</t>
    <phoneticPr fontId="4" type="noConversion"/>
  </si>
  <si>
    <t>중심</t>
    <phoneticPr fontId="4" type="noConversion"/>
  </si>
  <si>
    <t>중심</t>
    <phoneticPr fontId="4" type="noConversion"/>
  </si>
  <si>
    <t>3/2/0</t>
    <phoneticPr fontId="4" type="noConversion"/>
  </si>
  <si>
    <t>3/3/0</t>
    <phoneticPr fontId="4" type="noConversion"/>
  </si>
  <si>
    <t>3/0/1</t>
    <phoneticPr fontId="4" type="noConversion"/>
  </si>
  <si>
    <t>3/0/2</t>
    <phoneticPr fontId="4" type="noConversion"/>
  </si>
  <si>
    <t>3/1/1</t>
    <phoneticPr fontId="4" type="noConversion"/>
  </si>
  <si>
    <t>3/1/2</t>
    <phoneticPr fontId="4" type="noConversion"/>
  </si>
  <si>
    <t>3/2/1</t>
    <phoneticPr fontId="4" type="noConversion"/>
  </si>
  <si>
    <t>3/2/2</t>
    <phoneticPr fontId="4" type="noConversion"/>
  </si>
  <si>
    <t>3/3/1</t>
    <phoneticPr fontId="4" type="noConversion"/>
  </si>
  <si>
    <t>3/3/2</t>
    <phoneticPr fontId="4" type="noConversion"/>
  </si>
  <si>
    <t>사형 집행</t>
    <phoneticPr fontId="4" type="noConversion"/>
  </si>
  <si>
    <t>3/1/2</t>
    <phoneticPr fontId="4" type="noConversion"/>
  </si>
  <si>
    <t>급소 노출</t>
    <phoneticPr fontId="4" type="noConversion"/>
  </si>
  <si>
    <t>0/0/1</t>
    <phoneticPr fontId="4" type="noConversion"/>
  </si>
  <si>
    <t>0/0/2</t>
    <phoneticPr fontId="4" type="noConversion"/>
  </si>
  <si>
    <t>생명50%이상</t>
    <phoneticPr fontId="4" type="noConversion"/>
  </si>
  <si>
    <t>공중</t>
    <phoneticPr fontId="4" type="noConversion"/>
  </si>
  <si>
    <t>생명50%이상, 공중</t>
    <phoneticPr fontId="4" type="noConversion"/>
  </si>
  <si>
    <t>0/3/1</t>
    <phoneticPr fontId="4" type="noConversion"/>
  </si>
  <si>
    <t>0/3/2</t>
    <phoneticPr fontId="4" type="noConversion"/>
  </si>
  <si>
    <t>치명률 반영 기대 데미지</t>
    <phoneticPr fontId="4" type="noConversion"/>
  </si>
  <si>
    <t>플라즈마 불릿</t>
    <phoneticPr fontId="4" type="noConversion"/>
  </si>
  <si>
    <t>18히트</t>
    <phoneticPr fontId="4" type="noConversion"/>
  </si>
  <si>
    <t>10히트</t>
    <phoneticPr fontId="4" type="noConversion"/>
  </si>
  <si>
    <t>(실측)</t>
    <phoneticPr fontId="4" type="noConversion"/>
  </si>
  <si>
    <t>메테오 스트림</t>
    <phoneticPr fontId="4" type="noConversion"/>
  </si>
  <si>
    <t>3/2/1</t>
    <phoneticPr fontId="4" type="noConversion"/>
  </si>
  <si>
    <t>3/2/2</t>
    <phoneticPr fontId="4" type="noConversion"/>
  </si>
  <si>
    <t>피격이상 면역</t>
    <phoneticPr fontId="4" type="noConversion"/>
  </si>
  <si>
    <t>피격이상 중</t>
    <phoneticPr fontId="4" type="noConversion"/>
  </si>
  <si>
    <t>썸머솔트샷</t>
    <phoneticPr fontId="4" type="noConversion"/>
  </si>
  <si>
    <t>2/2/0</t>
    <phoneticPr fontId="4" type="noConversion"/>
  </si>
  <si>
    <t>0/2/1</t>
    <phoneticPr fontId="4" type="noConversion"/>
  </si>
  <si>
    <t>2/0/1</t>
    <phoneticPr fontId="4" type="noConversion"/>
  </si>
  <si>
    <t>이퀄리브리엄</t>
    <phoneticPr fontId="4" type="noConversion"/>
  </si>
  <si>
    <t>2/0/0</t>
    <phoneticPr fontId="4" type="noConversion"/>
  </si>
  <si>
    <t>2/1/0</t>
    <phoneticPr fontId="4" type="noConversion"/>
  </si>
  <si>
    <t>0/1/1</t>
    <phoneticPr fontId="4" type="noConversion"/>
  </si>
  <si>
    <t>0/1/2</t>
    <phoneticPr fontId="4" type="noConversion"/>
  </si>
  <si>
    <t>0/2/2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</si>
  <si>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</si>
  <si>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</si>
  <si>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</si>
  <si>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</si>
  <si>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5타</t>
    <phoneticPr fontId="4" type="noConversion"/>
  </si>
  <si>
    <t>6타</t>
    <phoneticPr fontId="4" type="noConversion"/>
  </si>
  <si>
    <t>7타</t>
    <phoneticPr fontId="4" type="noConversion"/>
  </si>
  <si>
    <t>치명 X</t>
    <phoneticPr fontId="4" type="noConversion"/>
  </si>
  <si>
    <t>치명 O</t>
    <phoneticPr fontId="4" type="noConversion"/>
  </si>
  <si>
    <t>데스파이어</t>
    <phoneticPr fontId="4" type="noConversion"/>
  </si>
  <si>
    <t>데스파이어</t>
    <phoneticPr fontId="4" type="noConversion"/>
  </si>
  <si>
    <t>0/1/0</t>
    <phoneticPr fontId="4" type="noConversion"/>
  </si>
  <si>
    <t>0/0/0</t>
    <phoneticPr fontId="4" type="noConversion"/>
  </si>
  <si>
    <t>0/0/2</t>
    <phoneticPr fontId="4" type="noConversion"/>
  </si>
  <si>
    <t>0/1/0</t>
    <phoneticPr fontId="4" type="noConversion"/>
  </si>
  <si>
    <t>0/1/2</t>
    <phoneticPr fontId="4" type="noConversion"/>
  </si>
  <si>
    <t>3/0/0</t>
    <phoneticPr fontId="4" type="noConversion"/>
  </si>
  <si>
    <t>3/1/0</t>
    <phoneticPr fontId="4" type="noConversion"/>
  </si>
  <si>
    <t>3/1/2</t>
    <phoneticPr fontId="4" type="noConversion"/>
  </si>
  <si>
    <t>민첩한 사격</t>
    <phoneticPr fontId="4" type="noConversion"/>
  </si>
  <si>
    <t>헤드어택</t>
    <phoneticPr fontId="4" type="noConversion"/>
  </si>
  <si>
    <t>퀵 샷</t>
    <phoneticPr fontId="4" type="noConversion"/>
  </si>
  <si>
    <t>잔혹한 추적자</t>
    <phoneticPr fontId="4" type="noConversion"/>
  </si>
  <si>
    <t>1/0/0</t>
    <phoneticPr fontId="4" type="noConversion"/>
  </si>
  <si>
    <t>1/1/0</t>
    <phoneticPr fontId="4" type="noConversion"/>
  </si>
  <si>
    <t>1/2/0</t>
    <phoneticPr fontId="4" type="noConversion"/>
  </si>
  <si>
    <t>0/1/2</t>
    <phoneticPr fontId="4" type="noConversion"/>
  </si>
  <si>
    <t>0/2/1</t>
    <phoneticPr fontId="4" type="noConversion"/>
  </si>
  <si>
    <t>1/0/1</t>
    <phoneticPr fontId="4" type="noConversion"/>
  </si>
  <si>
    <t>1/0/2</t>
    <phoneticPr fontId="4" type="noConversion"/>
  </si>
  <si>
    <t>1/1/1</t>
    <phoneticPr fontId="4" type="noConversion"/>
  </si>
  <si>
    <t>1/1/2</t>
    <phoneticPr fontId="4" type="noConversion"/>
  </si>
  <si>
    <t>1/2/1</t>
    <phoneticPr fontId="4" type="noConversion"/>
  </si>
  <si>
    <t>1/2/2</t>
    <phoneticPr fontId="4" type="noConversion"/>
  </si>
  <si>
    <t>헤드어택증뎀</t>
    <phoneticPr fontId="4" type="noConversion"/>
  </si>
  <si>
    <t>종말의 전조</t>
    <phoneticPr fontId="4" type="noConversion"/>
  </si>
  <si>
    <t>0/0/0</t>
    <phoneticPr fontId="4" type="noConversion"/>
  </si>
  <si>
    <t>1/0/0</t>
    <phoneticPr fontId="4" type="noConversion"/>
  </si>
  <si>
    <t>0/1/0</t>
    <phoneticPr fontId="4" type="noConversion"/>
  </si>
  <si>
    <t>0/3/0</t>
    <phoneticPr fontId="4" type="noConversion"/>
  </si>
  <si>
    <t>1/1/0</t>
    <phoneticPr fontId="4" type="noConversion"/>
  </si>
  <si>
    <t>1/3/0</t>
    <phoneticPr fontId="4" type="noConversion"/>
  </si>
  <si>
    <t>0/0/1</t>
    <phoneticPr fontId="4" type="noConversion"/>
  </si>
  <si>
    <t>0/0/2</t>
    <phoneticPr fontId="4" type="noConversion"/>
  </si>
  <si>
    <t>0/1/1</t>
    <phoneticPr fontId="4" type="noConversion"/>
  </si>
  <si>
    <t>0/1/2</t>
    <phoneticPr fontId="4" type="noConversion"/>
  </si>
  <si>
    <t>0/3/1</t>
    <phoneticPr fontId="4" type="noConversion"/>
  </si>
  <si>
    <t>0/3/2</t>
    <phoneticPr fontId="4" type="noConversion"/>
  </si>
  <si>
    <t>1/1/1</t>
    <phoneticPr fontId="4" type="noConversion"/>
  </si>
  <si>
    <t>1/1/2</t>
    <phoneticPr fontId="4" type="noConversion"/>
  </si>
  <si>
    <t>1/3/1</t>
    <phoneticPr fontId="4" type="noConversion"/>
  </si>
  <si>
    <t>1/3/2</t>
    <phoneticPr fontId="4" type="noConversion"/>
  </si>
  <si>
    <t>근접</t>
    <phoneticPr fontId="4" type="noConversion"/>
  </si>
  <si>
    <t>원거리</t>
    <phoneticPr fontId="4" type="noConversion"/>
  </si>
  <si>
    <t>심판의 시간</t>
    <phoneticPr fontId="4" type="noConversion"/>
  </si>
  <si>
    <t>2/0/0</t>
    <phoneticPr fontId="4" type="noConversion"/>
  </si>
  <si>
    <t>1/2/0</t>
    <phoneticPr fontId="4" type="noConversion"/>
  </si>
  <si>
    <t>2/2/0</t>
    <phoneticPr fontId="4" type="noConversion"/>
  </si>
  <si>
    <t>0/0/2</t>
    <phoneticPr fontId="4" type="noConversion"/>
  </si>
  <si>
    <t>1/0/2</t>
    <phoneticPr fontId="4" type="noConversion"/>
  </si>
  <si>
    <t>1/2/1</t>
    <phoneticPr fontId="4" type="noConversion"/>
  </si>
  <si>
    <t>2/2/2</t>
    <phoneticPr fontId="4" type="noConversion"/>
  </si>
  <si>
    <t>샷건 연사</t>
    <phoneticPr fontId="4" type="noConversion"/>
  </si>
  <si>
    <t>0/3/0</t>
    <phoneticPr fontId="4" type="noConversion"/>
  </si>
  <si>
    <t>1/0/1</t>
    <phoneticPr fontId="4" type="noConversion"/>
  </si>
  <si>
    <t>시드 이하</t>
    <phoneticPr fontId="4" type="noConversion"/>
  </si>
  <si>
    <t>시드 이하</t>
    <phoneticPr fontId="4" type="noConversion"/>
  </si>
  <si>
    <t>샷건의 지배자</t>
    <phoneticPr fontId="4" type="noConversion"/>
  </si>
  <si>
    <t>3/0/0</t>
    <phoneticPr fontId="4" type="noConversion"/>
  </si>
  <si>
    <t>0/2/0</t>
    <phoneticPr fontId="4" type="noConversion"/>
  </si>
  <si>
    <t>3/1/0</t>
    <phoneticPr fontId="4" type="noConversion"/>
  </si>
  <si>
    <t>화상</t>
  </si>
  <si>
    <t>화상</t>
    <phoneticPr fontId="4" type="noConversion"/>
  </si>
  <si>
    <t>피격이상 면역</t>
    <phoneticPr fontId="4" type="noConversion"/>
  </si>
  <si>
    <t>1/2/2</t>
    <phoneticPr fontId="4" type="noConversion"/>
  </si>
  <si>
    <t>3/1/1</t>
    <phoneticPr fontId="4" type="noConversion"/>
  </si>
  <si>
    <t>3/1/2</t>
    <phoneticPr fontId="4" type="noConversion"/>
  </si>
  <si>
    <t>최후의 만찬</t>
    <phoneticPr fontId="4" type="noConversion"/>
  </si>
  <si>
    <t>2/1/0</t>
    <phoneticPr fontId="4" type="noConversion"/>
  </si>
  <si>
    <t>2/3/0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</si>
  <si>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</si>
  <si>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</si>
  <si>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</si>
  <si>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2/3/1</t>
    <phoneticPr fontId="4" type="noConversion"/>
  </si>
  <si>
    <t>2/3/2</t>
    <phoneticPr fontId="4" type="noConversion"/>
  </si>
  <si>
    <t>특이사항</t>
    <phoneticPr fontId="4" type="noConversion"/>
  </si>
  <si>
    <t>무력화</t>
    <phoneticPr fontId="4" type="noConversion"/>
  </si>
  <si>
    <t>화상, 무력화</t>
    <phoneticPr fontId="4" type="noConversion"/>
  </si>
  <si>
    <t>스파이럴 플레임</t>
    <phoneticPr fontId="4" type="noConversion"/>
  </si>
  <si>
    <t>0/0/0</t>
    <phoneticPr fontId="4" type="noConversion"/>
  </si>
  <si>
    <t>0/0/0</t>
    <phoneticPr fontId="4" type="noConversion"/>
  </si>
  <si>
    <t>0/2/0</t>
    <phoneticPr fontId="4" type="noConversion"/>
  </si>
  <si>
    <t>0/1/0</t>
    <phoneticPr fontId="4" type="noConversion"/>
  </si>
  <si>
    <t>0/3/0</t>
    <phoneticPr fontId="4" type="noConversion"/>
  </si>
  <si>
    <t>2/0/0</t>
    <phoneticPr fontId="4" type="noConversion"/>
  </si>
  <si>
    <t>2/1/0</t>
    <phoneticPr fontId="4" type="noConversion"/>
  </si>
  <si>
    <t>2/3/0</t>
    <phoneticPr fontId="4" type="noConversion"/>
  </si>
  <si>
    <t>0/0/1</t>
    <phoneticPr fontId="4" type="noConversion"/>
  </si>
  <si>
    <t>0/0/2</t>
    <phoneticPr fontId="4" type="noConversion"/>
  </si>
  <si>
    <t>2/0/1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</si>
  <si>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</si>
  <si>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</si>
  <si>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</si>
  <si>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2/3/1</t>
    <phoneticPr fontId="4" type="noConversion"/>
  </si>
  <si>
    <t>2/3/2</t>
    <phoneticPr fontId="4" type="noConversion"/>
  </si>
  <si>
    <t>대재앙</t>
    <phoneticPr fontId="4" type="noConversion"/>
  </si>
  <si>
    <t>0/1/1</t>
    <phoneticPr fontId="4" type="noConversion"/>
  </si>
  <si>
    <t>0/1/2</t>
    <phoneticPr fontId="4" type="noConversion"/>
  </si>
  <si>
    <t>0/2/1</t>
    <phoneticPr fontId="4" type="noConversion"/>
  </si>
  <si>
    <t>0/2/2</t>
    <phoneticPr fontId="4" type="noConversion"/>
  </si>
  <si>
    <t>트리플 익스플로젼</t>
    <phoneticPr fontId="4" type="noConversion"/>
  </si>
  <si>
    <t>피격이상 중</t>
    <phoneticPr fontId="4" type="noConversion"/>
  </si>
  <si>
    <t>화상</t>
    <phoneticPr fontId="4" type="noConversion"/>
  </si>
  <si>
    <t>조준 사격</t>
    <phoneticPr fontId="4" type="noConversion"/>
  </si>
  <si>
    <t>3/0/0</t>
    <phoneticPr fontId="4" type="noConversion"/>
  </si>
  <si>
    <t>3/1/0</t>
    <phoneticPr fontId="4" type="noConversion"/>
  </si>
  <si>
    <t>3/0/2</t>
    <phoneticPr fontId="4" type="noConversion"/>
  </si>
  <si>
    <t>3/1/2</t>
    <phoneticPr fontId="4" type="noConversion"/>
  </si>
  <si>
    <t>퍼펙트 샷</t>
    <phoneticPr fontId="4" type="noConversion"/>
  </si>
  <si>
    <t>0/3/0</t>
    <phoneticPr fontId="4" type="noConversion"/>
  </si>
  <si>
    <t>0/3/2</t>
    <phoneticPr fontId="4" type="noConversion"/>
  </si>
  <si>
    <t>클레이 폭격</t>
    <phoneticPr fontId="4" type="noConversion"/>
  </si>
  <si>
    <t>버스팅 플레어</t>
    <phoneticPr fontId="4" type="noConversion"/>
  </si>
  <si>
    <t>캐릭터 정보 입력란</t>
    <phoneticPr fontId="4" type="noConversion"/>
  </si>
  <si>
    <t>계산으로 산출되는 캐릭터 스펙</t>
    <phoneticPr fontId="4" type="noConversion"/>
  </si>
  <si>
    <t>트라이포드 입력란</t>
    <phoneticPr fontId="4" type="noConversion"/>
  </si>
  <si>
    <t>나선의 추적자</t>
    <phoneticPr fontId="4" type="noConversion"/>
  </si>
  <si>
    <t>성장 탄환</t>
    <phoneticPr fontId="4" type="noConversion"/>
  </si>
  <si>
    <t>집중 사격</t>
    <phoneticPr fontId="4" type="noConversion"/>
  </si>
  <si>
    <t>핸드건</t>
    <phoneticPr fontId="4" type="noConversion"/>
  </si>
  <si>
    <t>샷건</t>
    <phoneticPr fontId="4" type="noConversion"/>
  </si>
  <si>
    <t>라이플</t>
    <phoneticPr fontId="4" type="noConversion"/>
  </si>
  <si>
    <t>AT02 유탄</t>
    <phoneticPr fontId="4" type="noConversion"/>
  </si>
  <si>
    <t>강화 수류탄</t>
    <phoneticPr fontId="4" type="noConversion"/>
  </si>
  <si>
    <t>세열 수류탄</t>
    <phoneticPr fontId="4" type="noConversion"/>
  </si>
  <si>
    <t>빙결 수류탄</t>
    <phoneticPr fontId="4" type="noConversion"/>
  </si>
  <si>
    <t>불꽃놀이</t>
    <phoneticPr fontId="4" type="noConversion"/>
  </si>
  <si>
    <t>내부발화</t>
    <phoneticPr fontId="4" type="noConversion"/>
  </si>
  <si>
    <t>사형 집행</t>
    <phoneticPr fontId="4" type="noConversion"/>
  </si>
  <si>
    <t>급소 타격</t>
    <phoneticPr fontId="4" type="noConversion"/>
  </si>
  <si>
    <t>사격 개시</t>
    <phoneticPr fontId="4" type="noConversion"/>
  </si>
  <si>
    <t>대공 사격</t>
    <phoneticPr fontId="4" type="noConversion"/>
  </si>
  <si>
    <t>무차별 난사</t>
    <phoneticPr fontId="4" type="noConversion"/>
  </si>
  <si>
    <t>플라즈마 불릿</t>
    <phoneticPr fontId="4" type="noConversion"/>
  </si>
  <si>
    <t>급소 사격</t>
    <phoneticPr fontId="4" type="noConversion"/>
  </si>
  <si>
    <t>초전하 지대</t>
    <phoneticPr fontId="4" type="noConversion"/>
  </si>
  <si>
    <t>플라즈마 분열</t>
    <phoneticPr fontId="4" type="noConversion"/>
  </si>
  <si>
    <t>메테오 스트림</t>
    <phoneticPr fontId="4" type="noConversion"/>
  </si>
  <si>
    <t>약점포착</t>
    <phoneticPr fontId="4" type="noConversion"/>
  </si>
  <si>
    <t>비열한 공격</t>
    <phoneticPr fontId="4" type="noConversion"/>
  </si>
  <si>
    <t>꿰뚫는 폭발</t>
    <phoneticPr fontId="4" type="noConversion"/>
  </si>
  <si>
    <t>폭격 지원</t>
    <phoneticPr fontId="4" type="noConversion"/>
  </si>
  <si>
    <t>혜성 낙하</t>
    <phoneticPr fontId="4" type="noConversion"/>
  </si>
  <si>
    <t>썸머쏠트 샷</t>
    <phoneticPr fontId="4" type="noConversion"/>
  </si>
  <si>
    <t>원한</t>
    <phoneticPr fontId="4" type="noConversion"/>
  </si>
  <si>
    <t>저주받은 인형</t>
    <phoneticPr fontId="4" type="noConversion"/>
  </si>
  <si>
    <t>예리한 둔기</t>
    <phoneticPr fontId="4" type="noConversion"/>
  </si>
  <si>
    <t>화상 효과</t>
    <phoneticPr fontId="4" type="noConversion"/>
  </si>
  <si>
    <t>슈퍼 아머</t>
    <phoneticPr fontId="4" type="noConversion"/>
  </si>
  <si>
    <t>이퀄리브리엄</t>
    <phoneticPr fontId="4" type="noConversion"/>
  </si>
  <si>
    <t>데스파이어</t>
    <phoneticPr fontId="4" type="noConversion"/>
  </si>
  <si>
    <t>예리한 일격</t>
    <phoneticPr fontId="4" type="noConversion"/>
  </si>
  <si>
    <t>화염 폭탄</t>
    <phoneticPr fontId="4" type="noConversion"/>
  </si>
  <si>
    <t>무한 섬멸</t>
    <phoneticPr fontId="4" type="noConversion"/>
  </si>
  <si>
    <t>민첩한 사격</t>
    <phoneticPr fontId="4" type="noConversion"/>
  </si>
  <si>
    <t>급소 공격</t>
    <phoneticPr fontId="4" type="noConversion"/>
  </si>
  <si>
    <t>근접 사격</t>
    <phoneticPr fontId="4" type="noConversion"/>
  </si>
  <si>
    <t>퀵 샷</t>
    <phoneticPr fontId="4" type="noConversion"/>
  </si>
  <si>
    <t>성장 사격</t>
    <phoneticPr fontId="4" type="noConversion"/>
  </si>
  <si>
    <t>잔혹한 추적자</t>
    <phoneticPr fontId="4" type="noConversion"/>
  </si>
  <si>
    <t>빠른 준비</t>
    <phoneticPr fontId="4" type="noConversion"/>
  </si>
  <si>
    <t>빠른 총 뽑기</t>
    <phoneticPr fontId="4" type="noConversion"/>
  </si>
  <si>
    <t>폭발성 탄환</t>
    <phoneticPr fontId="4" type="noConversion"/>
  </si>
  <si>
    <t>종말의 전조</t>
    <phoneticPr fontId="4" type="noConversion"/>
  </si>
  <si>
    <t>강화된 사격</t>
    <phoneticPr fontId="4" type="noConversion"/>
  </si>
  <si>
    <t>재앙의 여파</t>
    <phoneticPr fontId="4" type="noConversion"/>
  </si>
  <si>
    <t>다가온 종말</t>
    <phoneticPr fontId="4" type="noConversion"/>
  </si>
  <si>
    <t>연장 사격</t>
    <phoneticPr fontId="4" type="noConversion"/>
  </si>
  <si>
    <t>특수 탄환</t>
    <phoneticPr fontId="4" type="noConversion"/>
  </si>
  <si>
    <t>약점 포착</t>
    <phoneticPr fontId="4" type="noConversion"/>
  </si>
  <si>
    <t>지배자의 의지</t>
    <phoneticPr fontId="4" type="noConversion"/>
  </si>
  <si>
    <t>군림하는 자</t>
    <phoneticPr fontId="4" type="noConversion"/>
  </si>
  <si>
    <t>화염탄</t>
    <phoneticPr fontId="4" type="noConversion"/>
  </si>
  <si>
    <t>뜨거운 열기</t>
    <phoneticPr fontId="4" type="noConversion"/>
  </si>
  <si>
    <t>강한 폭발</t>
    <phoneticPr fontId="4" type="noConversion"/>
  </si>
  <si>
    <t>집행</t>
    <phoneticPr fontId="4" type="noConversion"/>
  </si>
  <si>
    <t>연발 사격</t>
    <phoneticPr fontId="4" type="noConversion"/>
  </si>
  <si>
    <t>스파이럴 플레임</t>
    <phoneticPr fontId="4" type="noConversion"/>
  </si>
  <si>
    <t>맹렬한 불꽃</t>
    <phoneticPr fontId="4" type="noConversion"/>
  </si>
  <si>
    <t>성장 탄환</t>
    <phoneticPr fontId="4" type="noConversion"/>
  </si>
  <si>
    <t>마무리 사격</t>
    <phoneticPr fontId="4" type="noConversion"/>
  </si>
  <si>
    <t>총열 강화</t>
    <phoneticPr fontId="4" type="noConversion"/>
  </si>
  <si>
    <t>후폭풍</t>
    <phoneticPr fontId="4" type="noConversion"/>
  </si>
  <si>
    <t>대재앙</t>
    <phoneticPr fontId="4" type="noConversion"/>
  </si>
  <si>
    <t>무방비 표적</t>
    <phoneticPr fontId="4" type="noConversion"/>
  </si>
  <si>
    <t>영원한 재앙</t>
    <phoneticPr fontId="4" type="noConversion"/>
  </si>
  <si>
    <t>불꽃 탄환</t>
    <phoneticPr fontId="4" type="noConversion"/>
  </si>
  <si>
    <t>쿼드 익스플로전</t>
    <phoneticPr fontId="4" type="noConversion"/>
  </si>
  <si>
    <t>슈퍼 익스플로전</t>
    <phoneticPr fontId="4" type="noConversion"/>
  </si>
  <si>
    <t>조준 사격</t>
    <phoneticPr fontId="4" type="noConversion"/>
  </si>
  <si>
    <t>최후의 한발</t>
    <phoneticPr fontId="4" type="noConversion"/>
  </si>
  <si>
    <t>퍼펙트 샷</t>
    <phoneticPr fontId="4" type="noConversion"/>
  </si>
  <si>
    <t>최종 공격력</t>
    <phoneticPr fontId="4" type="noConversion"/>
  </si>
  <si>
    <t>기본 공격력</t>
    <phoneticPr fontId="4" type="noConversion"/>
  </si>
  <si>
    <t>트리플
익스플로전</t>
    <phoneticPr fontId="4" type="noConversion"/>
  </si>
  <si>
    <t>썸머쏠트 샷 - 화상 효과</t>
    <phoneticPr fontId="4" type="noConversion"/>
  </si>
  <si>
    <t>데스파이어 - 화염 폭탄</t>
    <phoneticPr fontId="4" type="noConversion"/>
  </si>
  <si>
    <t>최후의 만찬 - 화염탄</t>
    <phoneticPr fontId="4" type="noConversion"/>
  </si>
  <si>
    <t>트리플 익스플로전 - 불꽃 탄환</t>
    <phoneticPr fontId="4" type="noConversion"/>
  </si>
  <si>
    <t>최후의 만찬 - 뜨거운 열기</t>
    <phoneticPr fontId="4" type="noConversion"/>
  </si>
  <si>
    <t>1/0/0</t>
    <phoneticPr fontId="4" type="noConversion"/>
  </si>
  <si>
    <t>0/2/0</t>
    <phoneticPr fontId="4" type="noConversion"/>
  </si>
  <si>
    <t>0/0/0</t>
    <phoneticPr fontId="4" type="noConversion"/>
  </si>
  <si>
    <t>0/1/0</t>
    <phoneticPr fontId="4" type="noConversion"/>
  </si>
  <si>
    <t>0/2/1</t>
    <phoneticPr fontId="4" type="noConversion"/>
  </si>
  <si>
    <t>0/1/2</t>
    <phoneticPr fontId="4" type="noConversion"/>
  </si>
  <si>
    <t>0/2/2</t>
    <phoneticPr fontId="4" type="noConversion"/>
  </si>
  <si>
    <t>섬멸 사격</t>
    <phoneticPr fontId="4" type="noConversion"/>
  </si>
  <si>
    <t>적 소탕</t>
    <phoneticPr fontId="4" type="noConversion"/>
  </si>
  <si>
    <t>원거리 사격</t>
    <phoneticPr fontId="4" type="noConversion"/>
  </si>
  <si>
    <t>화상 효과</t>
    <phoneticPr fontId="4" type="noConversion"/>
  </si>
  <si>
    <t>급소 사격</t>
    <phoneticPr fontId="4" type="noConversion"/>
  </si>
  <si>
    <t>화상</t>
    <phoneticPr fontId="4" type="noConversion"/>
  </si>
  <si>
    <t>0/3/0</t>
    <phoneticPr fontId="4" type="noConversion"/>
  </si>
  <si>
    <t>2/3/0</t>
    <phoneticPr fontId="4" type="noConversion"/>
  </si>
  <si>
    <t>시드 이하</t>
    <phoneticPr fontId="4" type="noConversion"/>
  </si>
  <si>
    <t>시드 이하, 화상</t>
    <phoneticPr fontId="4" type="noConversion"/>
  </si>
  <si>
    <t>2/0/0</t>
    <phoneticPr fontId="4" type="noConversion"/>
  </si>
  <si>
    <t>2/1/0</t>
    <phoneticPr fontId="4" type="noConversion"/>
  </si>
  <si>
    <t>풀레인지</t>
    <phoneticPr fontId="4" type="noConversion"/>
  </si>
  <si>
    <t>징역 선고</t>
    <phoneticPr fontId="4" type="noConversion"/>
  </si>
  <si>
    <t>최종 판결</t>
    <phoneticPr fontId="4" type="noConversion"/>
  </si>
  <si>
    <t>확산 파편</t>
    <phoneticPr fontId="4" type="noConversion"/>
  </si>
  <si>
    <t>강화 파편</t>
    <phoneticPr fontId="4" type="noConversion"/>
  </si>
  <si>
    <t>1/1/0</t>
    <phoneticPr fontId="4" type="noConversion"/>
  </si>
  <si>
    <t>1/2/0</t>
    <phoneticPr fontId="4" type="noConversion"/>
  </si>
  <si>
    <t>1/3/0</t>
    <phoneticPr fontId="4" type="noConversion"/>
  </si>
  <si>
    <t>0/1/1</t>
    <phoneticPr fontId="4" type="noConversion"/>
  </si>
  <si>
    <t>0/3/1</t>
    <phoneticPr fontId="4" type="noConversion"/>
  </si>
  <si>
    <t>0/3/2</t>
    <phoneticPr fontId="4" type="noConversion"/>
  </si>
  <si>
    <t>2/0/1</t>
    <phoneticPr fontId="4" type="noConversion"/>
  </si>
  <si>
    <t>2/0/2</t>
    <phoneticPr fontId="4" type="noConversion"/>
  </si>
  <si>
    <t>강화된 사격</t>
    <phoneticPr fontId="4" type="noConversion"/>
  </si>
  <si>
    <t>강화 사격</t>
    <phoneticPr fontId="4" type="noConversion"/>
  </si>
  <si>
    <t>1/0/2</t>
    <phoneticPr fontId="4" type="noConversion"/>
  </si>
  <si>
    <t>출혈 효과</t>
    <phoneticPr fontId="4" type="noConversion"/>
  </si>
  <si>
    <t>정밀 사격</t>
    <phoneticPr fontId="4" type="noConversion"/>
  </si>
  <si>
    <t>마무리 사격</t>
    <phoneticPr fontId="4" type="noConversion"/>
  </si>
  <si>
    <t>제보 부탁드립니다</t>
    <phoneticPr fontId="4" type="noConversion"/>
  </si>
  <si>
    <t>피격이상 중</t>
    <phoneticPr fontId="4" type="noConversion"/>
  </si>
  <si>
    <t>피격이상 중</t>
    <phoneticPr fontId="4" type="noConversion"/>
  </si>
  <si>
    <t>더블 샷</t>
    <phoneticPr fontId="4" type="noConversion"/>
  </si>
  <si>
    <t>*트라이포드 2레벨 이상 미구현 목록(상태이상류)</t>
    <phoneticPr fontId="4" type="noConversion"/>
  </si>
  <si>
    <t>1. 스킬 계수 수정 (완료)</t>
    <phoneticPr fontId="4" type="noConversion"/>
  </si>
  <si>
    <t>3. 아브무기 18강 기준 공격력 보정 (완료)</t>
    <phoneticPr fontId="4" type="noConversion"/>
  </si>
  <si>
    <t>마지막 빛</t>
    <phoneticPr fontId="4" type="noConversion"/>
  </si>
  <si>
    <t>4. 핸드거너 각성기 (완료)</t>
    <phoneticPr fontId="4" type="noConversion"/>
  </si>
  <si>
    <t>6. 패치로 인한 트포 변경 (완료)</t>
    <phoneticPr fontId="4" type="noConversion"/>
  </si>
  <si>
    <t>치명확률(스탯)</t>
    <phoneticPr fontId="4" type="noConversion"/>
  </si>
  <si>
    <t>연사력 강화</t>
    <phoneticPr fontId="4" type="noConversion"/>
  </si>
  <si>
    <t>5. 11렙, 12렙... 필요한가?</t>
    <phoneticPr fontId="4" type="noConversion"/>
  </si>
  <si>
    <t>7. 장비(사멸, 악몽, 환각)</t>
    <phoneticPr fontId="4" type="noConversion"/>
  </si>
  <si>
    <t>평균</t>
    <phoneticPr fontId="4" type="noConversion"/>
  </si>
  <si>
    <t>생명50%이하</t>
  </si>
  <si>
    <t>생명50%이하</t>
    <phoneticPr fontId="4" type="noConversion"/>
  </si>
  <si>
    <t>화상</t>
    <phoneticPr fontId="4" type="noConversion"/>
  </si>
  <si>
    <t>생명40%이하</t>
  </si>
  <si>
    <t>생명40%이하</t>
    <phoneticPr fontId="4" type="noConversion"/>
  </si>
  <si>
    <t>9. 라이플 가중조화평균 DPS https://www.inven.co.kr/board/lostark/5708/747 (완료)</t>
    <phoneticPr fontId="4" type="noConversion"/>
  </si>
  <si>
    <t>아드레날린</t>
    <phoneticPr fontId="4" type="noConversion"/>
  </si>
  <si>
    <t>돌격대장</t>
    <phoneticPr fontId="4" type="noConversion"/>
  </si>
  <si>
    <t>정밀 단도</t>
    <phoneticPr fontId="4" type="noConversion"/>
  </si>
  <si>
    <t>질량 증가</t>
    <phoneticPr fontId="4" type="noConversion"/>
  </si>
  <si>
    <t>2. 기습 곱연산 -&gt; 합연산 (완료)</t>
    <phoneticPr fontId="4" type="noConversion"/>
  </si>
  <si>
    <t>&lt; 0929 업데이트 &gt;</t>
    <phoneticPr fontId="4" type="noConversion"/>
  </si>
  <si>
    <t>저받인 등 추가 공격력</t>
    <phoneticPr fontId="4" type="noConversion"/>
  </si>
  <si>
    <t>공격속도(최종)</t>
    <phoneticPr fontId="4" type="noConversion"/>
  </si>
  <si>
    <t>쿨타임(최종)</t>
    <phoneticPr fontId="4" type="noConversion"/>
  </si>
  <si>
    <t>이동속도(최종)</t>
    <phoneticPr fontId="4" type="noConversion"/>
  </si>
  <si>
    <t>정기 흡수</t>
    <phoneticPr fontId="4" type="noConversion"/>
  </si>
  <si>
    <t>8. 아드레날린, 정기흡수, 돌격대장, 정밀 단도, 질량 증가 (완료)</t>
    <phoneticPr fontId="4" type="noConversion"/>
  </si>
  <si>
    <t>&lt; 1014 업데이트 &gt;</t>
    <phoneticPr fontId="4" type="noConversion"/>
  </si>
  <si>
    <t>1. 이퀄리브리엄 화상 트포, 퍼펙트샷 출혈 트포 레벨별 데미지 적용 완료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</si>
</sst>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 "/>
  </numFmts>
  <fonts count="18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9" tint="-0.249977111117893"/>
      <name val="맑은 고딕"/>
      <family val="2"/>
      <charset val="129"/>
      <scheme val="minor"/>
    </font>
    <font>
      <sz val="9"/>
      <color theme="9" tint="-0.249977111117893"/>
      <name val="맑은 고딕"/>
      <family val="3"/>
      <charset val="129"/>
      <scheme val="minor"/>
    </font>
    <font>
      <sz val="9"/>
      <color rgb="FF00B0F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7030A0"/>
      <name val="맑은 고딕"/>
      <family val="2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trike/>
      <sz val="11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9B"/>
        <bgColor indexed="64"/>
      </patternFill>
    </fill>
    <fill>
      <patternFill patternType="solid">
        <fgColor rgb="FFFFE137"/>
        <bgColor indexed="64"/>
      </patternFill>
    </fill>
    <fill>
      <patternFill patternType="solid">
        <fgColor rgb="FF96E1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7" xfId="0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7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49" fontId="6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4" fontId="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6" fillId="4" borderId="6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176" fontId="6" fillId="4" borderId="17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1" fillId="3" borderId="9" xfId="0" applyFont="1" applyFill="1" applyBorder="1">
      <alignment vertical="center"/>
    </xf>
    <xf numFmtId="177" fontId="1" fillId="2" borderId="5" xfId="0" applyNumberFormat="1" applyFont="1" applyFill="1" applyBorder="1">
      <alignment vertical="center"/>
    </xf>
    <xf numFmtId="177" fontId="1" fillId="0" borderId="7" xfId="0" applyNumberFormat="1" applyFont="1" applyBorder="1">
      <alignment vertical="center"/>
    </xf>
    <xf numFmtId="177" fontId="1" fillId="2" borderId="7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3" xfId="0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7" xfId="0" applyNumberFormat="1" applyFont="1" applyFill="1" applyBorder="1">
      <alignment vertical="center"/>
    </xf>
    <xf numFmtId="176" fontId="1" fillId="0" borderId="9" xfId="0" applyNumberFormat="1" applyFont="1" applyBorder="1">
      <alignment vertical="center"/>
    </xf>
    <xf numFmtId="0" fontId="6" fillId="5" borderId="0" xfId="0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2" fillId="5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B9FF9B"/>
      <color rgb="FFFFE137"/>
      <color rgb="FF96E1FF"/>
      <color rgb="FF37C8FF"/>
      <color rgb="FFE1FF9B"/>
      <color rgb="FF4C98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5"/>
  <sheetViews>
    <sheetView workbookViewId="0"/>
  </sheetViews>
  <sheetFormatPr defaultColWidth="11.875" defaultRowHeight="13.5" customHeight="1" x14ac:dyDescent="0.3"/>
  <cols>
    <col min="1" max="1" width="6.25" style="1" customWidth="1"/>
    <col min="2" max="3" width="11.875" style="1"/>
    <col min="4" max="4" width="6.25" style="1" customWidth="1"/>
    <col min="5" max="6" width="11.875" style="1" customWidth="1"/>
    <col min="7" max="7" width="4.375" style="1" customWidth="1"/>
    <col min="8" max="9" width="11.875" style="1" customWidth="1"/>
    <col min="10" max="10" width="4.375" style="1" customWidth="1"/>
    <col min="11" max="12" width="11.875" style="1" customWidth="1"/>
    <col min="13" max="13" width="4.375" style="1" customWidth="1"/>
    <col min="14" max="16384" width="11.875" style="1"/>
  </cols>
  <sheetData>
    <row r="2" spans="2:13" ht="13.5" customHeight="1" thickBot="1" x14ac:dyDescent="0.35">
      <c r="B2" s="92" t="s">
        <v>273</v>
      </c>
      <c r="C2" s="92"/>
      <c r="E2" s="92" t="s">
        <v>275</v>
      </c>
      <c r="F2" s="92"/>
      <c r="G2" s="92"/>
      <c r="H2" s="92"/>
      <c r="I2" s="92"/>
      <c r="J2" s="92"/>
      <c r="K2" s="92"/>
      <c r="L2" s="92"/>
      <c r="M2" s="92"/>
    </row>
    <row r="3" spans="2:13" ht="13.5" customHeight="1" thickBot="1" x14ac:dyDescent="0.35">
      <c r="B3" s="11" t="s">
        <v>24</v>
      </c>
      <c r="C3" s="57">
        <v>598</v>
      </c>
      <c r="E3" s="93" t="s">
        <v>279</v>
      </c>
      <c r="F3" s="94"/>
      <c r="G3" s="94"/>
      <c r="H3" s="93" t="s">
        <v>280</v>
      </c>
      <c r="I3" s="94"/>
      <c r="J3" s="95"/>
      <c r="K3" s="94" t="s">
        <v>281</v>
      </c>
      <c r="L3" s="94"/>
      <c r="M3" s="95"/>
    </row>
    <row r="4" spans="2:13" ht="13.5" customHeight="1" x14ac:dyDescent="0.3">
      <c r="B4" s="11" t="s">
        <v>25</v>
      </c>
      <c r="C4" s="57">
        <v>1668</v>
      </c>
      <c r="E4" s="104" t="s">
        <v>276</v>
      </c>
      <c r="F4" s="72" t="s">
        <v>277</v>
      </c>
      <c r="G4" s="40">
        <v>1</v>
      </c>
      <c r="H4" s="102" t="s">
        <v>323</v>
      </c>
      <c r="I4" s="76" t="s">
        <v>316</v>
      </c>
      <c r="J4" s="64">
        <v>1</v>
      </c>
      <c r="K4" s="107" t="s">
        <v>337</v>
      </c>
      <c r="L4" s="78" t="s">
        <v>338</v>
      </c>
      <c r="M4" s="70">
        <v>1</v>
      </c>
    </row>
    <row r="5" spans="2:13" ht="13.5" customHeight="1" x14ac:dyDescent="0.3">
      <c r="B5" s="11" t="s">
        <v>26</v>
      </c>
      <c r="C5" s="57">
        <v>54</v>
      </c>
      <c r="E5" s="98"/>
      <c r="F5" s="73" t="s">
        <v>278</v>
      </c>
      <c r="G5" s="71">
        <v>1</v>
      </c>
      <c r="H5" s="100"/>
      <c r="I5" s="76" t="s">
        <v>379</v>
      </c>
      <c r="J5" s="64">
        <v>1</v>
      </c>
      <c r="K5" s="108"/>
      <c r="L5" s="72" t="s">
        <v>339</v>
      </c>
      <c r="M5" s="64">
        <v>1</v>
      </c>
    </row>
    <row r="6" spans="2:13" ht="13.5" customHeight="1" x14ac:dyDescent="0.3">
      <c r="B6" s="11" t="s">
        <v>29</v>
      </c>
      <c r="C6" s="57">
        <v>45662</v>
      </c>
      <c r="E6" s="96" t="s">
        <v>282</v>
      </c>
      <c r="F6" s="72" t="s">
        <v>283</v>
      </c>
      <c r="G6" s="40">
        <v>1</v>
      </c>
      <c r="H6" s="100"/>
      <c r="I6" s="72" t="s">
        <v>324</v>
      </c>
      <c r="J6" s="64">
        <v>1</v>
      </c>
      <c r="K6" s="108"/>
      <c r="L6" s="72" t="s">
        <v>340</v>
      </c>
      <c r="M6" s="64">
        <v>1</v>
      </c>
    </row>
    <row r="7" spans="2:13" ht="13.5" customHeight="1" x14ac:dyDescent="0.3">
      <c r="B7" s="11" t="s">
        <v>93</v>
      </c>
      <c r="C7" s="57">
        <v>139353</v>
      </c>
      <c r="E7" s="97"/>
      <c r="F7" s="72" t="s">
        <v>284</v>
      </c>
      <c r="G7" s="40">
        <v>1</v>
      </c>
      <c r="H7" s="100"/>
      <c r="I7" s="72" t="s">
        <v>320</v>
      </c>
      <c r="J7" s="64">
        <v>1</v>
      </c>
      <c r="K7" s="108"/>
      <c r="L7" s="74" t="s">
        <v>341</v>
      </c>
      <c r="M7" s="64">
        <v>1</v>
      </c>
    </row>
    <row r="8" spans="2:13" ht="13.5" customHeight="1" x14ac:dyDescent="0.3">
      <c r="B8" s="11"/>
      <c r="C8" s="12"/>
      <c r="E8" s="97"/>
      <c r="F8" s="72" t="s">
        <v>285</v>
      </c>
      <c r="G8" s="40">
        <v>1</v>
      </c>
      <c r="H8" s="100"/>
      <c r="I8" s="74" t="s">
        <v>325</v>
      </c>
      <c r="J8" s="64">
        <v>1</v>
      </c>
      <c r="K8" s="106"/>
      <c r="L8" s="75" t="s">
        <v>342</v>
      </c>
      <c r="M8" s="71">
        <v>1</v>
      </c>
    </row>
    <row r="9" spans="2:13" ht="13.5" customHeight="1" x14ac:dyDescent="0.3">
      <c r="B9" s="11" t="s">
        <v>64</v>
      </c>
      <c r="C9" s="57">
        <v>0</v>
      </c>
      <c r="E9" s="97"/>
      <c r="F9" s="74" t="s">
        <v>286</v>
      </c>
      <c r="G9" s="40">
        <v>1</v>
      </c>
      <c r="H9" s="101"/>
      <c r="I9" s="75" t="s">
        <v>326</v>
      </c>
      <c r="J9" s="71">
        <v>1</v>
      </c>
      <c r="K9" s="105" t="s">
        <v>343</v>
      </c>
      <c r="L9" s="72" t="s">
        <v>340</v>
      </c>
      <c r="M9" s="64">
        <v>1</v>
      </c>
    </row>
    <row r="10" spans="2:13" ht="13.5" customHeight="1" x14ac:dyDescent="0.3">
      <c r="B10" s="11" t="s">
        <v>170</v>
      </c>
      <c r="C10" s="57">
        <v>0</v>
      </c>
      <c r="E10" s="98"/>
      <c r="F10" s="75" t="s">
        <v>287</v>
      </c>
      <c r="G10" s="71">
        <v>1</v>
      </c>
      <c r="H10" s="99" t="s">
        <v>49</v>
      </c>
      <c r="I10" s="76" t="s">
        <v>320</v>
      </c>
      <c r="J10" s="64">
        <v>1</v>
      </c>
      <c r="K10" s="108"/>
      <c r="L10" s="72" t="s">
        <v>344</v>
      </c>
      <c r="M10" s="64">
        <v>1</v>
      </c>
    </row>
    <row r="11" spans="2:13" ht="13.5" customHeight="1" x14ac:dyDescent="0.3">
      <c r="B11" s="11"/>
      <c r="C11" s="12"/>
      <c r="E11" s="96" t="s">
        <v>288</v>
      </c>
      <c r="F11" s="76" t="s">
        <v>289</v>
      </c>
      <c r="G11" s="40">
        <v>1</v>
      </c>
      <c r="H11" s="100"/>
      <c r="I11" s="72" t="s">
        <v>380</v>
      </c>
      <c r="J11" s="64">
        <v>1</v>
      </c>
      <c r="K11" s="106"/>
      <c r="L11" s="75" t="s">
        <v>345</v>
      </c>
      <c r="M11" s="71">
        <v>1</v>
      </c>
    </row>
    <row r="12" spans="2:13" ht="13.5" customHeight="1" x14ac:dyDescent="0.3">
      <c r="B12" s="11" t="s">
        <v>63</v>
      </c>
      <c r="C12" s="57">
        <v>0</v>
      </c>
      <c r="E12" s="97"/>
      <c r="F12" s="72" t="s">
        <v>290</v>
      </c>
      <c r="G12" s="40">
        <v>1</v>
      </c>
      <c r="H12" s="100"/>
      <c r="I12" s="72" t="s">
        <v>381</v>
      </c>
      <c r="J12" s="64">
        <v>1</v>
      </c>
      <c r="K12" s="109" t="s">
        <v>354</v>
      </c>
      <c r="L12" s="76" t="s">
        <v>340</v>
      </c>
      <c r="M12" s="64">
        <v>1</v>
      </c>
    </row>
    <row r="13" spans="2:13" ht="13.5" customHeight="1" x14ac:dyDescent="0.3">
      <c r="B13" s="11" t="s">
        <v>28</v>
      </c>
      <c r="C13" s="57">
        <v>0</v>
      </c>
      <c r="E13" s="97"/>
      <c r="F13" s="74" t="s">
        <v>291</v>
      </c>
      <c r="G13" s="40">
        <v>1</v>
      </c>
      <c r="H13" s="100"/>
      <c r="I13" s="74" t="s">
        <v>383</v>
      </c>
      <c r="J13" s="64">
        <v>1</v>
      </c>
      <c r="K13" s="108"/>
      <c r="L13" s="72" t="s">
        <v>346</v>
      </c>
      <c r="M13" s="64">
        <v>1</v>
      </c>
    </row>
    <row r="14" spans="2:13" ht="13.5" customHeight="1" x14ac:dyDescent="0.3">
      <c r="B14" s="11"/>
      <c r="C14" s="12"/>
      <c r="E14" s="98"/>
      <c r="F14" s="75" t="s">
        <v>292</v>
      </c>
      <c r="G14" s="71">
        <v>1</v>
      </c>
      <c r="H14" s="101"/>
      <c r="I14" s="75" t="s">
        <v>382</v>
      </c>
      <c r="J14" s="71">
        <v>1</v>
      </c>
      <c r="K14" s="108"/>
      <c r="L14" s="74" t="s">
        <v>347</v>
      </c>
      <c r="M14" s="64">
        <v>1</v>
      </c>
    </row>
    <row r="15" spans="2:13" ht="13.5" customHeight="1" x14ac:dyDescent="0.3">
      <c r="B15" s="11" t="s">
        <v>27</v>
      </c>
      <c r="C15" s="57">
        <v>0</v>
      </c>
      <c r="E15" s="96" t="s">
        <v>293</v>
      </c>
      <c r="F15" s="72" t="s">
        <v>294</v>
      </c>
      <c r="G15" s="40">
        <v>1</v>
      </c>
      <c r="H15" s="99" t="s">
        <v>50</v>
      </c>
      <c r="I15" s="76" t="s">
        <v>316</v>
      </c>
      <c r="J15" s="64">
        <v>1</v>
      </c>
      <c r="K15" s="106"/>
      <c r="L15" s="75" t="s">
        <v>348</v>
      </c>
      <c r="M15" s="71">
        <v>1</v>
      </c>
    </row>
    <row r="16" spans="2:13" ht="13.5" customHeight="1" x14ac:dyDescent="0.3">
      <c r="B16" s="11" t="s">
        <v>304</v>
      </c>
      <c r="C16" s="57">
        <v>0</v>
      </c>
      <c r="E16" s="97"/>
      <c r="F16" s="74" t="s">
        <v>295</v>
      </c>
      <c r="G16" s="40">
        <v>1</v>
      </c>
      <c r="H16" s="100"/>
      <c r="I16" s="76" t="s">
        <v>379</v>
      </c>
      <c r="J16" s="64">
        <v>1</v>
      </c>
      <c r="K16" s="105" t="s">
        <v>349</v>
      </c>
      <c r="L16" s="76" t="s">
        <v>350</v>
      </c>
      <c r="M16" s="64">
        <v>1</v>
      </c>
    </row>
    <row r="17" spans="2:13" ht="13.5" customHeight="1" x14ac:dyDescent="0.3">
      <c r="B17" s="11" t="s">
        <v>305</v>
      </c>
      <c r="C17" s="57">
        <v>0</v>
      </c>
      <c r="D17" s="2"/>
      <c r="E17" s="98"/>
      <c r="F17" s="75" t="s">
        <v>296</v>
      </c>
      <c r="G17" s="71">
        <v>1</v>
      </c>
      <c r="H17" s="100"/>
      <c r="I17" s="72" t="s">
        <v>324</v>
      </c>
      <c r="J17" s="64">
        <v>1</v>
      </c>
      <c r="K17" s="106"/>
      <c r="L17" s="72" t="s">
        <v>324</v>
      </c>
      <c r="M17" s="64">
        <v>1</v>
      </c>
    </row>
    <row r="18" spans="2:13" ht="13.5" customHeight="1" x14ac:dyDescent="0.3">
      <c r="B18" s="11" t="s">
        <v>306</v>
      </c>
      <c r="C18" s="57">
        <v>0</v>
      </c>
      <c r="E18" s="96" t="s">
        <v>297</v>
      </c>
      <c r="F18" s="76" t="s">
        <v>298</v>
      </c>
      <c r="G18" s="40">
        <v>1</v>
      </c>
      <c r="H18" s="100"/>
      <c r="I18" s="72" t="s">
        <v>320</v>
      </c>
      <c r="J18" s="64">
        <v>1</v>
      </c>
      <c r="K18" s="105" t="s">
        <v>351</v>
      </c>
      <c r="L18" s="79" t="s">
        <v>395</v>
      </c>
      <c r="M18" s="69">
        <v>1</v>
      </c>
    </row>
    <row r="19" spans="2:13" ht="13.5" customHeight="1" x14ac:dyDescent="0.3">
      <c r="B19" s="11" t="s">
        <v>419</v>
      </c>
      <c r="C19" s="57">
        <v>0</v>
      </c>
      <c r="E19" s="97"/>
      <c r="F19" s="72" t="s">
        <v>299</v>
      </c>
      <c r="G19" s="40">
        <v>1</v>
      </c>
      <c r="H19" s="100"/>
      <c r="I19" s="74" t="s">
        <v>327</v>
      </c>
      <c r="J19" s="64">
        <v>1</v>
      </c>
      <c r="K19" s="108"/>
      <c r="L19" s="76" t="s">
        <v>396</v>
      </c>
      <c r="M19" s="64">
        <v>1</v>
      </c>
    </row>
    <row r="20" spans="2:13" ht="13.5" customHeight="1" x14ac:dyDescent="0.3">
      <c r="B20" s="11"/>
      <c r="C20" s="12"/>
      <c r="E20" s="97"/>
      <c r="F20" s="72" t="s">
        <v>300</v>
      </c>
      <c r="G20" s="40">
        <v>1</v>
      </c>
      <c r="H20" s="101"/>
      <c r="I20" s="75" t="s">
        <v>328</v>
      </c>
      <c r="J20" s="71">
        <v>1</v>
      </c>
      <c r="K20" s="108"/>
      <c r="L20" s="76" t="s">
        <v>397</v>
      </c>
      <c r="M20" s="64">
        <v>1</v>
      </c>
    </row>
    <row r="21" spans="2:13" ht="13.5" customHeight="1" x14ac:dyDescent="0.3">
      <c r="B21" s="11" t="s">
        <v>420</v>
      </c>
      <c r="C21" s="57">
        <v>0</v>
      </c>
      <c r="E21" s="97"/>
      <c r="F21" s="74" t="s">
        <v>301</v>
      </c>
      <c r="G21" s="40">
        <v>1</v>
      </c>
      <c r="H21" s="99" t="s">
        <v>51</v>
      </c>
      <c r="I21" s="76" t="s">
        <v>379</v>
      </c>
      <c r="J21" s="64">
        <v>1</v>
      </c>
      <c r="K21" s="108"/>
      <c r="L21" s="74" t="s">
        <v>392</v>
      </c>
      <c r="M21" s="64">
        <v>1</v>
      </c>
    </row>
    <row r="22" spans="2:13" ht="13.5" customHeight="1" x14ac:dyDescent="0.3">
      <c r="B22" s="11" t="s">
        <v>429</v>
      </c>
      <c r="C22" s="57">
        <v>0</v>
      </c>
      <c r="E22" s="98"/>
      <c r="F22" s="75" t="s">
        <v>302</v>
      </c>
      <c r="G22" s="71">
        <v>1</v>
      </c>
      <c r="H22" s="100"/>
      <c r="I22" s="76" t="s">
        <v>316</v>
      </c>
      <c r="J22" s="64">
        <v>1</v>
      </c>
      <c r="K22" s="68"/>
      <c r="L22" s="40"/>
      <c r="M22" s="64"/>
    </row>
    <row r="23" spans="2:13" ht="13.5" customHeight="1" x14ac:dyDescent="0.3">
      <c r="B23" s="11" t="s">
        <v>421</v>
      </c>
      <c r="C23" s="57">
        <v>0</v>
      </c>
      <c r="E23" s="96" t="s">
        <v>303</v>
      </c>
      <c r="F23" s="72" t="s">
        <v>307</v>
      </c>
      <c r="G23" s="40">
        <v>1</v>
      </c>
      <c r="H23" s="100"/>
      <c r="I23" s="72" t="s">
        <v>329</v>
      </c>
      <c r="J23" s="64">
        <v>1</v>
      </c>
      <c r="K23" s="68"/>
      <c r="L23" s="40"/>
      <c r="M23" s="64"/>
    </row>
    <row r="24" spans="2:13" ht="13.5" customHeight="1" x14ac:dyDescent="0.3">
      <c r="B24" s="11" t="s">
        <v>422</v>
      </c>
      <c r="C24" s="57">
        <v>0</v>
      </c>
      <c r="E24" s="97"/>
      <c r="F24" s="72" t="s">
        <v>294</v>
      </c>
      <c r="G24" s="40">
        <v>1</v>
      </c>
      <c r="H24" s="100"/>
      <c r="I24" s="84" t="s">
        <v>393</v>
      </c>
      <c r="J24" s="64">
        <v>1</v>
      </c>
      <c r="K24" s="68"/>
      <c r="L24" s="40"/>
      <c r="M24" s="64"/>
    </row>
    <row r="25" spans="2:13" ht="13.5" customHeight="1" x14ac:dyDescent="0.3">
      <c r="B25" s="11"/>
      <c r="C25" s="12"/>
      <c r="E25" s="98"/>
      <c r="F25" s="75" t="s">
        <v>308</v>
      </c>
      <c r="G25" s="71">
        <v>1</v>
      </c>
      <c r="H25" s="100"/>
      <c r="I25" s="74" t="s">
        <v>330</v>
      </c>
      <c r="J25" s="64">
        <v>1</v>
      </c>
      <c r="K25" s="68"/>
      <c r="L25" s="40"/>
      <c r="M25" s="64"/>
    </row>
    <row r="26" spans="2:13" ht="13.5" customHeight="1" thickBot="1" x14ac:dyDescent="0.35">
      <c r="B26" s="13" t="s">
        <v>122</v>
      </c>
      <c r="C26" s="58">
        <v>0</v>
      </c>
      <c r="E26" s="96" t="s">
        <v>309</v>
      </c>
      <c r="F26" s="72" t="s">
        <v>367</v>
      </c>
      <c r="G26" s="40">
        <v>1</v>
      </c>
      <c r="H26" s="101"/>
      <c r="I26" s="75" t="s">
        <v>331</v>
      </c>
      <c r="J26" s="71">
        <v>1</v>
      </c>
      <c r="K26" s="68"/>
      <c r="L26" s="40"/>
      <c r="M26" s="64"/>
    </row>
    <row r="27" spans="2:13" ht="13.5" customHeight="1" x14ac:dyDescent="0.3">
      <c r="E27" s="97"/>
      <c r="F27" s="72" t="s">
        <v>368</v>
      </c>
      <c r="G27" s="40">
        <v>1</v>
      </c>
      <c r="H27" s="99" t="s">
        <v>52</v>
      </c>
      <c r="I27" s="76" t="s">
        <v>320</v>
      </c>
      <c r="J27" s="64">
        <v>1</v>
      </c>
      <c r="K27" s="68"/>
      <c r="L27" s="40"/>
      <c r="M27" s="64"/>
    </row>
    <row r="28" spans="2:13" ht="13.5" customHeight="1" thickBot="1" x14ac:dyDescent="0.35">
      <c r="B28" s="92" t="s">
        <v>274</v>
      </c>
      <c r="C28" s="92"/>
      <c r="E28" s="97"/>
      <c r="F28" s="72" t="s">
        <v>369</v>
      </c>
      <c r="G28" s="40">
        <v>1</v>
      </c>
      <c r="H28" s="100"/>
      <c r="I28" s="76" t="s">
        <v>332</v>
      </c>
      <c r="J28" s="64">
        <v>1</v>
      </c>
      <c r="K28" s="68"/>
      <c r="L28" s="40"/>
      <c r="M28" s="64"/>
    </row>
    <row r="29" spans="2:13" ht="13.5" customHeight="1" x14ac:dyDescent="0.3">
      <c r="B29" s="10" t="s">
        <v>352</v>
      </c>
      <c r="C29" s="59">
        <f>SUM(C30:C31)</f>
        <v>32565.494016224726</v>
      </c>
      <c r="E29" s="97"/>
      <c r="F29" s="74" t="s">
        <v>370</v>
      </c>
      <c r="G29" s="64">
        <v>1</v>
      </c>
      <c r="H29" s="100"/>
      <c r="I29" s="72" t="s">
        <v>333</v>
      </c>
      <c r="J29" s="64">
        <v>1</v>
      </c>
      <c r="K29" s="68"/>
      <c r="L29" s="40"/>
      <c r="M29" s="64"/>
    </row>
    <row r="30" spans="2:13" ht="13.5" customHeight="1" x14ac:dyDescent="0.3">
      <c r="B30" s="11" t="s">
        <v>353</v>
      </c>
      <c r="C30" s="61">
        <f>SQRT(입력란!C6)*SQRT(입력란!C7)*0.4082461</f>
        <v>32565.494016224726</v>
      </c>
      <c r="E30" s="98"/>
      <c r="F30" s="75" t="s">
        <v>371</v>
      </c>
      <c r="G30" s="71">
        <v>1</v>
      </c>
      <c r="H30" s="100"/>
      <c r="I30" s="72" t="s">
        <v>334</v>
      </c>
      <c r="J30" s="64">
        <v>1</v>
      </c>
      <c r="K30" s="85"/>
      <c r="L30" s="40"/>
      <c r="M30" s="64"/>
    </row>
    <row r="31" spans="2:13" ht="13.5" customHeight="1" x14ac:dyDescent="0.3">
      <c r="B31" s="11" t="s">
        <v>425</v>
      </c>
      <c r="C31" s="61">
        <f>IF(C17=1,C30*0.03,IF(C17=2,C30*0.08,IF(C17=3,C30*0.16,0)))+IF(C19=1,C30*0.018,IF(C19=2,C30*0.036,IF(C19=3,C30*0.06,0)))+IF(C24=1,C30*0.4,IF(C24=2,C30*0.1,IF(C24=3,C30*0.18,0)))</f>
        <v>0</v>
      </c>
      <c r="E31" s="97" t="s">
        <v>310</v>
      </c>
      <c r="F31" s="76" t="s">
        <v>311</v>
      </c>
      <c r="G31" s="40">
        <v>1</v>
      </c>
      <c r="H31" s="100"/>
      <c r="I31" s="72" t="s">
        <v>335</v>
      </c>
      <c r="J31" s="64">
        <v>1</v>
      </c>
      <c r="L31" s="40"/>
      <c r="M31" s="64"/>
    </row>
    <row r="32" spans="2:13" ht="13.5" customHeight="1" x14ac:dyDescent="0.3">
      <c r="B32" s="11"/>
      <c r="C32" s="60"/>
      <c r="E32" s="97"/>
      <c r="F32" s="72" t="s">
        <v>312</v>
      </c>
      <c r="G32" s="40">
        <v>1</v>
      </c>
      <c r="H32" s="100"/>
      <c r="I32" s="74" t="s">
        <v>401</v>
      </c>
      <c r="J32" s="64">
        <v>1</v>
      </c>
      <c r="K32" s="86" t="s">
        <v>402</v>
      </c>
      <c r="L32" s="40"/>
      <c r="M32" s="64"/>
    </row>
    <row r="33" spans="2:13" ht="13.5" customHeight="1" x14ac:dyDescent="0.3">
      <c r="B33" s="11" t="s">
        <v>408</v>
      </c>
      <c r="C33" s="61">
        <f>입력란!C3*0.03577694</f>
        <v>21.394610119999999</v>
      </c>
      <c r="E33" s="98"/>
      <c r="F33" s="75" t="s">
        <v>313</v>
      </c>
      <c r="G33" s="71">
        <v>1</v>
      </c>
      <c r="H33" s="100"/>
      <c r="I33" s="74" t="s">
        <v>336</v>
      </c>
      <c r="J33" s="64">
        <v>1</v>
      </c>
      <c r="K33" s="86"/>
      <c r="L33" s="40"/>
      <c r="M33" s="64"/>
    </row>
    <row r="34" spans="2:13" ht="13.5" customHeight="1" x14ac:dyDescent="0.3">
      <c r="B34" s="11" t="s">
        <v>30</v>
      </c>
      <c r="C34" s="61">
        <f>입력란!C5*0.017170986</f>
        <v>0.92723324399999996</v>
      </c>
      <c r="E34" s="96" t="s">
        <v>314</v>
      </c>
      <c r="F34" s="76" t="s">
        <v>315</v>
      </c>
      <c r="G34" s="40">
        <v>1</v>
      </c>
      <c r="H34" s="11"/>
      <c r="I34" s="8"/>
      <c r="J34" s="12"/>
      <c r="K34" s="86" t="s">
        <v>355</v>
      </c>
      <c r="L34" s="40"/>
      <c r="M34" s="64"/>
    </row>
    <row r="35" spans="2:13" ht="13.5" customHeight="1" x14ac:dyDescent="0.3">
      <c r="B35" s="11" t="s">
        <v>31</v>
      </c>
      <c r="C35" s="61">
        <f>입력란!C5*0.021468443</f>
        <v>1.1592959220000001</v>
      </c>
      <c r="E35" s="98"/>
      <c r="F35" s="73" t="s">
        <v>316</v>
      </c>
      <c r="G35" s="71">
        <v>1</v>
      </c>
      <c r="H35" s="66"/>
      <c r="I35" s="40"/>
      <c r="J35" s="64"/>
      <c r="K35" s="86"/>
      <c r="L35" s="40"/>
      <c r="M35" s="64"/>
    </row>
    <row r="36" spans="2:13" ht="13.5" customHeight="1" x14ac:dyDescent="0.3">
      <c r="B36" s="11"/>
      <c r="C36" s="60"/>
      <c r="E36" s="96" t="s">
        <v>317</v>
      </c>
      <c r="F36" s="72" t="s">
        <v>290</v>
      </c>
      <c r="G36" s="40">
        <v>1</v>
      </c>
      <c r="H36" s="66"/>
      <c r="I36" s="40"/>
      <c r="J36" s="64"/>
      <c r="K36" s="86" t="s">
        <v>356</v>
      </c>
      <c r="L36" s="40"/>
      <c r="M36" s="64"/>
    </row>
    <row r="37" spans="2:13" ht="13.5" customHeight="1" x14ac:dyDescent="0.3">
      <c r="B37" s="11" t="s">
        <v>426</v>
      </c>
      <c r="C37" s="61">
        <f>IF(입력란!C5*0.017170986+IF(C22=1,3,IF(C22=2,8,IF(C22=3,15,0)))+IF(C24&lt;&gt;0,-10)&gt;40,40,입력란!C5*0.017170986+IF(C22=1,3,IF(C22=2,8,IF(C22=3,15,0)))+IF(C24&lt;&gt;0,-10))</f>
        <v>0.92723324399999996</v>
      </c>
      <c r="E37" s="97"/>
      <c r="F37" s="72" t="s">
        <v>318</v>
      </c>
      <c r="G37" s="40">
        <v>1</v>
      </c>
      <c r="H37" s="66"/>
      <c r="I37" s="40"/>
      <c r="J37" s="64"/>
      <c r="K37" s="86" t="s">
        <v>357</v>
      </c>
      <c r="L37" s="40"/>
      <c r="M37" s="64"/>
    </row>
    <row r="38" spans="2:13" ht="13.5" customHeight="1" x14ac:dyDescent="0.3">
      <c r="B38" s="11" t="s">
        <v>428</v>
      </c>
      <c r="C38" s="61">
        <f>IF(입력란!C5*0.017170986+IF(C22=1,3,IF(C22=2,8,IF(C22=3,15,0)))&gt;40,40,입력란!C5*0.017170986+IF(C22=1,3,IF(C22=2,8,IF(C22=3,15,0))))</f>
        <v>0.92723324399999996</v>
      </c>
      <c r="E38" s="98"/>
      <c r="F38" s="75" t="s">
        <v>405</v>
      </c>
      <c r="G38" s="71">
        <v>1</v>
      </c>
      <c r="H38" s="66"/>
      <c r="I38" s="40"/>
      <c r="J38" s="64"/>
      <c r="K38" s="86" t="s">
        <v>359</v>
      </c>
      <c r="L38" s="40"/>
      <c r="M38" s="64"/>
    </row>
    <row r="39" spans="2:13" ht="13.5" customHeight="1" x14ac:dyDescent="0.3">
      <c r="B39" s="11" t="s">
        <v>427</v>
      </c>
      <c r="C39" s="61">
        <f>입력란!C5*0.021468443</f>
        <v>1.1592959220000001</v>
      </c>
      <c r="E39" s="96" t="s">
        <v>319</v>
      </c>
      <c r="F39" s="72" t="s">
        <v>294</v>
      </c>
      <c r="G39" s="40">
        <v>1</v>
      </c>
      <c r="H39" s="66"/>
      <c r="I39" s="40"/>
      <c r="J39" s="64"/>
      <c r="K39" s="86" t="s">
        <v>358</v>
      </c>
      <c r="L39" s="40"/>
      <c r="M39" s="64"/>
    </row>
    <row r="40" spans="2:13" ht="13.5" customHeight="1" x14ac:dyDescent="0.3">
      <c r="B40" s="11"/>
      <c r="C40" s="12"/>
      <c r="E40" s="97"/>
      <c r="F40" s="90" t="s">
        <v>409</v>
      </c>
      <c r="G40" s="12">
        <v>1</v>
      </c>
      <c r="J40" s="12"/>
      <c r="K40" s="86"/>
      <c r="M40" s="64"/>
    </row>
    <row r="41" spans="2:13" ht="13.5" customHeight="1" x14ac:dyDescent="0.3">
      <c r="B41" s="11" t="s">
        <v>32</v>
      </c>
      <c r="C41" s="61">
        <f>입력란!C4*0.1072809</f>
        <v>178.9445412</v>
      </c>
      <c r="E41" s="97"/>
      <c r="F41" s="74" t="s">
        <v>321</v>
      </c>
      <c r="G41" s="40">
        <v>1</v>
      </c>
      <c r="H41" s="66"/>
      <c r="I41" s="40"/>
      <c r="J41" s="64"/>
      <c r="K41" s="86"/>
      <c r="L41" s="40"/>
      <c r="M41" s="12"/>
    </row>
    <row r="42" spans="2:13" ht="13.5" customHeight="1" thickBot="1" x14ac:dyDescent="0.35">
      <c r="B42" s="11" t="s">
        <v>33</v>
      </c>
      <c r="C42" s="61">
        <f>입력란!C4*0.035754016</f>
        <v>59.637698688</v>
      </c>
      <c r="E42" s="103"/>
      <c r="F42" s="77" t="s">
        <v>322</v>
      </c>
      <c r="G42" s="63">
        <v>1</v>
      </c>
      <c r="H42" s="67"/>
      <c r="I42" s="63"/>
      <c r="J42" s="65"/>
      <c r="K42" s="87" t="s">
        <v>398</v>
      </c>
      <c r="L42" s="63"/>
      <c r="M42" s="65"/>
    </row>
    <row r="43" spans="2:13" ht="13.5" customHeight="1" x14ac:dyDescent="0.3">
      <c r="B43" s="11" t="s">
        <v>34</v>
      </c>
      <c r="C43" s="61">
        <f>입력란!C4*0.035754016</f>
        <v>59.637698688</v>
      </c>
    </row>
    <row r="44" spans="2:13" ht="13.5" customHeight="1" x14ac:dyDescent="0.3">
      <c r="B44" s="11" t="s">
        <v>35</v>
      </c>
      <c r="C44" s="61">
        <f>C43*6/10</f>
        <v>35.7826192128</v>
      </c>
    </row>
    <row r="45" spans="2:13" ht="13.5" customHeight="1" x14ac:dyDescent="0.3">
      <c r="B45" s="11" t="s">
        <v>36</v>
      </c>
      <c r="C45" s="61">
        <f>입력란!C4*0.05464642</f>
        <v>91.150228560000002</v>
      </c>
    </row>
    <row r="46" spans="2:13" ht="13.5" customHeight="1" x14ac:dyDescent="0.3">
      <c r="B46" s="11"/>
      <c r="C46" s="12"/>
    </row>
    <row r="47" spans="2:13" ht="13.5" customHeight="1" x14ac:dyDescent="0.3">
      <c r="B47" s="11" t="s">
        <v>89</v>
      </c>
      <c r="C47" s="12">
        <v>200</v>
      </c>
    </row>
    <row r="48" spans="2:13" ht="13.5" customHeight="1" x14ac:dyDescent="0.3">
      <c r="B48" s="11" t="s">
        <v>37</v>
      </c>
      <c r="C48" s="12">
        <v>40</v>
      </c>
    </row>
    <row r="49" spans="2:3" ht="13.5" customHeight="1" x14ac:dyDescent="0.3">
      <c r="B49" s="11" t="s">
        <v>38</v>
      </c>
      <c r="C49" s="12">
        <v>1</v>
      </c>
    </row>
    <row r="50" spans="2:3" ht="13.5" customHeight="1" x14ac:dyDescent="0.3">
      <c r="B50" s="11" t="s">
        <v>39</v>
      </c>
      <c r="C50" s="12">
        <v>2</v>
      </c>
    </row>
    <row r="51" spans="2:3" ht="13.5" customHeight="1" x14ac:dyDescent="0.3">
      <c r="B51" s="11" t="s">
        <v>40</v>
      </c>
      <c r="C51" s="12">
        <v>2</v>
      </c>
    </row>
    <row r="52" spans="2:3" ht="13.5" customHeight="1" x14ac:dyDescent="0.3">
      <c r="B52" s="11"/>
      <c r="C52" s="12"/>
    </row>
    <row r="53" spans="2:3" ht="13.5" customHeight="1" x14ac:dyDescent="0.3">
      <c r="B53" s="11" t="s">
        <v>58</v>
      </c>
      <c r="C53" s="12">
        <v>1.05</v>
      </c>
    </row>
    <row r="54" spans="2:3" ht="13.5" customHeight="1" x14ac:dyDescent="0.3">
      <c r="B54" s="11" t="s">
        <v>59</v>
      </c>
      <c r="C54" s="12">
        <v>10</v>
      </c>
    </row>
    <row r="55" spans="2:3" ht="13.5" customHeight="1" thickBot="1" x14ac:dyDescent="0.35">
      <c r="B55" s="13" t="s">
        <v>184</v>
      </c>
      <c r="C55" s="15">
        <v>1.2</v>
      </c>
    </row>
  </sheetData>
  <mergeCells count="27">
    <mergeCell ref="E39:E42"/>
    <mergeCell ref="K3:M3"/>
    <mergeCell ref="E2:M2"/>
    <mergeCell ref="E4:E5"/>
    <mergeCell ref="E6:E10"/>
    <mergeCell ref="E11:E14"/>
    <mergeCell ref="E36:E38"/>
    <mergeCell ref="K16:K17"/>
    <mergeCell ref="K4:K8"/>
    <mergeCell ref="K9:K11"/>
    <mergeCell ref="K12:K15"/>
    <mergeCell ref="E31:E33"/>
    <mergeCell ref="E34:E35"/>
    <mergeCell ref="K18:K21"/>
    <mergeCell ref="B2:C2"/>
    <mergeCell ref="B28:C28"/>
    <mergeCell ref="E3:G3"/>
    <mergeCell ref="H3:J3"/>
    <mergeCell ref="E15:E17"/>
    <mergeCell ref="H10:H14"/>
    <mergeCell ref="H15:H20"/>
    <mergeCell ref="H21:H26"/>
    <mergeCell ref="E23:E25"/>
    <mergeCell ref="E18:E22"/>
    <mergeCell ref="E26:E30"/>
    <mergeCell ref="H4:H9"/>
    <mergeCell ref="H27:H33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41"/>
  <sheetViews>
    <sheetView workbookViewId="0"/>
  </sheetViews>
  <sheetFormatPr defaultColWidth="11.875" defaultRowHeight="13.5" x14ac:dyDescent="0.3"/>
  <cols>
    <col min="1" max="16384" width="11.875" style="1"/>
  </cols>
  <sheetData>
    <row r="2" spans="2:43" hidden="1" x14ac:dyDescent="0.3">
      <c r="C2" s="22" t="s">
        <v>16</v>
      </c>
      <c r="D2" s="22" t="s">
        <v>1</v>
      </c>
      <c r="E2" s="111" t="s">
        <v>2</v>
      </c>
      <c r="F2" s="111"/>
      <c r="G2" s="22" t="s">
        <v>17</v>
      </c>
      <c r="H2" s="22" t="s">
        <v>18</v>
      </c>
      <c r="I2" s="22" t="s">
        <v>19</v>
      </c>
      <c r="J2" s="22" t="s">
        <v>20</v>
      </c>
      <c r="K2" s="111" t="s">
        <v>7</v>
      </c>
      <c r="L2" s="111"/>
      <c r="M2" s="22" t="s">
        <v>9</v>
      </c>
      <c r="N2" s="22" t="s">
        <v>10</v>
      </c>
      <c r="O2" s="111" t="s">
        <v>13</v>
      </c>
      <c r="P2" s="111"/>
      <c r="Q2" s="111" t="s">
        <v>3</v>
      </c>
      <c r="R2" s="111"/>
      <c r="S2" s="111" t="s">
        <v>5</v>
      </c>
      <c r="T2" s="111"/>
      <c r="U2" s="111" t="s">
        <v>8</v>
      </c>
      <c r="V2" s="111"/>
      <c r="W2" s="111"/>
      <c r="X2" s="111" t="s">
        <v>11</v>
      </c>
      <c r="Y2" s="111"/>
      <c r="Z2" s="22" t="s">
        <v>14</v>
      </c>
      <c r="AA2" s="111" t="s">
        <v>4</v>
      </c>
      <c r="AB2" s="111"/>
      <c r="AC2" s="22" t="s">
        <v>6</v>
      </c>
      <c r="AD2" s="22" t="s">
        <v>21</v>
      </c>
      <c r="AE2" s="111" t="s">
        <v>12</v>
      </c>
      <c r="AF2" s="111"/>
      <c r="AG2" s="111" t="s">
        <v>15</v>
      </c>
      <c r="AH2" s="111"/>
      <c r="AI2" s="21" t="s">
        <v>22</v>
      </c>
      <c r="AJ2" s="21" t="s">
        <v>23</v>
      </c>
    </row>
    <row r="3" spans="2:43" hidden="1" x14ac:dyDescent="0.3">
      <c r="B3" s="1" t="s">
        <v>41</v>
      </c>
      <c r="C3" s="1">
        <v>8</v>
      </c>
      <c r="D3" s="1">
        <v>6</v>
      </c>
      <c r="E3" s="6">
        <v>12</v>
      </c>
      <c r="F3" s="6"/>
      <c r="G3" s="1">
        <v>8</v>
      </c>
      <c r="H3" s="1">
        <v>20</v>
      </c>
      <c r="I3" s="1">
        <v>9</v>
      </c>
      <c r="J3" s="1">
        <v>16</v>
      </c>
      <c r="K3" s="1">
        <v>24</v>
      </c>
      <c r="M3" s="1">
        <v>6</v>
      </c>
      <c r="N3" s="1">
        <v>8</v>
      </c>
      <c r="O3" s="1">
        <v>18</v>
      </c>
      <c r="Q3" s="1">
        <v>24</v>
      </c>
      <c r="S3" s="1">
        <v>30</v>
      </c>
      <c r="U3" s="1">
        <v>36</v>
      </c>
      <c r="X3" s="1">
        <v>24</v>
      </c>
      <c r="Z3" s="1">
        <v>36</v>
      </c>
      <c r="AA3" s="1">
        <v>27</v>
      </c>
      <c r="AC3" s="1">
        <v>24</v>
      </c>
      <c r="AD3" s="1">
        <v>27</v>
      </c>
      <c r="AE3" s="1">
        <v>24</v>
      </c>
      <c r="AG3" s="1">
        <v>30</v>
      </c>
      <c r="AI3" s="1">
        <v>300</v>
      </c>
      <c r="AJ3" s="1">
        <v>300</v>
      </c>
    </row>
    <row r="4" spans="2:43" hidden="1" x14ac:dyDescent="0.3">
      <c r="B4" s="1">
        <v>1</v>
      </c>
      <c r="C4" s="1">
        <v>261</v>
      </c>
      <c r="D4" s="1">
        <v>153</v>
      </c>
      <c r="E4" s="1">
        <v>49</v>
      </c>
      <c r="F4" s="1">
        <v>197</v>
      </c>
      <c r="G4" s="1">
        <v>22</v>
      </c>
      <c r="H4" s="1">
        <v>503</v>
      </c>
      <c r="I4" s="1">
        <v>156</v>
      </c>
      <c r="J4" s="1">
        <v>500</v>
      </c>
      <c r="K4" s="1">
        <v>479</v>
      </c>
      <c r="L4" s="1">
        <v>268</v>
      </c>
      <c r="M4" s="1">
        <v>91</v>
      </c>
      <c r="N4" s="1">
        <v>83</v>
      </c>
      <c r="O4" s="1">
        <v>337</v>
      </c>
      <c r="P4" s="1">
        <v>338</v>
      </c>
      <c r="Q4" s="1">
        <v>156</v>
      </c>
      <c r="R4" s="1">
        <v>199</v>
      </c>
      <c r="S4" s="1">
        <v>184</v>
      </c>
      <c r="T4" s="1">
        <v>47</v>
      </c>
      <c r="U4" s="1">
        <v>174</v>
      </c>
      <c r="V4" s="1">
        <v>174</v>
      </c>
      <c r="W4" s="1">
        <v>232</v>
      </c>
      <c r="X4" s="1">
        <v>237</v>
      </c>
      <c r="Y4" s="1">
        <v>157</v>
      </c>
      <c r="Z4" s="1">
        <v>843</v>
      </c>
      <c r="AA4" s="1">
        <v>698</v>
      </c>
      <c r="AB4" s="1">
        <v>58</v>
      </c>
      <c r="AC4" s="1">
        <v>726</v>
      </c>
      <c r="AD4" s="1">
        <v>316</v>
      </c>
      <c r="AE4" s="1">
        <v>154</v>
      </c>
      <c r="AF4" s="1">
        <v>258</v>
      </c>
      <c r="AG4" s="1">
        <v>281</v>
      </c>
      <c r="AH4" s="1">
        <v>1125</v>
      </c>
      <c r="AI4" s="1">
        <v>35915</v>
      </c>
      <c r="AJ4" s="1">
        <v>35633</v>
      </c>
    </row>
    <row r="5" spans="2:43" hidden="1" x14ac:dyDescent="0.3">
      <c r="B5" s="1">
        <v>4</v>
      </c>
      <c r="C5" s="1">
        <v>689</v>
      </c>
      <c r="D5" s="1">
        <v>404</v>
      </c>
      <c r="E5" s="1">
        <v>130</v>
      </c>
      <c r="F5" s="1">
        <v>521</v>
      </c>
      <c r="G5" s="1">
        <v>59</v>
      </c>
      <c r="H5" s="1">
        <v>1330</v>
      </c>
      <c r="I5" s="1">
        <v>412</v>
      </c>
      <c r="J5" s="1">
        <v>1324</v>
      </c>
      <c r="K5" s="1">
        <v>1280</v>
      </c>
      <c r="L5" s="1">
        <v>710</v>
      </c>
      <c r="M5" s="1">
        <v>240</v>
      </c>
      <c r="N5" s="1">
        <v>218</v>
      </c>
      <c r="O5" s="1">
        <v>890</v>
      </c>
      <c r="P5" s="1">
        <v>894</v>
      </c>
      <c r="Q5" s="1">
        <v>412</v>
      </c>
      <c r="R5" s="1">
        <v>526</v>
      </c>
      <c r="S5" s="1">
        <v>488</v>
      </c>
      <c r="T5" s="1">
        <v>122</v>
      </c>
      <c r="U5" s="1">
        <v>461</v>
      </c>
      <c r="V5" s="1">
        <v>461</v>
      </c>
      <c r="W5" s="1">
        <v>614</v>
      </c>
      <c r="X5" s="1">
        <v>627</v>
      </c>
      <c r="Y5" s="1">
        <v>415</v>
      </c>
      <c r="Z5" s="1">
        <v>2228</v>
      </c>
      <c r="AA5" s="1">
        <v>1847</v>
      </c>
      <c r="AB5" s="1">
        <v>153</v>
      </c>
      <c r="AC5" s="1">
        <v>1919</v>
      </c>
      <c r="AD5" s="1">
        <v>836</v>
      </c>
      <c r="AE5" s="1">
        <v>407</v>
      </c>
      <c r="AF5" s="1">
        <v>684</v>
      </c>
      <c r="AG5" s="1">
        <v>742</v>
      </c>
      <c r="AH5" s="1">
        <v>2976</v>
      </c>
    </row>
    <row r="6" spans="2:43" hidden="1" x14ac:dyDescent="0.3">
      <c r="B6" s="1">
        <v>7</v>
      </c>
      <c r="C6" s="1">
        <v>896</v>
      </c>
      <c r="D6" s="1">
        <v>520</v>
      </c>
      <c r="E6" s="1">
        <v>168</v>
      </c>
      <c r="F6" s="1">
        <v>671</v>
      </c>
      <c r="G6" s="1">
        <v>75</v>
      </c>
      <c r="H6" s="1">
        <v>1715</v>
      </c>
      <c r="I6" s="1">
        <v>530</v>
      </c>
      <c r="J6" s="1">
        <v>1710</v>
      </c>
      <c r="K6" s="1">
        <v>1649</v>
      </c>
      <c r="L6" s="1">
        <v>915</v>
      </c>
      <c r="M6" s="1">
        <v>311</v>
      </c>
      <c r="N6" s="1">
        <v>282</v>
      </c>
      <c r="O6" s="1">
        <v>1148</v>
      </c>
      <c r="P6" s="1">
        <v>1152</v>
      </c>
      <c r="Q6" s="1">
        <v>530</v>
      </c>
      <c r="R6" s="1">
        <v>678</v>
      </c>
      <c r="S6" s="1">
        <v>629</v>
      </c>
      <c r="T6" s="1">
        <v>158</v>
      </c>
      <c r="U6" s="1">
        <v>594</v>
      </c>
      <c r="V6" s="1">
        <v>594</v>
      </c>
      <c r="W6" s="1">
        <v>792</v>
      </c>
      <c r="X6" s="1">
        <v>809</v>
      </c>
      <c r="Y6" s="1">
        <v>536</v>
      </c>
      <c r="Z6" s="1">
        <v>2871</v>
      </c>
      <c r="AA6" s="1">
        <v>2382</v>
      </c>
      <c r="AB6" s="1">
        <v>198</v>
      </c>
      <c r="AC6" s="1">
        <v>2475</v>
      </c>
      <c r="AD6" s="1">
        <v>1078</v>
      </c>
      <c r="AE6" s="1">
        <v>525</v>
      </c>
      <c r="AF6" s="1">
        <v>882</v>
      </c>
      <c r="AG6" s="1">
        <v>957</v>
      </c>
      <c r="AH6" s="1">
        <v>3836</v>
      </c>
    </row>
    <row r="7" spans="2:43" hidden="1" x14ac:dyDescent="0.3">
      <c r="B7" s="1">
        <v>10</v>
      </c>
      <c r="C7" s="1">
        <v>1024</v>
      </c>
      <c r="D7" s="1">
        <v>595</v>
      </c>
      <c r="E7" s="1">
        <v>193</v>
      </c>
      <c r="F7" s="1">
        <v>773</v>
      </c>
      <c r="G7" s="1">
        <v>86</v>
      </c>
      <c r="H7" s="1">
        <v>1960</v>
      </c>
      <c r="I7" s="1">
        <v>605</v>
      </c>
      <c r="J7" s="1">
        <v>1958</v>
      </c>
      <c r="K7" s="1">
        <v>1883</v>
      </c>
      <c r="L7" s="1">
        <v>1045</v>
      </c>
      <c r="M7" s="1">
        <v>355</v>
      </c>
      <c r="N7" s="1">
        <v>323</v>
      </c>
      <c r="O7" s="1">
        <v>1312</v>
      </c>
      <c r="P7" s="1">
        <v>1318</v>
      </c>
      <c r="Q7" s="1">
        <v>605</v>
      </c>
      <c r="R7" s="1">
        <v>775</v>
      </c>
      <c r="S7" s="1">
        <v>718</v>
      </c>
      <c r="T7" s="1">
        <v>180</v>
      </c>
      <c r="U7" s="1">
        <v>680</v>
      </c>
      <c r="V7" s="1">
        <v>680</v>
      </c>
      <c r="W7" s="1">
        <v>906</v>
      </c>
      <c r="X7" s="1">
        <v>925</v>
      </c>
      <c r="Y7" s="1">
        <v>614</v>
      </c>
      <c r="Z7" s="1">
        <v>3282</v>
      </c>
      <c r="AA7" s="1">
        <v>2723</v>
      </c>
      <c r="AB7" s="1">
        <v>227</v>
      </c>
      <c r="AC7" s="1">
        <v>2830</v>
      </c>
      <c r="AD7" s="1">
        <v>1234</v>
      </c>
      <c r="AE7" s="1">
        <v>599</v>
      </c>
      <c r="AF7" s="1">
        <v>1007</v>
      </c>
      <c r="AG7" s="1">
        <v>1093</v>
      </c>
      <c r="AH7" s="1">
        <v>4385</v>
      </c>
    </row>
    <row r="8" spans="2:43" hidden="1" x14ac:dyDescent="0.3">
      <c r="B8" s="1">
        <v>1</v>
      </c>
      <c r="C8" s="1">
        <v>6.0232623318385654</v>
      </c>
      <c r="D8" s="1">
        <v>3.5599775784753365</v>
      </c>
      <c r="E8" s="1">
        <v>1.132847533632287</v>
      </c>
      <c r="F8" s="1">
        <v>4.5305493273542599</v>
      </c>
      <c r="G8" s="1">
        <v>0.51485426008968604</v>
      </c>
      <c r="H8" s="1">
        <v>11.708520179372197</v>
      </c>
      <c r="I8" s="1">
        <v>3.6238789237668163</v>
      </c>
      <c r="J8" s="1">
        <v>11.708520179372197</v>
      </c>
      <c r="K8" s="1">
        <v>11.102858744394618</v>
      </c>
      <c r="L8" s="1">
        <v>6.2452354260089686</v>
      </c>
      <c r="M8" s="1">
        <v>2.0913677130044843</v>
      </c>
      <c r="N8" s="1">
        <v>1.9304932735426008</v>
      </c>
      <c r="O8" s="1">
        <v>7.8478139013452912</v>
      </c>
      <c r="P8" s="1">
        <v>7.8486547085201792</v>
      </c>
      <c r="Q8" s="1">
        <v>3.6328475336322872</v>
      </c>
      <c r="R8" s="1">
        <v>4.6238789237668163</v>
      </c>
      <c r="S8" s="1">
        <v>4.2998878923766819</v>
      </c>
      <c r="T8" s="1">
        <v>1.0745515695067265</v>
      </c>
      <c r="U8" s="1">
        <v>4.0529708520179373</v>
      </c>
      <c r="V8" s="1">
        <v>4.0529708520179373</v>
      </c>
      <c r="W8" s="1">
        <v>5.4035874439461882</v>
      </c>
      <c r="X8" s="1">
        <v>5.4744955156950672</v>
      </c>
      <c r="Y8" s="1">
        <v>3.6499439461883409</v>
      </c>
      <c r="Z8" s="1">
        <v>19.621636771300448</v>
      </c>
      <c r="AA8" s="1">
        <v>16.263452914798208</v>
      </c>
      <c r="AB8" s="1">
        <v>1.3556614349775784</v>
      </c>
      <c r="AC8" s="1">
        <v>16.898262331838566</v>
      </c>
      <c r="AD8" s="1">
        <v>7.3480941704035878</v>
      </c>
      <c r="AE8" s="1">
        <v>3.5678251121076232</v>
      </c>
      <c r="AF8" s="1">
        <v>6.0213004484304928</v>
      </c>
      <c r="AG8" s="1">
        <v>6.5462443946188342</v>
      </c>
      <c r="AH8" s="1">
        <v>26.182735426008968</v>
      </c>
      <c r="AI8" s="1">
        <v>244.69534753363229</v>
      </c>
      <c r="AJ8" s="1">
        <v>242.71300448430495</v>
      </c>
    </row>
    <row r="9" spans="2:43" hidden="1" x14ac:dyDescent="0.3">
      <c r="B9" s="1">
        <v>4</v>
      </c>
      <c r="C9" s="1">
        <v>6.0232623318385654</v>
      </c>
      <c r="D9" s="1">
        <v>3.5599775784753365</v>
      </c>
      <c r="E9" s="1">
        <v>1.132847533632287</v>
      </c>
      <c r="F9" s="1">
        <v>4.5305493273542599</v>
      </c>
      <c r="G9" s="1">
        <v>0.51485426008968604</v>
      </c>
      <c r="H9" s="1">
        <v>11.708520179372197</v>
      </c>
      <c r="I9" s="1">
        <v>3.6238789237668163</v>
      </c>
      <c r="J9" s="1">
        <v>11.708520179372197</v>
      </c>
      <c r="K9" s="1">
        <v>11.102858744394618</v>
      </c>
      <c r="L9" s="1">
        <v>6.2452354260089686</v>
      </c>
      <c r="M9" s="1">
        <v>2.0913677130044843</v>
      </c>
      <c r="N9" s="1">
        <v>1.9304932735426008</v>
      </c>
      <c r="O9" s="1">
        <v>7.8478139013452912</v>
      </c>
      <c r="P9" s="1">
        <v>7.8489349775784749</v>
      </c>
      <c r="Q9" s="1">
        <v>3.6328475336322872</v>
      </c>
      <c r="R9" s="1">
        <v>4.6235986547085206</v>
      </c>
      <c r="S9" s="1">
        <v>4.2996076233183853</v>
      </c>
      <c r="T9" s="1">
        <v>1.0748318385650224</v>
      </c>
      <c r="U9" s="1">
        <v>4.0526905829596416</v>
      </c>
      <c r="V9" s="1">
        <v>4.0526905829596416</v>
      </c>
      <c r="W9" s="1">
        <v>5.4035874439461882</v>
      </c>
      <c r="X9" s="1">
        <v>5.4744955156950672</v>
      </c>
      <c r="Y9" s="1">
        <v>3.6499439461883409</v>
      </c>
      <c r="Z9" s="1">
        <v>19.621356502242154</v>
      </c>
      <c r="AA9" s="1">
        <v>16.263452914798208</v>
      </c>
      <c r="AB9" s="1">
        <v>1.3556614349775784</v>
      </c>
      <c r="AC9" s="1">
        <v>16.898262331838566</v>
      </c>
      <c r="AD9" s="1">
        <v>7.3480941704035878</v>
      </c>
      <c r="AE9" s="1">
        <v>3.5681053811659194</v>
      </c>
      <c r="AF9" s="1">
        <v>6.0213004484304928</v>
      </c>
      <c r="AG9" s="1">
        <v>6.5462443946188342</v>
      </c>
      <c r="AH9" s="1">
        <v>26.182735426008968</v>
      </c>
    </row>
    <row r="10" spans="2:43" hidden="1" x14ac:dyDescent="0.3">
      <c r="B10" s="1">
        <v>7</v>
      </c>
      <c r="C10" s="1">
        <v>6.0232623318385654</v>
      </c>
      <c r="D10" s="1">
        <v>3.5599775784753365</v>
      </c>
      <c r="E10" s="1">
        <v>1.132567264573991</v>
      </c>
      <c r="F10" s="1">
        <v>4.5305493273542599</v>
      </c>
      <c r="G10" s="1">
        <v>0.51485426008968604</v>
      </c>
      <c r="H10" s="1">
        <v>11.708800448430493</v>
      </c>
      <c r="I10" s="1">
        <v>3.624159192825112</v>
      </c>
      <c r="J10" s="1">
        <v>11.708520179372197</v>
      </c>
      <c r="K10" s="1">
        <v>11.102858744394618</v>
      </c>
      <c r="L10" s="1">
        <v>6.2452354260089686</v>
      </c>
      <c r="M10" s="1">
        <v>2.0913677130044843</v>
      </c>
      <c r="N10" s="1">
        <v>1.9304932735426008</v>
      </c>
      <c r="O10" s="1">
        <v>7.8478139013452912</v>
      </c>
      <c r="P10" s="1">
        <v>7.8489349775784749</v>
      </c>
      <c r="Q10" s="1">
        <v>3.6331278026905829</v>
      </c>
      <c r="R10" s="1">
        <v>4.6238789237668163</v>
      </c>
      <c r="S10" s="1">
        <v>4.2996076233183853</v>
      </c>
      <c r="T10" s="1">
        <v>1.0745515695067265</v>
      </c>
      <c r="U10" s="1">
        <v>4.0529708520179373</v>
      </c>
      <c r="V10" s="1">
        <v>4.0529708520179373</v>
      </c>
      <c r="W10" s="1">
        <v>5.4035874439461882</v>
      </c>
      <c r="X10" s="1">
        <v>5.4744955156950672</v>
      </c>
      <c r="Y10" s="1">
        <v>3.6499439461883409</v>
      </c>
      <c r="Z10" s="1">
        <v>19.621356502242154</v>
      </c>
      <c r="AA10" s="1">
        <v>16.263452914798208</v>
      </c>
      <c r="AB10" s="1">
        <v>1.3556614349775784</v>
      </c>
      <c r="AC10" s="1">
        <v>16.898262331838566</v>
      </c>
      <c r="AD10" s="1">
        <v>7.3480941704035878</v>
      </c>
      <c r="AE10" s="1">
        <v>3.5678251121076232</v>
      </c>
      <c r="AF10" s="1">
        <v>6.0213004484304928</v>
      </c>
      <c r="AG10" s="1">
        <v>6.5459641255605385</v>
      </c>
      <c r="AH10" s="1">
        <v>25.341928251121075</v>
      </c>
    </row>
    <row r="11" spans="2:43" hidden="1" x14ac:dyDescent="0.3">
      <c r="B11" s="1">
        <v>10</v>
      </c>
      <c r="C11" s="1">
        <v>6.0232623318385654</v>
      </c>
      <c r="D11" s="1">
        <v>3.5599775784753365</v>
      </c>
      <c r="E11" s="1">
        <v>1.132847533632287</v>
      </c>
      <c r="F11" s="1">
        <v>4.5305493273542599</v>
      </c>
      <c r="G11" s="1">
        <v>0.51485426008968604</v>
      </c>
      <c r="H11" s="1">
        <v>11.708520179372197</v>
      </c>
      <c r="I11" s="1">
        <v>3.6238789237668163</v>
      </c>
      <c r="J11" s="1">
        <v>11.708520179372197</v>
      </c>
      <c r="K11" s="1">
        <v>11.102858744394618</v>
      </c>
      <c r="L11" s="1">
        <v>6.2452354260089686</v>
      </c>
      <c r="M11" s="1">
        <v>2.0913677130044843</v>
      </c>
      <c r="N11" s="1">
        <v>1.9304932735426008</v>
      </c>
      <c r="O11" s="1">
        <v>7.8478139013452912</v>
      </c>
      <c r="P11" s="1">
        <v>7.8486547085201792</v>
      </c>
      <c r="Q11" s="1">
        <v>3.6328475336322872</v>
      </c>
      <c r="R11" s="1">
        <v>4.6235986547085206</v>
      </c>
      <c r="S11" s="1">
        <v>4.2996076233183853</v>
      </c>
      <c r="T11" s="1">
        <v>1.0748318385650224</v>
      </c>
      <c r="U11" s="1">
        <v>4.0526905829596416</v>
      </c>
      <c r="V11" s="1">
        <v>4.0526905829596416</v>
      </c>
      <c r="W11" s="1">
        <v>5.4035874439461882</v>
      </c>
      <c r="X11" s="1">
        <v>5.4744955156950672</v>
      </c>
      <c r="Y11" s="1">
        <v>3.6499439461883409</v>
      </c>
      <c r="Z11" s="1">
        <v>19.621356502242154</v>
      </c>
      <c r="AA11" s="1">
        <v>16.263452914798208</v>
      </c>
      <c r="AB11" s="1">
        <v>1.3556614349775784</v>
      </c>
      <c r="AC11" s="1">
        <v>16.898262331838566</v>
      </c>
      <c r="AD11" s="1">
        <v>7.3478139013452912</v>
      </c>
      <c r="AE11" s="1">
        <v>3.5681053811659194</v>
      </c>
      <c r="AF11" s="1">
        <v>6.0213004484304928</v>
      </c>
      <c r="AG11" s="1">
        <v>6.5462443946188342</v>
      </c>
      <c r="AH11" s="1">
        <v>26.182735426008968</v>
      </c>
    </row>
    <row r="12" spans="2:43" hidden="1" x14ac:dyDescent="0.3"/>
    <row r="13" spans="2:43" hidden="1" x14ac:dyDescent="0.3"/>
    <row r="14" spans="2:43" ht="14.25" thickBot="1" x14ac:dyDescent="0.35">
      <c r="H14" s="110" t="s">
        <v>130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 t="s">
        <v>157</v>
      </c>
      <c r="S14" s="110"/>
      <c r="T14" s="110"/>
      <c r="U14" s="110"/>
      <c r="V14" s="110"/>
      <c r="W14" s="110"/>
      <c r="X14" s="110"/>
      <c r="Y14" s="110"/>
      <c r="Z14" s="110"/>
      <c r="AA14" s="110" t="s">
        <v>158</v>
      </c>
      <c r="AB14" s="110"/>
      <c r="AC14" s="110"/>
      <c r="AD14" s="110"/>
      <c r="AE14" s="110"/>
      <c r="AF14" s="110"/>
      <c r="AG14" s="110"/>
      <c r="AH14" s="110"/>
      <c r="AI14" s="110"/>
    </row>
    <row r="15" spans="2:43" ht="14.25" thickBot="1" x14ac:dyDescent="0.35">
      <c r="B15" s="56" t="s">
        <v>65</v>
      </c>
      <c r="C15" s="32" t="s">
        <v>66</v>
      </c>
      <c r="D15" s="32" t="s">
        <v>67</v>
      </c>
      <c r="E15" s="32" t="s">
        <v>57</v>
      </c>
      <c r="F15" s="32" t="s">
        <v>235</v>
      </c>
      <c r="G15" s="32" t="s">
        <v>68</v>
      </c>
      <c r="H15" s="34" t="s">
        <v>69</v>
      </c>
      <c r="I15" s="56" t="s">
        <v>75</v>
      </c>
      <c r="J15" s="32" t="s">
        <v>71</v>
      </c>
      <c r="K15" s="32" t="s">
        <v>70</v>
      </c>
      <c r="L15" s="32" t="s">
        <v>72</v>
      </c>
      <c r="M15" s="32" t="s">
        <v>73</v>
      </c>
      <c r="N15" s="32" t="s">
        <v>154</v>
      </c>
      <c r="O15" s="32" t="s">
        <v>155</v>
      </c>
      <c r="P15" s="32" t="s">
        <v>156</v>
      </c>
      <c r="Q15" s="32" t="s">
        <v>68</v>
      </c>
      <c r="R15" s="34" t="s">
        <v>74</v>
      </c>
      <c r="S15" s="32" t="s">
        <v>71</v>
      </c>
      <c r="T15" s="32" t="s">
        <v>70</v>
      </c>
      <c r="U15" s="32" t="s">
        <v>72</v>
      </c>
      <c r="V15" s="32" t="s">
        <v>73</v>
      </c>
      <c r="W15" s="32" t="s">
        <v>154</v>
      </c>
      <c r="X15" s="32" t="s">
        <v>155</v>
      </c>
      <c r="Y15" s="32" t="s">
        <v>156</v>
      </c>
      <c r="Z15" s="33" t="s">
        <v>68</v>
      </c>
      <c r="AA15" s="32" t="s">
        <v>74</v>
      </c>
      <c r="AB15" s="32" t="s">
        <v>71</v>
      </c>
      <c r="AC15" s="32" t="s">
        <v>70</v>
      </c>
      <c r="AD15" s="32" t="s">
        <v>72</v>
      </c>
      <c r="AE15" s="32" t="s">
        <v>73</v>
      </c>
      <c r="AF15" s="32" t="s">
        <v>154</v>
      </c>
      <c r="AG15" s="32" t="s">
        <v>155</v>
      </c>
      <c r="AH15" s="32" t="s">
        <v>156</v>
      </c>
      <c r="AI15" s="33" t="s">
        <v>68</v>
      </c>
      <c r="AJ15" s="32" t="s">
        <v>92</v>
      </c>
      <c r="AK15" s="32" t="s">
        <v>90</v>
      </c>
      <c r="AL15" s="32" t="s">
        <v>91</v>
      </c>
      <c r="AM15" s="32" t="s">
        <v>85</v>
      </c>
      <c r="AN15" s="32" t="s">
        <v>86</v>
      </c>
      <c r="AO15" s="32" t="s">
        <v>87</v>
      </c>
      <c r="AP15" s="32" t="s">
        <v>88</v>
      </c>
      <c r="AQ15" s="33" t="s">
        <v>76</v>
      </c>
    </row>
    <row r="16" spans="2:43" ht="13.5" customHeight="1" x14ac:dyDescent="0.3">
      <c r="B16" s="31">
        <v>1</v>
      </c>
      <c r="C16" s="36">
        <v>1</v>
      </c>
      <c r="D16" s="37" t="s">
        <v>77</v>
      </c>
      <c r="E16" s="38" t="s">
        <v>78</v>
      </c>
      <c r="F16" s="40"/>
      <c r="G16" s="40"/>
      <c r="H16" s="52">
        <f t="shared" ref="H16:H79" si="0">I16/AJ16</f>
        <v>15865.332711241119</v>
      </c>
      <c r="I16" s="53">
        <f>SUM(J16:Q16)*IF(입력란!$C$16=1,1.04,IF(입력란!$C$16=2,1.1,IF(입력란!$C$16=3,1.2,1)))*IF(입력란!$C$21=1,1+입력란!$C$38*0.001,IF(입력란!$C$21=2,1+입력란!$C$38*0.0022,IF(입력란!$C$21=3,1+입력란!$C$38*0.0045,1)))*IF(입력란!$C$18&lt;&gt;0,0.98,1)</f>
        <v>125451.25244886374</v>
      </c>
      <c r="J16" s="30">
        <f>S16*(1+IF($AK16+IF(입력란!$C$26=1,10,0)&gt;100,100,$AK16+IF(입력란!$C$26=1,10,0))/100*($AL16/100-1))</f>
        <v>25090.250489772749</v>
      </c>
      <c r="K16" s="30">
        <f>T16*(1+IF($AK16+IF(입력란!$C$26=1,10,IF(MID($E16,1,1)="2",10,0))&gt;100,100,$AK16+IF(입력란!$C$26=1,10,IF(MID($E16,1,1)="2",10,0)))/100*($AL16/100-1))</f>
        <v>25090.250489772749</v>
      </c>
      <c r="L16" s="30">
        <f>U16*(1+IF($AK16+IF(입력란!$C$26=1,10,IF(MID($E16,1,1)="2",10,0))&gt;100,100,$AK16+IF(입력란!$C$26=1,10,IF(MID($E16,1,1)="2",10,0)))/100*($AL16/100-1))</f>
        <v>25090.250489772749</v>
      </c>
      <c r="M16" s="30">
        <f>V16*(1+IF($AK16+IF(입력란!$C$26=1,10,IF(MID($E16,1,1)="2",10,0))&gt;100,100,$AK16+IF(입력란!$C$26=1,10,IF(MID($E16,1,1)="2",10,0)))/100*($AL16/100-1))</f>
        <v>25090.250489772749</v>
      </c>
      <c r="N16" s="30">
        <f>W16*(1+IF($AK16+IF(입력란!$C$26=1,10,IF(MID($E16,1,1)="2",10,0))&gt;100,100,$AK16+IF(입력란!$C$26=1,10,IF(MID($E16,1,1)="2",10,0)))/100*($AL16/100-1))</f>
        <v>25090.250489772749</v>
      </c>
      <c r="O16" s="39"/>
      <c r="P16" s="39"/>
      <c r="Q16" s="30"/>
      <c r="R16" s="24">
        <f t="shared" ref="R16:R79" si="1">SUM(S16:Z16)</f>
        <v>78564.605370256235</v>
      </c>
      <c r="S16" s="30">
        <f>AN16*IF(입력란!$C$12=0,1,IF(입력란!$C$12=1,1.3,IF(입력란!$C$12=2,1.45,IF(입력란!$C$12=3,1.6,1))))*IF(MID(E16,3,1)="3",트라이포드!$N$5,트라이포드!$M$5)/5</f>
        <v>15712.921074051246</v>
      </c>
      <c r="T16" s="30">
        <f>AN16*IF(입력란!$C$12=0,1,IF(입력란!$C$12=1,1.3,IF(입력란!$C$12=2,1.45,IF(입력란!$C$12=3,1.6,1))))*IF(MID(E16,3,1)="2",1+트라이포드!$L$5/100,1+트라이포드!$K$5/100)*IF(MID(E16,3,1)="3",트라이포드!$N$5,트라이포드!$M$5)/5</f>
        <v>15712.921074051246</v>
      </c>
      <c r="U16" s="30">
        <f>AN16*IF(입력란!$C$12=0,1,IF(입력란!$C$12=1,1.3,IF(입력란!$C$12=2,1.45,IF(입력란!$C$12=3,1.6,1))))*IF(MID(E16,3,1)="2",1+2*트라이포드!$L$5/100,1+트라이포드!$K$5/100)*IF(MID(E16,3,1)="3",트라이포드!$N$5,트라이포드!$M$5)/5</f>
        <v>15712.921074051246</v>
      </c>
      <c r="V16" s="30">
        <f>AN16*IF(입력란!$C$12=0,1,IF(입력란!$C$12=1,1.3,IF(입력란!$C$12=2,1.45,IF(입력란!$C$12=3,1.6,1))))*IF(MID(E16,3,1)="2",1+3*트라이포드!$L$5/100,1+트라이포드!$K$5/100)*IF(MID(E16,3,1)="3",트라이포드!$N$5,트라이포드!$M$5)/5</f>
        <v>15712.921074051246</v>
      </c>
      <c r="W16" s="39">
        <f>AN16*IF(입력란!$C$12=0,1,IF(입력란!$C$12=1,1.3,IF(입력란!$C$12=2,1.45,IF(입력란!$C$12=3,1.6,1))))*IF(MID(E16,3,1)="2",1+4*트라이포드!$L$5/100,1+트라이포드!$K$5/100)*IF(MID(E16,3,1)="3",트라이포드!$N$5,트라이포드!$M$5)/5</f>
        <v>15712.921074051246</v>
      </c>
      <c r="X16" s="39"/>
      <c r="Y16" s="39"/>
      <c r="Z16" s="25"/>
      <c r="AA16" s="30">
        <f t="shared" ref="AA16:AA79" si="2">SUM(AB16:AI16)</f>
        <v>157129.21074051247</v>
      </c>
      <c r="AB16" s="30">
        <f t="shared" ref="AB16:AB79" si="3">S16*2</f>
        <v>31425.842148102493</v>
      </c>
      <c r="AC16" s="30">
        <f t="shared" ref="AC16:AF33" si="4">AB16</f>
        <v>31425.842148102493</v>
      </c>
      <c r="AD16" s="30">
        <f t="shared" si="4"/>
        <v>31425.842148102493</v>
      </c>
      <c r="AE16" s="30">
        <f t="shared" si="4"/>
        <v>31425.842148102493</v>
      </c>
      <c r="AF16" s="30">
        <f t="shared" si="4"/>
        <v>31425.842148102493</v>
      </c>
      <c r="AG16" s="39"/>
      <c r="AH16" s="39"/>
      <c r="AI16" s="25"/>
      <c r="AJ16" s="26">
        <f>AQ16*(1-입력란!$C$35/100)</f>
        <v>7.9072563262399997</v>
      </c>
      <c r="AK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" s="26">
        <f>입력란!$C$47+입력란!$C$41+IF(입력란!$C$18=1,10,IF(입력란!$C$18=2,25,IF(입력란!$C$18=3,50,0)))+IF(입력란!$C$23&lt;&gt;0,-12)</f>
        <v>378.9445412</v>
      </c>
      <c r="AM16" s="30">
        <f t="shared" ref="AM16:AM79" si="5">SUM(AN16:AP16)</f>
        <v>78564.605370256235</v>
      </c>
      <c r="AN16" s="30">
        <f>(VLOOKUP(C16,$B$4:$AJ$7,2,FALSE)+VLOOKUP(C16,$B$8:$AJ$11,2,FALSE)*입력란!$C$29)*입력란!$C$48/100</f>
        <v>78564.605370256235</v>
      </c>
      <c r="AO16" s="30"/>
      <c r="AP16" s="30"/>
      <c r="AQ16" s="28">
        <v>8</v>
      </c>
    </row>
    <row r="17" spans="2:43" ht="13.5" customHeight="1" x14ac:dyDescent="0.3">
      <c r="B17" s="31">
        <v>2</v>
      </c>
      <c r="C17" s="36">
        <v>4</v>
      </c>
      <c r="D17" s="37" t="s">
        <v>77</v>
      </c>
      <c r="E17" s="38" t="s">
        <v>78</v>
      </c>
      <c r="F17" s="40"/>
      <c r="G17" s="40"/>
      <c r="H17" s="52">
        <f t="shared" si="0"/>
        <v>15899.904831184496</v>
      </c>
      <c r="I17" s="53">
        <f>SUM(J17:Q17)*IF(입력란!$C$16=1,1.04,IF(입력란!$C$16=2,1.1,IF(입력란!$C$16=3,1.2,1)))*IF(입력란!$C$21=1,1+입력란!$C$38*0.001,IF(입력란!$C$21=2,1+입력란!$C$38*0.0022,IF(입력란!$C$21=3,1+입력란!$C$38*0.0045,1)))*IF(입력란!$C$18&lt;&gt;0,0.98,1)</f>
        <v>125724.62306299755</v>
      </c>
      <c r="J17" s="30">
        <f>S17*(1+IF($AK17+IF(입력란!$C$26=1,10,0)&gt;100,100,$AK17+IF(입력란!$C$26=1,10,0))/100*($AL17/100-1))</f>
        <v>25144.924612599509</v>
      </c>
      <c r="K17" s="30">
        <f>T17*(1+IF($AK17+IF(입력란!$C$26=1,10,IF(MID($E17,1,1)="2",10,0))&gt;100,100,$AK17+IF(입력란!$C$26=1,10,IF(MID($E17,1,1)="2",10,0)))/100*($AL17/100-1))</f>
        <v>25144.924612599509</v>
      </c>
      <c r="L17" s="30">
        <f>U17*(1+IF($AK17+IF(입력란!$C$26=1,10,IF(MID($E17,1,1)="2",10,0))&gt;100,100,$AK17+IF(입력란!$C$26=1,10,IF(MID($E17,1,1)="2",10,0)))/100*($AL17/100-1))</f>
        <v>25144.924612599509</v>
      </c>
      <c r="M17" s="30">
        <f>V17*(1+IF($AK17+IF(입력란!$C$26=1,10,IF(MID($E17,1,1)="2",10,0))&gt;100,100,$AK17+IF(입력란!$C$26=1,10,IF(MID($E17,1,1)="2",10,0)))/100*($AL17/100-1))</f>
        <v>25144.924612599509</v>
      </c>
      <c r="N17" s="30">
        <f>W17*(1+IF($AK17+IF(입력란!$C$26=1,10,IF(MID($E17,1,1)="2",10,0))&gt;100,100,$AK17+IF(입력란!$C$26=1,10,IF(MID($E17,1,1)="2",10,0)))/100*($AL17/100-1))</f>
        <v>25144.924612599509</v>
      </c>
      <c r="O17" s="39"/>
      <c r="P17" s="39"/>
      <c r="Q17" s="30"/>
      <c r="R17" s="24">
        <f t="shared" si="1"/>
        <v>78735.805370256232</v>
      </c>
      <c r="S17" s="30">
        <f>AN17*IF(입력란!$C$12=0,1,IF(입력란!$C$12=1,1.3,IF(입력란!$C$12=2,1.45,IF(입력란!$C$12=3,1.6,1))))*IF(MID(E17,3,1)="3",트라이포드!$N$5,트라이포드!$M$5)/5</f>
        <v>15747.161074051246</v>
      </c>
      <c r="T17" s="30">
        <f>AN17*IF(입력란!$C$12=0,1,IF(입력란!$C$12=1,1.3,IF(입력란!$C$12=2,1.45,IF(입력란!$C$12=3,1.6,1))))*IF(MID(E17,3,1)="2",1+트라이포드!$L$5/100,1+트라이포드!$K$5/100)*IF(MID(E17,3,1)="3",트라이포드!$N$5,트라이포드!$M$5)/5</f>
        <v>15747.161074051246</v>
      </c>
      <c r="U17" s="30">
        <f>AN17*IF(입력란!$C$12=0,1,IF(입력란!$C$12=1,1.3,IF(입력란!$C$12=2,1.45,IF(입력란!$C$12=3,1.6,1))))*IF(MID(E17,3,1)="2",1+2*트라이포드!$L$5/100,1+트라이포드!$K$5/100)*IF(MID(E17,3,1)="3",트라이포드!$N$5,트라이포드!$M$5)/5</f>
        <v>15747.161074051246</v>
      </c>
      <c r="V17" s="30">
        <f>AN17*IF(입력란!$C$12=0,1,IF(입력란!$C$12=1,1.3,IF(입력란!$C$12=2,1.45,IF(입력란!$C$12=3,1.6,1))))*IF(MID(E17,3,1)="2",1+3*트라이포드!$L$5/100,1+트라이포드!$K$5/100)*IF(MID(E17,3,1)="3",트라이포드!$N$5,트라이포드!$M$5)/5</f>
        <v>15747.161074051246</v>
      </c>
      <c r="W17" s="39">
        <f>AN17*IF(입력란!$C$12=0,1,IF(입력란!$C$12=1,1.3,IF(입력란!$C$12=2,1.45,IF(입력란!$C$12=3,1.6,1))))*IF(MID(E17,3,1)="2",1+4*트라이포드!$L$5/100,1+트라이포드!$K$5/100)*IF(MID(E17,3,1)="3",트라이포드!$N$5,트라이포드!$M$5)/5</f>
        <v>15747.161074051246</v>
      </c>
      <c r="X17" s="39"/>
      <c r="Y17" s="39"/>
      <c r="Z17" s="25"/>
      <c r="AA17" s="30">
        <f t="shared" si="2"/>
        <v>157471.61074051246</v>
      </c>
      <c r="AB17" s="30">
        <f t="shared" si="3"/>
        <v>31494.322148102492</v>
      </c>
      <c r="AC17" s="30">
        <f t="shared" si="4"/>
        <v>31494.322148102492</v>
      </c>
      <c r="AD17" s="30">
        <f t="shared" si="4"/>
        <v>31494.322148102492</v>
      </c>
      <c r="AE17" s="30">
        <f t="shared" si="4"/>
        <v>31494.322148102492</v>
      </c>
      <c r="AF17" s="30">
        <f t="shared" si="4"/>
        <v>31494.322148102492</v>
      </c>
      <c r="AG17" s="39"/>
      <c r="AH17" s="39"/>
      <c r="AI17" s="25"/>
      <c r="AJ17" s="26">
        <f>AQ17*(1-입력란!$C$35/100)</f>
        <v>7.9072563262399997</v>
      </c>
      <c r="AK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" s="26">
        <f>입력란!$C$47+입력란!$C$41+IF(입력란!$C$18=1,10,IF(입력란!$C$18=2,25,IF(입력란!$C$18=3,50,0)))+IF(입력란!$C$23&lt;&gt;0,-12)</f>
        <v>378.9445412</v>
      </c>
      <c r="AM17" s="30">
        <f t="shared" si="5"/>
        <v>78735.805370256232</v>
      </c>
      <c r="AN17" s="30">
        <f>(VLOOKUP(C17,$B$4:$AJ$7,2,FALSE)+VLOOKUP(C17,$B$8:$AJ$11,2,FALSE)*입력란!$C$29)*입력란!$C$48/100</f>
        <v>78735.805370256232</v>
      </c>
      <c r="AO17" s="30"/>
      <c r="AP17" s="30"/>
      <c r="AQ17" s="28">
        <v>8</v>
      </c>
    </row>
    <row r="18" spans="2:43" ht="13.5" customHeight="1" x14ac:dyDescent="0.3">
      <c r="B18" s="31">
        <v>3</v>
      </c>
      <c r="C18" s="36">
        <v>4</v>
      </c>
      <c r="D18" s="37" t="s">
        <v>77</v>
      </c>
      <c r="E18" s="38" t="s">
        <v>79</v>
      </c>
      <c r="F18" s="40"/>
      <c r="G18" s="40"/>
      <c r="H18" s="52">
        <f t="shared" si="0"/>
        <v>18121.957305404692</v>
      </c>
      <c r="I18" s="53">
        <f>SUM(J18:Q18)*IF(입력란!$C$16=1,1.04,IF(입력란!$C$16=2,1.1,IF(입력란!$C$16=3,1.2,1)))*IF(입력란!$C$21=1,1+입력란!$C$38*0.001,IF(입력란!$C$21=2,1+입력란!$C$38*0.0022,IF(입력란!$C$21=3,1+입력란!$C$38*0.0045,1)))*IF(입력란!$C$18&lt;&gt;0,0.98,1)</f>
        <v>143294.96154701244</v>
      </c>
      <c r="J18" s="30">
        <f>S18*(1+IF($AK18+IF(입력란!$C$26=1,10,0)&gt;100,100,$AK18+IF(입력란!$C$26=1,10,0))/100*($AL18/100-1))</f>
        <v>25144.924612599509</v>
      </c>
      <c r="K18" s="30">
        <f>T18*(1+IF($AK18+IF(입력란!$C$26=1,10,IF(MID($E18,1,1)="2",10,0))&gt;100,100,$AK18+IF(입력란!$C$26=1,10,IF(MID($E18,1,1)="2",10,0)))/100*($AL18/100-1))</f>
        <v>29537.509233603236</v>
      </c>
      <c r="L18" s="30">
        <f>U18*(1+IF($AK18+IF(입력란!$C$26=1,10,IF(MID($E18,1,1)="2",10,0))&gt;100,100,$AK18+IF(입력란!$C$26=1,10,IF(MID($E18,1,1)="2",10,0)))/100*($AL18/100-1))</f>
        <v>29537.509233603236</v>
      </c>
      <c r="M18" s="30">
        <f>V18*(1+IF($AK18+IF(입력란!$C$26=1,10,IF(MID($E18,1,1)="2",10,0))&gt;100,100,$AK18+IF(입력란!$C$26=1,10,IF(MID($E18,1,1)="2",10,0)))/100*($AL18/100-1))</f>
        <v>29537.509233603236</v>
      </c>
      <c r="N18" s="30">
        <f>W18*(1+IF($AK18+IF(입력란!$C$26=1,10,IF(MID($E18,1,1)="2",10,0))&gt;100,100,$AK18+IF(입력란!$C$26=1,10,IF(MID($E18,1,1)="2",10,0)))/100*($AL18/100-1))</f>
        <v>29537.509233603236</v>
      </c>
      <c r="O18" s="39"/>
      <c r="P18" s="39"/>
      <c r="Q18" s="30"/>
      <c r="R18" s="24">
        <f t="shared" si="1"/>
        <v>78735.805370256232</v>
      </c>
      <c r="S18" s="30">
        <f>AN18*IF(입력란!$C$12=0,1,IF(입력란!$C$12=1,1.3,IF(입력란!$C$12=2,1.45,IF(입력란!$C$12=3,1.6,1))))*IF(MID(E18,3,1)="3",트라이포드!$N$5,트라이포드!$M$5)/5</f>
        <v>15747.161074051246</v>
      </c>
      <c r="T18" s="30">
        <f>AN18*IF(입력란!$C$12=0,1,IF(입력란!$C$12=1,1.3,IF(입력란!$C$12=2,1.45,IF(입력란!$C$12=3,1.6,1))))*IF(MID(E18,3,1)="2",1+트라이포드!$L$5/100,1+트라이포드!$K$5/100)*IF(MID(E18,3,1)="3",트라이포드!$N$5,트라이포드!$M$5)/5</f>
        <v>15747.161074051246</v>
      </c>
      <c r="U18" s="30">
        <f>AN18*IF(입력란!$C$12=0,1,IF(입력란!$C$12=1,1.3,IF(입력란!$C$12=2,1.45,IF(입력란!$C$12=3,1.6,1))))*IF(MID(E18,3,1)="2",1+2*트라이포드!$L$5/100,1+트라이포드!$K$5/100)*IF(MID(E18,3,1)="3",트라이포드!$N$5,트라이포드!$M$5)/5</f>
        <v>15747.161074051246</v>
      </c>
      <c r="V18" s="30">
        <f>AN18*IF(입력란!$C$12=0,1,IF(입력란!$C$12=1,1.3,IF(입력란!$C$12=2,1.45,IF(입력란!$C$12=3,1.6,1))))*IF(MID(E18,3,1)="2",1+3*트라이포드!$L$5/100,1+트라이포드!$K$5/100)*IF(MID(E18,3,1)="3",트라이포드!$N$5,트라이포드!$M$5)/5</f>
        <v>15747.161074051246</v>
      </c>
      <c r="W18" s="39">
        <f>AN18*IF(입력란!$C$12=0,1,IF(입력란!$C$12=1,1.3,IF(입력란!$C$12=2,1.45,IF(입력란!$C$12=3,1.6,1))))*IF(MID(E18,3,1)="2",1+4*트라이포드!$L$5/100,1+트라이포드!$K$5/100)*IF(MID(E18,3,1)="3",트라이포드!$N$5,트라이포드!$M$5)/5</f>
        <v>15747.161074051246</v>
      </c>
      <c r="X18" s="39"/>
      <c r="Y18" s="39"/>
      <c r="Z18" s="25"/>
      <c r="AA18" s="30">
        <f t="shared" si="2"/>
        <v>157471.61074051246</v>
      </c>
      <c r="AB18" s="30">
        <f t="shared" si="3"/>
        <v>31494.322148102492</v>
      </c>
      <c r="AC18" s="30">
        <f t="shared" si="4"/>
        <v>31494.322148102492</v>
      </c>
      <c r="AD18" s="30">
        <f t="shared" si="4"/>
        <v>31494.322148102492</v>
      </c>
      <c r="AE18" s="30">
        <f t="shared" si="4"/>
        <v>31494.322148102492</v>
      </c>
      <c r="AF18" s="30">
        <f t="shared" si="4"/>
        <v>31494.322148102492</v>
      </c>
      <c r="AG18" s="39"/>
      <c r="AH18" s="39"/>
      <c r="AI18" s="25"/>
      <c r="AJ18" s="26">
        <f>AQ18*(1-입력란!$C$35/100)</f>
        <v>7.9072563262399997</v>
      </c>
      <c r="AK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" s="26">
        <f>입력란!$C$47+입력란!$C$41+IF(입력란!$C$18=1,10,IF(입력란!$C$18=2,25,IF(입력란!$C$18=3,50,0)))+IF(입력란!$C$23&lt;&gt;0,-12)</f>
        <v>378.9445412</v>
      </c>
      <c r="AM18" s="30">
        <f t="shared" si="5"/>
        <v>78735.805370256232</v>
      </c>
      <c r="AN18" s="30">
        <f>(VLOOKUP(C18,$B$4:$AJ$7,2,FALSE)+VLOOKUP(C18,$B$8:$AJ$11,2,FALSE)*입력란!$C$29)*입력란!$C$48/100</f>
        <v>78735.805370256232</v>
      </c>
      <c r="AO18" s="30"/>
      <c r="AP18" s="30"/>
      <c r="AQ18" s="28">
        <v>8</v>
      </c>
    </row>
    <row r="19" spans="2:43" ht="13.5" customHeight="1" x14ac:dyDescent="0.3">
      <c r="B19" s="31">
        <v>4</v>
      </c>
      <c r="C19" s="36">
        <v>7</v>
      </c>
      <c r="D19" s="37" t="s">
        <v>77</v>
      </c>
      <c r="E19" s="38" t="s">
        <v>78</v>
      </c>
      <c r="F19" s="40"/>
      <c r="G19" s="40"/>
      <c r="H19" s="52">
        <f t="shared" si="0"/>
        <v>15916.625459287952</v>
      </c>
      <c r="I19" s="53">
        <f>SUM(J19:Q19)*IF(입력란!$C$16=1,1.04,IF(입력란!$C$16=2,1.1,IF(입력란!$C$16=3,1.2,1)))*IF(입력란!$C$21=1,1+입력란!$C$38*0.001,IF(입력란!$C$21=2,1+입력란!$C$38*0.0022,IF(입력란!$C$21=3,1+입력란!$C$38*0.0045,1)))*IF(입력란!$C$18&lt;&gt;0,0.98,1)</f>
        <v>125856.83735534731</v>
      </c>
      <c r="J19" s="30">
        <f>S19*(1+IF($AK19+IF(입력란!$C$26=1,10,0)&gt;100,100,$AK19+IF(입력란!$C$26=1,10,0))/100*($AL19/100-1))</f>
        <v>25171.367471069461</v>
      </c>
      <c r="K19" s="30">
        <f>T19*(1+IF($AK19+IF(입력란!$C$26=1,10,IF(MID($E19,1,1)="2",10,0))&gt;100,100,$AK19+IF(입력란!$C$26=1,10,IF(MID($E19,1,1)="2",10,0)))/100*($AL19/100-1))</f>
        <v>25171.367471069461</v>
      </c>
      <c r="L19" s="30">
        <f>U19*(1+IF($AK19+IF(입력란!$C$26=1,10,IF(MID($E19,1,1)="2",10,0))&gt;100,100,$AK19+IF(입력란!$C$26=1,10,IF(MID($E19,1,1)="2",10,0)))/100*($AL19/100-1))</f>
        <v>25171.367471069461</v>
      </c>
      <c r="M19" s="30">
        <f>V19*(1+IF($AK19+IF(입력란!$C$26=1,10,IF(MID($E19,1,1)="2",10,0))&gt;100,100,$AK19+IF(입력란!$C$26=1,10,IF(MID($E19,1,1)="2",10,0)))/100*($AL19/100-1))</f>
        <v>25171.367471069461</v>
      </c>
      <c r="N19" s="30">
        <f>W19*(1+IF($AK19+IF(입력란!$C$26=1,10,IF(MID($E19,1,1)="2",10,0))&gt;100,100,$AK19+IF(입력란!$C$26=1,10,IF(MID($E19,1,1)="2",10,0)))/100*($AL19/100-1))</f>
        <v>25171.367471069461</v>
      </c>
      <c r="O19" s="39"/>
      <c r="P19" s="39"/>
      <c r="Q19" s="30"/>
      <c r="R19" s="24">
        <f t="shared" si="1"/>
        <v>78818.605370256235</v>
      </c>
      <c r="S19" s="30">
        <f>AN19*IF(입력란!$C$12=0,1,IF(입력란!$C$12=1,1.3,IF(입력란!$C$12=2,1.45,IF(입력란!$C$12=3,1.6,1))))*IF(MID(E19,3,1)="3",트라이포드!$N$5,트라이포드!$M$5)/5</f>
        <v>15763.721074051247</v>
      </c>
      <c r="T19" s="30">
        <f>AN19*IF(입력란!$C$12=0,1,IF(입력란!$C$12=1,1.3,IF(입력란!$C$12=2,1.45,IF(입력란!$C$12=3,1.6,1))))*IF(MID(E19,3,1)="2",1+트라이포드!$L$5/100,1+트라이포드!$K$5/100)*IF(MID(E19,3,1)="3",트라이포드!$N$5,트라이포드!$M$5)/5</f>
        <v>15763.721074051247</v>
      </c>
      <c r="U19" s="30">
        <f>AN19*IF(입력란!$C$12=0,1,IF(입력란!$C$12=1,1.3,IF(입력란!$C$12=2,1.45,IF(입력란!$C$12=3,1.6,1))))*IF(MID(E19,3,1)="2",1+2*트라이포드!$L$5/100,1+트라이포드!$K$5/100)*IF(MID(E19,3,1)="3",트라이포드!$N$5,트라이포드!$M$5)/5</f>
        <v>15763.721074051247</v>
      </c>
      <c r="V19" s="30">
        <f>AN19*IF(입력란!$C$12=0,1,IF(입력란!$C$12=1,1.3,IF(입력란!$C$12=2,1.45,IF(입력란!$C$12=3,1.6,1))))*IF(MID(E19,3,1)="2",1+3*트라이포드!$L$5/100,1+트라이포드!$K$5/100)*IF(MID(E19,3,1)="3",트라이포드!$N$5,트라이포드!$M$5)/5</f>
        <v>15763.721074051247</v>
      </c>
      <c r="W19" s="39">
        <f>AN19*IF(입력란!$C$12=0,1,IF(입력란!$C$12=1,1.3,IF(입력란!$C$12=2,1.45,IF(입력란!$C$12=3,1.6,1))))*IF(MID(E19,3,1)="2",1+4*트라이포드!$L$5/100,1+트라이포드!$K$5/100)*IF(MID(E19,3,1)="3",트라이포드!$N$5,트라이포드!$M$5)/5</f>
        <v>15763.721074051247</v>
      </c>
      <c r="X19" s="39"/>
      <c r="Y19" s="39"/>
      <c r="Z19" s="25"/>
      <c r="AA19" s="30">
        <f t="shared" si="2"/>
        <v>157637.21074051247</v>
      </c>
      <c r="AB19" s="30">
        <f t="shared" si="3"/>
        <v>31527.442148102495</v>
      </c>
      <c r="AC19" s="30">
        <f t="shared" si="4"/>
        <v>31527.442148102495</v>
      </c>
      <c r="AD19" s="30">
        <f t="shared" si="4"/>
        <v>31527.442148102495</v>
      </c>
      <c r="AE19" s="30">
        <f t="shared" si="4"/>
        <v>31527.442148102495</v>
      </c>
      <c r="AF19" s="30">
        <f t="shared" si="4"/>
        <v>31527.442148102495</v>
      </c>
      <c r="AG19" s="39"/>
      <c r="AH19" s="39"/>
      <c r="AI19" s="25"/>
      <c r="AJ19" s="26">
        <f>AQ19*(1-입력란!$C$35/100)</f>
        <v>7.9072563262399997</v>
      </c>
      <c r="AK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" s="26">
        <f>입력란!$C$47+입력란!$C$41+IF(입력란!$C$18=1,10,IF(입력란!$C$18=2,25,IF(입력란!$C$18=3,50,0)))+IF(입력란!$C$23&lt;&gt;0,-12)</f>
        <v>378.9445412</v>
      </c>
      <c r="AM19" s="30">
        <f t="shared" si="5"/>
        <v>78818.605370256235</v>
      </c>
      <c r="AN19" s="30">
        <f>(VLOOKUP(C19,$B$4:$AJ$7,2,FALSE)+VLOOKUP(C19,$B$8:$AJ$11,2,FALSE)*입력란!$C$29)*입력란!$C$48/100</f>
        <v>78818.605370256235</v>
      </c>
      <c r="AO19" s="30"/>
      <c r="AP19" s="30"/>
      <c r="AQ19" s="28">
        <v>8</v>
      </c>
    </row>
    <row r="20" spans="2:43" ht="13.5" customHeight="1" x14ac:dyDescent="0.3">
      <c r="B20" s="31">
        <v>5</v>
      </c>
      <c r="C20" s="36">
        <v>7</v>
      </c>
      <c r="D20" s="37" t="s">
        <v>77</v>
      </c>
      <c r="E20" s="38" t="s">
        <v>80</v>
      </c>
      <c r="F20" s="40"/>
      <c r="G20" s="40"/>
      <c r="H20" s="52">
        <f t="shared" si="0"/>
        <v>20691.613097074336</v>
      </c>
      <c r="I20" s="53">
        <f>SUM(J20:Q20)*IF(입력란!$C$16=1,1.04,IF(입력란!$C$16=2,1.1,IF(입력란!$C$16=3,1.2,1)))*IF(입력란!$C$21=1,1+입력란!$C$38*0.001,IF(입력란!$C$21=2,1+입력란!$C$38*0.0022,IF(입력란!$C$21=3,1+입력란!$C$38*0.0045,1)))*IF(입력란!$C$18&lt;&gt;0,0.98,1)</f>
        <v>163613.88856195149</v>
      </c>
      <c r="J20" s="30">
        <f>S20*(1+IF($AK20+IF(입력란!$C$26=1,10,0)&gt;100,100,$AK20+IF(입력란!$C$26=1,10,0))/100*($AL20/100-1))</f>
        <v>25171.367471069461</v>
      </c>
      <c r="K20" s="30">
        <f>T20*(1+IF($AK20+IF(입력란!$C$26=1,10,IF(MID($E20,1,1)="2",10,0))&gt;100,100,$AK20+IF(입력란!$C$26=1,10,IF(MID($E20,1,1)="2",10,0)))/100*($AL20/100-1))</f>
        <v>28947.072591729877</v>
      </c>
      <c r="L20" s="30">
        <f>U20*(1+IF($AK20+IF(입력란!$C$26=1,10,IF(MID($E20,1,1)="2",10,0))&gt;100,100,$AK20+IF(입력란!$C$26=1,10,IF(MID($E20,1,1)="2",10,0)))/100*($AL20/100-1))</f>
        <v>32722.7777123903</v>
      </c>
      <c r="M20" s="30">
        <f>V20*(1+IF($AK20+IF(입력란!$C$26=1,10,IF(MID($E20,1,1)="2",10,0))&gt;100,100,$AK20+IF(입력란!$C$26=1,10,IF(MID($E20,1,1)="2",10,0)))/100*($AL20/100-1))</f>
        <v>36498.482833050715</v>
      </c>
      <c r="N20" s="30">
        <f>W20*(1+IF($AK20+IF(입력란!$C$26=1,10,IF(MID($E20,1,1)="2",10,0))&gt;100,100,$AK20+IF(입력란!$C$26=1,10,IF(MID($E20,1,1)="2",10,0)))/100*($AL20/100-1))</f>
        <v>40274.187953711138</v>
      </c>
      <c r="O20" s="39"/>
      <c r="P20" s="39"/>
      <c r="Q20" s="30"/>
      <c r="R20" s="24">
        <f t="shared" si="1"/>
        <v>102464.1869813331</v>
      </c>
      <c r="S20" s="30">
        <f>AN20*IF(입력란!$C$12=0,1,IF(입력란!$C$12=1,1.3,IF(입력란!$C$12=2,1.45,IF(입력란!$C$12=3,1.6,1))))*IF(MID(E20,3,1)="3",트라이포드!$N$5,트라이포드!$M$5)/5</f>
        <v>15763.721074051247</v>
      </c>
      <c r="T20" s="30">
        <f>AN20*IF(입력란!$C$12=0,1,IF(입력란!$C$12=1,1.3,IF(입력란!$C$12=2,1.45,IF(입력란!$C$12=3,1.6,1))))*IF(MID(E20,3,1)="2",1+트라이포드!$L$5/100,1+트라이포드!$K$5/100)*IF(MID(E20,3,1)="3",트라이포드!$N$5,트라이포드!$M$5)/5</f>
        <v>18128.279235158934</v>
      </c>
      <c r="U20" s="30">
        <f>AN20*IF(입력란!$C$12=0,1,IF(입력란!$C$12=1,1.3,IF(입력란!$C$12=2,1.45,IF(입력란!$C$12=3,1.6,1))))*IF(MID(E20,3,1)="2",1+2*트라이포드!$L$5/100,1+트라이포드!$K$5/100)*IF(MID(E20,3,1)="3",트라이포드!$N$5,트라이포드!$M$5)/5</f>
        <v>20492.837396266623</v>
      </c>
      <c r="V20" s="30">
        <f>AN20*IF(입력란!$C$12=0,1,IF(입력란!$C$12=1,1.3,IF(입력란!$C$12=2,1.45,IF(입력란!$C$12=3,1.6,1))))*IF(MID(E20,3,1)="2",1+3*트라이포드!$L$5/100,1+트라이포드!$K$5/100)*IF(MID(E20,3,1)="3",트라이포드!$N$5,트라이포드!$M$5)/5</f>
        <v>22857.395557374308</v>
      </c>
      <c r="W20" s="39">
        <f>AN20*IF(입력란!$C$12=0,1,IF(입력란!$C$12=1,1.3,IF(입력란!$C$12=2,1.45,IF(입력란!$C$12=3,1.6,1))))*IF(MID(E20,3,1)="2",1+4*트라이포드!$L$5/100,1+트라이포드!$K$5/100)*IF(MID(E20,3,1)="3",트라이포드!$N$5,트라이포드!$M$5)/5</f>
        <v>25221.953718481996</v>
      </c>
      <c r="X20" s="39"/>
      <c r="Y20" s="39"/>
      <c r="Z20" s="25"/>
      <c r="AA20" s="30">
        <f t="shared" si="2"/>
        <v>157637.21074051247</v>
      </c>
      <c r="AB20" s="30">
        <f t="shared" si="3"/>
        <v>31527.442148102495</v>
      </c>
      <c r="AC20" s="30">
        <f t="shared" si="4"/>
        <v>31527.442148102495</v>
      </c>
      <c r="AD20" s="30">
        <f t="shared" si="4"/>
        <v>31527.442148102495</v>
      </c>
      <c r="AE20" s="30">
        <f t="shared" si="4"/>
        <v>31527.442148102495</v>
      </c>
      <c r="AF20" s="30">
        <f t="shared" si="4"/>
        <v>31527.442148102495</v>
      </c>
      <c r="AG20" s="39"/>
      <c r="AH20" s="39"/>
      <c r="AI20" s="25"/>
      <c r="AJ20" s="26">
        <f>AQ20*(1-입력란!$C$35/100)</f>
        <v>7.9072563262399997</v>
      </c>
      <c r="AK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" s="26">
        <f>입력란!$C$47+입력란!$C$41+IF(입력란!$C$18=1,10,IF(입력란!$C$18=2,25,IF(입력란!$C$18=3,50,0)))+IF(입력란!$C$23&lt;&gt;0,-12)</f>
        <v>378.9445412</v>
      </c>
      <c r="AM20" s="30">
        <f t="shared" si="5"/>
        <v>78818.605370256235</v>
      </c>
      <c r="AN20" s="30">
        <f>(VLOOKUP(C20,$B$4:$AJ$7,2,FALSE)+VLOOKUP(C20,$B$8:$AJ$11,2,FALSE)*입력란!$C$29)*입력란!$C$48/100</f>
        <v>78818.605370256235</v>
      </c>
      <c r="AO20" s="30"/>
      <c r="AP20" s="30"/>
      <c r="AQ20" s="28">
        <v>8</v>
      </c>
    </row>
    <row r="21" spans="2:43" ht="13.5" customHeight="1" x14ac:dyDescent="0.3">
      <c r="B21" s="31">
        <v>6</v>
      </c>
      <c r="C21" s="36">
        <v>7</v>
      </c>
      <c r="D21" s="37" t="s">
        <v>77</v>
      </c>
      <c r="E21" s="38" t="s">
        <v>81</v>
      </c>
      <c r="F21" s="40" t="s">
        <v>84</v>
      </c>
      <c r="G21" s="40"/>
      <c r="H21" s="52">
        <f t="shared" si="0"/>
        <v>22283.27564300313</v>
      </c>
      <c r="I21" s="53">
        <f>SUM(J21:Q21)*IF(입력란!$C$16=1,1.04,IF(입력란!$C$16=2,1.1,IF(입력란!$C$16=3,1.2,1)))*IF(입력란!$C$21=1,1+입력란!$C$38*0.001,IF(입력란!$C$21=2,1+입력란!$C$38*0.0022,IF(입력란!$C$21=3,1+입력란!$C$38*0.0045,1)))*IF(입력란!$C$18&lt;&gt;0,0.98,1)</f>
        <v>176199.57229748619</v>
      </c>
      <c r="J21" s="30">
        <f>S21*(1+IF($AK21+IF(입력란!$C$26=1,10,0)&gt;100,100,$AK21+IF(입력란!$C$26=1,10,0))/100*($AL21/100-1))</f>
        <v>35239.914459497239</v>
      </c>
      <c r="K21" s="30">
        <f>T21*(1+IF($AK21+IF(입력란!$C$26=1,10,IF(MID($E21,1,1)="2",10,0))&gt;100,100,$AK21+IF(입력란!$C$26=1,10,IF(MID($E21,1,1)="2",10,0)))/100*($AL21/100-1))</f>
        <v>35239.914459497239</v>
      </c>
      <c r="L21" s="30">
        <f>U21*(1+IF($AK21+IF(입력란!$C$26=1,10,IF(MID($E21,1,1)="2",10,0))&gt;100,100,$AK21+IF(입력란!$C$26=1,10,IF(MID($E21,1,1)="2",10,0)))/100*($AL21/100-1))</f>
        <v>35239.914459497239</v>
      </c>
      <c r="M21" s="30">
        <f>V21*(1+IF($AK21+IF(입력란!$C$26=1,10,IF(MID($E21,1,1)="2",10,0))&gt;100,100,$AK21+IF(입력란!$C$26=1,10,IF(MID($E21,1,1)="2",10,0)))/100*($AL21/100-1))</f>
        <v>35239.914459497239</v>
      </c>
      <c r="N21" s="30">
        <f>W21*(1+IF($AK21+IF(입력란!$C$26=1,10,IF(MID($E21,1,1)="2",10,0))&gt;100,100,$AK21+IF(입력란!$C$26=1,10,IF(MID($E21,1,1)="2",10,0)))/100*($AL21/100-1))</f>
        <v>35239.914459497239</v>
      </c>
      <c r="O21" s="39"/>
      <c r="P21" s="39"/>
      <c r="Q21" s="30"/>
      <c r="R21" s="24">
        <f t="shared" si="1"/>
        <v>110346.04751835871</v>
      </c>
      <c r="S21" s="30">
        <f>AN21*IF(입력란!$C$12=0,1,IF(입력란!$C$12=1,1.3,IF(입력란!$C$12=2,1.45,IF(입력란!$C$12=3,1.6,1))))*IF(MID(E21,3,1)="3",트라이포드!$N$5,트라이포드!$M$5)/5</f>
        <v>22069.209503671744</v>
      </c>
      <c r="T21" s="30">
        <f>AN21*IF(입력란!$C$12=0,1,IF(입력란!$C$12=1,1.3,IF(입력란!$C$12=2,1.45,IF(입력란!$C$12=3,1.6,1))))*IF(MID(E21,3,1)="2",1+트라이포드!$L$5/100,1+트라이포드!$K$5/100)*IF(MID(E21,3,1)="3",트라이포드!$N$5,트라이포드!$M$5)/5</f>
        <v>22069.209503671744</v>
      </c>
      <c r="U21" s="30">
        <f>AN21*IF(입력란!$C$12=0,1,IF(입력란!$C$12=1,1.3,IF(입력란!$C$12=2,1.45,IF(입력란!$C$12=3,1.6,1))))*IF(MID(E21,3,1)="2",1+2*트라이포드!$L$5/100,1+트라이포드!$K$5/100)*IF(MID(E21,3,1)="3",트라이포드!$N$5,트라이포드!$M$5)/5</f>
        <v>22069.209503671744</v>
      </c>
      <c r="V21" s="30">
        <f>AN21*IF(입력란!$C$12=0,1,IF(입력란!$C$12=1,1.3,IF(입력란!$C$12=2,1.45,IF(입력란!$C$12=3,1.6,1))))*IF(MID(E21,3,1)="2",1+3*트라이포드!$L$5/100,1+트라이포드!$K$5/100)*IF(MID(E21,3,1)="3",트라이포드!$N$5,트라이포드!$M$5)/5</f>
        <v>22069.209503671744</v>
      </c>
      <c r="W21" s="39">
        <f>AN21*IF(입력란!$C$12=0,1,IF(입력란!$C$12=1,1.3,IF(입력란!$C$12=2,1.45,IF(입력란!$C$12=3,1.6,1))))*IF(MID(E21,3,1)="2",1+4*트라이포드!$L$5/100,1+트라이포드!$K$5/100)*IF(MID(E21,3,1)="3",트라이포드!$N$5,트라이포드!$M$5)/5</f>
        <v>22069.209503671744</v>
      </c>
      <c r="X21" s="39"/>
      <c r="Y21" s="39"/>
      <c r="Z21" s="25"/>
      <c r="AA21" s="30">
        <f t="shared" si="2"/>
        <v>220692.09503671742</v>
      </c>
      <c r="AB21" s="30">
        <f t="shared" si="3"/>
        <v>44138.419007343487</v>
      </c>
      <c r="AC21" s="30">
        <f t="shared" si="4"/>
        <v>44138.419007343487</v>
      </c>
      <c r="AD21" s="30">
        <f t="shared" si="4"/>
        <v>44138.419007343487</v>
      </c>
      <c r="AE21" s="30">
        <f t="shared" si="4"/>
        <v>44138.419007343487</v>
      </c>
      <c r="AF21" s="30">
        <f t="shared" si="4"/>
        <v>44138.419007343487</v>
      </c>
      <c r="AG21" s="39"/>
      <c r="AH21" s="39"/>
      <c r="AI21" s="25"/>
      <c r="AJ21" s="26">
        <f>AQ21*(1-입력란!$C$35/100)</f>
        <v>7.9072563262399997</v>
      </c>
      <c r="AK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" s="26">
        <f>입력란!$C$47+입력란!$C$41+IF(입력란!$C$18=1,10,IF(입력란!$C$18=2,25,IF(입력란!$C$18=3,50,0)))+IF(입력란!$C$23&lt;&gt;0,-12)</f>
        <v>378.9445412</v>
      </c>
      <c r="AM21" s="30">
        <f t="shared" si="5"/>
        <v>78818.605370256235</v>
      </c>
      <c r="AN21" s="30">
        <f>(VLOOKUP(C21,$B$4:$AJ$7,2,FALSE)+VLOOKUP(C21,$B$8:$AJ$11,2,FALSE)*입력란!$C$29)*입력란!$C$48/100</f>
        <v>78818.605370256235</v>
      </c>
      <c r="AO21" s="30"/>
      <c r="AP21" s="30"/>
      <c r="AQ21" s="28">
        <v>8</v>
      </c>
    </row>
    <row r="22" spans="2:43" ht="13.5" customHeight="1" x14ac:dyDescent="0.3">
      <c r="B22" s="31">
        <v>7</v>
      </c>
      <c r="C22" s="40">
        <v>7</v>
      </c>
      <c r="D22" s="41" t="s">
        <v>104</v>
      </c>
      <c r="E22" s="38" t="s">
        <v>107</v>
      </c>
      <c r="F22" s="40"/>
      <c r="G22" s="40"/>
      <c r="H22" s="52">
        <f t="shared" si="0"/>
        <v>18141.014684164355</v>
      </c>
      <c r="I22" s="53">
        <f>SUM(J22:Q22)*IF(입력란!$C$16=1,1.04,IF(입력란!$C$16=2,1.1,IF(입력란!$C$16=3,1.2,1)))*IF(입력란!$C$21=1,1+입력란!$C$38*0.001,IF(입력란!$C$21=2,1+입력란!$C$38*0.0022,IF(입력란!$C$21=3,1+입력란!$C$38*0.0045,1)))*IF(입력란!$C$18&lt;&gt;0,0.98,1)</f>
        <v>143445.65312577132</v>
      </c>
      <c r="J22" s="30">
        <f>S22*(1+IF($AK22+IF(입력란!$C$26=1,10,0)&gt;100,100,$AK22+IF(입력란!$C$26=1,10,0))/100*($AL22/100-1))</f>
        <v>25171.367471069461</v>
      </c>
      <c r="K22" s="30">
        <f>T22*(1+IF($AK22+IF(입력란!$C$26=1,10,IF(MID($E22,1,1)="2",10,0))&gt;100,100,$AK22+IF(입력란!$C$26=1,10,IF(MID($E22,1,1)="2",10,0)))/100*($AL22/100-1))</f>
        <v>29568.571413675461</v>
      </c>
      <c r="L22" s="30">
        <f>U22*(1+IF($AK22+IF(입력란!$C$26=1,10,IF(MID($E22,1,1)="2",10,0))&gt;100,100,$AK22+IF(입력란!$C$26=1,10,IF(MID($E22,1,1)="2",10,0)))/100*($AL22/100-1))</f>
        <v>29568.571413675461</v>
      </c>
      <c r="M22" s="30">
        <f>V22*(1+IF($AK22+IF(입력란!$C$26=1,10,IF(MID($E22,1,1)="2",10,0))&gt;100,100,$AK22+IF(입력란!$C$26=1,10,IF(MID($E22,1,1)="2",10,0)))/100*($AL22/100-1))</f>
        <v>29568.571413675461</v>
      </c>
      <c r="N22" s="30">
        <f>W22*(1+IF($AK22+IF(입력란!$C$26=1,10,IF(MID($E22,1,1)="2",10,0))&gt;100,100,$AK22+IF(입력란!$C$26=1,10,IF(MID($E22,1,1)="2",10,0)))/100*($AL22/100-1))</f>
        <v>29568.571413675461</v>
      </c>
      <c r="O22" s="39"/>
      <c r="P22" s="39"/>
      <c r="Q22" s="30"/>
      <c r="R22" s="24">
        <f t="shared" si="1"/>
        <v>78818.605370256235</v>
      </c>
      <c r="S22" s="30">
        <f>AN22*IF(입력란!$C$12=0,1,IF(입력란!$C$12=1,1.3,IF(입력란!$C$12=2,1.45,IF(입력란!$C$12=3,1.6,1))))*IF(MID(E22,3,1)="3",트라이포드!$N$5,트라이포드!$M$5)/5</f>
        <v>15763.721074051247</v>
      </c>
      <c r="T22" s="30">
        <f>AN22*IF(입력란!$C$12=0,1,IF(입력란!$C$12=1,1.3,IF(입력란!$C$12=2,1.45,IF(입력란!$C$12=3,1.6,1))))*IF(MID(E22,3,1)="2",1+트라이포드!$L$5/100,1+트라이포드!$K$5/100)*IF(MID(E22,3,1)="3",트라이포드!$N$5,트라이포드!$M$5)/5</f>
        <v>15763.721074051247</v>
      </c>
      <c r="U22" s="30">
        <f>AN22*IF(입력란!$C$12=0,1,IF(입력란!$C$12=1,1.3,IF(입력란!$C$12=2,1.45,IF(입력란!$C$12=3,1.6,1))))*IF(MID(E22,3,1)="2",1+2*트라이포드!$L$5/100,1+트라이포드!$K$5/100)*IF(MID(E22,3,1)="3",트라이포드!$N$5,트라이포드!$M$5)/5</f>
        <v>15763.721074051247</v>
      </c>
      <c r="V22" s="30">
        <f>AN22*IF(입력란!$C$12=0,1,IF(입력란!$C$12=1,1.3,IF(입력란!$C$12=2,1.45,IF(입력란!$C$12=3,1.6,1))))*IF(MID(E22,3,1)="2",1+3*트라이포드!$L$5/100,1+트라이포드!$K$5/100)*IF(MID(E22,3,1)="3",트라이포드!$N$5,트라이포드!$M$5)/5</f>
        <v>15763.721074051247</v>
      </c>
      <c r="W22" s="39">
        <f>AN22*IF(입력란!$C$12=0,1,IF(입력란!$C$12=1,1.3,IF(입력란!$C$12=2,1.45,IF(입력란!$C$12=3,1.6,1))))*IF(MID(E22,3,1)="2",1+4*트라이포드!$L$5/100,1+트라이포드!$K$5/100)*IF(MID(E22,3,1)="3",트라이포드!$N$5,트라이포드!$M$5)/5</f>
        <v>15763.721074051247</v>
      </c>
      <c r="X22" s="39"/>
      <c r="Y22" s="39"/>
      <c r="Z22" s="25"/>
      <c r="AA22" s="30">
        <f t="shared" si="2"/>
        <v>157637.21074051247</v>
      </c>
      <c r="AB22" s="30">
        <f t="shared" si="3"/>
        <v>31527.442148102495</v>
      </c>
      <c r="AC22" s="30">
        <f t="shared" si="4"/>
        <v>31527.442148102495</v>
      </c>
      <c r="AD22" s="30">
        <f t="shared" si="4"/>
        <v>31527.442148102495</v>
      </c>
      <c r="AE22" s="30">
        <f t="shared" si="4"/>
        <v>31527.442148102495</v>
      </c>
      <c r="AF22" s="30">
        <f t="shared" si="4"/>
        <v>31527.442148102495</v>
      </c>
      <c r="AG22" s="39"/>
      <c r="AH22" s="39"/>
      <c r="AI22" s="25"/>
      <c r="AJ22" s="26">
        <f>AQ22*(1-입력란!$C$35/100)</f>
        <v>7.9072563262399997</v>
      </c>
      <c r="AK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" s="26">
        <f>입력란!$C$47+입력란!$C$41+IF(입력란!$C$18=1,10,IF(입력란!$C$18=2,25,IF(입력란!$C$18=3,50,0)))+IF(입력란!$C$23&lt;&gt;0,-12)</f>
        <v>378.9445412</v>
      </c>
      <c r="AM22" s="30">
        <f t="shared" si="5"/>
        <v>78818.605370256235</v>
      </c>
      <c r="AN22" s="30">
        <f>(VLOOKUP(C22,$B$4:$AJ$7,2,FALSE)+VLOOKUP(C22,$B$8:$AJ$11,2,FALSE)*입력란!$C$29)*입력란!$C$48/100</f>
        <v>78818.605370256235</v>
      </c>
      <c r="AO22" s="30"/>
      <c r="AP22" s="30"/>
      <c r="AQ22" s="28">
        <v>8</v>
      </c>
    </row>
    <row r="23" spans="2:43" ht="13.5" customHeight="1" x14ac:dyDescent="0.3">
      <c r="B23" s="31">
        <v>8</v>
      </c>
      <c r="C23" s="36">
        <v>7</v>
      </c>
      <c r="D23" s="37" t="s">
        <v>77</v>
      </c>
      <c r="E23" s="38" t="s">
        <v>82</v>
      </c>
      <c r="F23" s="40"/>
      <c r="G23" s="40"/>
      <c r="H23" s="52">
        <f t="shared" si="0"/>
        <v>23750.148281279387</v>
      </c>
      <c r="I23" s="53">
        <f>SUM(J23:Q23)*IF(입력란!$C$16=1,1.04,IF(입력란!$C$16=2,1.1,IF(입력란!$C$16=3,1.2,1)))*IF(입력란!$C$21=1,1+입력란!$C$38*0.001,IF(입력란!$C$21=2,1+입력란!$C$38*0.0022,IF(입력란!$C$21=3,1+입력란!$C$38*0.0045,1)))*IF(입력란!$C$18&lt;&gt;0,0.98,1)</f>
        <v>187798.51024628448</v>
      </c>
      <c r="J23" s="30">
        <f>S23*(1+IF($AK23+IF(입력란!$C$26=1,10,0)&gt;100,100,$AK23+IF(입력란!$C$26=1,10,0))/100*($AL23/100-1))</f>
        <v>25171.367471069461</v>
      </c>
      <c r="K23" s="30">
        <f>T23*(1+IF($AK23+IF(입력란!$C$26=1,10,IF(MID($E23,1,1)="2",10,0))&gt;100,100,$AK23+IF(입력란!$C$26=1,10,IF(MID($E23,1,1)="2",10,0)))/100*($AL23/100-1))</f>
        <v>34003.857125726776</v>
      </c>
      <c r="L23" s="30">
        <f>U23*(1+IF($AK23+IF(입력란!$C$26=1,10,IF(MID($E23,1,1)="2",10,0))&gt;100,100,$AK23+IF(입력란!$C$26=1,10,IF(MID($E23,1,1)="2",10,0)))/100*($AL23/100-1))</f>
        <v>38439.142837778098</v>
      </c>
      <c r="M23" s="30">
        <f>V23*(1+IF($AK23+IF(입력란!$C$26=1,10,IF(MID($E23,1,1)="2",10,0))&gt;100,100,$AK23+IF(입력란!$C$26=1,10,IF(MID($E23,1,1)="2",10,0)))/100*($AL23/100-1))</f>
        <v>42874.428549829412</v>
      </c>
      <c r="N23" s="30">
        <f>W23*(1+IF($AK23+IF(입력란!$C$26=1,10,IF(MID($E23,1,1)="2",10,0))&gt;100,100,$AK23+IF(입력란!$C$26=1,10,IF(MID($E23,1,1)="2",10,0)))/100*($AL23/100-1))</f>
        <v>47309.714261880734</v>
      </c>
      <c r="O23" s="39"/>
      <c r="P23" s="39"/>
      <c r="Q23" s="30"/>
      <c r="R23" s="24">
        <f t="shared" si="1"/>
        <v>102464.1869813331</v>
      </c>
      <c r="S23" s="30">
        <f>AN23*IF(입력란!$C$12=0,1,IF(입력란!$C$12=1,1.3,IF(입력란!$C$12=2,1.45,IF(입력란!$C$12=3,1.6,1))))*IF(MID(E23,3,1)="3",트라이포드!$N$5,트라이포드!$M$5)/5</f>
        <v>15763.721074051247</v>
      </c>
      <c r="T23" s="30">
        <f>AN23*IF(입력란!$C$12=0,1,IF(입력란!$C$12=1,1.3,IF(입력란!$C$12=2,1.45,IF(입력란!$C$12=3,1.6,1))))*IF(MID(E23,3,1)="2",1+트라이포드!$L$5/100,1+트라이포드!$K$5/100)*IF(MID(E23,3,1)="3",트라이포드!$N$5,트라이포드!$M$5)/5</f>
        <v>18128.279235158934</v>
      </c>
      <c r="U23" s="30">
        <f>AN23*IF(입력란!$C$12=0,1,IF(입력란!$C$12=1,1.3,IF(입력란!$C$12=2,1.45,IF(입력란!$C$12=3,1.6,1))))*IF(MID(E23,3,1)="2",1+2*트라이포드!$L$5/100,1+트라이포드!$K$5/100)*IF(MID(E23,3,1)="3",트라이포드!$N$5,트라이포드!$M$5)/5</f>
        <v>20492.837396266623</v>
      </c>
      <c r="V23" s="30">
        <f>AN23*IF(입력란!$C$12=0,1,IF(입력란!$C$12=1,1.3,IF(입력란!$C$12=2,1.45,IF(입력란!$C$12=3,1.6,1))))*IF(MID(E23,3,1)="2",1+3*트라이포드!$L$5/100,1+트라이포드!$K$5/100)*IF(MID(E23,3,1)="3",트라이포드!$N$5,트라이포드!$M$5)/5</f>
        <v>22857.395557374308</v>
      </c>
      <c r="W23" s="39">
        <f>AN23*IF(입력란!$C$12=0,1,IF(입력란!$C$12=1,1.3,IF(입력란!$C$12=2,1.45,IF(입력란!$C$12=3,1.6,1))))*IF(MID(E23,3,1)="2",1+4*트라이포드!$L$5/100,1+트라이포드!$K$5/100)*IF(MID(E23,3,1)="3",트라이포드!$N$5,트라이포드!$M$5)/5</f>
        <v>25221.953718481996</v>
      </c>
      <c r="X23" s="39"/>
      <c r="Y23" s="39"/>
      <c r="Z23" s="25"/>
      <c r="AA23" s="30">
        <f t="shared" si="2"/>
        <v>157637.21074051247</v>
      </c>
      <c r="AB23" s="30">
        <f t="shared" si="3"/>
        <v>31527.442148102495</v>
      </c>
      <c r="AC23" s="30">
        <f t="shared" si="4"/>
        <v>31527.442148102495</v>
      </c>
      <c r="AD23" s="30">
        <f t="shared" si="4"/>
        <v>31527.442148102495</v>
      </c>
      <c r="AE23" s="30">
        <f t="shared" si="4"/>
        <v>31527.442148102495</v>
      </c>
      <c r="AF23" s="30">
        <f t="shared" si="4"/>
        <v>31527.442148102495</v>
      </c>
      <c r="AG23" s="39"/>
      <c r="AH23" s="39"/>
      <c r="AI23" s="25"/>
      <c r="AJ23" s="26">
        <f>AQ23*(1-입력란!$C$35/100)</f>
        <v>7.9072563262399997</v>
      </c>
      <c r="AK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" s="26">
        <f>입력란!$C$47+입력란!$C$41+IF(입력란!$C$18=1,10,IF(입력란!$C$18=2,25,IF(입력란!$C$18=3,50,0)))+IF(입력란!$C$23&lt;&gt;0,-12)</f>
        <v>378.9445412</v>
      </c>
      <c r="AM23" s="30">
        <f t="shared" si="5"/>
        <v>78818.605370256235</v>
      </c>
      <c r="AN23" s="30">
        <f>(VLOOKUP(C23,$B$4:$AJ$7,2,FALSE)+VLOOKUP(C23,$B$8:$AJ$11,2,FALSE)*입력란!$C$29)*입력란!$C$48/100</f>
        <v>78818.605370256235</v>
      </c>
      <c r="AO23" s="30"/>
      <c r="AP23" s="30"/>
      <c r="AQ23" s="28">
        <v>8</v>
      </c>
    </row>
    <row r="24" spans="2:43" ht="13.5" customHeight="1" x14ac:dyDescent="0.3">
      <c r="B24" s="31">
        <v>9</v>
      </c>
      <c r="C24" s="36">
        <v>7</v>
      </c>
      <c r="D24" s="37" t="s">
        <v>77</v>
      </c>
      <c r="E24" s="38" t="s">
        <v>83</v>
      </c>
      <c r="F24" s="40" t="s">
        <v>84</v>
      </c>
      <c r="G24" s="40"/>
      <c r="H24" s="52">
        <f t="shared" si="0"/>
        <v>25397.42055783009</v>
      </c>
      <c r="I24" s="53">
        <f>SUM(J24:Q24)*IF(입력란!$C$16=1,1.04,IF(입력란!$C$16=2,1.1,IF(입력란!$C$16=3,1.2,1)))*IF(입력란!$C$21=1,1+입력란!$C$38*0.001,IF(입력란!$C$21=2,1+입력란!$C$38*0.0022,IF(입력란!$C$21=3,1+입력란!$C$38*0.0045,1)))*IF(입력란!$C$18&lt;&gt;0,0.98,1)</f>
        <v>200823.9143760798</v>
      </c>
      <c r="J24" s="30">
        <f>S24*(1+IF($AK24+IF(입력란!$C$26=1,10,0)&gt;100,100,$AK24+IF(입력란!$C$26=1,10,0))/100*($AL24/100-1))</f>
        <v>35239.914459497239</v>
      </c>
      <c r="K24" s="30">
        <f>T24*(1+IF($AK24+IF(입력란!$C$26=1,10,IF(MID($E24,1,1)="2",10,0))&gt;100,100,$AK24+IF(입력란!$C$26=1,10,IF(MID($E24,1,1)="2",10,0)))/100*($AL24/100-1))</f>
        <v>41395.999979145636</v>
      </c>
      <c r="L24" s="30">
        <f>U24*(1+IF($AK24+IF(입력란!$C$26=1,10,IF(MID($E24,1,1)="2",10,0))&gt;100,100,$AK24+IF(입력란!$C$26=1,10,IF(MID($E24,1,1)="2",10,0)))/100*($AL24/100-1))</f>
        <v>41395.999979145636</v>
      </c>
      <c r="M24" s="30">
        <f>V24*(1+IF($AK24+IF(입력란!$C$26=1,10,IF(MID($E24,1,1)="2",10,0))&gt;100,100,$AK24+IF(입력란!$C$26=1,10,IF(MID($E24,1,1)="2",10,0)))/100*($AL24/100-1))</f>
        <v>41395.999979145636</v>
      </c>
      <c r="N24" s="30">
        <f>W24*(1+IF($AK24+IF(입력란!$C$26=1,10,IF(MID($E24,1,1)="2",10,0))&gt;100,100,$AK24+IF(입력란!$C$26=1,10,IF(MID($E24,1,1)="2",10,0)))/100*($AL24/100-1))</f>
        <v>41395.999979145636</v>
      </c>
      <c r="O24" s="39"/>
      <c r="P24" s="39"/>
      <c r="Q24" s="30"/>
      <c r="R24" s="24">
        <f t="shared" si="1"/>
        <v>110346.04751835871</v>
      </c>
      <c r="S24" s="30">
        <f>AN24*IF(입력란!$C$12=0,1,IF(입력란!$C$12=1,1.3,IF(입력란!$C$12=2,1.45,IF(입력란!$C$12=3,1.6,1))))*IF(MID(E24,3,1)="3",트라이포드!$N$5,트라이포드!$M$5)/5</f>
        <v>22069.209503671744</v>
      </c>
      <c r="T24" s="30">
        <f>AN24*IF(입력란!$C$12=0,1,IF(입력란!$C$12=1,1.3,IF(입력란!$C$12=2,1.45,IF(입력란!$C$12=3,1.6,1))))*IF(MID(E24,3,1)="2",1+트라이포드!$L$5/100,1+트라이포드!$K$5/100)*IF(MID(E24,3,1)="3",트라이포드!$N$5,트라이포드!$M$5)/5</f>
        <v>22069.209503671744</v>
      </c>
      <c r="U24" s="30">
        <f>AN24*IF(입력란!$C$12=0,1,IF(입력란!$C$12=1,1.3,IF(입력란!$C$12=2,1.45,IF(입력란!$C$12=3,1.6,1))))*IF(MID(E24,3,1)="2",1+2*트라이포드!$L$5/100,1+트라이포드!$K$5/100)*IF(MID(E24,3,1)="3",트라이포드!$N$5,트라이포드!$M$5)/5</f>
        <v>22069.209503671744</v>
      </c>
      <c r="V24" s="30">
        <f>AN24*IF(입력란!$C$12=0,1,IF(입력란!$C$12=1,1.3,IF(입력란!$C$12=2,1.45,IF(입력란!$C$12=3,1.6,1))))*IF(MID(E24,3,1)="2",1+3*트라이포드!$L$5/100,1+트라이포드!$K$5/100)*IF(MID(E24,3,1)="3",트라이포드!$N$5,트라이포드!$M$5)/5</f>
        <v>22069.209503671744</v>
      </c>
      <c r="W24" s="39">
        <f>AN24*IF(입력란!$C$12=0,1,IF(입력란!$C$12=1,1.3,IF(입력란!$C$12=2,1.45,IF(입력란!$C$12=3,1.6,1))))*IF(MID(E24,3,1)="2",1+4*트라이포드!$L$5/100,1+트라이포드!$K$5/100)*IF(MID(E24,3,1)="3",트라이포드!$N$5,트라이포드!$M$5)/5</f>
        <v>22069.209503671744</v>
      </c>
      <c r="X24" s="39"/>
      <c r="Y24" s="39"/>
      <c r="Z24" s="25"/>
      <c r="AA24" s="30">
        <f t="shared" si="2"/>
        <v>220692.09503671742</v>
      </c>
      <c r="AB24" s="30">
        <f t="shared" si="3"/>
        <v>44138.419007343487</v>
      </c>
      <c r="AC24" s="30">
        <f t="shared" si="4"/>
        <v>44138.419007343487</v>
      </c>
      <c r="AD24" s="30">
        <f t="shared" si="4"/>
        <v>44138.419007343487</v>
      </c>
      <c r="AE24" s="30">
        <f t="shared" si="4"/>
        <v>44138.419007343487</v>
      </c>
      <c r="AF24" s="30">
        <f t="shared" si="4"/>
        <v>44138.419007343487</v>
      </c>
      <c r="AG24" s="39"/>
      <c r="AH24" s="39"/>
      <c r="AI24" s="25"/>
      <c r="AJ24" s="26">
        <f>AQ24*(1-입력란!$C$35/100)</f>
        <v>7.9072563262399997</v>
      </c>
      <c r="AK2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" s="26">
        <f>입력란!$C$47+입력란!$C$41+IF(입력란!$C$18=1,10,IF(입력란!$C$18=2,25,IF(입력란!$C$18=3,50,0)))+IF(입력란!$C$23&lt;&gt;0,-12)</f>
        <v>378.9445412</v>
      </c>
      <c r="AM24" s="30">
        <f t="shared" si="5"/>
        <v>78818.605370256235</v>
      </c>
      <c r="AN24" s="30">
        <f>(VLOOKUP(C24,$B$4:$AJ$7,2,FALSE)+VLOOKUP(C24,$B$8:$AJ$11,2,FALSE)*입력란!$C$29)*입력란!$C$48/100</f>
        <v>78818.605370256235</v>
      </c>
      <c r="AO24" s="30"/>
      <c r="AP24" s="30"/>
      <c r="AQ24" s="28">
        <v>8</v>
      </c>
    </row>
    <row r="25" spans="2:43" ht="13.5" customHeight="1" x14ac:dyDescent="0.3">
      <c r="B25" s="31">
        <v>10</v>
      </c>
      <c r="C25" s="36">
        <v>10</v>
      </c>
      <c r="D25" s="37" t="s">
        <v>77</v>
      </c>
      <c r="E25" s="38" t="s">
        <v>78</v>
      </c>
      <c r="F25" s="40"/>
      <c r="G25" s="40"/>
      <c r="H25" s="52">
        <f t="shared" si="0"/>
        <v>15926.964784878493</v>
      </c>
      <c r="I25" s="53">
        <f>SUM(J25:Q25)*IF(입력란!$C$16=1,1.04,IF(입력란!$C$16=2,1.1,IF(입력란!$C$16=3,1.2,1)))*IF(입력란!$C$21=1,1+입력란!$C$38*0.001,IF(입력란!$C$21=2,1+입력란!$C$38*0.0022,IF(입력란!$C$21=3,1+입력란!$C$38*0.0045,1)))*IF(입력란!$C$18&lt;&gt;0,0.98,1)</f>
        <v>125938.59305303216</v>
      </c>
      <c r="J25" s="30">
        <f>S25*(1+IF($AK25+IF(입력란!$C$26=1,10,0)&gt;100,100,$AK25+IF(입력란!$C$26=1,10,0))/100*($AL25/100-1))</f>
        <v>25187.718610606433</v>
      </c>
      <c r="K25" s="30">
        <f>T25*(1+IF($AK25+IF(입력란!$C$26=1,10,IF(MID($E25,1,1)="2",10,0))&gt;100,100,$AK25+IF(입력란!$C$26=1,10,IF(MID($E25,1,1)="2",10,0)))/100*($AL25/100-1))</f>
        <v>25187.718610606433</v>
      </c>
      <c r="L25" s="30">
        <f>U25*(1+IF($AK25+IF(입력란!$C$26=1,10,IF(MID($E25,1,1)="2",10,0))&gt;100,100,$AK25+IF(입력란!$C$26=1,10,IF(MID($E25,1,1)="2",10,0)))/100*($AL25/100-1))</f>
        <v>25187.718610606433</v>
      </c>
      <c r="M25" s="30">
        <f>V25*(1+IF($AK25+IF(입력란!$C$26=1,10,IF(MID($E25,1,1)="2",10,0))&gt;100,100,$AK25+IF(입력란!$C$26=1,10,IF(MID($E25,1,1)="2",10,0)))/100*($AL25/100-1))</f>
        <v>25187.718610606433</v>
      </c>
      <c r="N25" s="30">
        <f>W25*(1+IF($AK25+IF(입력란!$C$26=1,10,IF(MID($E25,1,1)="2",10,0))&gt;100,100,$AK25+IF(입력란!$C$26=1,10,IF(MID($E25,1,1)="2",10,0)))/100*($AL25/100-1))</f>
        <v>25187.718610606433</v>
      </c>
      <c r="O25" s="39"/>
      <c r="P25" s="39"/>
      <c r="Q25" s="30"/>
      <c r="R25" s="24">
        <f t="shared" si="1"/>
        <v>78869.805370256232</v>
      </c>
      <c r="S25" s="30">
        <f>AN25*IF(입력란!$C$12=0,1,IF(입력란!$C$12=1,1.3,IF(입력란!$C$12=2,1.45,IF(입력란!$C$12=3,1.6,1))))*IF(MID(E25,3,1)="3",트라이포드!$N$5,트라이포드!$M$5)/5</f>
        <v>15773.961074051247</v>
      </c>
      <c r="T25" s="30">
        <f>AN25*IF(입력란!$C$12=0,1,IF(입력란!$C$12=1,1.3,IF(입력란!$C$12=2,1.45,IF(입력란!$C$12=3,1.6,1))))*IF(MID(E25,3,1)="2",1+트라이포드!$L$5/100,1+트라이포드!$K$5/100)*IF(MID(E25,3,1)="3",트라이포드!$N$5,트라이포드!$M$5)/5</f>
        <v>15773.961074051247</v>
      </c>
      <c r="U25" s="30">
        <f>AN25*IF(입력란!$C$12=0,1,IF(입력란!$C$12=1,1.3,IF(입력란!$C$12=2,1.45,IF(입력란!$C$12=3,1.6,1))))*IF(MID(E25,3,1)="2",1+2*트라이포드!$L$5/100,1+트라이포드!$K$5/100)*IF(MID(E25,3,1)="3",트라이포드!$N$5,트라이포드!$M$5)/5</f>
        <v>15773.961074051247</v>
      </c>
      <c r="V25" s="30">
        <f>AN25*IF(입력란!$C$12=0,1,IF(입력란!$C$12=1,1.3,IF(입력란!$C$12=2,1.45,IF(입력란!$C$12=3,1.6,1))))*IF(MID(E25,3,1)="2",1+3*트라이포드!$L$5/100,1+트라이포드!$K$5/100)*IF(MID(E25,3,1)="3",트라이포드!$N$5,트라이포드!$M$5)/5</f>
        <v>15773.961074051247</v>
      </c>
      <c r="W25" s="39">
        <f>AN25*IF(입력란!$C$12=0,1,IF(입력란!$C$12=1,1.3,IF(입력란!$C$12=2,1.45,IF(입력란!$C$12=3,1.6,1))))*IF(MID(E25,3,1)="2",1+4*트라이포드!$L$5/100,1+트라이포드!$K$5/100)*IF(MID(E25,3,1)="3",트라이포드!$N$5,트라이포드!$M$5)/5</f>
        <v>15773.961074051247</v>
      </c>
      <c r="X25" s="39"/>
      <c r="Y25" s="39"/>
      <c r="Z25" s="25"/>
      <c r="AA25" s="30">
        <f t="shared" si="2"/>
        <v>157739.61074051246</v>
      </c>
      <c r="AB25" s="30">
        <f t="shared" si="3"/>
        <v>31547.922148102494</v>
      </c>
      <c r="AC25" s="30">
        <f t="shared" si="4"/>
        <v>31547.922148102494</v>
      </c>
      <c r="AD25" s="30">
        <f t="shared" si="4"/>
        <v>31547.922148102494</v>
      </c>
      <c r="AE25" s="30">
        <f t="shared" si="4"/>
        <v>31547.922148102494</v>
      </c>
      <c r="AF25" s="30">
        <f t="shared" si="4"/>
        <v>31547.922148102494</v>
      </c>
      <c r="AG25" s="39"/>
      <c r="AH25" s="39"/>
      <c r="AI25" s="25"/>
      <c r="AJ25" s="26">
        <f>AQ25*(1-입력란!$C$35/100)</f>
        <v>7.9072563262399997</v>
      </c>
      <c r="AK2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" s="26">
        <f>입력란!$C$47+입력란!$C$41+IF(입력란!$C$18=1,10,IF(입력란!$C$18=2,25,IF(입력란!$C$18=3,50,0)))+IF(입력란!$C$23&lt;&gt;0,-12)</f>
        <v>378.9445412</v>
      </c>
      <c r="AM25" s="30">
        <f t="shared" si="5"/>
        <v>78869.805370256232</v>
      </c>
      <c r="AN25" s="30">
        <f>(VLOOKUP(C25,$B$4:$AJ$7,2,FALSE)+VLOOKUP(C25,$B$8:$AJ$11,2,FALSE)*입력란!$C$29)*입력란!$C$48/100</f>
        <v>78869.805370256232</v>
      </c>
      <c r="AO25" s="30"/>
      <c r="AP25" s="30"/>
      <c r="AQ25" s="28">
        <v>8</v>
      </c>
    </row>
    <row r="26" spans="2:43" ht="13.5" customHeight="1" x14ac:dyDescent="0.3">
      <c r="B26" s="31">
        <v>11</v>
      </c>
      <c r="C26" s="36">
        <v>10</v>
      </c>
      <c r="D26" s="37" t="s">
        <v>77</v>
      </c>
      <c r="E26" s="38" t="s">
        <v>80</v>
      </c>
      <c r="F26" s="40"/>
      <c r="G26" s="40"/>
      <c r="H26" s="52">
        <f t="shared" si="0"/>
        <v>20705.054220342041</v>
      </c>
      <c r="I26" s="53">
        <f>SUM(J26:Q26)*IF(입력란!$C$16=1,1.04,IF(입력란!$C$16=2,1.1,IF(입력란!$C$16=3,1.2,1)))*IF(입력란!$C$21=1,1+입력란!$C$38*0.001,IF(입력란!$C$21=2,1+입력란!$C$38*0.0022,IF(입력란!$C$21=3,1+입력란!$C$38*0.0045,1)))*IF(입력란!$C$18&lt;&gt;0,0.98,1)</f>
        <v>163720.17096894182</v>
      </c>
      <c r="J26" s="30">
        <f>S26*(1+IF($AK26+IF(입력란!$C$26=1,10,0)&gt;100,100,$AK26+IF(입력란!$C$26=1,10,0))/100*($AL26/100-1))</f>
        <v>25187.718610606433</v>
      </c>
      <c r="K26" s="30">
        <f>T26*(1+IF($AK26+IF(입력란!$C$26=1,10,IF(MID($E26,1,1)="2",10,0))&gt;100,100,$AK26+IF(입력란!$C$26=1,10,IF(MID($E26,1,1)="2",10,0)))/100*($AL26/100-1))</f>
        <v>28965.876402197395</v>
      </c>
      <c r="L26" s="30">
        <f>U26*(1+IF($AK26+IF(입력란!$C$26=1,10,IF(MID($E26,1,1)="2",10,0))&gt;100,100,$AK26+IF(입력란!$C$26=1,10,IF(MID($E26,1,1)="2",10,0)))/100*($AL26/100-1))</f>
        <v>32744.034193788364</v>
      </c>
      <c r="M26" s="30">
        <f>V26*(1+IF($AK26+IF(입력란!$C$26=1,10,IF(MID($E26,1,1)="2",10,0))&gt;100,100,$AK26+IF(입력란!$C$26=1,10,IF(MID($E26,1,1)="2",10,0)))/100*($AL26/100-1))</f>
        <v>36522.191985379322</v>
      </c>
      <c r="N26" s="30">
        <f>W26*(1+IF($AK26+IF(입력란!$C$26=1,10,IF(MID($E26,1,1)="2",10,0))&gt;100,100,$AK26+IF(입력란!$C$26=1,10,IF(MID($E26,1,1)="2",10,0)))/100*($AL26/100-1))</f>
        <v>40300.349776970295</v>
      </c>
      <c r="O26" s="39"/>
      <c r="P26" s="39"/>
      <c r="Q26" s="30"/>
      <c r="R26" s="24">
        <f t="shared" si="1"/>
        <v>102530.74698133311</v>
      </c>
      <c r="S26" s="30">
        <f>AN26*IF(입력란!$C$12=0,1,IF(입력란!$C$12=1,1.3,IF(입력란!$C$12=2,1.45,IF(입력란!$C$12=3,1.6,1))))*IF(MID(E26,3,1)="3",트라이포드!$N$5,트라이포드!$M$5)/5</f>
        <v>15773.961074051247</v>
      </c>
      <c r="T26" s="30">
        <f>AN26*IF(입력란!$C$12=0,1,IF(입력란!$C$12=1,1.3,IF(입력란!$C$12=2,1.45,IF(입력란!$C$12=3,1.6,1))))*IF(MID(E26,3,1)="2",1+트라이포드!$L$5/100,1+트라이포드!$K$5/100)*IF(MID(E26,3,1)="3",트라이포드!$N$5,트라이포드!$M$5)/5</f>
        <v>18140.055235158932</v>
      </c>
      <c r="U26" s="30">
        <f>AN26*IF(입력란!$C$12=0,1,IF(입력란!$C$12=1,1.3,IF(입력란!$C$12=2,1.45,IF(입력란!$C$12=3,1.6,1))))*IF(MID(E26,3,1)="2",1+2*트라이포드!$L$5/100,1+트라이포드!$K$5/100)*IF(MID(E26,3,1)="3",트라이포드!$N$5,트라이포드!$M$5)/5</f>
        <v>20506.149396266621</v>
      </c>
      <c r="V26" s="30">
        <f>AN26*IF(입력란!$C$12=0,1,IF(입력란!$C$12=1,1.3,IF(입력란!$C$12=2,1.45,IF(입력란!$C$12=3,1.6,1))))*IF(MID(E26,3,1)="2",1+3*트라이포드!$L$5/100,1+트라이포드!$K$5/100)*IF(MID(E26,3,1)="3",트라이포드!$N$5,트라이포드!$M$5)/5</f>
        <v>22872.243557374306</v>
      </c>
      <c r="W26" s="39">
        <f>AN26*IF(입력란!$C$12=0,1,IF(입력란!$C$12=1,1.3,IF(입력란!$C$12=2,1.45,IF(입력란!$C$12=3,1.6,1))))*IF(MID(E26,3,1)="2",1+4*트라이포드!$L$5/100,1+트라이포드!$K$5/100)*IF(MID(E26,3,1)="3",트라이포드!$N$5,트라이포드!$M$5)/5</f>
        <v>25238.337718481995</v>
      </c>
      <c r="X26" s="39"/>
      <c r="Y26" s="39"/>
      <c r="Z26" s="25"/>
      <c r="AA26" s="30">
        <f t="shared" si="2"/>
        <v>157739.61074051246</v>
      </c>
      <c r="AB26" s="30">
        <f t="shared" si="3"/>
        <v>31547.922148102494</v>
      </c>
      <c r="AC26" s="30">
        <f t="shared" si="4"/>
        <v>31547.922148102494</v>
      </c>
      <c r="AD26" s="30">
        <f t="shared" si="4"/>
        <v>31547.922148102494</v>
      </c>
      <c r="AE26" s="30">
        <f t="shared" si="4"/>
        <v>31547.922148102494</v>
      </c>
      <c r="AF26" s="30">
        <f t="shared" si="4"/>
        <v>31547.922148102494</v>
      </c>
      <c r="AG26" s="39"/>
      <c r="AH26" s="39"/>
      <c r="AI26" s="25"/>
      <c r="AJ26" s="26">
        <f>AQ26*(1-입력란!$C$35/100)</f>
        <v>7.9072563262399997</v>
      </c>
      <c r="AK2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" s="26">
        <f>입력란!$C$47+입력란!$C$41+IF(입력란!$C$18=1,10,IF(입력란!$C$18=2,25,IF(입력란!$C$18=3,50,0)))+IF(입력란!$C$23&lt;&gt;0,-12)</f>
        <v>378.9445412</v>
      </c>
      <c r="AM26" s="30">
        <f t="shared" si="5"/>
        <v>78869.805370256232</v>
      </c>
      <c r="AN26" s="30">
        <f>(VLOOKUP(C26,$B$4:$AJ$7,2,FALSE)+VLOOKUP(C26,$B$8:$AJ$11,2,FALSE)*입력란!$C$29)*입력란!$C$48/100</f>
        <v>78869.805370256232</v>
      </c>
      <c r="AO26" s="30"/>
      <c r="AP26" s="30"/>
      <c r="AQ26" s="28">
        <v>8</v>
      </c>
    </row>
    <row r="27" spans="2:43" ht="13.5" customHeight="1" x14ac:dyDescent="0.3">
      <c r="B27" s="31">
        <v>12</v>
      </c>
      <c r="C27" s="36">
        <v>10</v>
      </c>
      <c r="D27" s="37" t="s">
        <v>77</v>
      </c>
      <c r="E27" s="38" t="s">
        <v>81</v>
      </c>
      <c r="F27" s="40" t="s">
        <v>84</v>
      </c>
      <c r="G27" s="40"/>
      <c r="H27" s="52">
        <f t="shared" si="0"/>
        <v>22297.750698829888</v>
      </c>
      <c r="I27" s="53">
        <f>SUM(J27:Q27)*IF(입력란!$C$16=1,1.04,IF(입력란!$C$16=2,1.1,IF(입력란!$C$16=3,1.2,1)))*IF(입력란!$C$21=1,1+입력란!$C$38*0.001,IF(입력란!$C$21=2,1+입력란!$C$38*0.0022,IF(입력란!$C$21=3,1+입력란!$C$38*0.0045,1)))*IF(입력란!$C$18&lt;&gt;0,0.98,1)</f>
        <v>176314.03027424501</v>
      </c>
      <c r="J27" s="30">
        <f>S27*(1+IF($AK27+IF(입력란!$C$26=1,10,0)&gt;100,100,$AK27+IF(입력란!$C$26=1,10,0))/100*($AL27/100-1))</f>
        <v>35262.806054849003</v>
      </c>
      <c r="K27" s="30">
        <f>T27*(1+IF($AK27+IF(입력란!$C$26=1,10,IF(MID($E27,1,1)="2",10,0))&gt;100,100,$AK27+IF(입력란!$C$26=1,10,IF(MID($E27,1,1)="2",10,0)))/100*($AL27/100-1))</f>
        <v>35262.806054849003</v>
      </c>
      <c r="L27" s="30">
        <f>U27*(1+IF($AK27+IF(입력란!$C$26=1,10,IF(MID($E27,1,1)="2",10,0))&gt;100,100,$AK27+IF(입력란!$C$26=1,10,IF(MID($E27,1,1)="2",10,0)))/100*($AL27/100-1))</f>
        <v>35262.806054849003</v>
      </c>
      <c r="M27" s="30">
        <f>V27*(1+IF($AK27+IF(입력란!$C$26=1,10,IF(MID($E27,1,1)="2",10,0))&gt;100,100,$AK27+IF(입력란!$C$26=1,10,IF(MID($E27,1,1)="2",10,0)))/100*($AL27/100-1))</f>
        <v>35262.806054849003</v>
      </c>
      <c r="N27" s="30">
        <f>W27*(1+IF($AK27+IF(입력란!$C$26=1,10,IF(MID($E27,1,1)="2",10,0))&gt;100,100,$AK27+IF(입력란!$C$26=1,10,IF(MID($E27,1,1)="2",10,0)))/100*($AL27/100-1))</f>
        <v>35262.806054849003</v>
      </c>
      <c r="O27" s="39"/>
      <c r="P27" s="39"/>
      <c r="Q27" s="30"/>
      <c r="R27" s="24">
        <f t="shared" si="1"/>
        <v>110417.72751835872</v>
      </c>
      <c r="S27" s="30">
        <f>AN27*IF(입력란!$C$12=0,1,IF(입력란!$C$12=1,1.3,IF(입력란!$C$12=2,1.45,IF(입력란!$C$12=3,1.6,1))))*IF(MID(E27,3,1)="3",트라이포드!$N$5,트라이포드!$M$5)/5</f>
        <v>22083.545503671743</v>
      </c>
      <c r="T27" s="30">
        <f>AN27*IF(입력란!$C$12=0,1,IF(입력란!$C$12=1,1.3,IF(입력란!$C$12=2,1.45,IF(입력란!$C$12=3,1.6,1))))*IF(MID(E27,3,1)="2",1+트라이포드!$L$5/100,1+트라이포드!$K$5/100)*IF(MID(E27,3,1)="3",트라이포드!$N$5,트라이포드!$M$5)/5</f>
        <v>22083.545503671743</v>
      </c>
      <c r="U27" s="30">
        <f>AN27*IF(입력란!$C$12=0,1,IF(입력란!$C$12=1,1.3,IF(입력란!$C$12=2,1.45,IF(입력란!$C$12=3,1.6,1))))*IF(MID(E27,3,1)="2",1+2*트라이포드!$L$5/100,1+트라이포드!$K$5/100)*IF(MID(E27,3,1)="3",트라이포드!$N$5,트라이포드!$M$5)/5</f>
        <v>22083.545503671743</v>
      </c>
      <c r="V27" s="30">
        <f>AN27*IF(입력란!$C$12=0,1,IF(입력란!$C$12=1,1.3,IF(입력란!$C$12=2,1.45,IF(입력란!$C$12=3,1.6,1))))*IF(MID(E27,3,1)="2",1+3*트라이포드!$L$5/100,1+트라이포드!$K$5/100)*IF(MID(E27,3,1)="3",트라이포드!$N$5,트라이포드!$M$5)/5</f>
        <v>22083.545503671743</v>
      </c>
      <c r="W27" s="39">
        <f>AN27*IF(입력란!$C$12=0,1,IF(입력란!$C$12=1,1.3,IF(입력란!$C$12=2,1.45,IF(입력란!$C$12=3,1.6,1))))*IF(MID(E27,3,1)="2",1+4*트라이포드!$L$5/100,1+트라이포드!$K$5/100)*IF(MID(E27,3,1)="3",트라이포드!$N$5,트라이포드!$M$5)/5</f>
        <v>22083.545503671743</v>
      </c>
      <c r="X27" s="39"/>
      <c r="Y27" s="39"/>
      <c r="Z27" s="25"/>
      <c r="AA27" s="30">
        <f t="shared" si="2"/>
        <v>220835.45503671744</v>
      </c>
      <c r="AB27" s="30">
        <f t="shared" si="3"/>
        <v>44167.091007343486</v>
      </c>
      <c r="AC27" s="30">
        <f t="shared" si="4"/>
        <v>44167.091007343486</v>
      </c>
      <c r="AD27" s="30">
        <f t="shared" si="4"/>
        <v>44167.091007343486</v>
      </c>
      <c r="AE27" s="30">
        <f t="shared" si="4"/>
        <v>44167.091007343486</v>
      </c>
      <c r="AF27" s="30">
        <f t="shared" si="4"/>
        <v>44167.091007343486</v>
      </c>
      <c r="AG27" s="39"/>
      <c r="AH27" s="39"/>
      <c r="AI27" s="25"/>
      <c r="AJ27" s="26">
        <f>AQ27*(1-입력란!$C$35/100)</f>
        <v>7.9072563262399997</v>
      </c>
      <c r="AK2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" s="26">
        <f>입력란!$C$47+입력란!$C$41+IF(입력란!$C$18=1,10,IF(입력란!$C$18=2,25,IF(입력란!$C$18=3,50,0)))+IF(입력란!$C$23&lt;&gt;0,-12)</f>
        <v>378.9445412</v>
      </c>
      <c r="AM27" s="30">
        <f t="shared" si="5"/>
        <v>78869.805370256232</v>
      </c>
      <c r="AN27" s="30">
        <f>(VLOOKUP(C27,$B$4:$AJ$7,2,FALSE)+VLOOKUP(C27,$B$8:$AJ$11,2,FALSE)*입력란!$C$29)*입력란!$C$48/100</f>
        <v>78869.805370256232</v>
      </c>
      <c r="AO27" s="30"/>
      <c r="AP27" s="30"/>
      <c r="AQ27" s="28">
        <v>8</v>
      </c>
    </row>
    <row r="28" spans="2:43" ht="13.5" customHeight="1" x14ac:dyDescent="0.3">
      <c r="B28" s="31">
        <v>13</v>
      </c>
      <c r="C28" s="36">
        <v>10</v>
      </c>
      <c r="D28" s="37" t="s">
        <v>77</v>
      </c>
      <c r="E28" s="38" t="s">
        <v>82</v>
      </c>
      <c r="F28" s="40"/>
      <c r="G28" s="40"/>
      <c r="H28" s="52">
        <f t="shared" si="0"/>
        <v>23765.576207037386</v>
      </c>
      <c r="I28" s="53">
        <f>SUM(J28:Q28)*IF(입력란!$C$16=1,1.04,IF(입력란!$C$16=2,1.1,IF(입력란!$C$16=3,1.2,1)))*IF(입력란!$C$21=1,1+입력란!$C$38*0.001,IF(입력란!$C$21=2,1+입력란!$C$38*0.0022,IF(입력란!$C$21=3,1+입력란!$C$38*0.0045,1)))*IF(입력란!$C$18&lt;&gt;0,0.98,1)</f>
        <v>187920.50280983519</v>
      </c>
      <c r="J28" s="30">
        <f>S28*(1+IF($AK28+IF(입력란!$C$26=1,10,0)&gt;100,100,$AK28+IF(입력란!$C$26=1,10,0))/100*($AL28/100-1))</f>
        <v>25187.718610606433</v>
      </c>
      <c r="K28" s="30">
        <f>T28*(1+IF($AK28+IF(입력란!$C$26=1,10,IF(MID($E28,1,1)="2",10,0))&gt;100,100,$AK28+IF(입력란!$C$26=1,10,IF(MID($E28,1,1)="2",10,0)))/100*($AL28/100-1))</f>
        <v>34025.945787111465</v>
      </c>
      <c r="L28" s="30">
        <f>U28*(1+IF($AK28+IF(입력란!$C$26=1,10,IF(MID($E28,1,1)="2",10,0))&gt;100,100,$AK28+IF(입력란!$C$26=1,10,IF(MID($E28,1,1)="2",10,0)))/100*($AL28/100-1))</f>
        <v>38464.112628908617</v>
      </c>
      <c r="M28" s="30">
        <f>V28*(1+IF($AK28+IF(입력란!$C$26=1,10,IF(MID($E28,1,1)="2",10,0))&gt;100,100,$AK28+IF(입력란!$C$26=1,10,IF(MID($E28,1,1)="2",10,0)))/100*($AL28/100-1))</f>
        <v>42902.279470705762</v>
      </c>
      <c r="N28" s="30">
        <f>W28*(1+IF($AK28+IF(입력란!$C$26=1,10,IF(MID($E28,1,1)="2",10,0))&gt;100,100,$AK28+IF(입력란!$C$26=1,10,IF(MID($E28,1,1)="2",10,0)))/100*($AL28/100-1))</f>
        <v>47340.446312502914</v>
      </c>
      <c r="O28" s="39"/>
      <c r="P28" s="39"/>
      <c r="Q28" s="30"/>
      <c r="R28" s="24">
        <f t="shared" si="1"/>
        <v>102530.74698133311</v>
      </c>
      <c r="S28" s="30">
        <f>AN28*IF(입력란!$C$12=0,1,IF(입력란!$C$12=1,1.3,IF(입력란!$C$12=2,1.45,IF(입력란!$C$12=3,1.6,1))))*IF(MID(E28,3,1)="3",트라이포드!$N$5,트라이포드!$M$5)/5</f>
        <v>15773.961074051247</v>
      </c>
      <c r="T28" s="30">
        <f>AN28*IF(입력란!$C$12=0,1,IF(입력란!$C$12=1,1.3,IF(입력란!$C$12=2,1.45,IF(입력란!$C$12=3,1.6,1))))*IF(MID(E28,3,1)="2",1+트라이포드!$L$5/100,1+트라이포드!$K$5/100)*IF(MID(E28,3,1)="3",트라이포드!$N$5,트라이포드!$M$5)/5</f>
        <v>18140.055235158932</v>
      </c>
      <c r="U28" s="30">
        <f>AN28*IF(입력란!$C$12=0,1,IF(입력란!$C$12=1,1.3,IF(입력란!$C$12=2,1.45,IF(입력란!$C$12=3,1.6,1))))*IF(MID(E28,3,1)="2",1+2*트라이포드!$L$5/100,1+트라이포드!$K$5/100)*IF(MID(E28,3,1)="3",트라이포드!$N$5,트라이포드!$M$5)/5</f>
        <v>20506.149396266621</v>
      </c>
      <c r="V28" s="30">
        <f>AN28*IF(입력란!$C$12=0,1,IF(입력란!$C$12=1,1.3,IF(입력란!$C$12=2,1.45,IF(입력란!$C$12=3,1.6,1))))*IF(MID(E28,3,1)="2",1+3*트라이포드!$L$5/100,1+트라이포드!$K$5/100)*IF(MID(E28,3,1)="3",트라이포드!$N$5,트라이포드!$M$5)/5</f>
        <v>22872.243557374306</v>
      </c>
      <c r="W28" s="39">
        <f>AN28*IF(입력란!$C$12=0,1,IF(입력란!$C$12=1,1.3,IF(입력란!$C$12=2,1.45,IF(입력란!$C$12=3,1.6,1))))*IF(MID(E28,3,1)="2",1+4*트라이포드!$L$5/100,1+트라이포드!$K$5/100)*IF(MID(E28,3,1)="3",트라이포드!$N$5,트라이포드!$M$5)/5</f>
        <v>25238.337718481995</v>
      </c>
      <c r="X28" s="39"/>
      <c r="Y28" s="39"/>
      <c r="Z28" s="25"/>
      <c r="AA28" s="30">
        <f t="shared" si="2"/>
        <v>157739.61074051246</v>
      </c>
      <c r="AB28" s="30">
        <f t="shared" si="3"/>
        <v>31547.922148102494</v>
      </c>
      <c r="AC28" s="30">
        <f t="shared" si="4"/>
        <v>31547.922148102494</v>
      </c>
      <c r="AD28" s="30">
        <f t="shared" si="4"/>
        <v>31547.922148102494</v>
      </c>
      <c r="AE28" s="30">
        <f t="shared" si="4"/>
        <v>31547.922148102494</v>
      </c>
      <c r="AF28" s="30">
        <f t="shared" si="4"/>
        <v>31547.922148102494</v>
      </c>
      <c r="AG28" s="39"/>
      <c r="AH28" s="39"/>
      <c r="AI28" s="25"/>
      <c r="AJ28" s="26">
        <f>AQ28*(1-입력란!$C$35/100)</f>
        <v>7.9072563262399997</v>
      </c>
      <c r="AK2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" s="26">
        <f>입력란!$C$47+입력란!$C$41+IF(입력란!$C$18=1,10,IF(입력란!$C$18=2,25,IF(입력란!$C$18=3,50,0)))+IF(입력란!$C$23&lt;&gt;0,-12)</f>
        <v>378.9445412</v>
      </c>
      <c r="AM28" s="30">
        <f t="shared" si="5"/>
        <v>78869.805370256232</v>
      </c>
      <c r="AN28" s="30">
        <f>(VLOOKUP(C28,$B$4:$AJ$7,2,FALSE)+VLOOKUP(C28,$B$8:$AJ$11,2,FALSE)*입력란!$C$29)*입력란!$C$48/100</f>
        <v>78869.805370256232</v>
      </c>
      <c r="AO28" s="30"/>
      <c r="AP28" s="30"/>
      <c r="AQ28" s="28">
        <v>8</v>
      </c>
    </row>
    <row r="29" spans="2:43" ht="13.5" customHeight="1" x14ac:dyDescent="0.3">
      <c r="B29" s="31">
        <v>14</v>
      </c>
      <c r="C29" s="36">
        <v>10</v>
      </c>
      <c r="D29" s="37" t="s">
        <v>77</v>
      </c>
      <c r="E29" s="38" t="s">
        <v>83</v>
      </c>
      <c r="F29" s="40" t="s">
        <v>84</v>
      </c>
      <c r="G29" s="40"/>
      <c r="H29" s="52">
        <f t="shared" si="0"/>
        <v>25413.918539828785</v>
      </c>
      <c r="I29" s="53">
        <f>SUM(J29:Q29)*IF(입력란!$C$16=1,1.04,IF(입력란!$C$16=2,1.1,IF(입력란!$C$16=3,1.2,1)))*IF(입력란!$C$21=1,1+입력란!$C$38*0.001,IF(입력란!$C$21=2,1+입력란!$C$38*0.0022,IF(입력란!$C$21=3,1+입력란!$C$38*0.0045,1)))*IF(입력란!$C$18&lt;&gt;0,0.98,1)</f>
        <v>200954.36814860918</v>
      </c>
      <c r="J29" s="30">
        <f>S29*(1+IF($AK29+IF(입력란!$C$26=1,10,0)&gt;100,100,$AK29+IF(입력란!$C$26=1,10,0))/100*($AL29/100-1))</f>
        <v>35262.806054849003</v>
      </c>
      <c r="K29" s="30">
        <f>T29*(1+IF($AK29+IF(입력란!$C$26=1,10,IF(MID($E29,1,1)="2",10,0))&gt;100,100,$AK29+IF(입력란!$C$26=1,10,IF(MID($E29,1,1)="2",10,0)))/100*($AL29/100-1))</f>
        <v>41422.890523440044</v>
      </c>
      <c r="L29" s="30">
        <f>U29*(1+IF($AK29+IF(입력란!$C$26=1,10,IF(MID($E29,1,1)="2",10,0))&gt;100,100,$AK29+IF(입력란!$C$26=1,10,IF(MID($E29,1,1)="2",10,0)))/100*($AL29/100-1))</f>
        <v>41422.890523440044</v>
      </c>
      <c r="M29" s="30">
        <f>V29*(1+IF($AK29+IF(입력란!$C$26=1,10,IF(MID($E29,1,1)="2",10,0))&gt;100,100,$AK29+IF(입력란!$C$26=1,10,IF(MID($E29,1,1)="2",10,0)))/100*($AL29/100-1))</f>
        <v>41422.890523440044</v>
      </c>
      <c r="N29" s="30">
        <f>W29*(1+IF($AK29+IF(입력란!$C$26=1,10,IF(MID($E29,1,1)="2",10,0))&gt;100,100,$AK29+IF(입력란!$C$26=1,10,IF(MID($E29,1,1)="2",10,0)))/100*($AL29/100-1))</f>
        <v>41422.890523440044</v>
      </c>
      <c r="O29" s="39"/>
      <c r="P29" s="39"/>
      <c r="Q29" s="30"/>
      <c r="R29" s="24">
        <f t="shared" si="1"/>
        <v>110417.72751835872</v>
      </c>
      <c r="S29" s="30">
        <f>AN29*IF(입력란!$C$12=0,1,IF(입력란!$C$12=1,1.3,IF(입력란!$C$12=2,1.45,IF(입력란!$C$12=3,1.6,1))))*IF(MID(E29,3,1)="3",트라이포드!$N$5,트라이포드!$M$5)/5</f>
        <v>22083.545503671743</v>
      </c>
      <c r="T29" s="30">
        <f>AN29*IF(입력란!$C$12=0,1,IF(입력란!$C$12=1,1.3,IF(입력란!$C$12=2,1.45,IF(입력란!$C$12=3,1.6,1))))*IF(MID(E29,3,1)="2",1+트라이포드!$L$5/100,1+트라이포드!$K$5/100)*IF(MID(E29,3,1)="3",트라이포드!$N$5,트라이포드!$M$5)/5</f>
        <v>22083.545503671743</v>
      </c>
      <c r="U29" s="30">
        <f>AN29*IF(입력란!$C$12=0,1,IF(입력란!$C$12=1,1.3,IF(입력란!$C$12=2,1.45,IF(입력란!$C$12=3,1.6,1))))*IF(MID(E29,3,1)="2",1+2*트라이포드!$L$5/100,1+트라이포드!$K$5/100)*IF(MID(E29,3,1)="3",트라이포드!$N$5,트라이포드!$M$5)/5</f>
        <v>22083.545503671743</v>
      </c>
      <c r="V29" s="30">
        <f>AN29*IF(입력란!$C$12=0,1,IF(입력란!$C$12=1,1.3,IF(입력란!$C$12=2,1.45,IF(입력란!$C$12=3,1.6,1))))*IF(MID(E29,3,1)="2",1+3*트라이포드!$L$5/100,1+트라이포드!$K$5/100)*IF(MID(E29,3,1)="3",트라이포드!$N$5,트라이포드!$M$5)/5</f>
        <v>22083.545503671743</v>
      </c>
      <c r="W29" s="39">
        <f>AN29*IF(입력란!$C$12=0,1,IF(입력란!$C$12=1,1.3,IF(입력란!$C$12=2,1.45,IF(입력란!$C$12=3,1.6,1))))*IF(MID(E29,3,1)="2",1+4*트라이포드!$L$5/100,1+트라이포드!$K$5/100)*IF(MID(E29,3,1)="3",트라이포드!$N$5,트라이포드!$M$5)/5</f>
        <v>22083.545503671743</v>
      </c>
      <c r="X29" s="39"/>
      <c r="Y29" s="39"/>
      <c r="Z29" s="25"/>
      <c r="AA29" s="30">
        <f t="shared" si="2"/>
        <v>220835.45503671744</v>
      </c>
      <c r="AB29" s="30">
        <f t="shared" si="3"/>
        <v>44167.091007343486</v>
      </c>
      <c r="AC29" s="30">
        <f t="shared" si="4"/>
        <v>44167.091007343486</v>
      </c>
      <c r="AD29" s="30">
        <f t="shared" si="4"/>
        <v>44167.091007343486</v>
      </c>
      <c r="AE29" s="30">
        <f t="shared" si="4"/>
        <v>44167.091007343486</v>
      </c>
      <c r="AF29" s="30">
        <f t="shared" si="4"/>
        <v>44167.091007343486</v>
      </c>
      <c r="AG29" s="39"/>
      <c r="AH29" s="39"/>
      <c r="AI29" s="25"/>
      <c r="AJ29" s="26">
        <f>AQ29*(1-입력란!$C$35/100)</f>
        <v>7.9072563262399997</v>
      </c>
      <c r="AK2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" s="26">
        <f>입력란!$C$47+입력란!$C$41+IF(입력란!$C$18=1,10,IF(입력란!$C$18=2,25,IF(입력란!$C$18=3,50,0)))+IF(입력란!$C$23&lt;&gt;0,-12)</f>
        <v>378.9445412</v>
      </c>
      <c r="AM29" s="30">
        <f t="shared" si="5"/>
        <v>78869.805370256232</v>
      </c>
      <c r="AN29" s="30">
        <f>(VLOOKUP(C29,$B$4:$AJ$7,2,FALSE)+VLOOKUP(C29,$B$8:$AJ$11,2,FALSE)*입력란!$C$29)*입력란!$C$48/100</f>
        <v>78869.805370256232</v>
      </c>
      <c r="AO29" s="30"/>
      <c r="AP29" s="30"/>
      <c r="AQ29" s="28">
        <v>8</v>
      </c>
    </row>
    <row r="30" spans="2:43" ht="13.5" customHeight="1" x14ac:dyDescent="0.3">
      <c r="B30" s="31">
        <v>15</v>
      </c>
      <c r="C30" s="40">
        <v>10</v>
      </c>
      <c r="D30" s="37" t="s">
        <v>77</v>
      </c>
      <c r="E30" s="38" t="s">
        <v>102</v>
      </c>
      <c r="F30" s="40"/>
      <c r="G30" s="40"/>
      <c r="H30" s="52">
        <f t="shared" si="0"/>
        <v>23765.576207037386</v>
      </c>
      <c r="I30" s="53">
        <f>SUM(J30:Q30)*IF(입력란!$C$16=1,1.04,IF(입력란!$C$16=2,1.1,IF(입력란!$C$16=3,1.2,1)))*IF(입력란!$C$21=1,1+입력란!$C$38*0.001,IF(입력란!$C$21=2,1+입력란!$C$38*0.0022,IF(입력란!$C$21=3,1+입력란!$C$38*0.0045,1)))*IF(입력란!$C$18&lt;&gt;0,0.98,1)</f>
        <v>187920.50280983519</v>
      </c>
      <c r="J30" s="30">
        <f>S30*(1+IF($AK30+IF(입력란!$C$26=1,10,0)&gt;100,100,$AK30+IF(입력란!$C$26=1,10,0))/100*($AL30/100-1))</f>
        <v>25187.718610606433</v>
      </c>
      <c r="K30" s="30">
        <f>T30*(1+IF($AK30+IF(입력란!$C$26=1,10,IF(MID($E30,1,1)="2",10,0))&gt;100,100,$AK30+IF(입력란!$C$26=1,10,IF(MID($E30,1,1)="2",10,0)))/100*($AL30/100-1))</f>
        <v>34025.945787111465</v>
      </c>
      <c r="L30" s="30">
        <f>U30*(1+IF($AK30+IF(입력란!$C$26=1,10,IF(MID($E30,1,1)="2",10,0))&gt;100,100,$AK30+IF(입력란!$C$26=1,10,IF(MID($E30,1,1)="2",10,0)))/100*($AL30/100-1))</f>
        <v>38464.112628908617</v>
      </c>
      <c r="M30" s="30">
        <f>V30*(1+IF($AK30+IF(입력란!$C$26=1,10,IF(MID($E30,1,1)="2",10,0))&gt;100,100,$AK30+IF(입력란!$C$26=1,10,IF(MID($E30,1,1)="2",10,0)))/100*($AL30/100-1))</f>
        <v>42902.279470705762</v>
      </c>
      <c r="N30" s="30">
        <f>W30*(1+IF($AK30+IF(입력란!$C$26=1,10,IF(MID($E30,1,1)="2",10,0))&gt;100,100,$AK30+IF(입력란!$C$26=1,10,IF(MID($E30,1,1)="2",10,0)))/100*($AL30/100-1))</f>
        <v>47340.446312502914</v>
      </c>
      <c r="O30" s="39"/>
      <c r="P30" s="39"/>
      <c r="Q30" s="30"/>
      <c r="R30" s="24">
        <f t="shared" si="1"/>
        <v>102530.74698133311</v>
      </c>
      <c r="S30" s="30">
        <f>AN30*IF(입력란!$C$12=0,1,IF(입력란!$C$12=1,1.3,IF(입력란!$C$12=2,1.45,IF(입력란!$C$12=3,1.6,1))))*IF(MID(E30,3,1)="3",트라이포드!$N$5,트라이포드!$M$5)/5</f>
        <v>15773.961074051247</v>
      </c>
      <c r="T30" s="30">
        <f>AN30*IF(입력란!$C$12=0,1,IF(입력란!$C$12=1,1.3,IF(입력란!$C$12=2,1.45,IF(입력란!$C$12=3,1.6,1))))*IF(MID(E30,3,1)="2",1+트라이포드!$L$5/100,1+트라이포드!$K$5/100)*IF(MID(E30,3,1)="3",트라이포드!$N$5,트라이포드!$M$5)/5</f>
        <v>18140.055235158932</v>
      </c>
      <c r="U30" s="30">
        <f>AN30*IF(입력란!$C$12=0,1,IF(입력란!$C$12=1,1.3,IF(입력란!$C$12=2,1.45,IF(입력란!$C$12=3,1.6,1))))*IF(MID(E30,3,1)="2",1+2*트라이포드!$L$5/100,1+트라이포드!$K$5/100)*IF(MID(E30,3,1)="3",트라이포드!$N$5,트라이포드!$M$5)/5</f>
        <v>20506.149396266621</v>
      </c>
      <c r="V30" s="30">
        <f>AN30*IF(입력란!$C$12=0,1,IF(입력란!$C$12=1,1.3,IF(입력란!$C$12=2,1.45,IF(입력란!$C$12=3,1.6,1))))*IF(MID(E30,3,1)="2",1+3*트라이포드!$L$5/100,1+트라이포드!$K$5/100)*IF(MID(E30,3,1)="3",트라이포드!$N$5,트라이포드!$M$5)/5</f>
        <v>22872.243557374306</v>
      </c>
      <c r="W30" s="39">
        <f>AN30*IF(입력란!$C$12=0,1,IF(입력란!$C$12=1,1.3,IF(입력란!$C$12=2,1.45,IF(입력란!$C$12=3,1.6,1))))*IF(MID(E30,3,1)="2",1+4*트라이포드!$L$5/100,1+트라이포드!$K$5/100)*IF(MID(E30,3,1)="3",트라이포드!$N$5,트라이포드!$M$5)/5</f>
        <v>25238.337718481995</v>
      </c>
      <c r="X30" s="39"/>
      <c r="Y30" s="39"/>
      <c r="Z30" s="25"/>
      <c r="AA30" s="30">
        <f t="shared" si="2"/>
        <v>157739.61074051246</v>
      </c>
      <c r="AB30" s="30">
        <f t="shared" si="3"/>
        <v>31547.922148102494</v>
      </c>
      <c r="AC30" s="30">
        <f t="shared" si="4"/>
        <v>31547.922148102494</v>
      </c>
      <c r="AD30" s="30">
        <f t="shared" si="4"/>
        <v>31547.922148102494</v>
      </c>
      <c r="AE30" s="30">
        <f t="shared" si="4"/>
        <v>31547.922148102494</v>
      </c>
      <c r="AF30" s="30">
        <f t="shared" si="4"/>
        <v>31547.922148102494</v>
      </c>
      <c r="AG30" s="39"/>
      <c r="AH30" s="39"/>
      <c r="AI30" s="25"/>
      <c r="AJ30" s="26">
        <f>AQ30*(1-입력란!$C$35/100)</f>
        <v>7.9072563262399997</v>
      </c>
      <c r="AK3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" s="26">
        <f>입력란!$C$47+입력란!$C$41+IF(입력란!$C$18=1,10,IF(입력란!$C$18=2,25,IF(입력란!$C$18=3,50,0)))+IF(입력란!$C$23&lt;&gt;0,-12)</f>
        <v>378.9445412</v>
      </c>
      <c r="AM30" s="30">
        <f t="shared" si="5"/>
        <v>78869.805370256232</v>
      </c>
      <c r="AN30" s="30">
        <f>(VLOOKUP(C30,$B$4:$AJ$7,2,FALSE)+VLOOKUP(C30,$B$8:$AJ$11,2,FALSE)*입력란!$C$29)*입력란!$C$48/100</f>
        <v>78869.805370256232</v>
      </c>
      <c r="AO30" s="26"/>
      <c r="AP30" s="30"/>
      <c r="AQ30" s="28">
        <v>8</v>
      </c>
    </row>
    <row r="31" spans="2:43" ht="13.5" customHeight="1" x14ac:dyDescent="0.3">
      <c r="B31" s="31">
        <v>16</v>
      </c>
      <c r="C31" s="40">
        <v>10</v>
      </c>
      <c r="D31" s="37" t="s">
        <v>77</v>
      </c>
      <c r="E31" s="38" t="s">
        <v>103</v>
      </c>
      <c r="F31" s="40"/>
      <c r="G31" s="40"/>
      <c r="H31" s="52">
        <f t="shared" si="0"/>
        <v>23765.576207037386</v>
      </c>
      <c r="I31" s="53">
        <f>SUM(J31:Q31)*IF(입력란!$C$16=1,1.04,IF(입력란!$C$16=2,1.1,IF(입력란!$C$16=3,1.2,1)))*IF(입력란!$C$21=1,1+입력란!$C$38*0.001,IF(입력란!$C$21=2,1+입력란!$C$38*0.0022,IF(입력란!$C$21=3,1+입력란!$C$38*0.0045,1)))*IF(입력란!$C$18&lt;&gt;0,0.98,1)</f>
        <v>187920.50280983519</v>
      </c>
      <c r="J31" s="30">
        <f>S31*(1+IF($AK31+IF(입력란!$C$26=1,10,0)&gt;100,100,$AK31+IF(입력란!$C$26=1,10,0))/100*($AL31/100-1))</f>
        <v>25187.718610606433</v>
      </c>
      <c r="K31" s="30">
        <f>T31*(1+IF($AK31+IF(입력란!$C$26=1,10,IF(MID($E31,1,1)="2",10,0))&gt;100,100,$AK31+IF(입력란!$C$26=1,10,IF(MID($E31,1,1)="2",10,0)))/100*($AL31/100-1))</f>
        <v>34025.945787111465</v>
      </c>
      <c r="L31" s="30">
        <f>U31*(1+IF($AK31+IF(입력란!$C$26=1,10,IF(MID($E31,1,1)="2",10,0))&gt;100,100,$AK31+IF(입력란!$C$26=1,10,IF(MID($E31,1,1)="2",10,0)))/100*($AL31/100-1))</f>
        <v>38464.112628908617</v>
      </c>
      <c r="M31" s="30">
        <f>V31*(1+IF($AK31+IF(입력란!$C$26=1,10,IF(MID($E31,1,1)="2",10,0))&gt;100,100,$AK31+IF(입력란!$C$26=1,10,IF(MID($E31,1,1)="2",10,0)))/100*($AL31/100-1))</f>
        <v>42902.279470705762</v>
      </c>
      <c r="N31" s="30">
        <f>W31*(1+IF($AK31+IF(입력란!$C$26=1,10,IF(MID($E31,1,1)="2",10,0))&gt;100,100,$AK31+IF(입력란!$C$26=1,10,IF(MID($E31,1,1)="2",10,0)))/100*($AL31/100-1))</f>
        <v>47340.446312502914</v>
      </c>
      <c r="O31" s="39"/>
      <c r="P31" s="39"/>
      <c r="Q31" s="30"/>
      <c r="R31" s="24">
        <f t="shared" si="1"/>
        <v>102530.74698133311</v>
      </c>
      <c r="S31" s="30">
        <f>AN31*IF(입력란!$C$12=0,1,IF(입력란!$C$12=1,1.3,IF(입력란!$C$12=2,1.45,IF(입력란!$C$12=3,1.6,1))))*IF(MID(E31,3,1)="3",트라이포드!$N$5,트라이포드!$M$5)/5</f>
        <v>15773.961074051247</v>
      </c>
      <c r="T31" s="30">
        <f>AN31*IF(입력란!$C$12=0,1,IF(입력란!$C$12=1,1.3,IF(입력란!$C$12=2,1.45,IF(입력란!$C$12=3,1.6,1))))*IF(MID(E31,3,1)="2",1+트라이포드!$L$5/100,1+트라이포드!$K$5/100)*IF(MID(E31,3,1)="3",트라이포드!$N$5,트라이포드!$M$5)/5</f>
        <v>18140.055235158932</v>
      </c>
      <c r="U31" s="30">
        <f>AN31*IF(입력란!$C$12=0,1,IF(입력란!$C$12=1,1.3,IF(입력란!$C$12=2,1.45,IF(입력란!$C$12=3,1.6,1))))*IF(MID(E31,3,1)="2",1+2*트라이포드!$L$5/100,1+트라이포드!$K$5/100)*IF(MID(E31,3,1)="3",트라이포드!$N$5,트라이포드!$M$5)/5</f>
        <v>20506.149396266621</v>
      </c>
      <c r="V31" s="30">
        <f>AN31*IF(입력란!$C$12=0,1,IF(입력란!$C$12=1,1.3,IF(입력란!$C$12=2,1.45,IF(입력란!$C$12=3,1.6,1))))*IF(MID(E31,3,1)="2",1+3*트라이포드!$L$5/100,1+트라이포드!$K$5/100)*IF(MID(E31,3,1)="3",트라이포드!$N$5,트라이포드!$M$5)/5</f>
        <v>22872.243557374306</v>
      </c>
      <c r="W31" s="39">
        <f>AN31*IF(입력란!$C$12=0,1,IF(입력란!$C$12=1,1.3,IF(입력란!$C$12=2,1.45,IF(입력란!$C$12=3,1.6,1))))*IF(MID(E31,3,1)="2",1+4*트라이포드!$L$5/100,1+트라이포드!$K$5/100)*IF(MID(E31,3,1)="3",트라이포드!$N$5,트라이포드!$M$5)/5</f>
        <v>25238.337718481995</v>
      </c>
      <c r="X31" s="39"/>
      <c r="Y31" s="39"/>
      <c r="Z31" s="25"/>
      <c r="AA31" s="30">
        <f t="shared" si="2"/>
        <v>157739.61074051246</v>
      </c>
      <c r="AB31" s="30">
        <f t="shared" si="3"/>
        <v>31547.922148102494</v>
      </c>
      <c r="AC31" s="30">
        <f t="shared" si="4"/>
        <v>31547.922148102494</v>
      </c>
      <c r="AD31" s="30">
        <f t="shared" si="4"/>
        <v>31547.922148102494</v>
      </c>
      <c r="AE31" s="30">
        <f t="shared" si="4"/>
        <v>31547.922148102494</v>
      </c>
      <c r="AF31" s="30">
        <f t="shared" si="4"/>
        <v>31547.922148102494</v>
      </c>
      <c r="AG31" s="39"/>
      <c r="AH31" s="39"/>
      <c r="AI31" s="25"/>
      <c r="AJ31" s="26">
        <f>AQ31*(1-입력란!$C$35/100)</f>
        <v>7.9072563262399997</v>
      </c>
      <c r="AK3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" s="26">
        <f>입력란!$C$47+입력란!$C$41+IF(입력란!$C$18=1,10,IF(입력란!$C$18=2,25,IF(입력란!$C$18=3,50,0)))+IF(입력란!$C$23&lt;&gt;0,-12)</f>
        <v>378.9445412</v>
      </c>
      <c r="AM31" s="30">
        <f t="shared" si="5"/>
        <v>78869.805370256232</v>
      </c>
      <c r="AN31" s="30">
        <f>(VLOOKUP(C31,$B$4:$AJ$7,2,FALSE)+VLOOKUP(C31,$B$8:$AJ$11,2,FALSE)*입력란!$C$29)*입력란!$C$48/100</f>
        <v>78869.805370256232</v>
      </c>
      <c r="AO31" s="26"/>
      <c r="AP31" s="30"/>
      <c r="AQ31" s="28">
        <v>8</v>
      </c>
    </row>
    <row r="32" spans="2:43" ht="13.5" customHeight="1" x14ac:dyDescent="0.3">
      <c r="B32" s="31">
        <v>17</v>
      </c>
      <c r="C32" s="40">
        <v>10</v>
      </c>
      <c r="D32" s="41" t="s">
        <v>104</v>
      </c>
      <c r="E32" s="38" t="s">
        <v>105</v>
      </c>
      <c r="F32" s="40" t="s">
        <v>108</v>
      </c>
      <c r="G32" s="40"/>
      <c r="H32" s="52">
        <f t="shared" si="0"/>
        <v>25413.918539828785</v>
      </c>
      <c r="I32" s="53">
        <f>SUM(J32:Q32)*IF(입력란!$C$16=1,1.04,IF(입력란!$C$16=2,1.1,IF(입력란!$C$16=3,1.2,1)))*IF(입력란!$C$21=1,1+입력란!$C$38*0.001,IF(입력란!$C$21=2,1+입력란!$C$38*0.0022,IF(입력란!$C$21=3,1+입력란!$C$38*0.0045,1)))*IF(입력란!$C$18&lt;&gt;0,0.98,1)</f>
        <v>200954.36814860918</v>
      </c>
      <c r="J32" s="30">
        <f>S32*(1+IF($AK32+IF(입력란!$C$26=1,10,0)&gt;100,100,$AK32+IF(입력란!$C$26=1,10,0))/100*($AL32/100-1))</f>
        <v>35262.806054849003</v>
      </c>
      <c r="K32" s="30">
        <f>T32*(1+IF($AK32+IF(입력란!$C$26=1,10,IF(MID($E32,1,1)="2",10,0))&gt;100,100,$AK32+IF(입력란!$C$26=1,10,IF(MID($E32,1,1)="2",10,0)))/100*($AL32/100-1))</f>
        <v>41422.890523440044</v>
      </c>
      <c r="L32" s="30">
        <f>U32*(1+IF($AK32+IF(입력란!$C$26=1,10,IF(MID($E32,1,1)="2",10,0))&gt;100,100,$AK32+IF(입력란!$C$26=1,10,IF(MID($E32,1,1)="2",10,0)))/100*($AL32/100-1))</f>
        <v>41422.890523440044</v>
      </c>
      <c r="M32" s="30">
        <f>V32*(1+IF($AK32+IF(입력란!$C$26=1,10,IF(MID($E32,1,1)="2",10,0))&gt;100,100,$AK32+IF(입력란!$C$26=1,10,IF(MID($E32,1,1)="2",10,0)))/100*($AL32/100-1))</f>
        <v>41422.890523440044</v>
      </c>
      <c r="N32" s="30">
        <f>W32*(1+IF($AK32+IF(입력란!$C$26=1,10,IF(MID($E32,1,1)="2",10,0))&gt;100,100,$AK32+IF(입력란!$C$26=1,10,IF(MID($E32,1,1)="2",10,0)))/100*($AL32/100-1))</f>
        <v>41422.890523440044</v>
      </c>
      <c r="O32" s="39"/>
      <c r="P32" s="39"/>
      <c r="Q32" s="30"/>
      <c r="R32" s="24">
        <f t="shared" si="1"/>
        <v>110417.72751835872</v>
      </c>
      <c r="S32" s="30">
        <f>AN32*IF(입력란!$C$12=0,1,IF(입력란!$C$12=1,1.3,IF(입력란!$C$12=2,1.45,IF(입력란!$C$12=3,1.6,1))))*IF(MID(E32,3,1)="3",트라이포드!$N$5,트라이포드!$M$5)/5</f>
        <v>22083.545503671743</v>
      </c>
      <c r="T32" s="30">
        <f>AN32*IF(입력란!$C$12=0,1,IF(입력란!$C$12=1,1.3,IF(입력란!$C$12=2,1.45,IF(입력란!$C$12=3,1.6,1))))*IF(MID(E32,3,1)="2",1+트라이포드!$L$5/100,1+트라이포드!$K$5/100)*IF(MID(E32,3,1)="3",트라이포드!$N$5,트라이포드!$M$5)/5</f>
        <v>22083.545503671743</v>
      </c>
      <c r="U32" s="30">
        <f>AN32*IF(입력란!$C$12=0,1,IF(입력란!$C$12=1,1.3,IF(입력란!$C$12=2,1.45,IF(입력란!$C$12=3,1.6,1))))*IF(MID(E32,3,1)="2",1+2*트라이포드!$L$5/100,1+트라이포드!$K$5/100)*IF(MID(E32,3,1)="3",트라이포드!$N$5,트라이포드!$M$5)/5</f>
        <v>22083.545503671743</v>
      </c>
      <c r="V32" s="30">
        <f>AN32*IF(입력란!$C$12=0,1,IF(입력란!$C$12=1,1.3,IF(입력란!$C$12=2,1.45,IF(입력란!$C$12=3,1.6,1))))*IF(MID(E32,3,1)="2",1+3*트라이포드!$L$5/100,1+트라이포드!$K$5/100)*IF(MID(E32,3,1)="3",트라이포드!$N$5,트라이포드!$M$5)/5</f>
        <v>22083.545503671743</v>
      </c>
      <c r="W32" s="39">
        <f>AN32*IF(입력란!$C$12=0,1,IF(입력란!$C$12=1,1.3,IF(입력란!$C$12=2,1.45,IF(입력란!$C$12=3,1.6,1))))*IF(MID(E32,3,1)="2",1+4*트라이포드!$L$5/100,1+트라이포드!$K$5/100)*IF(MID(E32,3,1)="3",트라이포드!$N$5,트라이포드!$M$5)/5</f>
        <v>22083.545503671743</v>
      </c>
      <c r="X32" s="39"/>
      <c r="Y32" s="39"/>
      <c r="Z32" s="25"/>
      <c r="AA32" s="30">
        <f t="shared" si="2"/>
        <v>220835.45503671744</v>
      </c>
      <c r="AB32" s="30">
        <f t="shared" si="3"/>
        <v>44167.091007343486</v>
      </c>
      <c r="AC32" s="30">
        <f t="shared" si="4"/>
        <v>44167.091007343486</v>
      </c>
      <c r="AD32" s="30">
        <f t="shared" si="4"/>
        <v>44167.091007343486</v>
      </c>
      <c r="AE32" s="30">
        <f t="shared" si="4"/>
        <v>44167.091007343486</v>
      </c>
      <c r="AF32" s="30">
        <f t="shared" si="4"/>
        <v>44167.091007343486</v>
      </c>
      <c r="AG32" s="39"/>
      <c r="AH32" s="39"/>
      <c r="AI32" s="25"/>
      <c r="AJ32" s="26">
        <f>AQ32*(1-입력란!$C$35/100)</f>
        <v>7.9072563262399997</v>
      </c>
      <c r="AK3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" s="26">
        <f>입력란!$C$47+입력란!$C$41+IF(입력란!$C$18=1,10,IF(입력란!$C$18=2,25,IF(입력란!$C$18=3,50,0)))+IF(입력란!$C$23&lt;&gt;0,-12)</f>
        <v>378.9445412</v>
      </c>
      <c r="AM32" s="30">
        <f t="shared" si="5"/>
        <v>78869.805370256232</v>
      </c>
      <c r="AN32" s="30">
        <f>(VLOOKUP(C32,$B$4:$AJ$7,2,FALSE)+VLOOKUP(C32,$B$8:$AJ$11,2,FALSE)*입력란!$C$29)*입력란!$C$48/100</f>
        <v>78869.805370256232</v>
      </c>
      <c r="AO32" s="26"/>
      <c r="AP32" s="30"/>
      <c r="AQ32" s="28">
        <v>8</v>
      </c>
    </row>
    <row r="33" spans="2:43" ht="13.5" customHeight="1" x14ac:dyDescent="0.3">
      <c r="B33" s="31">
        <v>18</v>
      </c>
      <c r="C33" s="40">
        <v>10</v>
      </c>
      <c r="D33" s="42" t="s">
        <v>104</v>
      </c>
      <c r="E33" s="38" t="s">
        <v>106</v>
      </c>
      <c r="F33" s="40" t="s">
        <v>109</v>
      </c>
      <c r="G33" s="40"/>
      <c r="H33" s="52">
        <f t="shared" si="0"/>
        <v>25413.918539828785</v>
      </c>
      <c r="I33" s="53">
        <f>SUM(J33:Q33)*IF(입력란!$C$16=1,1.04,IF(입력란!$C$16=2,1.1,IF(입력란!$C$16=3,1.2,1)))*IF(입력란!$C$21=1,1+입력란!$C$38*0.001,IF(입력란!$C$21=2,1+입력란!$C$38*0.0022,IF(입력란!$C$21=3,1+입력란!$C$38*0.0045,1)))*IF(입력란!$C$18&lt;&gt;0,0.98,1)</f>
        <v>200954.36814860918</v>
      </c>
      <c r="J33" s="30">
        <f>S33*(1+IF($AK33+IF(입력란!$C$26=1,10,0)&gt;100,100,$AK33+IF(입력란!$C$26=1,10,0))/100*($AL33/100-1))</f>
        <v>35262.806054849003</v>
      </c>
      <c r="K33" s="30">
        <f>T33*(1+IF($AK33+IF(입력란!$C$26=1,10,IF(MID($E33,1,1)="2",10,0))&gt;100,100,$AK33+IF(입력란!$C$26=1,10,IF(MID($E33,1,1)="2",10,0)))/100*($AL33/100-1))</f>
        <v>41422.890523440044</v>
      </c>
      <c r="L33" s="30">
        <f>U33*(1+IF($AK33+IF(입력란!$C$26=1,10,IF(MID($E33,1,1)="2",10,0))&gt;100,100,$AK33+IF(입력란!$C$26=1,10,IF(MID($E33,1,1)="2",10,0)))/100*($AL33/100-1))</f>
        <v>41422.890523440044</v>
      </c>
      <c r="M33" s="30">
        <f>V33*(1+IF($AK33+IF(입력란!$C$26=1,10,IF(MID($E33,1,1)="2",10,0))&gt;100,100,$AK33+IF(입력란!$C$26=1,10,IF(MID($E33,1,1)="2",10,0)))/100*($AL33/100-1))</f>
        <v>41422.890523440044</v>
      </c>
      <c r="N33" s="30">
        <f>W33*(1+IF($AK33+IF(입력란!$C$26=1,10,IF(MID($E33,1,1)="2",10,0))&gt;100,100,$AK33+IF(입력란!$C$26=1,10,IF(MID($E33,1,1)="2",10,0)))/100*($AL33/100-1))</f>
        <v>41422.890523440044</v>
      </c>
      <c r="O33" s="39"/>
      <c r="P33" s="39"/>
      <c r="Q33" s="30"/>
      <c r="R33" s="24">
        <f t="shared" si="1"/>
        <v>110417.72751835872</v>
      </c>
      <c r="S33" s="30">
        <f>AN33*IF(입력란!$C$12=0,1,IF(입력란!$C$12=1,1.3,IF(입력란!$C$12=2,1.45,IF(입력란!$C$12=3,1.6,1))))*IF(MID(E33,3,1)="3",트라이포드!$N$5,트라이포드!$M$5)/5</f>
        <v>22083.545503671743</v>
      </c>
      <c r="T33" s="30">
        <f>AN33*IF(입력란!$C$12=0,1,IF(입력란!$C$12=1,1.3,IF(입력란!$C$12=2,1.45,IF(입력란!$C$12=3,1.6,1))))*IF(MID(E33,3,1)="2",1+트라이포드!$L$5/100,1+트라이포드!$K$5/100)*IF(MID(E33,3,1)="3",트라이포드!$N$5,트라이포드!$M$5)/5</f>
        <v>22083.545503671743</v>
      </c>
      <c r="U33" s="30">
        <f>AN33*IF(입력란!$C$12=0,1,IF(입력란!$C$12=1,1.3,IF(입력란!$C$12=2,1.45,IF(입력란!$C$12=3,1.6,1))))*IF(MID(E33,3,1)="2",1+2*트라이포드!$L$5/100,1+트라이포드!$K$5/100)*IF(MID(E33,3,1)="3",트라이포드!$N$5,트라이포드!$M$5)/5</f>
        <v>22083.545503671743</v>
      </c>
      <c r="V33" s="30">
        <f>AN33*IF(입력란!$C$12=0,1,IF(입력란!$C$12=1,1.3,IF(입력란!$C$12=2,1.45,IF(입력란!$C$12=3,1.6,1))))*IF(MID(E33,3,1)="2",1+3*트라이포드!$L$5/100,1+트라이포드!$K$5/100)*IF(MID(E33,3,1)="3",트라이포드!$N$5,트라이포드!$M$5)/5</f>
        <v>22083.545503671743</v>
      </c>
      <c r="W33" s="39">
        <f>AN33*IF(입력란!$C$12=0,1,IF(입력란!$C$12=1,1.3,IF(입력란!$C$12=2,1.45,IF(입력란!$C$12=3,1.6,1))))*IF(MID(E33,3,1)="2",1+4*트라이포드!$L$5/100,1+트라이포드!$K$5/100)*IF(MID(E33,3,1)="3",트라이포드!$N$5,트라이포드!$M$5)/5</f>
        <v>22083.545503671743</v>
      </c>
      <c r="X33" s="39"/>
      <c r="Y33" s="39"/>
      <c r="Z33" s="25"/>
      <c r="AA33" s="30">
        <f t="shared" si="2"/>
        <v>220835.45503671744</v>
      </c>
      <c r="AB33" s="30">
        <f t="shared" si="3"/>
        <v>44167.091007343486</v>
      </c>
      <c r="AC33" s="30">
        <f t="shared" si="4"/>
        <v>44167.091007343486</v>
      </c>
      <c r="AD33" s="30">
        <f t="shared" si="4"/>
        <v>44167.091007343486</v>
      </c>
      <c r="AE33" s="30">
        <f t="shared" si="4"/>
        <v>44167.091007343486</v>
      </c>
      <c r="AF33" s="30">
        <f t="shared" si="4"/>
        <v>44167.091007343486</v>
      </c>
      <c r="AG33" s="39"/>
      <c r="AH33" s="39"/>
      <c r="AI33" s="25"/>
      <c r="AJ33" s="26">
        <f>AQ33*(1-입력란!$C$35/100)</f>
        <v>7.9072563262399997</v>
      </c>
      <c r="AK3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" s="26">
        <f>입력란!$C$47+입력란!$C$41+IF(입력란!$C$18=1,10,IF(입력란!$C$18=2,25,IF(입력란!$C$18=3,50,0)))+IF(입력란!$C$23&lt;&gt;0,-12)</f>
        <v>378.9445412</v>
      </c>
      <c r="AM33" s="30">
        <f t="shared" si="5"/>
        <v>78869.805370256232</v>
      </c>
      <c r="AN33" s="30">
        <f>(VLOOKUP(C33,$B$4:$AJ$7,2,FALSE)+VLOOKUP(C33,$B$8:$AJ$11,2,FALSE)*입력란!$C$29)*입력란!$C$48/100</f>
        <v>78869.805370256232</v>
      </c>
      <c r="AO33" s="26"/>
      <c r="AP33" s="30"/>
      <c r="AQ33" s="28">
        <v>8</v>
      </c>
    </row>
    <row r="34" spans="2:43" ht="13.5" customHeight="1" x14ac:dyDescent="0.3">
      <c r="B34" s="31">
        <v>19</v>
      </c>
      <c r="C34" s="36">
        <v>1</v>
      </c>
      <c r="D34" s="37" t="s">
        <v>95</v>
      </c>
      <c r="E34" s="38" t="s">
        <v>96</v>
      </c>
      <c r="F34" s="40"/>
      <c r="G34" s="40"/>
      <c r="H34" s="52">
        <f t="shared" si="0"/>
        <v>12502.552519651377</v>
      </c>
      <c r="I34" s="53">
        <f>SUM(J34:Q34)*IF(입력란!$C$16=1,1.04,IF(입력란!$C$16=2,1.1,IF(입력란!$C$16=3,1.2,1)))*IF(입력란!$C$21=1,1+입력란!$C$38*0.001,IF(입력란!$C$21=2,1+입력란!$C$38*0.0022,IF(입력란!$C$21=3,1+입력란!$C$38*0.0045,1)))*IF(입력란!$C$18&lt;&gt;0,0.98,1)</f>
        <v>74145.665628870905</v>
      </c>
      <c r="J34" s="30">
        <f>S34*(1+IF($AK34+IF(입력란!$C$26=1,10,0)&gt;100,100,$AK34+IF(입력란!$C$26=1,10,0))/100*($AL34/100-1))</f>
        <v>74145.665628870905</v>
      </c>
      <c r="K34" s="30"/>
      <c r="L34" s="30"/>
      <c r="M34" s="30"/>
      <c r="N34" s="39"/>
      <c r="O34" s="39"/>
      <c r="P34" s="39"/>
      <c r="Q34" s="30">
        <f>Z34*(1+IF($AK34+IF(입력란!$C$26=1,10,IF(MID($E34,1,1)="3",10,0))&gt;100,100,$AK34+IF(입력란!$C$26=1,10,IF(MID($E34,1,1)="3",10,0)))/100*($AL34/100-1))</f>
        <v>0</v>
      </c>
      <c r="R34" s="24">
        <f t="shared" si="1"/>
        <v>46434.171411893105</v>
      </c>
      <c r="S34" s="30">
        <f>AN34*IF(입력란!$C$12=0,1,IF(입력란!$C$12=1,1.3,IF(입력란!$C$12=2,1.45,IF(입력란!$C$12=3,1.6,1))))*IF(MID(E34,3,1)="1",트라이포드!$J$6,IF(MID(E34,3,1)="2",트라이포드!$L$6,IF(MID(E34,3,1)="3",트라이포드!$N$6,1)))*IF(MID(E34,5,1)="1",트라이포드!$P$6,트라이포드!$O$6)</f>
        <v>46434.171411893105</v>
      </c>
      <c r="T34" s="30"/>
      <c r="U34" s="30"/>
      <c r="V34" s="30"/>
      <c r="W34" s="39"/>
      <c r="X34" s="39"/>
      <c r="Y34" s="39"/>
      <c r="Z34" s="25">
        <f>AN34*IF(입력란!$C$12=0,1,IF(입력란!$C$12=1,1.3,IF(입력란!$C$12=2,1.45,IF(입력란!$C$12=3,1.6,1))))*IF(MID(E34,3,1)="1",트라이포드!$J$6,IF(MID(E34,3,1)="2",트라이포드!$L$6,IF(MID(E34,3,1)="3",트라이포드!$N$6,1)))*IF(MID(E34,5,1)="2",트라이포드!R$6,트라이포드!Q$6)</f>
        <v>0</v>
      </c>
      <c r="AA34" s="30">
        <f t="shared" si="2"/>
        <v>92868.34282378621</v>
      </c>
      <c r="AB34" s="30">
        <f t="shared" si="3"/>
        <v>92868.34282378621</v>
      </c>
      <c r="AC34" s="30"/>
      <c r="AD34" s="30"/>
      <c r="AE34" s="30"/>
      <c r="AF34" s="39"/>
      <c r="AG34" s="39"/>
      <c r="AH34" s="39"/>
      <c r="AI34" s="25">
        <f t="shared" ref="AI34:AI57" si="6">Z34*2</f>
        <v>0</v>
      </c>
      <c r="AJ34" s="26">
        <f>(AQ34+IF(MID(E34,3,1)="2",6,IF(MID(E34,3,1)="3",9,0)))*(1-입력란!$C$35/100)</f>
        <v>5.93044224468</v>
      </c>
      <c r="AK3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" s="26">
        <f>입력란!$C$47+입력란!$C$41+IF(입력란!$C$18=1,10,IF(입력란!$C$18=2,25,IF(입력란!$C$18=3,50,0)))+IF(입력란!$C$23&lt;&gt;0,-12)</f>
        <v>378.9445412</v>
      </c>
      <c r="AM34" s="30">
        <f t="shared" si="5"/>
        <v>46434.171411893105</v>
      </c>
      <c r="AN34" s="30">
        <f>(VLOOKUP(C34,$B$4:$AJ$7,3,FALSE)+VLOOKUP(C34,$B$8:$AJ$11,3,FALSE)*입력란!$C$29)*입력란!$C$48/100</f>
        <v>46434.171411893105</v>
      </c>
      <c r="AO34" s="26"/>
      <c r="AP34" s="30"/>
      <c r="AQ34" s="28">
        <v>6</v>
      </c>
    </row>
    <row r="35" spans="2:43" ht="13.5" customHeight="1" x14ac:dyDescent="0.3">
      <c r="B35" s="31">
        <v>20</v>
      </c>
      <c r="C35" s="36">
        <v>4</v>
      </c>
      <c r="D35" s="37" t="s">
        <v>95</v>
      </c>
      <c r="E35" s="38" t="s">
        <v>96</v>
      </c>
      <c r="F35" s="40"/>
      <c r="G35" s="40"/>
      <c r="H35" s="52">
        <f t="shared" si="0"/>
        <v>12529.585548018318</v>
      </c>
      <c r="I35" s="53">
        <f>SUM(J35:Q35)*IF(입력란!$C$16=1,1.04,IF(입력란!$C$16=2,1.1,IF(입력란!$C$16=3,1.2,1)))*IF(입력란!$C$21=1,1+입력란!$C$38*0.001,IF(입력란!$C$21=2,1+입력란!$C$38*0.0022,IF(입력란!$C$21=3,1+입력란!$C$38*0.0045,1)))*IF(입력란!$C$18&lt;&gt;0,0.98,1)</f>
        <v>74305.983442299839</v>
      </c>
      <c r="J35" s="30">
        <f>S35*(1+IF($AK35+IF(입력란!$C$26=1,10,0)&gt;100,100,$AK35+IF(입력란!$C$26=1,10,0))/100*($AL35/100-1))</f>
        <v>74305.983442299839</v>
      </c>
      <c r="K35" s="30"/>
      <c r="L35" s="30"/>
      <c r="M35" s="30"/>
      <c r="N35" s="39"/>
      <c r="O35" s="39"/>
      <c r="P35" s="39"/>
      <c r="Q35" s="30">
        <f>Z35*(1+IF($AK35+IF(입력란!$C$26=1,10,IF(MID($E35,1,1)="3",10,0))&gt;100,100,$AK35+IF(입력란!$C$26=1,10,IF(MID($E35,1,1)="3",10,0)))/100*($AL35/100-1))</f>
        <v>0</v>
      </c>
      <c r="R35" s="24">
        <f t="shared" si="1"/>
        <v>46534.571411893106</v>
      </c>
      <c r="S35" s="30">
        <f>AN35*IF(입력란!$C$12=0,1,IF(입력란!$C$12=1,1.3,IF(입력란!$C$12=2,1.45,IF(입력란!$C$12=3,1.6,1))))*IF(MID(E35,3,1)="1",트라이포드!$J$6,IF(MID(E35,3,1)="2",트라이포드!$L$6,IF(MID(E35,3,1)="3",트라이포드!$N$6,1)))*IF(MID(E35,5,1)="1",트라이포드!$P$6,트라이포드!$O$6)</f>
        <v>46534.571411893106</v>
      </c>
      <c r="T35" s="30"/>
      <c r="U35" s="30"/>
      <c r="V35" s="30"/>
      <c r="W35" s="39"/>
      <c r="X35" s="39"/>
      <c r="Y35" s="39"/>
      <c r="Z35" s="25">
        <f>AN35*IF(입력란!$C$12=0,1,IF(입력란!$C$12=1,1.3,IF(입력란!$C$12=2,1.45,IF(입력란!$C$12=3,1.6,1))))*IF(MID(E35,3,1)="1",트라이포드!$J$6,IF(MID(E35,3,1)="2",트라이포드!$L$6,IF(MID(E35,3,1)="3",트라이포드!$N$6,1)))*IF(MID(E35,5,1)="2",트라이포드!R$6,트라이포드!Q$6)</f>
        <v>0</v>
      </c>
      <c r="AA35" s="30">
        <f t="shared" si="2"/>
        <v>93069.142823786213</v>
      </c>
      <c r="AB35" s="30">
        <f t="shared" si="3"/>
        <v>93069.142823786213</v>
      </c>
      <c r="AC35" s="30"/>
      <c r="AD35" s="26"/>
      <c r="AE35" s="26"/>
      <c r="AF35" s="39"/>
      <c r="AG35" s="39"/>
      <c r="AH35" s="39"/>
      <c r="AI35" s="25">
        <f t="shared" si="6"/>
        <v>0</v>
      </c>
      <c r="AJ35" s="26">
        <f>(AQ35+IF(MID(E35,3,1)="2",6,IF(MID(E35,3,1)="3",9,0)))*(1-입력란!$C$35/100)</f>
        <v>5.93044224468</v>
      </c>
      <c r="AK3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" s="26">
        <f>입력란!$C$47+입력란!$C$41+IF(입력란!$C$18=1,10,IF(입력란!$C$18=2,25,IF(입력란!$C$18=3,50,0)))+IF(입력란!$C$23&lt;&gt;0,-12)</f>
        <v>378.9445412</v>
      </c>
      <c r="AM35" s="30">
        <f t="shared" si="5"/>
        <v>46534.571411893106</v>
      </c>
      <c r="AN35" s="30">
        <f>(VLOOKUP(C35,$B$4:$AJ$7,3,FALSE)+VLOOKUP(C35,$B$8:$AJ$11,3,FALSE)*입력란!$C$29)*입력란!$C$48/100</f>
        <v>46534.571411893106</v>
      </c>
      <c r="AO35" s="26"/>
      <c r="AP35" s="30"/>
      <c r="AQ35" s="28">
        <v>6</v>
      </c>
    </row>
    <row r="36" spans="2:43" ht="13.5" customHeight="1" x14ac:dyDescent="0.3">
      <c r="B36" s="31">
        <v>21</v>
      </c>
      <c r="C36" s="36">
        <v>4</v>
      </c>
      <c r="D36" s="37" t="s">
        <v>94</v>
      </c>
      <c r="E36" s="38" t="s">
        <v>97</v>
      </c>
      <c r="F36" s="40"/>
      <c r="G36" s="40"/>
      <c r="H36" s="52">
        <f t="shared" si="0"/>
        <v>12529.585548018318</v>
      </c>
      <c r="I36" s="53">
        <f>SUM(J36:Q36)*IF(입력란!$C$16=1,1.04,IF(입력란!$C$16=2,1.1,IF(입력란!$C$16=3,1.2,1)))*IF(입력란!$C$21=1,1+입력란!$C$38*0.001,IF(입력란!$C$21=2,1+입력란!$C$38*0.0022,IF(입력란!$C$21=3,1+입력란!$C$38*0.0045,1)))*IF(입력란!$C$18&lt;&gt;0,0.98,1)</f>
        <v>74305.983442299839</v>
      </c>
      <c r="J36" s="30">
        <f>S36*(1+IF($AK36+IF(입력란!$C$26=1,10,0)&gt;100,100,$AK36+IF(입력란!$C$26=1,10,0))/100*($AL36/100-1))</f>
        <v>74305.983442299839</v>
      </c>
      <c r="K36" s="30"/>
      <c r="L36" s="30"/>
      <c r="M36" s="30"/>
      <c r="N36" s="39"/>
      <c r="O36" s="39"/>
      <c r="P36" s="39"/>
      <c r="Q36" s="30">
        <f>Z36*(1+IF($AK36+IF(입력란!$C$26=1,10,IF(MID($E36,1,1)="3",10,0))&gt;100,100,$AK36+IF(입력란!$C$26=1,10,IF(MID($E36,1,1)="3",10,0)))/100*($AL36/100-1))</f>
        <v>0</v>
      </c>
      <c r="R36" s="24">
        <f t="shared" si="1"/>
        <v>46534.571411893106</v>
      </c>
      <c r="S36" s="30">
        <f>AN36*IF(입력란!$C$12=0,1,IF(입력란!$C$12=1,1.3,IF(입력란!$C$12=2,1.45,IF(입력란!$C$12=3,1.6,1))))*IF(MID(E36,3,1)="1",트라이포드!$J$6,IF(MID(E36,3,1)="2",트라이포드!$L$6,IF(MID(E36,3,1)="3",트라이포드!$N$6,1)))*IF(MID(E36,5,1)="1",트라이포드!$P$6,트라이포드!$O$6)</f>
        <v>46534.571411893106</v>
      </c>
      <c r="T36" s="30"/>
      <c r="U36" s="30"/>
      <c r="V36" s="30"/>
      <c r="W36" s="39"/>
      <c r="X36" s="39"/>
      <c r="Y36" s="39"/>
      <c r="Z36" s="25">
        <f>AN36*IF(입력란!$C$12=0,1,IF(입력란!$C$12=1,1.3,IF(입력란!$C$12=2,1.45,IF(입력란!$C$12=3,1.6,1))))*IF(MID(E36,3,1)="1",트라이포드!$J$6,IF(MID(E36,3,1)="2",트라이포드!$L$6,IF(MID(E36,3,1)="3",트라이포드!$N$6,1)))*IF(MID(E36,5,1)="2",트라이포드!R$6,트라이포드!Q$6)</f>
        <v>0</v>
      </c>
      <c r="AA36" s="30">
        <f t="shared" si="2"/>
        <v>93069.142823786213</v>
      </c>
      <c r="AB36" s="30">
        <f t="shared" si="3"/>
        <v>93069.142823786213</v>
      </c>
      <c r="AC36" s="30"/>
      <c r="AD36" s="26"/>
      <c r="AE36" s="26"/>
      <c r="AF36" s="39"/>
      <c r="AG36" s="39"/>
      <c r="AH36" s="39"/>
      <c r="AI36" s="25">
        <f t="shared" si="6"/>
        <v>0</v>
      </c>
      <c r="AJ36" s="26">
        <f>(AQ36+IF(MID(E36,3,1)="2",6,IF(MID(E36,3,1)="3",9,0)))*(1-입력란!$C$35/100)</f>
        <v>5.93044224468</v>
      </c>
      <c r="AK3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" s="26">
        <f>입력란!$C$47+입력란!$C$41+IF(입력란!$C$18=1,10,IF(입력란!$C$18=2,25,IF(입력란!$C$18=3,50,0)))+IF(입력란!$C$23&lt;&gt;0,-12)</f>
        <v>378.9445412</v>
      </c>
      <c r="AM36" s="30">
        <f t="shared" si="5"/>
        <v>46534.571411893106</v>
      </c>
      <c r="AN36" s="30">
        <f>(VLOOKUP(C36,$B$4:$AJ$7,3,FALSE)+VLOOKUP(C36,$B$8:$AJ$11,3,FALSE)*입력란!$C$29)*입력란!$C$48/100</f>
        <v>46534.571411893106</v>
      </c>
      <c r="AO36" s="26"/>
      <c r="AP36" s="30"/>
      <c r="AQ36" s="28">
        <v>6</v>
      </c>
    </row>
    <row r="37" spans="2:43" ht="13.5" customHeight="1" x14ac:dyDescent="0.3">
      <c r="B37" s="31">
        <v>22</v>
      </c>
      <c r="C37" s="36">
        <v>7</v>
      </c>
      <c r="D37" s="37" t="s">
        <v>94</v>
      </c>
      <c r="E37" s="38" t="s">
        <v>96</v>
      </c>
      <c r="F37" s="40"/>
      <c r="G37" s="40"/>
      <c r="H37" s="52">
        <f t="shared" si="0"/>
        <v>12542.078899773554</v>
      </c>
      <c r="I37" s="53">
        <f>SUM(J37:Q37)*IF(입력란!$C$16=1,1.04,IF(입력란!$C$16=2,1.1,IF(입력란!$C$16=3,1.2,1)))*IF(입력란!$C$21=1,1+입력란!$C$38*0.001,IF(입력란!$C$21=2,1+입력란!$C$38*0.0022,IF(입력란!$C$21=3,1+입력란!$C$38*0.0045,1)))*IF(입력란!$C$18&lt;&gt;0,0.98,1)</f>
        <v>74380.074543326744</v>
      </c>
      <c r="J37" s="30">
        <f>S37*(1+IF($AK37+IF(입력란!$C$26=1,10,0)&gt;100,100,$AK37+IF(입력란!$C$26=1,10,0))/100*($AL37/100-1))</f>
        <v>74380.074543326744</v>
      </c>
      <c r="K37" s="30"/>
      <c r="L37" s="30"/>
      <c r="M37" s="30"/>
      <c r="N37" s="39"/>
      <c r="O37" s="39"/>
      <c r="P37" s="39"/>
      <c r="Q37" s="30">
        <f>Z37*(1+IF($AK37+IF(입력란!$C$26=1,10,IF(MID($E37,1,1)="3",10,0))&gt;100,100,$AK37+IF(입력란!$C$26=1,10,IF(MID($E37,1,1)="3",10,0)))/100*($AL37/100-1))</f>
        <v>0</v>
      </c>
      <c r="R37" s="24">
        <f t="shared" si="1"/>
        <v>46580.971411893108</v>
      </c>
      <c r="S37" s="30">
        <f>AN37*IF(입력란!$C$12=0,1,IF(입력란!$C$12=1,1.3,IF(입력란!$C$12=2,1.45,IF(입력란!$C$12=3,1.6,1))))*IF(MID(E37,3,1)="1",트라이포드!$J$6,IF(MID(E37,3,1)="2",트라이포드!$L$6,IF(MID(E37,3,1)="3",트라이포드!$N$6,1)))*IF(MID(E37,5,1)="1",트라이포드!$P$6,트라이포드!$O$6)</f>
        <v>46580.971411893108</v>
      </c>
      <c r="T37" s="30"/>
      <c r="U37" s="30"/>
      <c r="V37" s="30"/>
      <c r="W37" s="39"/>
      <c r="X37" s="39"/>
      <c r="Y37" s="39"/>
      <c r="Z37" s="25">
        <f>AN37*IF(입력란!$C$12=0,1,IF(입력란!$C$12=1,1.3,IF(입력란!$C$12=2,1.45,IF(입력란!$C$12=3,1.6,1))))*IF(MID(E37,3,1)="1",트라이포드!$J$6,IF(MID(E37,3,1)="2",트라이포드!$L$6,IF(MID(E37,3,1)="3",트라이포드!$N$6,1)))*IF(MID(E37,5,1)="2",트라이포드!R$6,트라이포드!Q$6)</f>
        <v>0</v>
      </c>
      <c r="AA37" s="30">
        <f t="shared" si="2"/>
        <v>93161.942823786216</v>
      </c>
      <c r="AB37" s="30">
        <f t="shared" si="3"/>
        <v>93161.942823786216</v>
      </c>
      <c r="AC37" s="30"/>
      <c r="AD37" s="26"/>
      <c r="AE37" s="26"/>
      <c r="AF37" s="39"/>
      <c r="AG37" s="39"/>
      <c r="AH37" s="39"/>
      <c r="AI37" s="25">
        <f t="shared" si="6"/>
        <v>0</v>
      </c>
      <c r="AJ37" s="26">
        <f>(AQ37+IF(MID(E37,3,1)="2",6,IF(MID(E37,3,1)="3",9,0)))*(1-입력란!$C$35/100)</f>
        <v>5.93044224468</v>
      </c>
      <c r="AK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" s="26">
        <f>입력란!$C$47+입력란!$C$41+IF(입력란!$C$18=1,10,IF(입력란!$C$18=2,25,IF(입력란!$C$18=3,50,0)))+IF(입력란!$C$23&lt;&gt;0,-12)</f>
        <v>378.9445412</v>
      </c>
      <c r="AM37" s="30">
        <f t="shared" si="5"/>
        <v>46580.971411893108</v>
      </c>
      <c r="AN37" s="30">
        <f>(VLOOKUP(C37,$B$4:$AJ$7,3,FALSE)+VLOOKUP(C37,$B$8:$AJ$11,3,FALSE)*입력란!$C$29)*입력란!$C$48/100</f>
        <v>46580.971411893108</v>
      </c>
      <c r="AO37" s="26"/>
      <c r="AP37" s="30"/>
      <c r="AQ37" s="28">
        <v>6</v>
      </c>
    </row>
    <row r="38" spans="2:43" ht="13.5" customHeight="1" x14ac:dyDescent="0.3">
      <c r="B38" s="31">
        <v>23</v>
      </c>
      <c r="C38" s="36">
        <v>7</v>
      </c>
      <c r="D38" s="37" t="s">
        <v>94</v>
      </c>
      <c r="E38" s="38" t="s">
        <v>97</v>
      </c>
      <c r="F38" s="40"/>
      <c r="G38" s="40"/>
      <c r="H38" s="52">
        <f t="shared" si="0"/>
        <v>12542.078899773554</v>
      </c>
      <c r="I38" s="53">
        <f>SUM(J38:Q38)*IF(입력란!$C$16=1,1.04,IF(입력란!$C$16=2,1.1,IF(입력란!$C$16=3,1.2,1)))*IF(입력란!$C$21=1,1+입력란!$C$38*0.001,IF(입력란!$C$21=2,1+입력란!$C$38*0.0022,IF(입력란!$C$21=3,1+입력란!$C$38*0.0045,1)))*IF(입력란!$C$18&lt;&gt;0,0.98,1)</f>
        <v>74380.074543326744</v>
      </c>
      <c r="J38" s="30">
        <f>S38*(1+IF($AK38+IF(입력란!$C$26=1,10,0)&gt;100,100,$AK38+IF(입력란!$C$26=1,10,0))/100*($AL38/100-1))</f>
        <v>74380.074543326744</v>
      </c>
      <c r="K38" s="30"/>
      <c r="L38" s="30"/>
      <c r="M38" s="30"/>
      <c r="N38" s="39"/>
      <c r="O38" s="39"/>
      <c r="P38" s="39"/>
      <c r="Q38" s="30">
        <f>Z38*(1+IF($AK38+IF(입력란!$C$26=1,10,IF(MID($E38,1,1)="3",10,0))&gt;100,100,$AK38+IF(입력란!$C$26=1,10,IF(MID($E38,1,1)="3",10,0)))/100*($AL38/100-1))</f>
        <v>0</v>
      </c>
      <c r="R38" s="24">
        <f t="shared" si="1"/>
        <v>46580.971411893108</v>
      </c>
      <c r="S38" s="30">
        <f>AN38*IF(입력란!$C$12=0,1,IF(입력란!$C$12=1,1.3,IF(입력란!$C$12=2,1.45,IF(입력란!$C$12=3,1.6,1))))*IF(MID(E38,3,1)="1",트라이포드!$J$6,IF(MID(E38,3,1)="2",트라이포드!$L$6,IF(MID(E38,3,1)="3",트라이포드!$N$6,1)))*IF(MID(E38,5,1)="1",트라이포드!$P$6,트라이포드!$O$6)</f>
        <v>46580.971411893108</v>
      </c>
      <c r="T38" s="30"/>
      <c r="U38" s="30"/>
      <c r="V38" s="30"/>
      <c r="W38" s="39"/>
      <c r="X38" s="39"/>
      <c r="Y38" s="39"/>
      <c r="Z38" s="25">
        <f>AN38*IF(입력란!$C$12=0,1,IF(입력란!$C$12=1,1.3,IF(입력란!$C$12=2,1.45,IF(입력란!$C$12=3,1.6,1))))*IF(MID(E38,3,1)="1",트라이포드!$J$6,IF(MID(E38,3,1)="2",트라이포드!$L$6,IF(MID(E38,3,1)="3",트라이포드!$N$6,1)))*IF(MID(E38,5,1)="2",트라이포드!R$6,트라이포드!Q$6)</f>
        <v>0</v>
      </c>
      <c r="AA38" s="30">
        <f t="shared" si="2"/>
        <v>93161.942823786216</v>
      </c>
      <c r="AB38" s="30">
        <f t="shared" si="3"/>
        <v>93161.942823786216</v>
      </c>
      <c r="AC38" s="30"/>
      <c r="AD38" s="26"/>
      <c r="AE38" s="26"/>
      <c r="AF38" s="39"/>
      <c r="AG38" s="39"/>
      <c r="AH38" s="39"/>
      <c r="AI38" s="25">
        <f t="shared" si="6"/>
        <v>0</v>
      </c>
      <c r="AJ38" s="26">
        <f>(AQ38+IF(MID(E38,3,1)="2",6,IF(MID(E38,3,1)="3",9,0)))*(1-입력란!$C$35/100)</f>
        <v>5.93044224468</v>
      </c>
      <c r="AK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" s="26">
        <f>입력란!$C$47+입력란!$C$41+IF(입력란!$C$18=1,10,IF(입력란!$C$18=2,25,IF(입력란!$C$18=3,50,0)))+IF(입력란!$C$23&lt;&gt;0,-12)</f>
        <v>378.9445412</v>
      </c>
      <c r="AM38" s="30">
        <f t="shared" si="5"/>
        <v>46580.971411893108</v>
      </c>
      <c r="AN38" s="30">
        <f>(VLOOKUP(C38,$B$4:$AJ$7,3,FALSE)+VLOOKUP(C38,$B$8:$AJ$11,3,FALSE)*입력란!$C$29)*입력란!$C$48/100</f>
        <v>46580.971411893108</v>
      </c>
      <c r="AO38" s="26"/>
      <c r="AP38" s="30"/>
      <c r="AQ38" s="28">
        <v>6</v>
      </c>
    </row>
    <row r="39" spans="2:43" ht="13.5" customHeight="1" x14ac:dyDescent="0.3">
      <c r="B39" s="31">
        <v>24</v>
      </c>
      <c r="C39" s="36">
        <v>7</v>
      </c>
      <c r="D39" s="37" t="s">
        <v>94</v>
      </c>
      <c r="E39" s="38" t="s">
        <v>98</v>
      </c>
      <c r="F39" s="40"/>
      <c r="G39" s="40"/>
      <c r="H39" s="52">
        <f t="shared" si="0"/>
        <v>18813.118349660333</v>
      </c>
      <c r="I39" s="53">
        <f>SUM(J39:Q39)*IF(입력란!$C$16=1,1.04,IF(입력란!$C$16=2,1.1,IF(입력란!$C$16=3,1.2,1)))*IF(입력란!$C$21=1,1+입력란!$C$38*0.001,IF(입력란!$C$21=2,1+입력란!$C$38*0.0022,IF(입력란!$C$21=3,1+입력란!$C$38*0.0045,1)))*IF(입력란!$C$18&lt;&gt;0,0.98,1)</f>
        <v>111570.11181499012</v>
      </c>
      <c r="J39" s="30">
        <f>S39*(1+IF($AK39+IF(입력란!$C$26=1,10,0)&gt;100,100,$AK39+IF(입력란!$C$26=1,10,0))/100*($AL39/100-1))</f>
        <v>111570.11181499012</v>
      </c>
      <c r="K39" s="30"/>
      <c r="L39" s="30"/>
      <c r="M39" s="30"/>
      <c r="N39" s="39"/>
      <c r="O39" s="39"/>
      <c r="P39" s="39"/>
      <c r="Q39" s="30">
        <f>Z39*(1+IF($AK39+IF(입력란!$C$26=1,10,IF(MID($E39,1,1)="3",10,0))&gt;100,100,$AK39+IF(입력란!$C$26=1,10,IF(MID($E39,1,1)="3",10,0)))/100*($AL39/100-1))</f>
        <v>0</v>
      </c>
      <c r="R39" s="24">
        <f t="shared" si="1"/>
        <v>69871.457117839658</v>
      </c>
      <c r="S39" s="30">
        <f>AN39*IF(입력란!$C$12=0,1,IF(입력란!$C$12=1,1.3,IF(입력란!$C$12=2,1.45,IF(입력란!$C$12=3,1.6,1))))*IF(MID(E39,3,1)="1",트라이포드!$J$6,IF(MID(E39,3,1)="2",트라이포드!$L$6,IF(MID(E39,3,1)="3",트라이포드!$N$6,1)))*IF(MID(E39,5,1)="1",트라이포드!$P$6,트라이포드!$O$6)</f>
        <v>69871.457117839658</v>
      </c>
      <c r="T39" s="30"/>
      <c r="U39" s="30"/>
      <c r="V39" s="30"/>
      <c r="W39" s="39"/>
      <c r="X39" s="39"/>
      <c r="Y39" s="39"/>
      <c r="Z39" s="25">
        <f>AN39*IF(입력란!$C$12=0,1,IF(입력란!$C$12=1,1.3,IF(입력란!$C$12=2,1.45,IF(입력란!$C$12=3,1.6,1))))*IF(MID(E39,3,1)="1",트라이포드!$J$6,IF(MID(E39,3,1)="2",트라이포드!$L$6,IF(MID(E39,3,1)="3",트라이포드!$N$6,1)))*IF(MID(E39,5,1)="2",트라이포드!R$6,트라이포드!Q$6)</f>
        <v>0</v>
      </c>
      <c r="AA39" s="30">
        <f t="shared" si="2"/>
        <v>139742.91423567932</v>
      </c>
      <c r="AB39" s="30">
        <f t="shared" si="3"/>
        <v>139742.91423567932</v>
      </c>
      <c r="AC39" s="30"/>
      <c r="AD39" s="26"/>
      <c r="AE39" s="26"/>
      <c r="AF39" s="39"/>
      <c r="AG39" s="39"/>
      <c r="AH39" s="39"/>
      <c r="AI39" s="25">
        <f t="shared" si="6"/>
        <v>0</v>
      </c>
      <c r="AJ39" s="26">
        <f>(AQ39+IF(MID(E39,3,1)="2",6,IF(MID(E39,3,1)="3",9,0)))*(1-입력란!$C$35/100)</f>
        <v>5.93044224468</v>
      </c>
      <c r="AK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" s="26">
        <f>입력란!$C$47+입력란!$C$41+IF(입력란!$C$18=1,10,IF(입력란!$C$18=2,25,IF(입력란!$C$18=3,50,0)))+IF(입력란!$C$23&lt;&gt;0,-12)</f>
        <v>378.9445412</v>
      </c>
      <c r="AM39" s="30">
        <f t="shared" si="5"/>
        <v>46580.971411893108</v>
      </c>
      <c r="AN39" s="30">
        <f>(VLOOKUP(C39,$B$4:$AJ$7,3,FALSE)+VLOOKUP(C39,$B$8:$AJ$11,3,FALSE)*입력란!$C$29)*입력란!$C$48/100</f>
        <v>46580.971411893108</v>
      </c>
      <c r="AO39" s="26"/>
      <c r="AP39" s="30"/>
      <c r="AQ39" s="28">
        <v>6</v>
      </c>
    </row>
    <row r="40" spans="2:43" ht="13.5" customHeight="1" x14ac:dyDescent="0.3">
      <c r="B40" s="31">
        <v>25</v>
      </c>
      <c r="C40" s="36">
        <v>7</v>
      </c>
      <c r="D40" s="37" t="s">
        <v>94</v>
      </c>
      <c r="E40" s="38" t="s">
        <v>99</v>
      </c>
      <c r="F40" s="40"/>
      <c r="G40" s="40"/>
      <c r="H40" s="52">
        <f t="shared" si="0"/>
        <v>3135.5197249433886</v>
      </c>
      <c r="I40" s="53">
        <f>SUM(J40:Q40)*IF(입력란!$C$16=1,1.04,IF(입력란!$C$16=2,1.1,IF(입력란!$C$16=3,1.2,1)))*IF(입력란!$C$21=1,1+입력란!$C$38*0.001,IF(입력란!$C$21=2,1+입력란!$C$38*0.0022,IF(입력란!$C$21=3,1+입력란!$C$38*0.0045,1)))*IF(입력란!$C$18&lt;&gt;0,0.98,1)</f>
        <v>37190.037271663372</v>
      </c>
      <c r="J40" s="30">
        <f>S40*(1+IF($AK40+IF(입력란!$C$26=1,10,0)&gt;100,100,$AK40+IF(입력란!$C$26=1,10,0))/100*($AL40/100-1))</f>
        <v>37190.037271663372</v>
      </c>
      <c r="K40" s="30"/>
      <c r="L40" s="30"/>
      <c r="M40" s="30"/>
      <c r="N40" s="39"/>
      <c r="O40" s="39"/>
      <c r="P40" s="39"/>
      <c r="Q40" s="30">
        <f>Z40*(1+IF($AK40+IF(입력란!$C$26=1,10,IF(MID($E40,1,1)="3",10,0))&gt;100,100,$AK40+IF(입력란!$C$26=1,10,IF(MID($E40,1,1)="3",10,0)))/100*($AL40/100-1))</f>
        <v>0</v>
      </c>
      <c r="R40" s="24">
        <f t="shared" si="1"/>
        <v>23290.485705946554</v>
      </c>
      <c r="S40" s="30">
        <f>AN40*IF(입력란!$C$12=0,1,IF(입력란!$C$12=1,1.3,IF(입력란!$C$12=2,1.45,IF(입력란!$C$12=3,1.6,1))))*IF(MID(E40,3,1)="1",트라이포드!$J$6,IF(MID(E40,3,1)="2",트라이포드!$L$6,IF(MID(E40,3,1)="3",트라이포드!$N$6,1)))*IF(MID(E40,5,1)="1",트라이포드!$P$6,트라이포드!$O$6)</f>
        <v>23290.485705946554</v>
      </c>
      <c r="T40" s="30"/>
      <c r="U40" s="30"/>
      <c r="V40" s="30"/>
      <c r="W40" s="39"/>
      <c r="X40" s="39"/>
      <c r="Y40" s="39"/>
      <c r="Z40" s="25">
        <f>AN40*IF(입력란!$C$12=0,1,IF(입력란!$C$12=1,1.3,IF(입력란!$C$12=2,1.45,IF(입력란!$C$12=3,1.6,1))))*IF(MID(E40,3,1)="1",트라이포드!$J$6,IF(MID(E40,3,1)="2",트라이포드!$L$6,IF(MID(E40,3,1)="3",트라이포드!$N$6,1)))*IF(MID(E40,5,1)="2",트라이포드!R$6,트라이포드!Q$6)</f>
        <v>0</v>
      </c>
      <c r="AA40" s="30">
        <f t="shared" si="2"/>
        <v>46580.971411893108</v>
      </c>
      <c r="AB40" s="30">
        <f t="shared" si="3"/>
        <v>46580.971411893108</v>
      </c>
      <c r="AC40" s="30"/>
      <c r="AD40" s="26"/>
      <c r="AE40" s="26"/>
      <c r="AF40" s="39"/>
      <c r="AG40" s="39"/>
      <c r="AH40" s="39"/>
      <c r="AI40" s="25">
        <f t="shared" si="6"/>
        <v>0</v>
      </c>
      <c r="AJ40" s="26">
        <f>(AQ40+IF(MID(E40,3,1)="2",6,IF(MID(E40,3,1)="3",9,0)))*(1-입력란!$C$35/100)</f>
        <v>11.86088448936</v>
      </c>
      <c r="AK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" s="26">
        <f>입력란!$C$47+입력란!$C$41+IF(입력란!$C$18=1,10,IF(입력란!$C$18=2,25,IF(입력란!$C$18=3,50,0)))+IF(입력란!$C$23&lt;&gt;0,-12)</f>
        <v>378.9445412</v>
      </c>
      <c r="AM40" s="30">
        <f t="shared" si="5"/>
        <v>46580.971411893108</v>
      </c>
      <c r="AN40" s="30">
        <f>(VLOOKUP(C40,$B$4:$AJ$7,3,FALSE)+VLOOKUP(C40,$B$8:$AJ$11,3,FALSE)*입력란!$C$29)*입력란!$C$48/100</f>
        <v>46580.971411893108</v>
      </c>
      <c r="AO40" s="26"/>
      <c r="AP40" s="30"/>
      <c r="AQ40" s="28">
        <v>6</v>
      </c>
    </row>
    <row r="41" spans="2:43" ht="13.5" customHeight="1" x14ac:dyDescent="0.3">
      <c r="B41" s="31">
        <v>26</v>
      </c>
      <c r="C41" s="36">
        <v>7</v>
      </c>
      <c r="D41" s="37" t="s">
        <v>94</v>
      </c>
      <c r="E41" s="38" t="s">
        <v>100</v>
      </c>
      <c r="F41" s="40"/>
      <c r="G41" s="40"/>
      <c r="H41" s="52">
        <f t="shared" si="0"/>
        <v>1254.2078899773555</v>
      </c>
      <c r="I41" s="53">
        <f>SUM(J41:Q41)*IF(입력란!$C$16=1,1.04,IF(입력란!$C$16=2,1.1,IF(입력란!$C$16=3,1.2,1)))*IF(입력란!$C$21=1,1+입력란!$C$38*0.001,IF(입력란!$C$21=2,1+입력란!$C$38*0.0022,IF(입력란!$C$21=3,1+입력란!$C$38*0.0045,1)))*IF(입력란!$C$18&lt;&gt;0,0.98,1)</f>
        <v>18595.018635831686</v>
      </c>
      <c r="J41" s="30">
        <f>S41*(1+IF($AK41+IF(입력란!$C$26=1,10,0)&gt;100,100,$AK41+IF(입력란!$C$26=1,10,0))/100*($AL41/100-1))</f>
        <v>18595.018635831686</v>
      </c>
      <c r="K41" s="30"/>
      <c r="L41" s="30"/>
      <c r="M41" s="30"/>
      <c r="N41" s="39"/>
      <c r="O41" s="39"/>
      <c r="P41" s="39"/>
      <c r="Q41" s="30">
        <f>Z41*(1+IF($AK41+IF(입력란!$C$26=1,10,IF(MID($E41,1,1)="3",10,0))&gt;100,100,$AK41+IF(입력란!$C$26=1,10,IF(MID($E41,1,1)="3",10,0)))/100*($AL41/100-1))</f>
        <v>0</v>
      </c>
      <c r="R41" s="24">
        <f t="shared" si="1"/>
        <v>11645.242852973277</v>
      </c>
      <c r="S41" s="30">
        <f>AN41*IF(입력란!$C$12=0,1,IF(입력란!$C$12=1,1.3,IF(입력란!$C$12=2,1.45,IF(입력란!$C$12=3,1.6,1))))*IF(MID(E41,3,1)="1",트라이포드!$J$6,IF(MID(E41,3,1)="2",트라이포드!$L$6,IF(MID(E41,3,1)="3",트라이포드!$N$6,1)))*IF(MID(E41,5,1)="1",트라이포드!$P$6,트라이포드!$O$6)</f>
        <v>11645.242852973277</v>
      </c>
      <c r="T41" s="30"/>
      <c r="U41" s="30"/>
      <c r="V41" s="30"/>
      <c r="W41" s="39"/>
      <c r="X41" s="39"/>
      <c r="Y41" s="39"/>
      <c r="Z41" s="25">
        <f>AN41*IF(입력란!$C$12=0,1,IF(입력란!$C$12=1,1.3,IF(입력란!$C$12=2,1.45,IF(입력란!$C$12=3,1.6,1))))*IF(MID(E41,3,1)="1",트라이포드!$J$6,IF(MID(E41,3,1)="2",트라이포드!$L$6,IF(MID(E41,3,1)="3",트라이포드!$N$6,1)))*IF(MID(E41,5,1)="2",트라이포드!R$6,트라이포드!Q$6)</f>
        <v>0</v>
      </c>
      <c r="AA41" s="30">
        <f t="shared" si="2"/>
        <v>23290.485705946554</v>
      </c>
      <c r="AB41" s="30">
        <f t="shared" si="3"/>
        <v>23290.485705946554</v>
      </c>
      <c r="AC41" s="30"/>
      <c r="AD41" s="26"/>
      <c r="AE41" s="26"/>
      <c r="AF41" s="39"/>
      <c r="AG41" s="39"/>
      <c r="AH41" s="39"/>
      <c r="AI41" s="25">
        <f t="shared" si="6"/>
        <v>0</v>
      </c>
      <c r="AJ41" s="26">
        <f>(AQ41+IF(MID(E41,3,1)="2",6,IF(MID(E41,3,1)="3",9,0)))*(1-입력란!$C$35/100)</f>
        <v>14.826105611699999</v>
      </c>
      <c r="AK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" s="26">
        <f>입력란!$C$47+입력란!$C$41+IF(입력란!$C$18=1,10,IF(입력란!$C$18=2,25,IF(입력란!$C$18=3,50,0)))+IF(입력란!$C$23&lt;&gt;0,-12)</f>
        <v>378.9445412</v>
      </c>
      <c r="AM41" s="30">
        <f t="shared" si="5"/>
        <v>46580.971411893108</v>
      </c>
      <c r="AN41" s="30">
        <f>(VLOOKUP(C41,$B$4:$AJ$7,3,FALSE)+VLOOKUP(C41,$B$8:$AJ$11,3,FALSE)*입력란!$C$29)*입력란!$C$48/100</f>
        <v>46580.971411893108</v>
      </c>
      <c r="AO41" s="26"/>
      <c r="AP41" s="30"/>
      <c r="AQ41" s="28">
        <v>6</v>
      </c>
    </row>
    <row r="42" spans="2:43" ht="13.5" customHeight="1" x14ac:dyDescent="0.3">
      <c r="B42" s="31">
        <v>27</v>
      </c>
      <c r="C42" s="36">
        <v>7</v>
      </c>
      <c r="D42" s="37" t="s">
        <v>94</v>
      </c>
      <c r="E42" s="38" t="s">
        <v>101</v>
      </c>
      <c r="F42" s="40"/>
      <c r="G42" s="40"/>
      <c r="H42" s="52">
        <f t="shared" si="0"/>
        <v>18813.118349660333</v>
      </c>
      <c r="I42" s="53">
        <f>SUM(J42:Q42)*IF(입력란!$C$16=1,1.04,IF(입력란!$C$16=2,1.1,IF(입력란!$C$16=3,1.2,1)))*IF(입력란!$C$21=1,1+입력란!$C$38*0.001,IF(입력란!$C$21=2,1+입력란!$C$38*0.0022,IF(입력란!$C$21=3,1+입력란!$C$38*0.0045,1)))*IF(입력란!$C$18&lt;&gt;0,0.98,1)</f>
        <v>111570.11181499012</v>
      </c>
      <c r="J42" s="30">
        <f>S42*(1+IF($AK42+IF(입력란!$C$26=1,10,0)&gt;100,100,$AK42+IF(입력란!$C$26=1,10,0))/100*($AL42/100-1))</f>
        <v>111570.11181499012</v>
      </c>
      <c r="K42" s="30"/>
      <c r="L42" s="30"/>
      <c r="M42" s="30"/>
      <c r="N42" s="39"/>
      <c r="O42" s="39"/>
      <c r="P42" s="39"/>
      <c r="Q42" s="30">
        <f>Z42*(1+IF($AK42+IF(입력란!$C$26=1,10,IF(MID($E42,1,1)="3",10,0))&gt;100,100,$AK42+IF(입력란!$C$26=1,10,IF(MID($E42,1,1)="3",10,0)))/100*($AL42/100-1))</f>
        <v>0</v>
      </c>
      <c r="R42" s="24">
        <f t="shared" si="1"/>
        <v>69871.457117839658</v>
      </c>
      <c r="S42" s="30">
        <f>AN42*IF(입력란!$C$12=0,1,IF(입력란!$C$12=1,1.3,IF(입력란!$C$12=2,1.45,IF(입력란!$C$12=3,1.6,1))))*IF(MID(E42,3,1)="1",트라이포드!$J$6,IF(MID(E42,3,1)="2",트라이포드!$L$6,IF(MID(E42,3,1)="3",트라이포드!$N$6,1)))*IF(MID(E42,5,1)="1",트라이포드!$P$6,트라이포드!$O$6)</f>
        <v>69871.457117839658</v>
      </c>
      <c r="T42" s="30"/>
      <c r="U42" s="30"/>
      <c r="V42" s="30"/>
      <c r="W42" s="39"/>
      <c r="X42" s="39"/>
      <c r="Y42" s="39"/>
      <c r="Z42" s="25">
        <f>AN42*IF(입력란!$C$12=0,1,IF(입력란!$C$12=1,1.3,IF(입력란!$C$12=2,1.45,IF(입력란!$C$12=3,1.6,1))))*IF(MID(E42,3,1)="1",트라이포드!$J$6,IF(MID(E42,3,1)="2",트라이포드!$L$6,IF(MID(E42,3,1)="3",트라이포드!$N$6,1)))*IF(MID(E42,5,1)="2",트라이포드!R$6,트라이포드!Q$6)</f>
        <v>0</v>
      </c>
      <c r="AA42" s="30">
        <f t="shared" si="2"/>
        <v>139742.91423567932</v>
      </c>
      <c r="AB42" s="30">
        <f t="shared" si="3"/>
        <v>139742.91423567932</v>
      </c>
      <c r="AC42" s="30"/>
      <c r="AD42" s="26"/>
      <c r="AE42" s="26"/>
      <c r="AF42" s="39"/>
      <c r="AG42" s="39"/>
      <c r="AH42" s="39"/>
      <c r="AI42" s="25">
        <f t="shared" si="6"/>
        <v>0</v>
      </c>
      <c r="AJ42" s="26">
        <f>(AQ42+IF(MID(E42,3,1)="2",6,IF(MID(E42,3,1)="3",9,0)))*(1-입력란!$C$35/100)</f>
        <v>5.93044224468</v>
      </c>
      <c r="AK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" s="26">
        <f>입력란!$C$47+입력란!$C$41+IF(입력란!$C$18=1,10,IF(입력란!$C$18=2,25,IF(입력란!$C$18=3,50,0)))+IF(입력란!$C$23&lt;&gt;0,-12)</f>
        <v>378.9445412</v>
      </c>
      <c r="AM42" s="30">
        <f t="shared" si="5"/>
        <v>46580.971411893108</v>
      </c>
      <c r="AN42" s="30">
        <f>(VLOOKUP(C42,$B$4:$AJ$7,3,FALSE)+VLOOKUP(C42,$B$8:$AJ$11,3,FALSE)*입력란!$C$29)*입력란!$C$48/100</f>
        <v>46580.971411893108</v>
      </c>
      <c r="AO42" s="26"/>
      <c r="AP42" s="30"/>
      <c r="AQ42" s="28">
        <v>6</v>
      </c>
    </row>
    <row r="43" spans="2:43" ht="13.5" customHeight="1" x14ac:dyDescent="0.3">
      <c r="B43" s="31">
        <v>28</v>
      </c>
      <c r="C43" s="36">
        <v>7</v>
      </c>
      <c r="D43" s="37" t="s">
        <v>94</v>
      </c>
      <c r="E43" s="38" t="s">
        <v>110</v>
      </c>
      <c r="F43" s="40"/>
      <c r="G43" s="40"/>
      <c r="H43" s="52">
        <f t="shared" si="0"/>
        <v>3135.5197249433886</v>
      </c>
      <c r="I43" s="53">
        <f>SUM(J43:Q43)*IF(입력란!$C$16=1,1.04,IF(입력란!$C$16=2,1.1,IF(입력란!$C$16=3,1.2,1)))*IF(입력란!$C$21=1,1+입력란!$C$38*0.001,IF(입력란!$C$21=2,1+입력란!$C$38*0.0022,IF(입력란!$C$21=3,1+입력란!$C$38*0.0045,1)))*IF(입력란!$C$18&lt;&gt;0,0.98,1)</f>
        <v>37190.037271663372</v>
      </c>
      <c r="J43" s="30">
        <f>S43*(1+IF($AK43+IF(입력란!$C$26=1,10,0)&gt;100,100,$AK43+IF(입력란!$C$26=1,10,0))/100*($AL43/100-1))</f>
        <v>37190.037271663372</v>
      </c>
      <c r="K43" s="30"/>
      <c r="L43" s="30"/>
      <c r="M43" s="30"/>
      <c r="N43" s="39"/>
      <c r="O43" s="39"/>
      <c r="P43" s="39"/>
      <c r="Q43" s="30">
        <f>Z43*(1+IF($AK43+IF(입력란!$C$26=1,10,IF(MID($E43,1,1)="3",10,0))&gt;100,100,$AK43+IF(입력란!$C$26=1,10,IF(MID($E43,1,1)="3",10,0)))/100*($AL43/100-1))</f>
        <v>0</v>
      </c>
      <c r="R43" s="24">
        <f t="shared" si="1"/>
        <v>23290.485705946554</v>
      </c>
      <c r="S43" s="30">
        <f>AN43*IF(입력란!$C$12=0,1,IF(입력란!$C$12=1,1.3,IF(입력란!$C$12=2,1.45,IF(입력란!$C$12=3,1.6,1))))*IF(MID(E43,3,1)="1",트라이포드!$J$6,IF(MID(E43,3,1)="2",트라이포드!$L$6,IF(MID(E43,3,1)="3",트라이포드!$N$6,1)))*IF(MID(E43,5,1)="1",트라이포드!$P$6,트라이포드!$O$6)</f>
        <v>23290.485705946554</v>
      </c>
      <c r="T43" s="30"/>
      <c r="U43" s="30"/>
      <c r="V43" s="30"/>
      <c r="W43" s="39"/>
      <c r="X43" s="39"/>
      <c r="Y43" s="39"/>
      <c r="Z43" s="25">
        <f>AN43*IF(입력란!$C$12=0,1,IF(입력란!$C$12=1,1.3,IF(입력란!$C$12=2,1.45,IF(입력란!$C$12=3,1.6,1))))*IF(MID(E43,3,1)="1",트라이포드!$J$6,IF(MID(E43,3,1)="2",트라이포드!$L$6,IF(MID(E43,3,1)="3",트라이포드!$N$6,1)))*IF(MID(E43,5,1)="2",트라이포드!R$6,트라이포드!Q$6)</f>
        <v>0</v>
      </c>
      <c r="AA43" s="30">
        <f t="shared" si="2"/>
        <v>46580.971411893108</v>
      </c>
      <c r="AB43" s="30">
        <f t="shared" si="3"/>
        <v>46580.971411893108</v>
      </c>
      <c r="AC43" s="30"/>
      <c r="AD43" s="26"/>
      <c r="AE43" s="26"/>
      <c r="AF43" s="39"/>
      <c r="AG43" s="39"/>
      <c r="AH43" s="39"/>
      <c r="AI43" s="25">
        <f t="shared" si="6"/>
        <v>0</v>
      </c>
      <c r="AJ43" s="26">
        <f>(AQ43+IF(MID(E43,3,1)="2",6,IF(MID(E43,3,1)="3",9,0)))*(1-입력란!$C$35/100)</f>
        <v>11.86088448936</v>
      </c>
      <c r="AK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" s="26">
        <f>입력란!$C$47+입력란!$C$41+IF(입력란!$C$18=1,10,IF(입력란!$C$18=2,25,IF(입력란!$C$18=3,50,0)))+IF(입력란!$C$23&lt;&gt;0,-12)</f>
        <v>378.9445412</v>
      </c>
      <c r="AM43" s="30">
        <f t="shared" si="5"/>
        <v>46580.971411893108</v>
      </c>
      <c r="AN43" s="30">
        <f>(VLOOKUP(C43,$B$4:$AJ$7,3,FALSE)+VLOOKUP(C43,$B$8:$AJ$11,3,FALSE)*입력란!$C$29)*입력란!$C$48/100</f>
        <v>46580.971411893108</v>
      </c>
      <c r="AO43" s="26"/>
      <c r="AP43" s="30"/>
      <c r="AQ43" s="28">
        <v>6</v>
      </c>
    </row>
    <row r="44" spans="2:43" ht="13.5" customHeight="1" x14ac:dyDescent="0.3">
      <c r="B44" s="31">
        <v>29</v>
      </c>
      <c r="C44" s="36">
        <v>7</v>
      </c>
      <c r="D44" s="37" t="s">
        <v>94</v>
      </c>
      <c r="E44" s="38" t="s">
        <v>111</v>
      </c>
      <c r="F44" s="40"/>
      <c r="G44" s="40"/>
      <c r="H44" s="52">
        <f t="shared" si="0"/>
        <v>1254.2078899773555</v>
      </c>
      <c r="I44" s="53">
        <f>SUM(J44:Q44)*IF(입력란!$C$16=1,1.04,IF(입력란!$C$16=2,1.1,IF(입력란!$C$16=3,1.2,1)))*IF(입력란!$C$21=1,1+입력란!$C$38*0.001,IF(입력란!$C$21=2,1+입력란!$C$38*0.0022,IF(입력란!$C$21=3,1+입력란!$C$38*0.0045,1)))*IF(입력란!$C$18&lt;&gt;0,0.98,1)</f>
        <v>18595.018635831686</v>
      </c>
      <c r="J44" s="30">
        <f>S44*(1+IF($AK44+IF(입력란!$C$26=1,10,0)&gt;100,100,$AK44+IF(입력란!$C$26=1,10,0))/100*($AL44/100-1))</f>
        <v>18595.018635831686</v>
      </c>
      <c r="K44" s="30"/>
      <c r="L44" s="30"/>
      <c r="M44" s="30"/>
      <c r="N44" s="39"/>
      <c r="O44" s="39"/>
      <c r="P44" s="39"/>
      <c r="Q44" s="30">
        <f>Z44*(1+IF($AK44+IF(입력란!$C$26=1,10,IF(MID($E44,1,1)="3",10,0))&gt;100,100,$AK44+IF(입력란!$C$26=1,10,IF(MID($E44,1,1)="3",10,0)))/100*($AL44/100-1))</f>
        <v>0</v>
      </c>
      <c r="R44" s="24">
        <f t="shared" si="1"/>
        <v>11645.242852973277</v>
      </c>
      <c r="S44" s="30">
        <f>AN44*IF(입력란!$C$12=0,1,IF(입력란!$C$12=1,1.3,IF(입력란!$C$12=2,1.45,IF(입력란!$C$12=3,1.6,1))))*IF(MID(E44,3,1)="1",트라이포드!$J$6,IF(MID(E44,3,1)="2",트라이포드!$L$6,IF(MID(E44,3,1)="3",트라이포드!$N$6,1)))*IF(MID(E44,5,1)="1",트라이포드!$P$6,트라이포드!$O$6)</f>
        <v>11645.242852973277</v>
      </c>
      <c r="T44" s="30"/>
      <c r="U44" s="30"/>
      <c r="V44" s="30"/>
      <c r="W44" s="39"/>
      <c r="X44" s="39"/>
      <c r="Y44" s="39"/>
      <c r="Z44" s="25">
        <f>AN44*IF(입력란!$C$12=0,1,IF(입력란!$C$12=1,1.3,IF(입력란!$C$12=2,1.45,IF(입력란!$C$12=3,1.6,1))))*IF(MID(E44,3,1)="1",트라이포드!$J$6,IF(MID(E44,3,1)="2",트라이포드!$L$6,IF(MID(E44,3,1)="3",트라이포드!$N$6,1)))*IF(MID(E44,5,1)="2",트라이포드!R$6,트라이포드!Q$6)</f>
        <v>0</v>
      </c>
      <c r="AA44" s="30">
        <f t="shared" si="2"/>
        <v>23290.485705946554</v>
      </c>
      <c r="AB44" s="30">
        <f t="shared" si="3"/>
        <v>23290.485705946554</v>
      </c>
      <c r="AC44" s="30"/>
      <c r="AD44" s="26"/>
      <c r="AE44" s="26"/>
      <c r="AF44" s="39"/>
      <c r="AG44" s="39"/>
      <c r="AH44" s="39"/>
      <c r="AI44" s="25">
        <f t="shared" si="6"/>
        <v>0</v>
      </c>
      <c r="AJ44" s="26">
        <f>(AQ44+IF(MID(E44,3,1)="2",6,IF(MID(E44,3,1)="3",9,0)))*(1-입력란!$C$35/100)</f>
        <v>14.826105611699999</v>
      </c>
      <c r="AK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" s="26">
        <f>입력란!$C$47+입력란!$C$41+IF(입력란!$C$18=1,10,IF(입력란!$C$18=2,25,IF(입력란!$C$18=3,50,0)))+IF(입력란!$C$23&lt;&gt;0,-12)</f>
        <v>378.9445412</v>
      </c>
      <c r="AM44" s="30">
        <f t="shared" si="5"/>
        <v>46580.971411893108</v>
      </c>
      <c r="AN44" s="30">
        <f>(VLOOKUP(C44,$B$4:$AJ$7,3,FALSE)+VLOOKUP(C44,$B$8:$AJ$11,3,FALSE)*입력란!$C$29)*입력란!$C$48/100</f>
        <v>46580.971411893108</v>
      </c>
      <c r="AO44" s="26"/>
      <c r="AP44" s="30"/>
      <c r="AQ44" s="28">
        <v>6</v>
      </c>
    </row>
    <row r="45" spans="2:43" ht="13.5" customHeight="1" x14ac:dyDescent="0.3">
      <c r="B45" s="31">
        <v>30</v>
      </c>
      <c r="C45" s="36">
        <v>10</v>
      </c>
      <c r="D45" s="37" t="s">
        <v>94</v>
      </c>
      <c r="E45" s="38" t="s">
        <v>96</v>
      </c>
      <c r="F45" s="40"/>
      <c r="G45" s="40"/>
      <c r="H45" s="52">
        <f t="shared" si="0"/>
        <v>12550.156497891167</v>
      </c>
      <c r="I45" s="53">
        <f>SUM(J45:Q45)*IF(입력란!$C$16=1,1.04,IF(입력란!$C$16=2,1.1,IF(입력란!$C$16=3,1.2,1)))*IF(입력란!$C$21=1,1+입력란!$C$38*0.001,IF(입력란!$C$21=2,1+입력란!$C$38*0.0022,IF(입력란!$C$21=3,1+입력란!$C$38*0.0045,1)))*IF(입력란!$C$18&lt;&gt;0,0.98,1)</f>
        <v>74427.978272438981</v>
      </c>
      <c r="J45" s="30">
        <f>S45*(1+IF($AK45+IF(입력란!$C$26=1,10,0)&gt;100,100,$AK45+IF(입력란!$C$26=1,10,0))/100*($AL45/100-1))</f>
        <v>74427.978272438981</v>
      </c>
      <c r="K45" s="30"/>
      <c r="L45" s="30"/>
      <c r="M45" s="30"/>
      <c r="N45" s="39"/>
      <c r="O45" s="39"/>
      <c r="P45" s="39"/>
      <c r="Q45" s="30">
        <f>Z45*(1+IF($AK45+IF(입력란!$C$26=1,10,IF(MID($E45,1,1)="3",10,0))&gt;100,100,$AK45+IF(입력란!$C$26=1,10,IF(MID($E45,1,1)="3",10,0)))/100*($AL45/100-1))</f>
        <v>0</v>
      </c>
      <c r="R45" s="24">
        <f t="shared" si="1"/>
        <v>46610.971411893108</v>
      </c>
      <c r="S45" s="30">
        <f>AN45*IF(입력란!$C$12=0,1,IF(입력란!$C$12=1,1.3,IF(입력란!$C$12=2,1.45,IF(입력란!$C$12=3,1.6,1))))*IF(MID(E45,3,1)="1",트라이포드!$J$6,IF(MID(E45,3,1)="2",트라이포드!$L$6,IF(MID(E45,3,1)="3",트라이포드!$N$6,1)))*IF(MID(E45,5,1)="1",트라이포드!$P$6,트라이포드!$O$6)</f>
        <v>46610.971411893108</v>
      </c>
      <c r="T45" s="30"/>
      <c r="U45" s="30"/>
      <c r="V45" s="30"/>
      <c r="W45" s="39"/>
      <c r="X45" s="39"/>
      <c r="Y45" s="39"/>
      <c r="Z45" s="25">
        <f>AN45*IF(입력란!$C$12=0,1,IF(입력란!$C$12=1,1.3,IF(입력란!$C$12=2,1.45,IF(입력란!$C$12=3,1.6,1))))*IF(MID(E45,3,1)="1",트라이포드!$J$6,IF(MID(E45,3,1)="2",트라이포드!$L$6,IF(MID(E45,3,1)="3",트라이포드!$N$6,1)))*IF(MID(E45,5,1)="2",트라이포드!R$6,트라이포드!Q$6)</f>
        <v>0</v>
      </c>
      <c r="AA45" s="30">
        <f t="shared" si="2"/>
        <v>93221.942823786216</v>
      </c>
      <c r="AB45" s="30">
        <f t="shared" si="3"/>
        <v>93221.942823786216</v>
      </c>
      <c r="AC45" s="30"/>
      <c r="AD45" s="26"/>
      <c r="AE45" s="26"/>
      <c r="AF45" s="39"/>
      <c r="AG45" s="39"/>
      <c r="AH45" s="39"/>
      <c r="AI45" s="25">
        <f t="shared" si="6"/>
        <v>0</v>
      </c>
      <c r="AJ45" s="26">
        <f>(AQ45+IF(MID(E45,3,1)="2",6,IF(MID(E45,3,1)="3",9,0)))*(1-입력란!$C$35/100)</f>
        <v>5.93044224468</v>
      </c>
      <c r="AK4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5" s="26">
        <f>입력란!$C$47+입력란!$C$41+IF(입력란!$C$18=1,10,IF(입력란!$C$18=2,25,IF(입력란!$C$18=3,50,0)))+IF(입력란!$C$23&lt;&gt;0,-12)</f>
        <v>378.9445412</v>
      </c>
      <c r="AM45" s="30">
        <f t="shared" si="5"/>
        <v>46610.971411893108</v>
      </c>
      <c r="AN45" s="30">
        <f>(VLOOKUP(C45,$B$4:$AJ$7,3,FALSE)+VLOOKUP(C45,$B$8:$AJ$11,3,FALSE)*입력란!$C$29)*입력란!$C$48/100</f>
        <v>46610.971411893108</v>
      </c>
      <c r="AO45" s="26"/>
      <c r="AP45" s="30"/>
      <c r="AQ45" s="28">
        <v>6</v>
      </c>
    </row>
    <row r="46" spans="2:43" ht="13.5" customHeight="1" x14ac:dyDescent="0.3">
      <c r="B46" s="31">
        <v>31</v>
      </c>
      <c r="C46" s="36">
        <v>10</v>
      </c>
      <c r="D46" s="37" t="s">
        <v>94</v>
      </c>
      <c r="E46" s="38" t="s">
        <v>97</v>
      </c>
      <c r="F46" s="40"/>
      <c r="G46" s="40"/>
      <c r="H46" s="52">
        <f t="shared" si="0"/>
        <v>12550.156497891167</v>
      </c>
      <c r="I46" s="53">
        <f>SUM(J46:Q46)*IF(입력란!$C$16=1,1.04,IF(입력란!$C$16=2,1.1,IF(입력란!$C$16=3,1.2,1)))*IF(입력란!$C$21=1,1+입력란!$C$38*0.001,IF(입력란!$C$21=2,1+입력란!$C$38*0.0022,IF(입력란!$C$21=3,1+입력란!$C$38*0.0045,1)))*IF(입력란!$C$18&lt;&gt;0,0.98,1)</f>
        <v>74427.978272438981</v>
      </c>
      <c r="J46" s="30">
        <f>S46*(1+IF($AK46+IF(입력란!$C$26=1,10,0)&gt;100,100,$AK46+IF(입력란!$C$26=1,10,0))/100*($AL46/100-1))</f>
        <v>74427.978272438981</v>
      </c>
      <c r="K46" s="30"/>
      <c r="L46" s="30"/>
      <c r="M46" s="30"/>
      <c r="N46" s="39"/>
      <c r="O46" s="39"/>
      <c r="P46" s="39"/>
      <c r="Q46" s="30">
        <f>Z46*(1+IF($AK46+IF(입력란!$C$26=1,10,IF(MID($E46,1,1)="3",10,0))&gt;100,100,$AK46+IF(입력란!$C$26=1,10,IF(MID($E46,1,1)="3",10,0)))/100*($AL46/100-1))</f>
        <v>0</v>
      </c>
      <c r="R46" s="24">
        <f t="shared" si="1"/>
        <v>46610.971411893108</v>
      </c>
      <c r="S46" s="30">
        <f>AN46*IF(입력란!$C$12=0,1,IF(입력란!$C$12=1,1.3,IF(입력란!$C$12=2,1.45,IF(입력란!$C$12=3,1.6,1))))*IF(MID(E46,3,1)="1",트라이포드!$J$6,IF(MID(E46,3,1)="2",트라이포드!$L$6,IF(MID(E46,3,1)="3",트라이포드!$N$6,1)))*IF(MID(E46,5,1)="1",트라이포드!$P$6,트라이포드!$O$6)</f>
        <v>46610.971411893108</v>
      </c>
      <c r="T46" s="30"/>
      <c r="U46" s="30"/>
      <c r="V46" s="30"/>
      <c r="W46" s="39"/>
      <c r="X46" s="39"/>
      <c r="Y46" s="39"/>
      <c r="Z46" s="25">
        <f>AN46*IF(입력란!$C$12=0,1,IF(입력란!$C$12=1,1.3,IF(입력란!$C$12=2,1.45,IF(입력란!$C$12=3,1.6,1))))*IF(MID(E46,3,1)="1",트라이포드!$J$6,IF(MID(E46,3,1)="2",트라이포드!$L$6,IF(MID(E46,3,1)="3",트라이포드!$N$6,1)))*IF(MID(E46,5,1)="2",트라이포드!R$6,트라이포드!Q$6)</f>
        <v>0</v>
      </c>
      <c r="AA46" s="30">
        <f t="shared" si="2"/>
        <v>93221.942823786216</v>
      </c>
      <c r="AB46" s="30">
        <f t="shared" si="3"/>
        <v>93221.942823786216</v>
      </c>
      <c r="AC46" s="30"/>
      <c r="AD46" s="26"/>
      <c r="AE46" s="26"/>
      <c r="AF46" s="39"/>
      <c r="AG46" s="39"/>
      <c r="AH46" s="39"/>
      <c r="AI46" s="25">
        <f t="shared" si="6"/>
        <v>0</v>
      </c>
      <c r="AJ46" s="26">
        <f>(AQ46+IF(MID(E46,3,1)="2",6,IF(MID(E46,3,1)="3",9,0)))*(1-입력란!$C$35/100)</f>
        <v>5.93044224468</v>
      </c>
      <c r="AK4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" s="26">
        <f>입력란!$C$47+입력란!$C$41+IF(입력란!$C$18=1,10,IF(입력란!$C$18=2,25,IF(입력란!$C$18=3,50,0)))+IF(입력란!$C$23&lt;&gt;0,-12)</f>
        <v>378.9445412</v>
      </c>
      <c r="AM46" s="30">
        <f t="shared" si="5"/>
        <v>46610.971411893108</v>
      </c>
      <c r="AN46" s="30">
        <f>(VLOOKUP(C46,$B$4:$AJ$7,3,FALSE)+VLOOKUP(C46,$B$8:$AJ$11,3,FALSE)*입력란!$C$29)*입력란!$C$48/100</f>
        <v>46610.971411893108</v>
      </c>
      <c r="AO46" s="26"/>
      <c r="AP46" s="30"/>
      <c r="AQ46" s="28">
        <v>6</v>
      </c>
    </row>
    <row r="47" spans="2:43" ht="13.5" customHeight="1" x14ac:dyDescent="0.3">
      <c r="B47" s="31">
        <v>32</v>
      </c>
      <c r="C47" s="36">
        <v>10</v>
      </c>
      <c r="D47" s="37" t="s">
        <v>94</v>
      </c>
      <c r="E47" s="38" t="s">
        <v>101</v>
      </c>
      <c r="F47" s="40"/>
      <c r="G47" s="40"/>
      <c r="H47" s="52">
        <f t="shared" si="0"/>
        <v>18825.234746836752</v>
      </c>
      <c r="I47" s="53">
        <f>SUM(J47:Q47)*IF(입력란!$C$16=1,1.04,IF(입력란!$C$16=2,1.1,IF(입력란!$C$16=3,1.2,1)))*IF(입력란!$C$21=1,1+입력란!$C$38*0.001,IF(입력란!$C$21=2,1+입력란!$C$38*0.0022,IF(입력란!$C$21=3,1+입력란!$C$38*0.0045,1)))*IF(입력란!$C$18&lt;&gt;0,0.98,1)</f>
        <v>111641.96740865847</v>
      </c>
      <c r="J47" s="30">
        <f>S47*(1+IF($AK47+IF(입력란!$C$26=1,10,0)&gt;100,100,$AK47+IF(입력란!$C$26=1,10,0))/100*($AL47/100-1))</f>
        <v>111641.96740865847</v>
      </c>
      <c r="K47" s="30"/>
      <c r="L47" s="30"/>
      <c r="M47" s="30"/>
      <c r="N47" s="39"/>
      <c r="O47" s="39"/>
      <c r="P47" s="39"/>
      <c r="Q47" s="30">
        <f>Z47*(1+IF($AK47+IF(입력란!$C$26=1,10,IF(MID($E47,1,1)="3",10,0))&gt;100,100,$AK47+IF(입력란!$C$26=1,10,IF(MID($E47,1,1)="3",10,0)))/100*($AL47/100-1))</f>
        <v>0</v>
      </c>
      <c r="R47" s="24">
        <f t="shared" si="1"/>
        <v>69916.457117839658</v>
      </c>
      <c r="S47" s="30">
        <f>AN47*IF(입력란!$C$12=0,1,IF(입력란!$C$12=1,1.3,IF(입력란!$C$12=2,1.45,IF(입력란!$C$12=3,1.6,1))))*IF(MID(E47,3,1)="1",트라이포드!$J$6,IF(MID(E47,3,1)="2",트라이포드!$L$6,IF(MID(E47,3,1)="3",트라이포드!$N$6,1)))*IF(MID(E47,5,1)="1",트라이포드!$P$6,트라이포드!$O$6)</f>
        <v>69916.457117839658</v>
      </c>
      <c r="T47" s="30"/>
      <c r="U47" s="30"/>
      <c r="V47" s="30"/>
      <c r="W47" s="39"/>
      <c r="X47" s="39"/>
      <c r="Y47" s="39"/>
      <c r="Z47" s="25">
        <f>AN47*IF(입력란!$C$12=0,1,IF(입력란!$C$12=1,1.3,IF(입력란!$C$12=2,1.45,IF(입력란!$C$12=3,1.6,1))))*IF(MID(E47,3,1)="1",트라이포드!$J$6,IF(MID(E47,3,1)="2",트라이포드!$L$6,IF(MID(E47,3,1)="3",트라이포드!$N$6,1)))*IF(MID(E47,5,1)="2",트라이포드!R$6,트라이포드!Q$6)</f>
        <v>0</v>
      </c>
      <c r="AA47" s="30">
        <f t="shared" si="2"/>
        <v>139832.91423567932</v>
      </c>
      <c r="AB47" s="30">
        <f t="shared" si="3"/>
        <v>139832.91423567932</v>
      </c>
      <c r="AC47" s="30"/>
      <c r="AD47" s="26"/>
      <c r="AE47" s="26"/>
      <c r="AF47" s="39"/>
      <c r="AG47" s="39"/>
      <c r="AH47" s="39"/>
      <c r="AI47" s="25">
        <f t="shared" si="6"/>
        <v>0</v>
      </c>
      <c r="AJ47" s="26">
        <f>(AQ47+IF(MID(E47,3,1)="2",6,IF(MID(E47,3,1)="3",9,0)))*(1-입력란!$C$35/100)</f>
        <v>5.93044224468</v>
      </c>
      <c r="AK4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" s="26">
        <f>입력란!$C$47+입력란!$C$41+IF(입력란!$C$18=1,10,IF(입력란!$C$18=2,25,IF(입력란!$C$18=3,50,0)))+IF(입력란!$C$23&lt;&gt;0,-12)</f>
        <v>378.9445412</v>
      </c>
      <c r="AM47" s="30">
        <f t="shared" si="5"/>
        <v>46610.971411893108</v>
      </c>
      <c r="AN47" s="30">
        <f>(VLOOKUP(C47,$B$4:$AJ$7,3,FALSE)+VLOOKUP(C47,$B$8:$AJ$11,3,FALSE)*입력란!$C$29)*입력란!$C$48/100</f>
        <v>46610.971411893108</v>
      </c>
      <c r="AO47" s="26"/>
      <c r="AP47" s="30"/>
      <c r="AQ47" s="28">
        <v>6</v>
      </c>
    </row>
    <row r="48" spans="2:43" ht="13.5" customHeight="1" x14ac:dyDescent="0.3">
      <c r="B48" s="31">
        <v>33</v>
      </c>
      <c r="C48" s="36">
        <v>10</v>
      </c>
      <c r="D48" s="37" t="s">
        <v>94</v>
      </c>
      <c r="E48" s="38" t="s">
        <v>110</v>
      </c>
      <c r="F48" s="40"/>
      <c r="G48" s="40"/>
      <c r="H48" s="52">
        <f t="shared" si="0"/>
        <v>3137.5391244727916</v>
      </c>
      <c r="I48" s="53">
        <f>SUM(J48:Q48)*IF(입력란!$C$16=1,1.04,IF(입력란!$C$16=2,1.1,IF(입력란!$C$16=3,1.2,1)))*IF(입력란!$C$21=1,1+입력란!$C$38*0.001,IF(입력란!$C$21=2,1+입력란!$C$38*0.0022,IF(입력란!$C$21=3,1+입력란!$C$38*0.0045,1)))*IF(입력란!$C$18&lt;&gt;0,0.98,1)</f>
        <v>37213.98913621949</v>
      </c>
      <c r="J48" s="30">
        <f>S48*(1+IF($AK48+IF(입력란!$C$26=1,10,0)&gt;100,100,$AK48+IF(입력란!$C$26=1,10,0))/100*($AL48/100-1))</f>
        <v>37213.98913621949</v>
      </c>
      <c r="K48" s="30"/>
      <c r="L48" s="30"/>
      <c r="M48" s="30"/>
      <c r="N48" s="39"/>
      <c r="O48" s="39"/>
      <c r="P48" s="39"/>
      <c r="Q48" s="30">
        <f>Z48*(1+IF($AK48+IF(입력란!$C$26=1,10,IF(MID($E48,1,1)="3",10,0))&gt;100,100,$AK48+IF(입력란!$C$26=1,10,IF(MID($E48,1,1)="3",10,0)))/100*($AL48/100-1))</f>
        <v>0</v>
      </c>
      <c r="R48" s="24">
        <f t="shared" si="1"/>
        <v>23305.485705946554</v>
      </c>
      <c r="S48" s="30">
        <f>AN48*IF(입력란!$C$12=0,1,IF(입력란!$C$12=1,1.3,IF(입력란!$C$12=2,1.45,IF(입력란!$C$12=3,1.6,1))))*IF(MID(E48,3,1)="1",트라이포드!$J$6,IF(MID(E48,3,1)="2",트라이포드!$L$6,IF(MID(E48,3,1)="3",트라이포드!$N$6,1)))*IF(MID(E48,5,1)="1",트라이포드!$P$6,트라이포드!$O$6)</f>
        <v>23305.485705946554</v>
      </c>
      <c r="T48" s="30"/>
      <c r="U48" s="30"/>
      <c r="V48" s="30"/>
      <c r="W48" s="39"/>
      <c r="X48" s="39"/>
      <c r="Y48" s="39"/>
      <c r="Z48" s="25">
        <f>AN48*IF(입력란!$C$12=0,1,IF(입력란!$C$12=1,1.3,IF(입력란!$C$12=2,1.45,IF(입력란!$C$12=3,1.6,1))))*IF(MID(E48,3,1)="1",트라이포드!$J$6,IF(MID(E48,3,1)="2",트라이포드!$L$6,IF(MID(E48,3,1)="3",트라이포드!$N$6,1)))*IF(MID(E48,5,1)="2",트라이포드!R$6,트라이포드!Q$6)</f>
        <v>0</v>
      </c>
      <c r="AA48" s="30">
        <f t="shared" si="2"/>
        <v>46610.971411893108</v>
      </c>
      <c r="AB48" s="30">
        <f t="shared" si="3"/>
        <v>46610.971411893108</v>
      </c>
      <c r="AC48" s="30"/>
      <c r="AD48" s="26"/>
      <c r="AE48" s="26"/>
      <c r="AF48" s="39"/>
      <c r="AG48" s="39"/>
      <c r="AH48" s="39"/>
      <c r="AI48" s="25">
        <f t="shared" si="6"/>
        <v>0</v>
      </c>
      <c r="AJ48" s="26">
        <f>(AQ48+IF(MID(E48,3,1)="2",6,IF(MID(E48,3,1)="3",9,0)))*(1-입력란!$C$35/100)</f>
        <v>11.86088448936</v>
      </c>
      <c r="AK4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" s="26">
        <f>입력란!$C$47+입력란!$C$41+IF(입력란!$C$18=1,10,IF(입력란!$C$18=2,25,IF(입력란!$C$18=3,50,0)))+IF(입력란!$C$23&lt;&gt;0,-12)</f>
        <v>378.9445412</v>
      </c>
      <c r="AM48" s="30">
        <f t="shared" si="5"/>
        <v>46610.971411893108</v>
      </c>
      <c r="AN48" s="30">
        <f>(VLOOKUP(C48,$B$4:$AJ$7,3,FALSE)+VLOOKUP(C48,$B$8:$AJ$11,3,FALSE)*입력란!$C$29)*입력란!$C$48/100</f>
        <v>46610.971411893108</v>
      </c>
      <c r="AO48" s="26"/>
      <c r="AP48" s="30"/>
      <c r="AQ48" s="28">
        <v>6</v>
      </c>
    </row>
    <row r="49" spans="2:43" ht="13.5" customHeight="1" x14ac:dyDescent="0.3">
      <c r="B49" s="31">
        <v>34</v>
      </c>
      <c r="C49" s="36">
        <v>10</v>
      </c>
      <c r="D49" s="37" t="s">
        <v>94</v>
      </c>
      <c r="E49" s="38" t="s">
        <v>111</v>
      </c>
      <c r="F49" s="40"/>
      <c r="G49" s="40"/>
      <c r="H49" s="52">
        <f t="shared" si="0"/>
        <v>1255.0156497891169</v>
      </c>
      <c r="I49" s="53">
        <f>SUM(J49:Q49)*IF(입력란!$C$16=1,1.04,IF(입력란!$C$16=2,1.1,IF(입력란!$C$16=3,1.2,1)))*IF(입력란!$C$21=1,1+입력란!$C$38*0.001,IF(입력란!$C$21=2,1+입력란!$C$38*0.0022,IF(입력란!$C$21=3,1+입력란!$C$38*0.0045,1)))*IF(입력란!$C$18&lt;&gt;0,0.98,1)</f>
        <v>18606.994568109745</v>
      </c>
      <c r="J49" s="30">
        <f>S49*(1+IF($AK49+IF(입력란!$C$26=1,10,0)&gt;100,100,$AK49+IF(입력란!$C$26=1,10,0))/100*($AL49/100-1))</f>
        <v>18606.994568109745</v>
      </c>
      <c r="K49" s="30"/>
      <c r="L49" s="30"/>
      <c r="M49" s="30"/>
      <c r="N49" s="39"/>
      <c r="O49" s="39"/>
      <c r="P49" s="39"/>
      <c r="Q49" s="30">
        <f>Z49*(1+IF($AK49+IF(입력란!$C$26=1,10,IF(MID($E49,1,1)="3",10,0))&gt;100,100,$AK49+IF(입력란!$C$26=1,10,IF(MID($E49,1,1)="3",10,0)))/100*($AL49/100-1))</f>
        <v>0</v>
      </c>
      <c r="R49" s="24">
        <f t="shared" si="1"/>
        <v>11652.742852973277</v>
      </c>
      <c r="S49" s="30">
        <f>AN49*IF(입력란!$C$12=0,1,IF(입력란!$C$12=1,1.3,IF(입력란!$C$12=2,1.45,IF(입력란!$C$12=3,1.6,1))))*IF(MID(E49,3,1)="1",트라이포드!$J$6,IF(MID(E49,3,1)="2",트라이포드!$L$6,IF(MID(E49,3,1)="3",트라이포드!$N$6,1)))*IF(MID(E49,5,1)="1",트라이포드!$P$6,트라이포드!$O$6)</f>
        <v>11652.742852973277</v>
      </c>
      <c r="T49" s="30"/>
      <c r="U49" s="30"/>
      <c r="V49" s="30"/>
      <c r="W49" s="39"/>
      <c r="X49" s="39"/>
      <c r="Y49" s="39"/>
      <c r="Z49" s="25">
        <f>AN49*IF(입력란!$C$12=0,1,IF(입력란!$C$12=1,1.3,IF(입력란!$C$12=2,1.45,IF(입력란!$C$12=3,1.6,1))))*IF(MID(E49,3,1)="1",트라이포드!$J$6,IF(MID(E49,3,1)="2",트라이포드!$L$6,IF(MID(E49,3,1)="3",트라이포드!$N$6,1)))*IF(MID(E49,5,1)="2",트라이포드!R$6,트라이포드!Q$6)</f>
        <v>0</v>
      </c>
      <c r="AA49" s="30">
        <f t="shared" si="2"/>
        <v>23305.485705946554</v>
      </c>
      <c r="AB49" s="30">
        <f t="shared" si="3"/>
        <v>23305.485705946554</v>
      </c>
      <c r="AC49" s="30"/>
      <c r="AD49" s="26"/>
      <c r="AE49" s="26"/>
      <c r="AF49" s="39"/>
      <c r="AG49" s="39"/>
      <c r="AH49" s="39"/>
      <c r="AI49" s="25">
        <f t="shared" si="6"/>
        <v>0</v>
      </c>
      <c r="AJ49" s="26">
        <f>(AQ49+IF(MID(E49,3,1)="2",6,IF(MID(E49,3,1)="3",9,0)))*(1-입력란!$C$35/100)</f>
        <v>14.826105611699999</v>
      </c>
      <c r="AK4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9" s="26">
        <f>입력란!$C$47+입력란!$C$41+IF(입력란!$C$18=1,10,IF(입력란!$C$18=2,25,IF(입력란!$C$18=3,50,0)))+IF(입력란!$C$23&lt;&gt;0,-12)</f>
        <v>378.9445412</v>
      </c>
      <c r="AM49" s="30">
        <f t="shared" si="5"/>
        <v>46610.971411893108</v>
      </c>
      <c r="AN49" s="30">
        <f>(VLOOKUP(C49,$B$4:$AJ$7,3,FALSE)+VLOOKUP(C49,$B$8:$AJ$11,3,FALSE)*입력란!$C$29)*입력란!$C$48/100</f>
        <v>46610.971411893108</v>
      </c>
      <c r="AO49" s="26"/>
      <c r="AP49" s="30"/>
      <c r="AQ49" s="28">
        <v>6</v>
      </c>
    </row>
    <row r="50" spans="2:43" ht="13.5" customHeight="1" x14ac:dyDescent="0.3">
      <c r="B50" s="31">
        <v>35</v>
      </c>
      <c r="C50" s="36">
        <v>10</v>
      </c>
      <c r="D50" s="37" t="s">
        <v>94</v>
      </c>
      <c r="E50" s="38" t="s">
        <v>112</v>
      </c>
      <c r="F50" s="40"/>
      <c r="G50" s="40"/>
      <c r="H50" s="52">
        <f t="shared" si="0"/>
        <v>15060.187797469402</v>
      </c>
      <c r="I50" s="53">
        <f>SUM(J50:Q50)*IF(입력란!$C$16=1,1.04,IF(입력란!$C$16=2,1.1,IF(입력란!$C$16=3,1.2,1)))*IF(입력란!$C$21=1,1+입력란!$C$38*0.001,IF(입력란!$C$21=2,1+입력란!$C$38*0.0022,IF(입력란!$C$21=3,1+입력란!$C$38*0.0045,1)))*IF(입력란!$C$18&lt;&gt;0,0.98,1)</f>
        <v>89313.57392692678</v>
      </c>
      <c r="J50" s="30">
        <f>S50*(1+IF($AK50+IF(입력란!$C$26=1,10,0)&gt;100,100,$AK50+IF(입력란!$C$26=1,10,0))/100*($AL50/100-1))</f>
        <v>89313.57392692678</v>
      </c>
      <c r="K50" s="30"/>
      <c r="L50" s="30"/>
      <c r="M50" s="30"/>
      <c r="N50" s="39"/>
      <c r="O50" s="39"/>
      <c r="P50" s="39"/>
      <c r="Q50" s="30">
        <f>Z50*(1+IF($AK50+IF(입력란!$C$26=1,10,IF(MID($E50,1,1)="3",10,0))&gt;100,100,$AK50+IF(입력란!$C$26=1,10,IF(MID($E50,1,1)="3",10,0)))/100*($AL50/100-1))</f>
        <v>0</v>
      </c>
      <c r="R50" s="24">
        <f t="shared" si="1"/>
        <v>55933.165694271731</v>
      </c>
      <c r="S50" s="30">
        <f>AN50*IF(입력란!$C$12=0,1,IF(입력란!$C$12=1,1.3,IF(입력란!$C$12=2,1.45,IF(입력란!$C$12=3,1.6,1))))*IF(MID(E50,3,1)="1",트라이포드!$J$6,IF(MID(E50,3,1)="2",트라이포드!$L$6,IF(MID(E50,3,1)="3",트라이포드!$N$6,1)))*IF(MID(E50,5,1)="1",트라이포드!$P$6,트라이포드!$O$6)</f>
        <v>55933.165694271731</v>
      </c>
      <c r="T50" s="30"/>
      <c r="U50" s="30"/>
      <c r="V50" s="30"/>
      <c r="W50" s="39"/>
      <c r="X50" s="39"/>
      <c r="Y50" s="39"/>
      <c r="Z50" s="25">
        <f>AN50*IF(입력란!$C$12=0,1,IF(입력란!$C$12=1,1.3,IF(입력란!$C$12=2,1.45,IF(입력란!$C$12=3,1.6,1))))*IF(MID(E50,3,1)="1",트라이포드!$J$6,IF(MID(E50,3,1)="2",트라이포드!$L$6,IF(MID(E50,3,1)="3",트라이포드!$N$6,1)))*IF(MID(E50,5,1)="2",트라이포드!R$6,트라이포드!Q$6)</f>
        <v>0</v>
      </c>
      <c r="AA50" s="30">
        <f t="shared" si="2"/>
        <v>111866.33138854346</v>
      </c>
      <c r="AB50" s="30">
        <f t="shared" si="3"/>
        <v>111866.33138854346</v>
      </c>
      <c r="AC50" s="30"/>
      <c r="AD50" s="26"/>
      <c r="AE50" s="26"/>
      <c r="AF50" s="39"/>
      <c r="AG50" s="39"/>
      <c r="AH50" s="39"/>
      <c r="AI50" s="25">
        <f t="shared" si="6"/>
        <v>0</v>
      </c>
      <c r="AJ50" s="26">
        <f>(AQ50+IF(MID(E50,3,1)="2",6,IF(MID(E50,3,1)="3",9,0)))*(1-입력란!$C$35/100)</f>
        <v>5.93044224468</v>
      </c>
      <c r="AK5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" s="26">
        <f>입력란!$C$47+입력란!$C$41+IF(입력란!$C$18=1,10,IF(입력란!$C$18=2,25,IF(입력란!$C$18=3,50,0)))+IF(입력란!$C$23&lt;&gt;0,-12)</f>
        <v>378.9445412</v>
      </c>
      <c r="AM50" s="30">
        <f t="shared" si="5"/>
        <v>46610.971411893108</v>
      </c>
      <c r="AN50" s="30">
        <f>(VLOOKUP(C50,$B$4:$AJ$7,3,FALSE)+VLOOKUP(C50,$B$8:$AJ$11,3,FALSE)*입력란!$C$29)*입력란!$C$48/100</f>
        <v>46610.971411893108</v>
      </c>
      <c r="AO50" s="26"/>
      <c r="AP50" s="30"/>
      <c r="AQ50" s="28">
        <v>6</v>
      </c>
    </row>
    <row r="51" spans="2:43" ht="13.5" customHeight="1" x14ac:dyDescent="0.3">
      <c r="B51" s="31">
        <v>36</v>
      </c>
      <c r="C51" s="40">
        <v>10</v>
      </c>
      <c r="D51" s="37" t="s">
        <v>94</v>
      </c>
      <c r="E51" s="38" t="s">
        <v>113</v>
      </c>
      <c r="F51" s="40"/>
      <c r="G51" s="40"/>
      <c r="H51" s="52">
        <f t="shared" si="0"/>
        <v>27292.708688875948</v>
      </c>
      <c r="I51" s="53">
        <f>SUM(J51:Q51)*IF(입력란!$C$16=1,1.04,IF(입력란!$C$16=2,1.1,IF(입력란!$C$16=3,1.2,1)))*IF(입력란!$C$21=1,1+입력란!$C$38*0.001,IF(입력란!$C$21=2,1+입력란!$C$38*0.0022,IF(입력란!$C$21=3,1+입력란!$C$38*0.0045,1)))*IF(입력란!$C$18&lt;&gt;0,0.98,1)</f>
        <v>161857.83258025482</v>
      </c>
      <c r="J51" s="30">
        <f>S51*(1+IF($AK51+IF(입력란!$C$26=1,10,0)&gt;100,100,$AK51+IF(입력란!$C$26=1,10,0))/100*($AL51/100-1))</f>
        <v>74427.978272438981</v>
      </c>
      <c r="K51" s="30"/>
      <c r="L51" s="30"/>
      <c r="M51" s="30"/>
      <c r="N51" s="39"/>
      <c r="O51" s="39"/>
      <c r="P51" s="39"/>
      <c r="Q51" s="30">
        <f>Z51*(1+IF($AK51+IF(입력란!$C$26=1,10,IF(MID($E51,1,1)="3",10,0))&gt;100,100,$AK51+IF(입력란!$C$26=1,10,IF(MID($E51,1,1)="3",10,0)))/100*($AL51/100-1))</f>
        <v>87429.854307815825</v>
      </c>
      <c r="R51" s="24">
        <f t="shared" si="1"/>
        <v>93221.942823786216</v>
      </c>
      <c r="S51" s="30">
        <f>AN51*IF(입력란!$C$12=0,1,IF(입력란!$C$12=1,1.3,IF(입력란!$C$12=2,1.45,IF(입력란!$C$12=3,1.6,1))))*IF(MID(E51,3,1)="1",트라이포드!$J$6,IF(MID(E51,3,1)="2",트라이포드!$L$6,IF(MID(E51,3,1)="3",트라이포드!$N$6,1)))*IF(MID(E51,5,1)="1",트라이포드!$P$6,트라이포드!$O$6)</f>
        <v>46610.971411893108</v>
      </c>
      <c r="T51" s="30"/>
      <c r="U51" s="30"/>
      <c r="V51" s="30"/>
      <c r="W51" s="39"/>
      <c r="X51" s="39"/>
      <c r="Y51" s="39"/>
      <c r="Z51" s="25">
        <f>AN51*IF(입력란!$C$12=0,1,IF(입력란!$C$12=1,1.3,IF(입력란!$C$12=2,1.45,IF(입력란!$C$12=3,1.6,1))))*IF(MID(E51,3,1)="1",트라이포드!$J$6,IF(MID(E51,3,1)="2",트라이포드!$L$6,IF(MID(E51,3,1)="3",트라이포드!$N$6,1)))*IF(MID(E51,5,1)="2",트라이포드!R$6,트라이포드!Q$6)</f>
        <v>46610.971411893108</v>
      </c>
      <c r="AA51" s="30">
        <f t="shared" si="2"/>
        <v>186443.88564757243</v>
      </c>
      <c r="AB51" s="30">
        <f t="shared" si="3"/>
        <v>93221.942823786216</v>
      </c>
      <c r="AC51" s="30"/>
      <c r="AD51" s="26"/>
      <c r="AE51" s="26"/>
      <c r="AF51" s="39"/>
      <c r="AG51" s="39"/>
      <c r="AH51" s="39"/>
      <c r="AI51" s="25">
        <f t="shared" si="6"/>
        <v>93221.942823786216</v>
      </c>
      <c r="AJ51" s="26">
        <f>(AQ51+IF(MID(E51,3,1)="2",6,IF(MID(E51,3,1)="3",9,0)))*(1-입력란!$C$35/100)</f>
        <v>5.93044224468</v>
      </c>
      <c r="AK5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" s="26">
        <f>입력란!$C$47+입력란!$C$41+IF(입력란!$C$18=1,10,IF(입력란!$C$18=2,25,IF(입력란!$C$18=3,50,0)))+IF(입력란!$C$23&lt;&gt;0,-12)</f>
        <v>378.9445412</v>
      </c>
      <c r="AM51" s="30">
        <f t="shared" si="5"/>
        <v>46610.971411893108</v>
      </c>
      <c r="AN51" s="30">
        <f>(VLOOKUP(C51,$B$4:$AJ$7,3,FALSE)+VLOOKUP(C51,$B$8:$AJ$11,3,FALSE)*입력란!$C$29)*입력란!$C$48/100</f>
        <v>46610.971411893108</v>
      </c>
      <c r="AO51" s="26"/>
      <c r="AP51" s="30"/>
      <c r="AQ51" s="28">
        <v>6</v>
      </c>
    </row>
    <row r="52" spans="2:43" ht="13.5" customHeight="1" x14ac:dyDescent="0.3">
      <c r="B52" s="31">
        <v>37</v>
      </c>
      <c r="C52" s="40">
        <v>10</v>
      </c>
      <c r="D52" s="37" t="s">
        <v>94</v>
      </c>
      <c r="E52" s="38" t="s">
        <v>114</v>
      </c>
      <c r="F52" s="40"/>
      <c r="G52" s="40"/>
      <c r="H52" s="52">
        <f t="shared" si="0"/>
        <v>22590.281696204096</v>
      </c>
      <c r="I52" s="53">
        <f>SUM(J52:Q52)*IF(입력란!$C$16=1,1.04,IF(입력란!$C$16=2,1.1,IF(입력란!$C$16=3,1.2,1)))*IF(입력란!$C$21=1,1+입력란!$C$38*0.001,IF(입력란!$C$21=2,1+입력란!$C$38*0.0022,IF(입력란!$C$21=3,1+입력란!$C$38*0.0045,1)))*IF(입력란!$C$18&lt;&gt;0,0.98,1)</f>
        <v>133970.36089039015</v>
      </c>
      <c r="J52" s="30">
        <f>S52*(1+IF($AK52+IF(입력란!$C$26=1,10,0)&gt;100,100,$AK52+IF(입력란!$C$26=1,10,0))/100*($AL52/100-1))</f>
        <v>133970.36089039015</v>
      </c>
      <c r="K52" s="30"/>
      <c r="L52" s="30"/>
      <c r="M52" s="30"/>
      <c r="N52" s="39"/>
      <c r="O52" s="39"/>
      <c r="P52" s="39"/>
      <c r="Q52" s="30">
        <f>Z52*(1+IF($AK52+IF(입력란!$C$26=1,10,IF(MID($E52,1,1)="3",10,0))&gt;100,100,$AK52+IF(입력란!$C$26=1,10,IF(MID($E52,1,1)="3",10,0)))/100*($AL52/100-1))</f>
        <v>0</v>
      </c>
      <c r="R52" s="24">
        <f t="shared" si="1"/>
        <v>83899.748541407593</v>
      </c>
      <c r="S52" s="30">
        <f>AN52*IF(입력란!$C$12=0,1,IF(입력란!$C$12=1,1.3,IF(입력란!$C$12=2,1.45,IF(입력란!$C$12=3,1.6,1))))*IF(MID(E52,3,1)="1",트라이포드!$J$6,IF(MID(E52,3,1)="2",트라이포드!$L$6,IF(MID(E52,3,1)="3",트라이포드!$N$6,1)))*IF(MID(E52,5,1)="1",트라이포드!$P$6,트라이포드!$O$6)</f>
        <v>83899.748541407593</v>
      </c>
      <c r="T52" s="30"/>
      <c r="U52" s="30"/>
      <c r="V52" s="30"/>
      <c r="W52" s="39"/>
      <c r="X52" s="39"/>
      <c r="Y52" s="39"/>
      <c r="Z52" s="25">
        <f>AN52*IF(입력란!$C$12=0,1,IF(입력란!$C$12=1,1.3,IF(입력란!$C$12=2,1.45,IF(입력란!$C$12=3,1.6,1))))*IF(MID(E52,3,1)="1",트라이포드!$J$6,IF(MID(E52,3,1)="2",트라이포드!$L$6,IF(MID(E52,3,1)="3",트라이포드!$N$6,1)))*IF(MID(E52,5,1)="2",트라이포드!R$6,트라이포드!Q$6)</f>
        <v>0</v>
      </c>
      <c r="AA52" s="30">
        <f t="shared" si="2"/>
        <v>167799.49708281519</v>
      </c>
      <c r="AB52" s="30">
        <f t="shared" si="3"/>
        <v>167799.49708281519</v>
      </c>
      <c r="AC52" s="30"/>
      <c r="AD52" s="26"/>
      <c r="AE52" s="26"/>
      <c r="AF52" s="39"/>
      <c r="AG52" s="39"/>
      <c r="AH52" s="39"/>
      <c r="AI52" s="25">
        <f t="shared" si="6"/>
        <v>0</v>
      </c>
      <c r="AJ52" s="26">
        <f>(AQ52+IF(MID(E52,3,1)="2",6,IF(MID(E52,3,1)="3",9,0)))*(1-입력란!$C$35/100)</f>
        <v>5.93044224468</v>
      </c>
      <c r="AK5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2" s="26">
        <f>입력란!$C$47+입력란!$C$41+IF(입력란!$C$18=1,10,IF(입력란!$C$18=2,25,IF(입력란!$C$18=3,50,0)))+IF(입력란!$C$23&lt;&gt;0,-12)</f>
        <v>378.9445412</v>
      </c>
      <c r="AM52" s="30">
        <f t="shared" si="5"/>
        <v>46610.971411893108</v>
      </c>
      <c r="AN52" s="30">
        <f>(VLOOKUP(C52,$B$4:$AJ$7,3,FALSE)+VLOOKUP(C52,$B$8:$AJ$11,3,FALSE)*입력란!$C$29)*입력란!$C$48/100</f>
        <v>46610.971411893108</v>
      </c>
      <c r="AO52" s="26"/>
      <c r="AP52" s="30"/>
      <c r="AQ52" s="28">
        <v>6</v>
      </c>
    </row>
    <row r="53" spans="2:43" ht="13.5" customHeight="1" x14ac:dyDescent="0.3">
      <c r="B53" s="31">
        <v>38</v>
      </c>
      <c r="C53" s="40">
        <v>10</v>
      </c>
      <c r="D53" s="37" t="s">
        <v>94</v>
      </c>
      <c r="E53" s="38" t="s">
        <v>121</v>
      </c>
      <c r="F53" s="40"/>
      <c r="G53" s="40"/>
      <c r="H53" s="52">
        <f t="shared" si="0"/>
        <v>40939.06303331392</v>
      </c>
      <c r="I53" s="53">
        <f>SUM(J53:Q53)*IF(입력란!$C$16=1,1.04,IF(입력란!$C$16=2,1.1,IF(입력란!$C$16=3,1.2,1)))*IF(입력란!$C$21=1,1+입력란!$C$38*0.001,IF(입력란!$C$21=2,1+입력란!$C$38*0.0022,IF(입력란!$C$21=3,1+입력란!$C$38*0.0045,1)))*IF(입력란!$C$18&lt;&gt;0,0.98,1)</f>
        <v>242786.7488703822</v>
      </c>
      <c r="J53" s="30">
        <f>S53*(1+IF($AK53+IF(입력란!$C$26=1,10,0)&gt;100,100,$AK53+IF(입력란!$C$26=1,10,0))/100*($AL53/100-1))</f>
        <v>111641.96740865847</v>
      </c>
      <c r="K53" s="30"/>
      <c r="L53" s="30"/>
      <c r="M53" s="30"/>
      <c r="N53" s="39"/>
      <c r="O53" s="39"/>
      <c r="P53" s="39"/>
      <c r="Q53" s="30">
        <f>Z53*(1+IF($AK53+IF(입력란!$C$26=1,10,IF(MID($E53,1,1)="3",10,0))&gt;100,100,$AK53+IF(입력란!$C$26=1,10,IF(MID($E53,1,1)="3",10,0)))/100*($AL53/100-1))</f>
        <v>131144.78146172373</v>
      </c>
      <c r="R53" s="24">
        <f t="shared" si="1"/>
        <v>139832.91423567932</v>
      </c>
      <c r="S53" s="30">
        <f>AN53*IF(입력란!$C$12=0,1,IF(입력란!$C$12=1,1.3,IF(입력란!$C$12=2,1.45,IF(입력란!$C$12=3,1.6,1))))*IF(MID(E53,3,1)="1",트라이포드!$J$6,IF(MID(E53,3,1)="2",트라이포드!$L$6,IF(MID(E53,3,1)="3",트라이포드!$N$6,1)))*IF(MID(E53,5,1)="1",트라이포드!$P$6,트라이포드!$O$6)</f>
        <v>69916.457117839658</v>
      </c>
      <c r="T53" s="30"/>
      <c r="U53" s="30"/>
      <c r="V53" s="30"/>
      <c r="W53" s="39"/>
      <c r="X53" s="39"/>
      <c r="Y53" s="39"/>
      <c r="Z53" s="25">
        <f>AN53*IF(입력란!$C$12=0,1,IF(입력란!$C$12=1,1.3,IF(입력란!$C$12=2,1.45,IF(입력란!$C$12=3,1.6,1))))*IF(MID(E53,3,1)="1",트라이포드!$J$6,IF(MID(E53,3,1)="2",트라이포드!$L$6,IF(MID(E53,3,1)="3",트라이포드!$N$6,1)))*IF(MID(E53,5,1)="2",트라이포드!R$6,트라이포드!Q$6)</f>
        <v>69916.457117839658</v>
      </c>
      <c r="AA53" s="30">
        <f t="shared" si="2"/>
        <v>279665.82847135863</v>
      </c>
      <c r="AB53" s="30">
        <f t="shared" si="3"/>
        <v>139832.91423567932</v>
      </c>
      <c r="AC53" s="30"/>
      <c r="AD53" s="26"/>
      <c r="AE53" s="26"/>
      <c r="AF53" s="39"/>
      <c r="AG53" s="39"/>
      <c r="AH53" s="39"/>
      <c r="AI53" s="25">
        <f t="shared" si="6"/>
        <v>139832.91423567932</v>
      </c>
      <c r="AJ53" s="26">
        <f>(AQ53+IF(MID(E53,3,1)="2",6,IF(MID(E53,3,1)="3",9,0)))*(1-입력란!$C$35/100)</f>
        <v>5.93044224468</v>
      </c>
      <c r="AK5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3" s="26">
        <f>입력란!$C$47+입력란!$C$41+IF(입력란!$C$18=1,10,IF(입력란!$C$18=2,25,IF(입력란!$C$18=3,50,0)))+IF(입력란!$C$23&lt;&gt;0,-12)</f>
        <v>378.9445412</v>
      </c>
      <c r="AM53" s="30">
        <f t="shared" si="5"/>
        <v>46610.971411893108</v>
      </c>
      <c r="AN53" s="30">
        <f>(VLOOKUP(C53,$B$4:$AJ$7,3,FALSE)+VLOOKUP(C53,$B$8:$AJ$11,3,FALSE)*입력란!$C$29)*입력란!$C$48/100</f>
        <v>46610.971411893108</v>
      </c>
      <c r="AO53" s="26"/>
      <c r="AP53" s="30"/>
      <c r="AQ53" s="28">
        <v>6</v>
      </c>
    </row>
    <row r="54" spans="2:43" ht="13.5" customHeight="1" x14ac:dyDescent="0.3">
      <c r="B54" s="31">
        <v>39</v>
      </c>
      <c r="C54" s="40">
        <v>10</v>
      </c>
      <c r="D54" s="37" t="s">
        <v>94</v>
      </c>
      <c r="E54" s="38" t="s">
        <v>116</v>
      </c>
      <c r="F54" s="40"/>
      <c r="G54" s="40"/>
      <c r="H54" s="52">
        <f t="shared" si="0"/>
        <v>3765.0469493673504</v>
      </c>
      <c r="I54" s="53">
        <f>SUM(J54:Q54)*IF(입력란!$C$16=1,1.04,IF(입력란!$C$16=2,1.1,IF(입력란!$C$16=3,1.2,1)))*IF(입력란!$C$21=1,1+입력란!$C$38*0.001,IF(입력란!$C$21=2,1+입력란!$C$38*0.0022,IF(입력란!$C$21=3,1+입력란!$C$38*0.0045,1)))*IF(입력란!$C$18&lt;&gt;0,0.98,1)</f>
        <v>44656.78696346339</v>
      </c>
      <c r="J54" s="30">
        <f>S54*(1+IF($AK54+IF(입력란!$C$26=1,10,0)&gt;100,100,$AK54+IF(입력란!$C$26=1,10,0))/100*($AL54/100-1))</f>
        <v>44656.78696346339</v>
      </c>
      <c r="K54" s="30"/>
      <c r="L54" s="30"/>
      <c r="M54" s="30"/>
      <c r="N54" s="39"/>
      <c r="O54" s="39"/>
      <c r="P54" s="39"/>
      <c r="Q54" s="30">
        <f>Z54*(1+IF($AK54+IF(입력란!$C$26=1,10,IF(MID($E54,1,1)="3",10,0))&gt;100,100,$AK54+IF(입력란!$C$26=1,10,IF(MID($E54,1,1)="3",10,0)))/100*($AL54/100-1))</f>
        <v>0</v>
      </c>
      <c r="R54" s="24">
        <f t="shared" si="1"/>
        <v>27966.582847135865</v>
      </c>
      <c r="S54" s="30">
        <f>AN54*IF(입력란!$C$12=0,1,IF(입력란!$C$12=1,1.3,IF(입력란!$C$12=2,1.45,IF(입력란!$C$12=3,1.6,1))))*IF(MID(E54,3,1)="1",트라이포드!$J$6,IF(MID(E54,3,1)="2",트라이포드!$L$6,IF(MID(E54,3,1)="3",트라이포드!$N$6,1)))*IF(MID(E54,5,1)="1",트라이포드!$P$6,트라이포드!$O$6)</f>
        <v>27966.582847135865</v>
      </c>
      <c r="T54" s="30"/>
      <c r="U54" s="30"/>
      <c r="V54" s="30"/>
      <c r="W54" s="39"/>
      <c r="X54" s="39"/>
      <c r="Y54" s="39"/>
      <c r="Z54" s="25">
        <f>AN54*IF(입력란!$C$12=0,1,IF(입력란!$C$12=1,1.3,IF(입력란!$C$12=2,1.45,IF(입력란!$C$12=3,1.6,1))))*IF(MID(E54,3,1)="1",트라이포드!$J$6,IF(MID(E54,3,1)="2",트라이포드!$L$6,IF(MID(E54,3,1)="3",트라이포드!$N$6,1)))*IF(MID(E54,5,1)="2",트라이포드!R$6,트라이포드!Q$6)</f>
        <v>0</v>
      </c>
      <c r="AA54" s="30">
        <f t="shared" si="2"/>
        <v>55933.165694271731</v>
      </c>
      <c r="AB54" s="30">
        <f t="shared" si="3"/>
        <v>55933.165694271731</v>
      </c>
      <c r="AC54" s="30"/>
      <c r="AD54" s="26"/>
      <c r="AE54" s="26"/>
      <c r="AF54" s="39"/>
      <c r="AG54" s="39"/>
      <c r="AH54" s="39"/>
      <c r="AI54" s="25">
        <f t="shared" si="6"/>
        <v>0</v>
      </c>
      <c r="AJ54" s="26">
        <f>(AQ54+IF(MID(E54,3,1)="2",6,IF(MID(E54,3,1)="3",9,0)))*(1-입력란!$C$35/100)</f>
        <v>11.86088448936</v>
      </c>
      <c r="AK5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" s="26">
        <f>입력란!$C$47+입력란!$C$41+IF(입력란!$C$18=1,10,IF(입력란!$C$18=2,25,IF(입력란!$C$18=3,50,0)))+IF(입력란!$C$23&lt;&gt;0,-12)</f>
        <v>378.9445412</v>
      </c>
      <c r="AM54" s="30">
        <f t="shared" si="5"/>
        <v>46610.971411893108</v>
      </c>
      <c r="AN54" s="30">
        <f>(VLOOKUP(C54,$B$4:$AJ$7,3,FALSE)+VLOOKUP(C54,$B$8:$AJ$11,3,FALSE)*입력란!$C$29)*입력란!$C$48/100</f>
        <v>46610.971411893108</v>
      </c>
      <c r="AO54" s="26"/>
      <c r="AP54" s="30"/>
      <c r="AQ54" s="28">
        <v>6</v>
      </c>
    </row>
    <row r="55" spans="2:43" ht="13.5" customHeight="1" x14ac:dyDescent="0.3">
      <c r="B55" s="31">
        <v>40</v>
      </c>
      <c r="C55" s="40">
        <v>10</v>
      </c>
      <c r="D55" s="37" t="s">
        <v>94</v>
      </c>
      <c r="E55" s="38" t="s">
        <v>117</v>
      </c>
      <c r="F55" s="40"/>
      <c r="G55" s="40"/>
      <c r="H55" s="52">
        <f t="shared" si="0"/>
        <v>6823.1771722189869</v>
      </c>
      <c r="I55" s="53">
        <f>SUM(J55:Q55)*IF(입력란!$C$16=1,1.04,IF(입력란!$C$16=2,1.1,IF(입력란!$C$16=3,1.2,1)))*IF(입력란!$C$21=1,1+입력란!$C$38*0.001,IF(입력란!$C$21=2,1+입력란!$C$38*0.0022,IF(입력란!$C$21=3,1+입력란!$C$38*0.0045,1)))*IF(입력란!$C$18&lt;&gt;0,0.98,1)</f>
        <v>80928.91629012741</v>
      </c>
      <c r="J55" s="30">
        <f>S55*(1+IF($AK55+IF(입력란!$C$26=1,10,0)&gt;100,100,$AK55+IF(입력란!$C$26=1,10,0))/100*($AL55/100-1))</f>
        <v>37213.98913621949</v>
      </c>
      <c r="K55" s="30"/>
      <c r="L55" s="30"/>
      <c r="M55" s="30"/>
      <c r="N55" s="39"/>
      <c r="O55" s="39"/>
      <c r="P55" s="39"/>
      <c r="Q55" s="30">
        <f>Z55*(1+IF($AK55+IF(입력란!$C$26=1,10,IF(MID($E55,1,1)="3",10,0))&gt;100,100,$AK55+IF(입력란!$C$26=1,10,IF(MID($E55,1,1)="3",10,0)))/100*($AL55/100-1))</f>
        <v>43714.927153907913</v>
      </c>
      <c r="R55" s="24">
        <f t="shared" si="1"/>
        <v>46610.971411893108</v>
      </c>
      <c r="S55" s="30">
        <f>AN55*IF(입력란!$C$12=0,1,IF(입력란!$C$12=1,1.3,IF(입력란!$C$12=2,1.45,IF(입력란!$C$12=3,1.6,1))))*IF(MID(E55,3,1)="1",트라이포드!$J$6,IF(MID(E55,3,1)="2",트라이포드!$L$6,IF(MID(E55,3,1)="3",트라이포드!$N$6,1)))*IF(MID(E55,5,1)="1",트라이포드!$P$6,트라이포드!$O$6)</f>
        <v>23305.485705946554</v>
      </c>
      <c r="T55" s="30"/>
      <c r="U55" s="30"/>
      <c r="V55" s="30"/>
      <c r="W55" s="39"/>
      <c r="X55" s="39"/>
      <c r="Y55" s="39"/>
      <c r="Z55" s="25">
        <f>AN55*IF(입력란!$C$12=0,1,IF(입력란!$C$12=1,1.3,IF(입력란!$C$12=2,1.45,IF(입력란!$C$12=3,1.6,1))))*IF(MID(E55,3,1)="1",트라이포드!$J$6,IF(MID(E55,3,1)="2",트라이포드!$L$6,IF(MID(E55,3,1)="3",트라이포드!$N$6,1)))*IF(MID(E55,5,1)="2",트라이포드!R$6,트라이포드!Q$6)</f>
        <v>23305.485705946554</v>
      </c>
      <c r="AA55" s="30">
        <f t="shared" si="2"/>
        <v>93221.942823786216</v>
      </c>
      <c r="AB55" s="30">
        <f t="shared" si="3"/>
        <v>46610.971411893108</v>
      </c>
      <c r="AC55" s="30"/>
      <c r="AD55" s="26"/>
      <c r="AE55" s="26"/>
      <c r="AF55" s="39"/>
      <c r="AG55" s="39"/>
      <c r="AH55" s="39"/>
      <c r="AI55" s="25">
        <f t="shared" si="6"/>
        <v>46610.971411893108</v>
      </c>
      <c r="AJ55" s="26">
        <f>(AQ55+IF(MID(E55,3,1)="2",6,IF(MID(E55,3,1)="3",9,0)))*(1-입력란!$C$35/100)</f>
        <v>11.86088448936</v>
      </c>
      <c r="AK5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" s="26">
        <f>입력란!$C$47+입력란!$C$41+IF(입력란!$C$18=1,10,IF(입력란!$C$18=2,25,IF(입력란!$C$18=3,50,0)))+IF(입력란!$C$23&lt;&gt;0,-12)</f>
        <v>378.9445412</v>
      </c>
      <c r="AM55" s="30">
        <f t="shared" si="5"/>
        <v>46610.971411893108</v>
      </c>
      <c r="AN55" s="30">
        <f>(VLOOKUP(C55,$B$4:$AJ$7,3,FALSE)+VLOOKUP(C55,$B$8:$AJ$11,3,FALSE)*입력란!$C$29)*입력란!$C$48/100</f>
        <v>46610.971411893108</v>
      </c>
      <c r="AO55" s="26"/>
      <c r="AP55" s="30"/>
      <c r="AQ55" s="28">
        <v>6</v>
      </c>
    </row>
    <row r="56" spans="2:43" ht="13.5" customHeight="1" x14ac:dyDescent="0.3">
      <c r="B56" s="31">
        <v>41</v>
      </c>
      <c r="C56" s="40">
        <v>10</v>
      </c>
      <c r="D56" s="37" t="s">
        <v>94</v>
      </c>
      <c r="E56" s="38" t="s">
        <v>118</v>
      </c>
      <c r="F56" s="40"/>
      <c r="G56" s="40"/>
      <c r="H56" s="52">
        <f t="shared" si="0"/>
        <v>1506.0187797469403</v>
      </c>
      <c r="I56" s="53">
        <f>SUM(J56:Q56)*IF(입력란!$C$16=1,1.04,IF(입력란!$C$16=2,1.1,IF(입력란!$C$16=3,1.2,1)))*IF(입력란!$C$21=1,1+입력란!$C$38*0.001,IF(입력란!$C$21=2,1+입력란!$C$38*0.0022,IF(입력란!$C$21=3,1+입력란!$C$38*0.0045,1)))*IF(입력란!$C$18&lt;&gt;0,0.98,1)</f>
        <v>22328.393481731695</v>
      </c>
      <c r="J56" s="30">
        <f>S56*(1+IF($AK56+IF(입력란!$C$26=1,10,0)&gt;100,100,$AK56+IF(입력란!$C$26=1,10,0))/100*($AL56/100-1))</f>
        <v>22328.393481731695</v>
      </c>
      <c r="K56" s="30"/>
      <c r="L56" s="30"/>
      <c r="M56" s="30"/>
      <c r="N56" s="39"/>
      <c r="O56" s="39"/>
      <c r="P56" s="39"/>
      <c r="Q56" s="30">
        <f>Z56*(1+IF($AK56+IF(입력란!$C$26=1,10,IF(MID($E56,1,1)="3",10,0))&gt;100,100,$AK56+IF(입력란!$C$26=1,10,IF(MID($E56,1,1)="3",10,0)))/100*($AL56/100-1))</f>
        <v>0</v>
      </c>
      <c r="R56" s="24">
        <f t="shared" si="1"/>
        <v>13983.291423567933</v>
      </c>
      <c r="S56" s="30">
        <f>AN56*IF(입력란!$C$12=0,1,IF(입력란!$C$12=1,1.3,IF(입력란!$C$12=2,1.45,IF(입력란!$C$12=3,1.6,1))))*IF(MID(E56,3,1)="1",트라이포드!$J$6,IF(MID(E56,3,1)="2",트라이포드!$L$6,IF(MID(E56,3,1)="3",트라이포드!$N$6,1)))*IF(MID(E56,5,1)="1",트라이포드!$P$6,트라이포드!$O$6)</f>
        <v>13983.291423567933</v>
      </c>
      <c r="T56" s="30"/>
      <c r="U56" s="30"/>
      <c r="V56" s="30"/>
      <c r="W56" s="39"/>
      <c r="X56" s="39"/>
      <c r="Y56" s="39"/>
      <c r="Z56" s="25">
        <f>AN56*IF(입력란!$C$12=0,1,IF(입력란!$C$12=1,1.3,IF(입력란!$C$12=2,1.45,IF(입력란!$C$12=3,1.6,1))))*IF(MID(E56,3,1)="1",트라이포드!$J$6,IF(MID(E56,3,1)="2",트라이포드!$L$6,IF(MID(E56,3,1)="3",트라이포드!$N$6,1)))*IF(MID(E56,5,1)="2",트라이포드!R$6,트라이포드!Q$6)</f>
        <v>0</v>
      </c>
      <c r="AA56" s="30">
        <f t="shared" si="2"/>
        <v>27966.582847135865</v>
      </c>
      <c r="AB56" s="30">
        <f t="shared" si="3"/>
        <v>27966.582847135865</v>
      </c>
      <c r="AC56" s="30"/>
      <c r="AD56" s="26"/>
      <c r="AE56" s="26"/>
      <c r="AF56" s="39"/>
      <c r="AG56" s="39"/>
      <c r="AH56" s="39"/>
      <c r="AI56" s="25">
        <f t="shared" si="6"/>
        <v>0</v>
      </c>
      <c r="AJ56" s="26">
        <f>(AQ56+IF(MID(E56,3,1)="2",6,IF(MID(E56,3,1)="3",9,0)))*(1-입력란!$C$35/100)</f>
        <v>14.826105611699999</v>
      </c>
      <c r="AK5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" s="26">
        <f>입력란!$C$47+입력란!$C$41+IF(입력란!$C$18=1,10,IF(입력란!$C$18=2,25,IF(입력란!$C$18=3,50,0)))+IF(입력란!$C$23&lt;&gt;0,-12)</f>
        <v>378.9445412</v>
      </c>
      <c r="AM56" s="30">
        <f t="shared" si="5"/>
        <v>46610.971411893108</v>
      </c>
      <c r="AN56" s="30">
        <f>(VLOOKUP(C56,$B$4:$AJ$7,3,FALSE)+VLOOKUP(C56,$B$8:$AJ$11,3,FALSE)*입력란!$C$29)*입력란!$C$48/100</f>
        <v>46610.971411893108</v>
      </c>
      <c r="AO56" s="26"/>
      <c r="AP56" s="30"/>
      <c r="AQ56" s="28">
        <v>6</v>
      </c>
    </row>
    <row r="57" spans="2:43" ht="13.5" customHeight="1" x14ac:dyDescent="0.3">
      <c r="B57" s="31">
        <v>42</v>
      </c>
      <c r="C57" s="40">
        <v>10</v>
      </c>
      <c r="D57" s="37" t="s">
        <v>94</v>
      </c>
      <c r="E57" s="38" t="s">
        <v>119</v>
      </c>
      <c r="F57" s="40"/>
      <c r="G57" s="40"/>
      <c r="H57" s="52">
        <f t="shared" si="0"/>
        <v>2729.270868887595</v>
      </c>
      <c r="I57" s="53">
        <f>SUM(J57:Q57)*IF(입력란!$C$16=1,1.04,IF(입력란!$C$16=2,1.1,IF(입력란!$C$16=3,1.2,1)))*IF(입력란!$C$21=1,1+입력란!$C$38*0.001,IF(입력란!$C$21=2,1+입력란!$C$38*0.0022,IF(입력란!$C$21=3,1+입력란!$C$38*0.0045,1)))*IF(입력란!$C$18&lt;&gt;0,0.98,1)</f>
        <v>40464.458145063705</v>
      </c>
      <c r="J57" s="30">
        <f>S57*(1+IF($AK57+IF(입력란!$C$26=1,10,0)&gt;100,100,$AK57+IF(입력란!$C$26=1,10,0))/100*($AL57/100-1))</f>
        <v>18606.994568109745</v>
      </c>
      <c r="K57" s="30"/>
      <c r="L57" s="30"/>
      <c r="M57" s="30"/>
      <c r="N57" s="39"/>
      <c r="O57" s="39"/>
      <c r="P57" s="39"/>
      <c r="Q57" s="30">
        <f>Z57*(1+IF($AK57+IF(입력란!$C$26=1,10,IF(MID($E57,1,1)="3",10,0))&gt;100,100,$AK57+IF(입력란!$C$26=1,10,IF(MID($E57,1,1)="3",10,0)))/100*($AL57/100-1))</f>
        <v>21857.463576953956</v>
      </c>
      <c r="R57" s="24">
        <f t="shared" si="1"/>
        <v>23305.485705946554</v>
      </c>
      <c r="S57" s="30">
        <f>AN57*IF(입력란!$C$12=0,1,IF(입력란!$C$12=1,1.3,IF(입력란!$C$12=2,1.45,IF(입력란!$C$12=3,1.6,1))))*IF(MID(E57,3,1)="1",트라이포드!$J$6,IF(MID(E57,3,1)="2",트라이포드!$L$6,IF(MID(E57,3,1)="3",트라이포드!$N$6,1)))*IF(MID(E57,5,1)="1",트라이포드!$P$6,트라이포드!$O$6)</f>
        <v>11652.742852973277</v>
      </c>
      <c r="T57" s="30"/>
      <c r="U57" s="30"/>
      <c r="V57" s="30"/>
      <c r="W57" s="39"/>
      <c r="X57" s="39"/>
      <c r="Y57" s="39"/>
      <c r="Z57" s="25">
        <f>AN57*IF(입력란!$C$12=0,1,IF(입력란!$C$12=1,1.3,IF(입력란!$C$12=2,1.45,IF(입력란!$C$12=3,1.6,1))))*IF(MID(E57,3,1)="1",트라이포드!$J$6,IF(MID(E57,3,1)="2",트라이포드!$L$6,IF(MID(E57,3,1)="3",트라이포드!$N$6,1)))*IF(MID(E57,5,1)="2",트라이포드!R$6,트라이포드!Q$6)</f>
        <v>11652.742852973277</v>
      </c>
      <c r="AA57" s="30">
        <f t="shared" si="2"/>
        <v>46610.971411893108</v>
      </c>
      <c r="AB57" s="30">
        <f t="shared" si="3"/>
        <v>23305.485705946554</v>
      </c>
      <c r="AC57" s="30"/>
      <c r="AD57" s="26"/>
      <c r="AE57" s="26"/>
      <c r="AF57" s="39"/>
      <c r="AG57" s="39"/>
      <c r="AH57" s="39"/>
      <c r="AI57" s="25">
        <f t="shared" si="6"/>
        <v>23305.485705946554</v>
      </c>
      <c r="AJ57" s="26">
        <f>(AQ57+IF(MID(E57,3,1)="2",6,IF(MID(E57,3,1)="3",9,0)))*(1-입력란!$C$35/100)</f>
        <v>14.826105611699999</v>
      </c>
      <c r="AK5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" s="26">
        <f>입력란!$C$47+입력란!$C$41+IF(입력란!$C$18=1,10,IF(입력란!$C$18=2,25,IF(입력란!$C$18=3,50,0)))+IF(입력란!$C$23&lt;&gt;0,-12)</f>
        <v>378.9445412</v>
      </c>
      <c r="AM57" s="30">
        <f t="shared" si="5"/>
        <v>46610.971411893108</v>
      </c>
      <c r="AN57" s="30">
        <f>(VLOOKUP(C57,$B$4:$AJ$7,3,FALSE)+VLOOKUP(C57,$B$8:$AJ$11,3,FALSE)*입력란!$C$29)*입력란!$C$48/100</f>
        <v>46610.971411893108</v>
      </c>
      <c r="AO57" s="26"/>
      <c r="AP57" s="30"/>
      <c r="AQ57" s="28">
        <v>6</v>
      </c>
    </row>
    <row r="58" spans="2:43" ht="13.5" customHeight="1" x14ac:dyDescent="0.3">
      <c r="B58" s="31">
        <v>43</v>
      </c>
      <c r="C58" s="40">
        <v>1</v>
      </c>
      <c r="D58" s="41" t="s">
        <v>120</v>
      </c>
      <c r="E58" s="38" t="s">
        <v>96</v>
      </c>
      <c r="F58" s="40"/>
      <c r="G58" s="40"/>
      <c r="H58" s="52">
        <f t="shared" si="0"/>
        <v>9944.994298909407</v>
      </c>
      <c r="I58" s="53">
        <f>SUM(J58:Q58)*IF(입력란!$C$16=1,1.04,IF(입력란!$C$16=2,1.1,IF(입력란!$C$16=3,1.2,1)))*IF(입력란!$C$21=1,1+입력란!$C$38*0.001,IF(입력란!$C$21=2,1+입력란!$C$38*0.0022,IF(입력란!$C$21=3,1+입력란!$C$38*0.0045,1)))*IF(입력란!$C$18&lt;&gt;0,0.98,1)</f>
        <v>117956.42862670822</v>
      </c>
      <c r="J58" s="30">
        <f>S58*(1+IF($AK58+IF(입력란!$C$26=1,10,0)+IF(입력란!$C$9=1,10,0)+IF(MID(E58,1,1)="3",트라이포드!G$7,0)&gt;100,100,$AK58+IF(입력란!$C$26=1,10,0)+IF(입력란!$C$9=1,10,0))/100*(($AL58+트라이포드!H$7)/100-1))</f>
        <v>23594.655759202487</v>
      </c>
      <c r="K58" s="30">
        <f>T58*(1+IF($AK58+IF(입력란!$C$26=1,10,0)+IF(입력란!$C$9=1,10,0)+IF(MID(E58,5,1)="1",트라이포드!P$7,0)&gt;100,100,$AK58+IF(입력란!$C$26=1,10,0)+IF(입력란!$C$9=1,10,0)+IF(MID(E58,5,1)="1",트라이포드!P$7,0))/100*($AL58/100-1))</f>
        <v>94361.77286750573</v>
      </c>
      <c r="L58" s="30"/>
      <c r="M58" s="30"/>
      <c r="N58" s="39"/>
      <c r="O58" s="39"/>
      <c r="P58" s="39"/>
      <c r="Q58" s="30"/>
      <c r="R58" s="24">
        <f t="shared" si="1"/>
        <v>73870.926635185315</v>
      </c>
      <c r="S58" s="30">
        <f>AN58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14776.295831118874</v>
      </c>
      <c r="T58" s="30">
        <f>AO58*IF(입력란!$C$12=0,1,IF(입력란!$C$12=1,1.3,IF(입력란!$C$12=2,1.45,IF(입력란!$C$12=3,1.6,1))))*IF(MID(E58,3,1)="3",트라이포드!$N$7,트라이포드!$M$7)*IF(MID(E58,5,1)="2",트라이포드!$R$7,트라이포드!$Q$7)*IF(입력란!$C$9=1,IF(입력란!$C$15=0,1.05,IF(입력란!$C$15=1,1.05*1.05,IF(입력란!$C$15=2,1.05*1.12,IF(입력란!$C$15=3,1.05*1.25)))),1)</f>
        <v>59094.630804066444</v>
      </c>
      <c r="U58" s="30"/>
      <c r="V58" s="30"/>
      <c r="W58" s="39"/>
      <c r="X58" s="39"/>
      <c r="Y58" s="39"/>
      <c r="Z58" s="25"/>
      <c r="AA58" s="30">
        <f t="shared" si="2"/>
        <v>147741.85327037063</v>
      </c>
      <c r="AB58" s="30">
        <f t="shared" si="3"/>
        <v>29552.591662237748</v>
      </c>
      <c r="AC58" s="30">
        <f t="shared" ref="AC58:AC75" si="7">T58*2</f>
        <v>118189.26160813289</v>
      </c>
      <c r="AD58" s="26"/>
      <c r="AE58" s="26"/>
      <c r="AF58" s="39"/>
      <c r="AG58" s="39"/>
      <c r="AH58" s="39"/>
      <c r="AI58" s="25"/>
      <c r="AJ58" s="26">
        <f>AQ58*(1-입력란!$C$35/100)</f>
        <v>11.86088448936</v>
      </c>
      <c r="AK5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8" s="26">
        <f>입력란!$C$47+입력란!$C$41+IF(입력란!$C$18=1,10,IF(입력란!$C$18=2,25,IF(입력란!$C$18=3,50,0)))+IF(입력란!$C$23&lt;&gt;0,-12)</f>
        <v>378.9445412</v>
      </c>
      <c r="AM58" s="30">
        <f t="shared" si="5"/>
        <v>73870.926635185315</v>
      </c>
      <c r="AN58" s="30">
        <f>(VLOOKUP(C58,$B$4:$AJ$7,4,FALSE)+VLOOKUP(C58,$B$8:$AJ$11,4,FALSE)*입력란!$C$29)*입력란!$C$48/100</f>
        <v>14776.295831118874</v>
      </c>
      <c r="AO58" s="30">
        <f>(VLOOKUP(C58,$B$4:$AJ$7,5,FALSE)+VLOOKUP(C58,$B$8:$AJ$11,5,FALSE)*입력란!$C$29)*입력란!$C$48/100</f>
        <v>59094.630804066444</v>
      </c>
      <c r="AP58" s="30"/>
      <c r="AQ58" s="28">
        <v>12</v>
      </c>
    </row>
    <row r="59" spans="2:43" ht="13.5" customHeight="1" x14ac:dyDescent="0.3">
      <c r="B59" s="31">
        <v>44</v>
      </c>
      <c r="C59" s="40">
        <v>4</v>
      </c>
      <c r="D59" s="41" t="s">
        <v>120</v>
      </c>
      <c r="E59" s="38" t="s">
        <v>96</v>
      </c>
      <c r="F59" s="40"/>
      <c r="G59" s="40"/>
      <c r="H59" s="52">
        <f t="shared" si="0"/>
        <v>9966.8038138269585</v>
      </c>
      <c r="I59" s="53">
        <f>SUM(J59:Q59)*IF(입력란!$C$16=1,1.04,IF(입력란!$C$16=2,1.1,IF(입력란!$C$16=3,1.2,1)))*IF(입력란!$C$21=1,1+입력란!$C$38*0.001,IF(입력란!$C$21=2,1+입력란!$C$38*0.0022,IF(입력란!$C$21=3,1+입력란!$C$38*0.0045,1)))*IF(입력란!$C$18&lt;&gt;0,0.98,1)</f>
        <v>118215.10876391426</v>
      </c>
      <c r="J59" s="30">
        <f>S59*(1+IF($AK59+IF(입력란!$C$26=1,10,0)+IF(입력란!$C$9=1,10,0)+IF(MID(E59,1,1)="3",트라이포드!G$7,0)&gt;100,100,$AK59+IF(입력란!$C$26=1,10,0)+IF(입력란!$C$9=1,10,0))/100*(($AL59+트라이포드!H$7)/100-1))</f>
        <v>23646.391786643693</v>
      </c>
      <c r="K59" s="30">
        <f>T59*(1+IF($AK59+IF(입력란!$C$26=1,10,0)+IF(입력란!$C$9=1,10,0)+IF(MID(E59,5,1)="1",트라이포드!P$7,0)&gt;100,100,$AK59+IF(입력란!$C$26=1,10,0)+IF(입력란!$C$9=1,10,0)+IF(MID(E59,5,1)="1",트라이포드!P$7,0))/100*($AL59/100-1))</f>
        <v>94568.716977270567</v>
      </c>
      <c r="L59" s="30"/>
      <c r="M59" s="30"/>
      <c r="N59" s="39"/>
      <c r="O59" s="39"/>
      <c r="P59" s="39"/>
      <c r="Q59" s="30"/>
      <c r="R59" s="24">
        <f t="shared" si="1"/>
        <v>74032.926635185315</v>
      </c>
      <c r="S59" s="30">
        <f>AN59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14808.695831118874</v>
      </c>
      <c r="T59" s="30">
        <f>AO59*IF(입력란!$C$12=0,1,IF(입력란!$C$12=1,1.3,IF(입력란!$C$12=2,1.45,IF(입력란!$C$12=3,1.6,1))))*IF(MID(E59,3,1)="3",트라이포드!$N$7,트라이포드!$M$7)*IF(MID(E59,5,1)="2",트라이포드!$R$7,트라이포드!$Q$7)*IF(입력란!$C$9=1,IF(입력란!$C$15=0,1.05,IF(입력란!$C$15=1,1.05*1.05,IF(입력란!$C$15=2,1.05*1.12,IF(입력란!$C$15=3,1.05*1.25)))),1)</f>
        <v>59224.230804066443</v>
      </c>
      <c r="U59" s="30"/>
      <c r="V59" s="30"/>
      <c r="W59" s="39"/>
      <c r="X59" s="39"/>
      <c r="Y59" s="39"/>
      <c r="Z59" s="25"/>
      <c r="AA59" s="30">
        <f t="shared" si="2"/>
        <v>148065.85327037063</v>
      </c>
      <c r="AB59" s="30">
        <f t="shared" si="3"/>
        <v>29617.391662237747</v>
      </c>
      <c r="AC59" s="30">
        <f t="shared" si="7"/>
        <v>118448.46160813289</v>
      </c>
      <c r="AD59" s="26"/>
      <c r="AE59" s="26"/>
      <c r="AF59" s="39"/>
      <c r="AG59" s="39"/>
      <c r="AH59" s="39"/>
      <c r="AI59" s="25"/>
      <c r="AJ59" s="26">
        <f>AQ59*(1-입력란!$C$35/100)</f>
        <v>11.86088448936</v>
      </c>
      <c r="AK5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9" s="26">
        <f>입력란!$C$47+입력란!$C$41+IF(입력란!$C$18=1,10,IF(입력란!$C$18=2,25,IF(입력란!$C$18=3,50,0)))+IF(입력란!$C$23&lt;&gt;0,-12)</f>
        <v>378.9445412</v>
      </c>
      <c r="AM59" s="30">
        <f t="shared" si="5"/>
        <v>74032.926635185315</v>
      </c>
      <c r="AN59" s="30">
        <f>(VLOOKUP(C59,$B$4:$AJ$7,4,FALSE)+VLOOKUP(C59,$B$8:$AJ$11,4,FALSE)*입력란!$C$29)*입력란!$C$48/100</f>
        <v>14808.695831118874</v>
      </c>
      <c r="AO59" s="30">
        <f>(VLOOKUP(C59,$B$4:$AJ$7,5,FALSE)+VLOOKUP(C59,$B$8:$AJ$11,5,FALSE)*입력란!$C$29)*입력란!$C$48/100</f>
        <v>59224.230804066443</v>
      </c>
      <c r="AP59" s="30"/>
      <c r="AQ59" s="28">
        <v>12</v>
      </c>
    </row>
    <row r="60" spans="2:43" ht="13.5" customHeight="1" x14ac:dyDescent="0.3">
      <c r="B60" s="31">
        <v>45</v>
      </c>
      <c r="C60" s="40">
        <v>4</v>
      </c>
      <c r="D60" s="41" t="s">
        <v>120</v>
      </c>
      <c r="E60" s="38" t="s">
        <v>97</v>
      </c>
      <c r="F60" s="40"/>
      <c r="G60" s="40"/>
      <c r="H60" s="52">
        <f t="shared" si="0"/>
        <v>12704.403418428228</v>
      </c>
      <c r="I60" s="53">
        <f>SUM(J60:Q60)*IF(입력란!$C$16=1,1.04,IF(입력란!$C$16=2,1.1,IF(입력란!$C$16=3,1.2,1)))*IF(입력란!$C$21=1,1+입력란!$C$38*0.001,IF(입력란!$C$21=2,1+입력란!$C$38*0.0022,IF(입력란!$C$21=3,1+입력란!$C$38*0.0045,1)))*IF(입력란!$C$18&lt;&gt;0,0.98,1)</f>
        <v>150685.46145220753</v>
      </c>
      <c r="J60" s="30">
        <f>S60*(1+IF($AK60+IF(입력란!$C$26=1,10,0)+IF(입력란!$C$9=1,10,0)+IF(MID(E60,1,1)="3",트라이포드!G$7,0)&gt;100,100,$AK60+IF(입력란!$C$26=1,10,0)+IF(입력란!$C$9=1,10,0))/100*(($AL60+트라이포드!H$7)/100-1))</f>
        <v>56116.744474936946</v>
      </c>
      <c r="K60" s="30">
        <f>T60*(1+IF($AK60+IF(입력란!$C$26=1,10,0)+IF(입력란!$C$9=1,10,0)+IF(MID(E60,5,1)="1",트라이포드!P$7,0)&gt;100,100,$AK60+IF(입력란!$C$26=1,10,0)+IF(입력란!$C$9=1,10,0)+IF(MID(E60,5,1)="1",트라이포드!P$7,0))/100*($AL60/100-1))</f>
        <v>94568.716977270567</v>
      </c>
      <c r="L60" s="30"/>
      <c r="M60" s="30"/>
      <c r="N60" s="39"/>
      <c r="O60" s="39"/>
      <c r="P60" s="39"/>
      <c r="Q60" s="30"/>
      <c r="R60" s="24">
        <f t="shared" si="1"/>
        <v>74032.926635185315</v>
      </c>
      <c r="S60" s="30">
        <f>AN60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14808.695831118874</v>
      </c>
      <c r="T60" s="30">
        <f>AO60*IF(입력란!$C$12=0,1,IF(입력란!$C$12=1,1.3,IF(입력란!$C$12=2,1.45,IF(입력란!$C$12=3,1.6,1))))*IF(MID(E60,3,1)="3",트라이포드!$N$7,트라이포드!$M$7)*IF(MID(E60,5,1)="2",트라이포드!$R$7,트라이포드!$Q$7)*IF(입력란!$C$9=1,IF(입력란!$C$15=0,1.05,IF(입력란!$C$15=1,1.05*1.05,IF(입력란!$C$15=2,1.05*1.12,IF(입력란!$C$15=3,1.05*1.25)))),1)</f>
        <v>59224.230804066443</v>
      </c>
      <c r="U60" s="30"/>
      <c r="V60" s="30"/>
      <c r="W60" s="39"/>
      <c r="X60" s="39"/>
      <c r="Y60" s="39"/>
      <c r="Z60" s="25"/>
      <c r="AA60" s="30">
        <f t="shared" si="2"/>
        <v>148065.85327037063</v>
      </c>
      <c r="AB60" s="30">
        <f t="shared" si="3"/>
        <v>29617.391662237747</v>
      </c>
      <c r="AC60" s="30">
        <f t="shared" si="7"/>
        <v>118448.46160813289</v>
      </c>
      <c r="AD60" s="26"/>
      <c r="AE60" s="26"/>
      <c r="AF60" s="39"/>
      <c r="AG60" s="39"/>
      <c r="AH60" s="39"/>
      <c r="AI60" s="25"/>
      <c r="AJ60" s="26">
        <f>AQ60*(1-입력란!$C$35/100)</f>
        <v>11.86088448936</v>
      </c>
      <c r="AK6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0" s="26">
        <f>입력란!$C$47+입력란!$C$41+IF(입력란!$C$18=1,10,IF(입력란!$C$18=2,25,IF(입력란!$C$18=3,50,0)))+IF(입력란!$C$23&lt;&gt;0,-12)</f>
        <v>378.9445412</v>
      </c>
      <c r="AM60" s="30">
        <f t="shared" si="5"/>
        <v>74032.926635185315</v>
      </c>
      <c r="AN60" s="30">
        <f>(VLOOKUP(C60,$B$4:$AJ$7,4,FALSE)+VLOOKUP(C60,$B$8:$AJ$11,4,FALSE)*입력란!$C$29)*입력란!$C$48/100</f>
        <v>14808.695831118874</v>
      </c>
      <c r="AO60" s="30">
        <f>(VLOOKUP(C60,$B$4:$AJ$7,5,FALSE)+VLOOKUP(C60,$B$8:$AJ$11,5,FALSE)*입력란!$C$29)*입력란!$C$48/100</f>
        <v>59224.230804066443</v>
      </c>
      <c r="AP60" s="30"/>
      <c r="AQ60" s="28">
        <v>12</v>
      </c>
    </row>
    <row r="61" spans="2:43" ht="13.5" customHeight="1" x14ac:dyDescent="0.3">
      <c r="B61" s="31">
        <v>46</v>
      </c>
      <c r="C61" s="40">
        <v>7</v>
      </c>
      <c r="D61" s="41" t="s">
        <v>120</v>
      </c>
      <c r="E61" s="38" t="s">
        <v>96</v>
      </c>
      <c r="F61" s="40"/>
      <c r="G61" s="40"/>
      <c r="H61" s="52">
        <f t="shared" si="0"/>
        <v>9976.4362364774788</v>
      </c>
      <c r="I61" s="53">
        <f>SUM(J61:Q61)*IF(입력란!$C$16=1,1.04,IF(입력란!$C$16=2,1.1,IF(입력란!$C$16=3,1.2,1)))*IF(입력란!$C$21=1,1+입력란!$C$38*0.001,IF(입력란!$C$21=2,1+입력란!$C$38*0.0022,IF(입력란!$C$21=3,1+입력란!$C$38*0.0045,1)))*IF(입력란!$C$18&lt;&gt;0,0.98,1)</f>
        <v>118329.35781632479</v>
      </c>
      <c r="J61" s="30">
        <f>S61*(1+IF($AK61+IF(입력란!$C$26=1,10,0)+IF(입력란!$C$9=1,10,0)+IF(MID(E61,1,1)="3",트라이포드!G$7,0)&gt;100,100,$AK61+IF(입력란!$C$26=1,10,0)+IF(입력란!$C$9=1,10,0))/100*(($AL61+트라이포드!H$7)/100-1))</f>
        <v>23664.833380829765</v>
      </c>
      <c r="K61" s="30">
        <f>T61*(1+IF($AK61+IF(입력란!$C$26=1,10,0)+IF(입력란!$C$9=1,10,0)+IF(MID(E61,5,1)="1",트라이포드!P$7,0)&gt;100,100,$AK61+IF(입력란!$C$26=1,10,0)+IF(입력란!$C$9=1,10,0)+IF(MID(E61,5,1)="1",트라이포드!P$7,0))/100*($AL61/100-1))</f>
        <v>94664.524435495026</v>
      </c>
      <c r="L61" s="30"/>
      <c r="M61" s="30"/>
      <c r="N61" s="39"/>
      <c r="O61" s="39"/>
      <c r="P61" s="39"/>
      <c r="Q61" s="30"/>
      <c r="R61" s="24">
        <f t="shared" si="1"/>
        <v>74104.475795048973</v>
      </c>
      <c r="S61" s="30">
        <f>AN61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14820.244990982525</v>
      </c>
      <c r="T61" s="30">
        <f>AO61*IF(입력란!$C$12=0,1,IF(입력란!$C$12=1,1.3,IF(입력란!$C$12=2,1.45,IF(입력란!$C$12=3,1.6,1))))*IF(MID(E61,3,1)="3",트라이포드!$N$7,트라이포드!$M$7)*IF(MID(E61,5,1)="2",트라이포드!$R$7,트라이포드!$Q$7)*IF(입력란!$C$9=1,IF(입력란!$C$15=0,1.05,IF(입력란!$C$15=1,1.05*1.05,IF(입력란!$C$15=2,1.05*1.12,IF(입력란!$C$15=3,1.05*1.25)))),1)</f>
        <v>59284.230804066443</v>
      </c>
      <c r="U61" s="30"/>
      <c r="V61" s="30"/>
      <c r="W61" s="39"/>
      <c r="X61" s="39"/>
      <c r="Y61" s="39"/>
      <c r="Z61" s="25"/>
      <c r="AA61" s="30">
        <f t="shared" si="2"/>
        <v>148208.95159009795</v>
      </c>
      <c r="AB61" s="30">
        <f t="shared" si="3"/>
        <v>29640.489981965049</v>
      </c>
      <c r="AC61" s="30">
        <f t="shared" si="7"/>
        <v>118568.46160813289</v>
      </c>
      <c r="AD61" s="26"/>
      <c r="AE61" s="26"/>
      <c r="AF61" s="39"/>
      <c r="AG61" s="39"/>
      <c r="AH61" s="39"/>
      <c r="AI61" s="25"/>
      <c r="AJ61" s="26">
        <f>AQ61*(1-입력란!$C$35/100)</f>
        <v>11.86088448936</v>
      </c>
      <c r="AK6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1" s="26">
        <f>입력란!$C$47+입력란!$C$41+IF(입력란!$C$18=1,10,IF(입력란!$C$18=2,25,IF(입력란!$C$18=3,50,0)))+IF(입력란!$C$23&lt;&gt;0,-12)</f>
        <v>378.9445412</v>
      </c>
      <c r="AM61" s="30">
        <f t="shared" si="5"/>
        <v>74104.475795048973</v>
      </c>
      <c r="AN61" s="30">
        <f>(VLOOKUP(C61,$B$4:$AJ$7,4,FALSE)+VLOOKUP(C61,$B$8:$AJ$11,4,FALSE)*입력란!$C$29)*입력란!$C$48/100</f>
        <v>14820.244990982525</v>
      </c>
      <c r="AO61" s="30">
        <f>(VLOOKUP(C61,$B$4:$AJ$7,5,FALSE)+VLOOKUP(C61,$B$8:$AJ$11,5,FALSE)*입력란!$C$29)*입력란!$C$48/100</f>
        <v>59284.230804066443</v>
      </c>
      <c r="AP61" s="30"/>
      <c r="AQ61" s="28">
        <v>12</v>
      </c>
    </row>
    <row r="62" spans="2:43" ht="13.5" customHeight="1" x14ac:dyDescent="0.3">
      <c r="B62" s="31">
        <v>47</v>
      </c>
      <c r="C62" s="40">
        <v>7</v>
      </c>
      <c r="D62" s="41" t="s">
        <v>120</v>
      </c>
      <c r="E62" s="38" t="s">
        <v>97</v>
      </c>
      <c r="F62" s="40"/>
      <c r="G62" s="40"/>
      <c r="H62" s="52">
        <f t="shared" si="0"/>
        <v>12716.170868756861</v>
      </c>
      <c r="I62" s="53">
        <f>SUM(J62:Q62)*IF(입력란!$C$16=1,1.04,IF(입력란!$C$16=2,1.1,IF(입력란!$C$16=3,1.2,1)))*IF(입력란!$C$21=1,1+입력란!$C$38*0.001,IF(입력란!$C$21=2,1+입력란!$C$38*0.0022,IF(입력란!$C$21=3,1+입력란!$C$38*0.0045,1)))*IF(입력란!$C$18&lt;&gt;0,0.98,1)</f>
        <v>150825.03382128972</v>
      </c>
      <c r="J62" s="30">
        <f>S62*(1+IF($AK62+IF(입력란!$C$26=1,10,0)+IF(입력란!$C$9=1,10,0)+IF(MID(E62,1,1)="3",트라이포드!G$7,0)&gt;100,100,$AK62+IF(입력란!$C$26=1,10,0)+IF(입력란!$C$9=1,10,0))/100*(($AL62+트라이포드!H$7)/100-1))</f>
        <v>56160.509385794707</v>
      </c>
      <c r="K62" s="30">
        <f>T62*(1+IF($AK62+IF(입력란!$C$26=1,10,0)+IF(입력란!$C$9=1,10,0)+IF(MID(E62,5,1)="1",트라이포드!P$7,0)&gt;100,100,$AK62+IF(입력란!$C$26=1,10,0)+IF(입력란!$C$9=1,10,0)+IF(MID(E62,5,1)="1",트라이포드!P$7,0))/100*($AL62/100-1))</f>
        <v>94664.524435495026</v>
      </c>
      <c r="L62" s="30"/>
      <c r="M62" s="30"/>
      <c r="N62" s="39"/>
      <c r="O62" s="39"/>
      <c r="P62" s="39"/>
      <c r="Q62" s="30"/>
      <c r="R62" s="24">
        <f t="shared" si="1"/>
        <v>74104.475795048973</v>
      </c>
      <c r="S62" s="30">
        <f>AN62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14820.244990982525</v>
      </c>
      <c r="T62" s="30">
        <f>AO62*IF(입력란!$C$12=0,1,IF(입력란!$C$12=1,1.3,IF(입력란!$C$12=2,1.45,IF(입력란!$C$12=3,1.6,1))))*IF(MID(E62,3,1)="3",트라이포드!$N$7,트라이포드!$M$7)*IF(MID(E62,5,1)="2",트라이포드!$R$7,트라이포드!$Q$7)*IF(입력란!$C$9=1,IF(입력란!$C$15=0,1.05,IF(입력란!$C$15=1,1.05*1.05,IF(입력란!$C$15=2,1.05*1.12,IF(입력란!$C$15=3,1.05*1.25)))),1)</f>
        <v>59284.230804066443</v>
      </c>
      <c r="U62" s="30"/>
      <c r="V62" s="30"/>
      <c r="W62" s="39"/>
      <c r="X62" s="39"/>
      <c r="Y62" s="39"/>
      <c r="Z62" s="25"/>
      <c r="AA62" s="30">
        <f t="shared" si="2"/>
        <v>148208.95159009795</v>
      </c>
      <c r="AB62" s="30">
        <f t="shared" si="3"/>
        <v>29640.489981965049</v>
      </c>
      <c r="AC62" s="30">
        <f t="shared" si="7"/>
        <v>118568.46160813289</v>
      </c>
      <c r="AD62" s="26"/>
      <c r="AE62" s="26"/>
      <c r="AF62" s="39"/>
      <c r="AG62" s="39"/>
      <c r="AH62" s="39"/>
      <c r="AI62" s="25"/>
      <c r="AJ62" s="26">
        <f>AQ62*(1-입력란!$C$35/100)</f>
        <v>11.86088448936</v>
      </c>
      <c r="AK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2" s="26">
        <f>입력란!$C$47+입력란!$C$41+IF(입력란!$C$18=1,10,IF(입력란!$C$18=2,25,IF(입력란!$C$18=3,50,0)))+IF(입력란!$C$23&lt;&gt;0,-12)</f>
        <v>378.9445412</v>
      </c>
      <c r="AM62" s="30">
        <f t="shared" si="5"/>
        <v>74104.475795048973</v>
      </c>
      <c r="AN62" s="30">
        <f>(VLOOKUP(C62,$B$4:$AJ$7,4,FALSE)+VLOOKUP(C62,$B$8:$AJ$11,4,FALSE)*입력란!$C$29)*입력란!$C$48/100</f>
        <v>14820.244990982525</v>
      </c>
      <c r="AO62" s="30">
        <f>(VLOOKUP(C62,$B$4:$AJ$7,5,FALSE)+VLOOKUP(C62,$B$8:$AJ$11,5,FALSE)*입력란!$C$29)*입력란!$C$48/100</f>
        <v>59284.230804066443</v>
      </c>
      <c r="AP62" s="30"/>
      <c r="AQ62" s="28">
        <v>12</v>
      </c>
    </row>
    <row r="63" spans="2:43" ht="13.5" customHeight="1" x14ac:dyDescent="0.3">
      <c r="B63" s="31">
        <v>48</v>
      </c>
      <c r="C63" s="36">
        <v>7</v>
      </c>
      <c r="D63" s="41" t="s">
        <v>120</v>
      </c>
      <c r="E63" s="38" t="s">
        <v>111</v>
      </c>
      <c r="F63" s="40" t="s">
        <v>125</v>
      </c>
      <c r="G63" s="40"/>
      <c r="H63" s="52">
        <f t="shared" si="0"/>
        <v>15908.665476403212</v>
      </c>
      <c r="I63" s="53">
        <f>SUM(J63:Q63)*IF(입력란!$C$16=1,1.04,IF(입력란!$C$16=2,1.1,IF(입력란!$C$16=3,1.2,1)))*IF(입력란!$C$21=1,1+입력란!$C$38*0.001,IF(입력란!$C$21=2,1+입력란!$C$38*0.0022,IF(입력란!$C$21=3,1+입력란!$C$38*0.0045,1)))*IF(입력란!$C$18&lt;&gt;0,0.98,1)</f>
        <v>188690.84359548776</v>
      </c>
      <c r="J63" s="30">
        <f>S63*(1+IF($AK63+IF(입력란!$C$26=1,10,0)+IF(입력란!$C$9=1,10,0)+IF(MID(E63,1,1)="3",트라이포드!G$7,0)&gt;100,100,$AK63+IF(입력란!$C$26=1,10,0)+IF(입력란!$C$9=1,10,0))/100*(($AL63+트라이포드!H$7)/100-1))</f>
        <v>56160.509385794707</v>
      </c>
      <c r="K63" s="30">
        <f>T63*(1+IF($AK63+IF(입력란!$C$26=1,10,0)+IF(입력란!$C$9=1,10,0)+IF(MID(E63,5,1)="1",트라이포드!P$7,0)&gt;100,100,$AK63+IF(입력란!$C$26=1,10,0)+IF(입력란!$C$9=1,10,0)+IF(MID(E63,5,1)="1",트라이포드!P$7,0))/100*($AL63/100-1))</f>
        <v>132530.33420969304</v>
      </c>
      <c r="L63" s="30"/>
      <c r="M63" s="30"/>
      <c r="N63" s="39"/>
      <c r="O63" s="39"/>
      <c r="P63" s="39"/>
      <c r="Q63" s="30"/>
      <c r="R63" s="24">
        <f t="shared" si="1"/>
        <v>97818.168116675544</v>
      </c>
      <c r="S63" s="30">
        <f>AN63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14820.244990982525</v>
      </c>
      <c r="T63" s="30">
        <f>AO63*IF(입력란!$C$12=0,1,IF(입력란!$C$12=1,1.3,IF(입력란!$C$12=2,1.45,IF(입력란!$C$12=3,1.6,1))))*IF(MID(E63,3,1)="3",트라이포드!$N$7,트라이포드!$M$7)*IF(MID(E63,5,1)="2",트라이포드!$R$7,트라이포드!$Q$7)*IF(입력란!$C$9=1,IF(입력란!$C$15=0,1.05,IF(입력란!$C$15=1,1.05*1.05,IF(입력란!$C$15=2,1.05*1.12,IF(입력란!$C$15=3,1.05*1.25)))),1)</f>
        <v>82997.923125693022</v>
      </c>
      <c r="U63" s="30"/>
      <c r="V63" s="30"/>
      <c r="W63" s="39"/>
      <c r="X63" s="39"/>
      <c r="Y63" s="39"/>
      <c r="Z63" s="25"/>
      <c r="AA63" s="30">
        <f t="shared" si="2"/>
        <v>195636.33623335109</v>
      </c>
      <c r="AB63" s="30">
        <f t="shared" si="3"/>
        <v>29640.489981965049</v>
      </c>
      <c r="AC63" s="30">
        <f t="shared" si="7"/>
        <v>165995.84625138604</v>
      </c>
      <c r="AD63" s="26"/>
      <c r="AE63" s="26"/>
      <c r="AF63" s="39"/>
      <c r="AG63" s="39"/>
      <c r="AH63" s="39"/>
      <c r="AI63" s="25"/>
      <c r="AJ63" s="26">
        <f>AQ63*(1-입력란!$C$35/100)</f>
        <v>11.86088448936</v>
      </c>
      <c r="AK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3" s="26">
        <f>입력란!$C$47+입력란!$C$41+IF(입력란!$C$18=1,10,IF(입력란!$C$18=2,25,IF(입력란!$C$18=3,50,0)))+IF(입력란!$C$23&lt;&gt;0,-12)</f>
        <v>378.9445412</v>
      </c>
      <c r="AM63" s="30">
        <f t="shared" si="5"/>
        <v>74104.475795048973</v>
      </c>
      <c r="AN63" s="30">
        <f>(VLOOKUP(C63,$B$4:$AJ$7,4,FALSE)+VLOOKUP(C63,$B$8:$AJ$11,4,FALSE)*입력란!$C$29)*입력란!$C$48/100</f>
        <v>14820.244990982525</v>
      </c>
      <c r="AO63" s="30">
        <f>(VLOOKUP(C63,$B$4:$AJ$7,5,FALSE)+VLOOKUP(C63,$B$8:$AJ$11,5,FALSE)*입력란!$C$29)*입력란!$C$48/100</f>
        <v>59284.230804066443</v>
      </c>
      <c r="AP63" s="30"/>
      <c r="AQ63" s="28">
        <v>12</v>
      </c>
    </row>
    <row r="64" spans="2:43" ht="13.5" customHeight="1" x14ac:dyDescent="0.3">
      <c r="B64" s="31">
        <v>49</v>
      </c>
      <c r="C64" s="36">
        <v>10</v>
      </c>
      <c r="D64" s="41" t="s">
        <v>120</v>
      </c>
      <c r="E64" s="38" t="s">
        <v>96</v>
      </c>
      <c r="F64" s="40"/>
      <c r="G64" s="40"/>
      <c r="H64" s="52">
        <f t="shared" si="0"/>
        <v>9983.7667698739424</v>
      </c>
      <c r="I64" s="53">
        <f>SUM(J64:Q64)*IF(입력란!$C$16=1,1.04,IF(입력란!$C$16=2,1.1,IF(입력란!$C$16=3,1.2,1)))*IF(입력란!$C$21=1,1+입력란!$C$38*0.001,IF(입력란!$C$21=2,1+입력란!$C$38*0.0022,IF(입력란!$C$21=3,1+입력란!$C$38*0.0045,1)))*IF(입력란!$C$18&lt;&gt;0,0.98,1)</f>
        <v>118416.30442618563</v>
      </c>
      <c r="J64" s="30">
        <f>S64*(1+IF($AK64+IF(입력란!$C$26=1,10,0)+IF(입력란!$C$9=1,10,0)+IF(MID(E64,1,1)="3",트라이포드!G$7,0)&gt;100,100,$AK64+IF(입력란!$C$26=1,10,0)+IF(입력란!$C$9=1,10,0))/100*(($AL64+트라이포드!H$7)/100-1))</f>
        <v>23686.630919097966</v>
      </c>
      <c r="K64" s="30">
        <f>T64*(1+IF($AK64+IF(입력란!$C$26=1,10,0)+IF(입력란!$C$9=1,10,0)+IF(MID(E64,5,1)="1",트라이포드!P$7,0)&gt;100,100,$AK64+IF(입력란!$C$26=1,10,0)+IF(입력란!$C$9=1,10,0)+IF(MID(E64,5,1)="1",트라이포드!P$7,0))/100*($AL64/100-1))</f>
        <v>94729.67350708766</v>
      </c>
      <c r="L64" s="30"/>
      <c r="M64" s="30"/>
      <c r="N64" s="39"/>
      <c r="O64" s="39"/>
      <c r="P64" s="39"/>
      <c r="Q64" s="30"/>
      <c r="R64" s="24">
        <f t="shared" si="1"/>
        <v>74158.926635185315</v>
      </c>
      <c r="S64" s="30">
        <f>AN64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4" s="30">
        <f>AO64*IF(입력란!$C$12=0,1,IF(입력란!$C$12=1,1.3,IF(입력란!$C$12=2,1.45,IF(입력란!$C$12=3,1.6,1))))*IF(MID(E64,3,1)="3",트라이포드!$N$7,트라이포드!$M$7)*IF(MID(E64,5,1)="2",트라이포드!$R$7,트라이포드!$Q$7)*IF(입력란!$C$9=1,IF(입력란!$C$15=0,1.05,IF(입력란!$C$15=1,1.05*1.05,IF(입력란!$C$15=2,1.05*1.12,IF(입력란!$C$15=3,1.05*1.25)))),1)</f>
        <v>59325.030804066446</v>
      </c>
      <c r="U64" s="30"/>
      <c r="V64" s="30"/>
      <c r="W64" s="39"/>
      <c r="X64" s="39"/>
      <c r="Y64" s="39"/>
      <c r="Z64" s="25"/>
      <c r="AA64" s="30">
        <f t="shared" si="2"/>
        <v>148317.85327037063</v>
      </c>
      <c r="AB64" s="30">
        <f t="shared" si="3"/>
        <v>29667.791662237745</v>
      </c>
      <c r="AC64" s="30">
        <f t="shared" si="7"/>
        <v>118650.06160813289</v>
      </c>
      <c r="AD64" s="26"/>
      <c r="AE64" s="26"/>
      <c r="AF64" s="39"/>
      <c r="AG64" s="39"/>
      <c r="AH64" s="39"/>
      <c r="AI64" s="25"/>
      <c r="AJ64" s="26">
        <f>AQ64*(1-입력란!$C$35/100)</f>
        <v>11.86088448936</v>
      </c>
      <c r="AK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4" s="26">
        <f>입력란!$C$47+입력란!$C$41+IF(입력란!$C$18=1,10,IF(입력란!$C$18=2,25,IF(입력란!$C$18=3,50,0)))+IF(입력란!$C$23&lt;&gt;0,-12)</f>
        <v>378.9445412</v>
      </c>
      <c r="AM64" s="30">
        <f t="shared" si="5"/>
        <v>74158.926635185315</v>
      </c>
      <c r="AN64" s="30">
        <f>(VLOOKUP(C64,$B$4:$AJ$7,4,FALSE)+VLOOKUP(C64,$B$8:$AJ$11,4,FALSE)*입력란!$C$29)*입력란!$C$48/100</f>
        <v>14833.895831118873</v>
      </c>
      <c r="AO64" s="30">
        <f>(VLOOKUP(C64,$B$4:$AJ$7,5,FALSE)+VLOOKUP(C64,$B$8:$AJ$11,5,FALSE)*입력란!$C$29)*입력란!$C$48/100</f>
        <v>59325.030804066446</v>
      </c>
      <c r="AP64" s="30"/>
      <c r="AQ64" s="28">
        <v>12</v>
      </c>
    </row>
    <row r="65" spans="2:43" ht="13.5" customHeight="1" x14ac:dyDescent="0.3">
      <c r="B65" s="31">
        <v>50</v>
      </c>
      <c r="C65" s="36">
        <v>10</v>
      </c>
      <c r="D65" s="41" t="s">
        <v>120</v>
      </c>
      <c r="E65" s="38" t="s">
        <v>123</v>
      </c>
      <c r="F65" s="40" t="s">
        <v>126</v>
      </c>
      <c r="G65" s="40"/>
      <c r="H65" s="52">
        <f t="shared" si="0"/>
        <v>16959.80363886174</v>
      </c>
      <c r="I65" s="53">
        <f>SUM(J65:Q65)*IF(입력란!$C$16=1,1.04,IF(입력란!$C$16=2,1.1,IF(입력란!$C$16=3,1.2,1)))*IF(입력란!$C$21=1,1+입력란!$C$38*0.001,IF(입력란!$C$21=2,1+입력란!$C$38*0.0022,IF(입력란!$C$21=3,1+입력란!$C$38*0.0045,1)))*IF(입력란!$C$18&lt;&gt;0,0.98,1)</f>
        <v>201158.27192276652</v>
      </c>
      <c r="J65" s="30">
        <f>S65*(1+IF($AK65+IF(입력란!$C$26=1,10,0)+IF(입력란!$C$9=1,10,0)+IF(MID(E65,1,1)="3",트라이포드!G$7,0)&gt;100,100,$AK65+IF(입력란!$C$26=1,10,0)+IF(입력란!$C$9=1,10,0))/100*(($AL65+트라이포드!H$7)/100-1))</f>
        <v>23686.630919097966</v>
      </c>
      <c r="K65" s="30">
        <f>T65*(1+IF($AK65+IF(입력란!$C$26=1,10,0)+IF(입력란!$C$9=1,10,0)+IF(MID(E65,5,1)="1",트라이포드!P$7,0)&gt;100,100,$AK65+IF(입력란!$C$26=1,10,0)+IF(입력란!$C$9=1,10,0)+IF(MID(E65,5,1)="1",트라이포드!P$7,0))/100*($AL65/100-1))</f>
        <v>177471.64100366857</v>
      </c>
      <c r="L65" s="30"/>
      <c r="M65" s="30"/>
      <c r="N65" s="39"/>
      <c r="O65" s="39"/>
      <c r="P65" s="39"/>
      <c r="Q65" s="30"/>
      <c r="R65" s="24">
        <f t="shared" si="1"/>
        <v>74158.926635185315</v>
      </c>
      <c r="S65" s="30">
        <f>AN65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5" s="30">
        <f>AO65*IF(입력란!$C$12=0,1,IF(입력란!$C$12=1,1.3,IF(입력란!$C$12=2,1.45,IF(입력란!$C$12=3,1.6,1))))*IF(MID(E65,3,1)="3",트라이포드!$N$7,트라이포드!$M$7)*IF(MID(E65,5,1)="2",트라이포드!$R$7,트라이포드!$Q$7)*IF(입력란!$C$9=1,IF(입력란!$C$15=0,1.05,IF(입력란!$C$15=1,1.05*1.05,IF(입력란!$C$15=2,1.05*1.12,IF(입력란!$C$15=3,1.05*1.25)))),1)</f>
        <v>59325.030804066446</v>
      </c>
      <c r="U65" s="30"/>
      <c r="V65" s="30"/>
      <c r="W65" s="39"/>
      <c r="X65" s="39"/>
      <c r="Y65" s="39"/>
      <c r="Z65" s="25"/>
      <c r="AA65" s="30">
        <f t="shared" si="2"/>
        <v>148317.85327037063</v>
      </c>
      <c r="AB65" s="30">
        <f t="shared" si="3"/>
        <v>29667.791662237745</v>
      </c>
      <c r="AC65" s="30">
        <f t="shared" si="7"/>
        <v>118650.06160813289</v>
      </c>
      <c r="AD65" s="26"/>
      <c r="AE65" s="26"/>
      <c r="AF65" s="39"/>
      <c r="AG65" s="39"/>
      <c r="AH65" s="39"/>
      <c r="AI65" s="25"/>
      <c r="AJ65" s="26">
        <f>AQ65*(1-입력란!$C$35/100)</f>
        <v>11.86088448936</v>
      </c>
      <c r="AK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5" s="26">
        <f>입력란!$C$47+입력란!$C$41+IF(입력란!$C$18=1,10,IF(입력란!$C$18=2,25,IF(입력란!$C$18=3,50,0)))+IF(입력란!$C$23&lt;&gt;0,-12)</f>
        <v>378.9445412</v>
      </c>
      <c r="AM65" s="30">
        <f t="shared" si="5"/>
        <v>74158.926635185315</v>
      </c>
      <c r="AN65" s="30">
        <f>(VLOOKUP(C65,$B$4:$AJ$7,4,FALSE)+VLOOKUP(C65,$B$8:$AJ$11,4,FALSE)*입력란!$C$29)*입력란!$C$48/100</f>
        <v>14833.895831118873</v>
      </c>
      <c r="AO65" s="30">
        <f>(VLOOKUP(C65,$B$4:$AJ$7,5,FALSE)+VLOOKUP(C65,$B$8:$AJ$11,5,FALSE)*입력란!$C$29)*입력란!$C$48/100</f>
        <v>59325.030804066446</v>
      </c>
      <c r="AP65" s="30"/>
      <c r="AQ65" s="28">
        <v>12</v>
      </c>
    </row>
    <row r="66" spans="2:43" ht="13.5" customHeight="1" x14ac:dyDescent="0.3">
      <c r="B66" s="31">
        <v>51</v>
      </c>
      <c r="C66" s="36">
        <v>10</v>
      </c>
      <c r="D66" s="41" t="s">
        <v>120</v>
      </c>
      <c r="E66" s="38" t="s">
        <v>124</v>
      </c>
      <c r="F66" s="40"/>
      <c r="G66" s="40"/>
      <c r="H66" s="52">
        <f t="shared" si="0"/>
        <v>15774.145502104931</v>
      </c>
      <c r="I66" s="53">
        <f>SUM(J66:Q66)*IF(입력란!$C$16=1,1.04,IF(입력란!$C$16=2,1.1,IF(입력란!$C$16=3,1.2,1)))*IF(입력란!$C$21=1,1+입력란!$C$38*0.001,IF(입력란!$C$21=2,1+입력란!$C$38*0.0022,IF(입력란!$C$21=3,1+입력란!$C$38*0.0045,1)))*IF(입력란!$C$18&lt;&gt;0,0.98,1)</f>
        <v>187095.3177188242</v>
      </c>
      <c r="J66" s="30">
        <f>S66*(1+IF($AK66+IF(입력란!$C$26=1,10,0)+IF(입력란!$C$9=1,10,0)+IF(MID(E66,1,1)="3",트라이포드!G$7,0)&gt;100,100,$AK66+IF(입력란!$C$26=1,10,0)+IF(입력란!$C$9=1,10,0))/100*(($AL66+트라이포드!H$7)/100-1))</f>
        <v>23686.630919097966</v>
      </c>
      <c r="K66" s="30">
        <f>T66*(1+IF($AK66+IF(입력란!$C$26=1,10,0)+IF(입력란!$C$9=1,10,0)+IF(MID(E66,5,1)="1",트라이포드!P$7,0)&gt;100,100,$AK66+IF(입력란!$C$26=1,10,0)+IF(입력란!$C$9=1,10,0)+IF(MID(E66,5,1)="1",트라이포드!P$7,0))/100*($AL66/100-1))</f>
        <v>163408.68679972622</v>
      </c>
      <c r="L66" s="30"/>
      <c r="M66" s="30"/>
      <c r="N66" s="39"/>
      <c r="O66" s="39"/>
      <c r="P66" s="39"/>
      <c r="Q66" s="30"/>
      <c r="R66" s="24">
        <f t="shared" si="1"/>
        <v>117169.5739681335</v>
      </c>
      <c r="S66" s="30">
        <f>AN66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6" s="30">
        <f>AO66*IF(입력란!$C$12=0,1,IF(입력란!$C$12=1,1.3,IF(입력란!$C$12=2,1.45,IF(입력란!$C$12=3,1.6,1))))*IF(MID(E66,3,1)="3",트라이포드!$N$7,트라이포드!$M$7)*IF(MID(E66,5,1)="2",트라이포드!$R$7,트라이포드!$Q$7)*IF(입력란!$C$9=1,IF(입력란!$C$15=0,1.05,IF(입력란!$C$15=1,1.05*1.05,IF(입력란!$C$15=2,1.05*1.12,IF(입력란!$C$15=3,1.05*1.25)))),1)</f>
        <v>102335.67813701462</v>
      </c>
      <c r="U66" s="30"/>
      <c r="V66" s="30"/>
      <c r="W66" s="39"/>
      <c r="X66" s="39"/>
      <c r="Y66" s="39"/>
      <c r="Z66" s="25"/>
      <c r="AA66" s="30">
        <f t="shared" si="2"/>
        <v>234339.14793626699</v>
      </c>
      <c r="AB66" s="30">
        <f t="shared" si="3"/>
        <v>29667.791662237745</v>
      </c>
      <c r="AC66" s="30">
        <f t="shared" si="7"/>
        <v>204671.35627402924</v>
      </c>
      <c r="AD66" s="26"/>
      <c r="AE66" s="26"/>
      <c r="AF66" s="39"/>
      <c r="AG66" s="39"/>
      <c r="AH66" s="39"/>
      <c r="AI66" s="25"/>
      <c r="AJ66" s="26">
        <f>AQ66*(1-입력란!$C$35/100)</f>
        <v>11.86088448936</v>
      </c>
      <c r="AK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6" s="26">
        <f>입력란!$C$47+입력란!$C$41+IF(입력란!$C$18=1,10,IF(입력란!$C$18=2,25,IF(입력란!$C$18=3,50,0)))+IF(입력란!$C$23&lt;&gt;0,-12)</f>
        <v>378.9445412</v>
      </c>
      <c r="AM66" s="30">
        <f t="shared" si="5"/>
        <v>74158.926635185315</v>
      </c>
      <c r="AN66" s="30">
        <f>(VLOOKUP(C66,$B$4:$AJ$7,4,FALSE)+VLOOKUP(C66,$B$8:$AJ$11,4,FALSE)*입력란!$C$29)*입력란!$C$48/100</f>
        <v>14833.895831118873</v>
      </c>
      <c r="AO66" s="30">
        <f>(VLOOKUP(C66,$B$4:$AJ$7,5,FALSE)+VLOOKUP(C66,$B$8:$AJ$11,5,FALSE)*입력란!$C$29)*입력란!$C$48/100</f>
        <v>59325.030804066446</v>
      </c>
      <c r="AP66" s="30"/>
      <c r="AQ66" s="28">
        <v>12</v>
      </c>
    </row>
    <row r="67" spans="2:43" ht="13.5" customHeight="1" x14ac:dyDescent="0.3">
      <c r="B67" s="31">
        <v>52</v>
      </c>
      <c r="C67" s="40">
        <v>10</v>
      </c>
      <c r="D67" s="41" t="s">
        <v>120</v>
      </c>
      <c r="E67" s="38" t="s">
        <v>100</v>
      </c>
      <c r="F67" s="40" t="s">
        <v>125</v>
      </c>
      <c r="G67" s="40"/>
      <c r="H67" s="52">
        <f t="shared" si="0"/>
        <v>13178.45848420828</v>
      </c>
      <c r="I67" s="53">
        <f>SUM(J67:Q67)*IF(입력란!$C$16=1,1.04,IF(입력란!$C$16=2,1.1,IF(입력란!$C$16=3,1.2,1)))*IF(입력란!$C$21=1,1+입력란!$C$38*0.001,IF(입력란!$C$21=2,1+입력란!$C$38*0.0022,IF(입력란!$C$21=3,1+입력란!$C$38*0.0045,1)))*IF(입력란!$C$18&lt;&gt;0,0.98,1)</f>
        <v>156308.1738290207</v>
      </c>
      <c r="J67" s="30">
        <f>S67*(1+IF($AK67+IF(입력란!$C$26=1,10,0)+IF(입력란!$C$9=1,10,0)+IF(MID(E67,1,1)="3",트라이포드!G$7,0)&gt;100,100,$AK67+IF(입력란!$C$26=1,10,0)+IF(입력란!$C$9=1,10,0))/100*(($AL67+트라이포드!H$7)/100-1))</f>
        <v>23686.630919097966</v>
      </c>
      <c r="K67" s="30">
        <f>T67*(1+IF($AK67+IF(입력란!$C$26=1,10,0)+IF(입력란!$C$9=1,10,0)+IF(MID(E67,5,1)="1",트라이포드!P$7,0)&gt;100,100,$AK67+IF(입력란!$C$26=1,10,0)+IF(입력란!$C$9=1,10,0)+IF(MID(E67,5,1)="1",트라이포드!P$7,0))/100*($AL67/100-1))</f>
        <v>132621.54290992272</v>
      </c>
      <c r="L67" s="30"/>
      <c r="M67" s="30"/>
      <c r="N67" s="39"/>
      <c r="O67" s="39"/>
      <c r="P67" s="39"/>
      <c r="Q67" s="30"/>
      <c r="R67" s="24">
        <f t="shared" si="1"/>
        <v>97888.938956811893</v>
      </c>
      <c r="S67" s="30">
        <f>AN67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7" s="30">
        <f>AO67*IF(입력란!$C$12=0,1,IF(입력란!$C$12=1,1.3,IF(입력란!$C$12=2,1.45,IF(입력란!$C$12=3,1.6,1))))*IF(MID(E67,3,1)="3",트라이포드!$N$7,트라이포드!$M$7)*IF(MID(E67,5,1)="2",트라이포드!$R$7,트라이포드!$Q$7)*IF(입력란!$C$9=1,IF(입력란!$C$15=0,1.05,IF(입력란!$C$15=1,1.05*1.05,IF(입력란!$C$15=2,1.05*1.12,IF(입력란!$C$15=3,1.05*1.25)))),1)</f>
        <v>83055.043125693017</v>
      </c>
      <c r="U67" s="30"/>
      <c r="V67" s="30"/>
      <c r="W67" s="39"/>
      <c r="X67" s="39"/>
      <c r="Y67" s="39"/>
      <c r="Z67" s="25"/>
      <c r="AA67" s="30">
        <f t="shared" si="2"/>
        <v>195777.87791362379</v>
      </c>
      <c r="AB67" s="30">
        <f t="shared" si="3"/>
        <v>29667.791662237745</v>
      </c>
      <c r="AC67" s="30">
        <f t="shared" si="7"/>
        <v>166110.08625138603</v>
      </c>
      <c r="AD67" s="26"/>
      <c r="AE67" s="26"/>
      <c r="AF67" s="39"/>
      <c r="AG67" s="39"/>
      <c r="AH67" s="39"/>
      <c r="AI67" s="25"/>
      <c r="AJ67" s="26">
        <f>AQ67*(1-입력란!$C$35/100)</f>
        <v>11.86088448936</v>
      </c>
      <c r="AK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7" s="26">
        <f>입력란!$C$47+입력란!$C$41+IF(입력란!$C$18=1,10,IF(입력란!$C$18=2,25,IF(입력란!$C$18=3,50,0)))+IF(입력란!$C$23&lt;&gt;0,-12)</f>
        <v>378.9445412</v>
      </c>
      <c r="AM67" s="30">
        <f t="shared" si="5"/>
        <v>74158.926635185315</v>
      </c>
      <c r="AN67" s="30">
        <f>(VLOOKUP(C67,$B$4:$AJ$7,4,FALSE)+VLOOKUP(C67,$B$8:$AJ$11,4,FALSE)*입력란!$C$29)*입력란!$C$48/100</f>
        <v>14833.895831118873</v>
      </c>
      <c r="AO67" s="30">
        <f>(VLOOKUP(C67,$B$4:$AJ$7,5,FALSE)+VLOOKUP(C67,$B$8:$AJ$11,5,FALSE)*입력란!$C$29)*입력란!$C$48/100</f>
        <v>59325.030804066446</v>
      </c>
      <c r="AP67" s="30"/>
      <c r="AQ67" s="28">
        <v>12</v>
      </c>
    </row>
    <row r="68" spans="2:43" ht="13.5" customHeight="1" x14ac:dyDescent="0.3">
      <c r="B68" s="31">
        <v>53</v>
      </c>
      <c r="C68" s="40">
        <v>10</v>
      </c>
      <c r="D68" s="41" t="s">
        <v>120</v>
      </c>
      <c r="E68" s="38" t="s">
        <v>128</v>
      </c>
      <c r="F68" s="40" t="s">
        <v>127</v>
      </c>
      <c r="G68" s="40"/>
      <c r="H68" s="52">
        <f t="shared" si="0"/>
        <v>22944.9101007912</v>
      </c>
      <c r="I68" s="53">
        <f>SUM(J68:Q68)*IF(입력란!$C$16=1,1.04,IF(입력란!$C$16=2,1.1,IF(입력란!$C$16=3,1.2,1)))*IF(입력란!$C$21=1,1+입력란!$C$38*0.001,IF(입력란!$C$21=2,1+입력란!$C$38*0.0022,IF(입력란!$C$21=3,1+입력란!$C$38*0.0045,1)))*IF(입력란!$C$18&lt;&gt;0,0.98,1)</f>
        <v>272146.92832423392</v>
      </c>
      <c r="J68" s="30">
        <f>S68*(1+IF($AK68+IF(입력란!$C$26=1,10,0)+IF(입력란!$C$9=1,10,0)+IF(MID(E68,1,1)="3",트라이포드!G$7,0)&gt;100,100,$AK68+IF(입력란!$C$26=1,10,0)+IF(입력란!$C$9=1,10,0))/100*(($AL68+트라이포드!H$7)/100-1))</f>
        <v>23686.630919097966</v>
      </c>
      <c r="K68" s="30">
        <f>T68*(1+IF($AK68+IF(입력란!$C$26=1,10,0)+IF(입력란!$C$9=1,10,0)+IF(MID(E68,5,1)="1",트라이포드!P$7,0)&gt;100,100,$AK68+IF(입력란!$C$26=1,10,0)+IF(입력란!$C$9=1,10,0)+IF(MID(E68,5,1)="1",트라이포드!P$7,0))/100*($AL68/100-1))</f>
        <v>248460.29740513596</v>
      </c>
      <c r="L68" s="30"/>
      <c r="M68" s="30"/>
      <c r="N68" s="39"/>
      <c r="O68" s="39"/>
      <c r="P68" s="39"/>
      <c r="Q68" s="30"/>
      <c r="R68" s="24">
        <f t="shared" si="1"/>
        <v>97888.938956811893</v>
      </c>
      <c r="S68" s="30">
        <f>AN68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8" s="30">
        <f>AO68*IF(입력란!$C$12=0,1,IF(입력란!$C$12=1,1.3,IF(입력란!$C$12=2,1.45,IF(입력란!$C$12=3,1.6,1))))*IF(MID(E68,3,1)="3",트라이포드!$N$7,트라이포드!$M$7)*IF(MID(E68,5,1)="2",트라이포드!$R$7,트라이포드!$Q$7)*IF(입력란!$C$9=1,IF(입력란!$C$15=0,1.05,IF(입력란!$C$15=1,1.05*1.05,IF(입력란!$C$15=2,1.05*1.12,IF(입력란!$C$15=3,1.05*1.25)))),1)</f>
        <v>83055.043125693017</v>
      </c>
      <c r="U68" s="30"/>
      <c r="V68" s="30"/>
      <c r="W68" s="39"/>
      <c r="X68" s="39"/>
      <c r="Y68" s="39"/>
      <c r="Z68" s="25"/>
      <c r="AA68" s="30">
        <f t="shared" si="2"/>
        <v>195777.87791362379</v>
      </c>
      <c r="AB68" s="30">
        <f t="shared" si="3"/>
        <v>29667.791662237745</v>
      </c>
      <c r="AC68" s="30">
        <f t="shared" si="7"/>
        <v>166110.08625138603</v>
      </c>
      <c r="AD68" s="26"/>
      <c r="AE68" s="26"/>
      <c r="AF68" s="39"/>
      <c r="AG68" s="39"/>
      <c r="AH68" s="39"/>
      <c r="AI68" s="25"/>
      <c r="AJ68" s="26">
        <f>AQ68*(1-입력란!$C$35/100)</f>
        <v>11.86088448936</v>
      </c>
      <c r="AK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8" s="26">
        <f>입력란!$C$47+입력란!$C$41+IF(입력란!$C$18=1,10,IF(입력란!$C$18=2,25,IF(입력란!$C$18=3,50,0)))+IF(입력란!$C$23&lt;&gt;0,-12)</f>
        <v>378.9445412</v>
      </c>
      <c r="AM68" s="30">
        <f t="shared" si="5"/>
        <v>74158.926635185315</v>
      </c>
      <c r="AN68" s="30">
        <f>(VLOOKUP(C68,$B$4:$AJ$7,4,FALSE)+VLOOKUP(C68,$B$8:$AJ$11,4,FALSE)*입력란!$C$29)*입력란!$C$48/100</f>
        <v>14833.895831118873</v>
      </c>
      <c r="AO68" s="30">
        <f>(VLOOKUP(C68,$B$4:$AJ$7,5,FALSE)+VLOOKUP(C68,$B$8:$AJ$11,5,FALSE)*입력란!$C$29)*입력란!$C$48/100</f>
        <v>59325.030804066446</v>
      </c>
      <c r="AP68" s="30"/>
      <c r="AQ68" s="28">
        <v>12</v>
      </c>
    </row>
    <row r="69" spans="2:43" ht="13.5" customHeight="1" x14ac:dyDescent="0.3">
      <c r="B69" s="31">
        <v>54</v>
      </c>
      <c r="C69" s="40">
        <v>10</v>
      </c>
      <c r="D69" s="41" t="s">
        <v>120</v>
      </c>
      <c r="E69" s="38" t="s">
        <v>129</v>
      </c>
      <c r="F69" s="40" t="s">
        <v>125</v>
      </c>
      <c r="G69" s="40"/>
      <c r="H69" s="52">
        <f t="shared" si="0"/>
        <v>21284.988709331665</v>
      </c>
      <c r="I69" s="53">
        <f>SUM(J69:Q69)*IF(입력란!$C$16=1,1.04,IF(입력란!$C$16=2,1.1,IF(입력란!$C$16=3,1.2,1)))*IF(입력란!$C$21=1,1+입력란!$C$38*0.001,IF(입력란!$C$21=2,1+입력란!$C$38*0.0022,IF(입력란!$C$21=3,1+입력란!$C$38*0.0045,1)))*IF(입력란!$C$18&lt;&gt;0,0.98,1)</f>
        <v>252458.79243871465</v>
      </c>
      <c r="J69" s="30">
        <f>S69*(1+IF($AK69+IF(입력란!$C$26=1,10,0)+IF(입력란!$C$9=1,10,0)+IF(MID(E69,1,1)="3",트라이포드!G$7,0)&gt;100,100,$AK69+IF(입력란!$C$26=1,10,0)+IF(입력란!$C$9=1,10,0))/100*(($AL69+트라이포드!H$7)/100-1))</f>
        <v>23686.630919097966</v>
      </c>
      <c r="K69" s="30">
        <f>T69*(1+IF($AK69+IF(입력란!$C$26=1,10,0)+IF(입력란!$C$9=1,10,0)+IF(MID(E69,5,1)="1",트라이포드!P$7,0)&gt;100,100,$AK69+IF(입력란!$C$26=1,10,0)+IF(입력란!$C$9=1,10,0)+IF(MID(E69,5,1)="1",트라이포드!P$7,0))/100*($AL69/100-1))</f>
        <v>228772.1615196167</v>
      </c>
      <c r="L69" s="30"/>
      <c r="M69" s="30"/>
      <c r="N69" s="39"/>
      <c r="O69" s="39"/>
      <c r="P69" s="39"/>
      <c r="Q69" s="30"/>
      <c r="R69" s="24">
        <f t="shared" si="1"/>
        <v>158103.84522293933</v>
      </c>
      <c r="S69" s="30">
        <f>AN69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69" s="30">
        <f>AO69*IF(입력란!$C$12=0,1,IF(입력란!$C$12=1,1.3,IF(입력란!$C$12=2,1.45,IF(입력란!$C$12=3,1.6,1))))*IF(MID(E69,3,1)="3",트라이포드!$N$7,트라이포드!$M$7)*IF(MID(E69,5,1)="2",트라이포드!$R$7,트라이포드!$Q$7)*IF(입력란!$C$9=1,IF(입력란!$C$15=0,1.05,IF(입력란!$C$15=1,1.05*1.05,IF(입력란!$C$15=2,1.05*1.12,IF(입력란!$C$15=3,1.05*1.25)))),1)</f>
        <v>143269.94939182047</v>
      </c>
      <c r="U69" s="30"/>
      <c r="V69" s="30"/>
      <c r="W69" s="39"/>
      <c r="X69" s="39"/>
      <c r="Y69" s="39"/>
      <c r="Z69" s="25"/>
      <c r="AA69" s="30">
        <f t="shared" si="2"/>
        <v>316207.69044587866</v>
      </c>
      <c r="AB69" s="30">
        <f t="shared" si="3"/>
        <v>29667.791662237745</v>
      </c>
      <c r="AC69" s="30">
        <f t="shared" si="7"/>
        <v>286539.89878364094</v>
      </c>
      <c r="AD69" s="26"/>
      <c r="AE69" s="26"/>
      <c r="AF69" s="39"/>
      <c r="AG69" s="39"/>
      <c r="AH69" s="39"/>
      <c r="AI69" s="25"/>
      <c r="AJ69" s="26">
        <f>AQ69*(1-입력란!$C$35/100)</f>
        <v>11.86088448936</v>
      </c>
      <c r="AK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69" s="26">
        <f>입력란!$C$47+입력란!$C$41+IF(입력란!$C$18=1,10,IF(입력란!$C$18=2,25,IF(입력란!$C$18=3,50,0)))+IF(입력란!$C$23&lt;&gt;0,-12)</f>
        <v>378.9445412</v>
      </c>
      <c r="AM69" s="30">
        <f t="shared" si="5"/>
        <v>74158.926635185315</v>
      </c>
      <c r="AN69" s="30">
        <f>(VLOOKUP(C69,$B$4:$AJ$7,4,FALSE)+VLOOKUP(C69,$B$8:$AJ$11,4,FALSE)*입력란!$C$29)*입력란!$C$48/100</f>
        <v>14833.895831118873</v>
      </c>
      <c r="AO69" s="30">
        <f>(VLOOKUP(C69,$B$4:$AJ$7,5,FALSE)+VLOOKUP(C69,$B$8:$AJ$11,5,FALSE)*입력란!$C$29)*입력란!$C$48/100</f>
        <v>59325.030804066446</v>
      </c>
      <c r="AP69" s="30"/>
      <c r="AQ69" s="28">
        <v>12</v>
      </c>
    </row>
    <row r="70" spans="2:43" ht="13.5" customHeight="1" x14ac:dyDescent="0.3">
      <c r="B70" s="31">
        <v>55</v>
      </c>
      <c r="C70" s="36">
        <v>10</v>
      </c>
      <c r="D70" s="41" t="s">
        <v>120</v>
      </c>
      <c r="E70" s="38" t="s">
        <v>97</v>
      </c>
      <c r="F70" s="40"/>
      <c r="G70" s="40"/>
      <c r="H70" s="52">
        <f t="shared" si="0"/>
        <v>12726.024955542893</v>
      </c>
      <c r="I70" s="53">
        <f>SUM(J70:Q70)*IF(입력란!$C$16=1,1.04,IF(입력란!$C$16=2,1.1,IF(입력란!$C$16=3,1.2,1)))*IF(입력란!$C$21=1,1+입력란!$C$38*0.001,IF(입력란!$C$21=2,1+입력란!$C$38*0.0022,IF(입력란!$C$21=3,1+입력란!$C$38*0.0045,1)))*IF(입력란!$C$18&lt;&gt;0,0.98,1)</f>
        <v>150941.91200640699</v>
      </c>
      <c r="J70" s="30">
        <f>S70*(1+IF($AK70+IF(입력란!$C$26=1,10,0)+IF(입력란!$C$9=1,10,0)+IF(MID(E70,1,1)="3",트라이포드!G$7,0)&gt;100,100,$AK70+IF(입력란!$C$26=1,10,0)+IF(입력란!$C$9=1,10,0))/100*(($AL70+트라이포드!H$7)/100-1))</f>
        <v>56212.238499319341</v>
      </c>
      <c r="K70" s="30">
        <f>T70*(1+IF($AK70+IF(입력란!$C$26=1,10,0)+IF(입력란!$C$9=1,10,0)+IF(MID(E70,5,1)="1",트라이포드!P$7,0)&gt;100,100,$AK70+IF(입력란!$C$26=1,10,0)+IF(입력란!$C$9=1,10,0)+IF(MID(E70,5,1)="1",트라이포드!P$7,0))/100*($AL70/100-1))</f>
        <v>94729.67350708766</v>
      </c>
      <c r="L70" s="30"/>
      <c r="M70" s="30"/>
      <c r="N70" s="39"/>
      <c r="O70" s="39"/>
      <c r="P70" s="39"/>
      <c r="Q70" s="30"/>
      <c r="R70" s="24">
        <f t="shared" si="1"/>
        <v>74158.926635185315</v>
      </c>
      <c r="S70" s="30">
        <f>AN70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0" s="30">
        <f>AO70*IF(입력란!$C$12=0,1,IF(입력란!$C$12=1,1.3,IF(입력란!$C$12=2,1.45,IF(입력란!$C$12=3,1.6,1))))*IF(MID(E70,3,1)="3",트라이포드!$N$7,트라이포드!$M$7)*IF(MID(E70,5,1)="2",트라이포드!$R$7,트라이포드!$Q$7)*IF(입력란!$C$9=1,IF(입력란!$C$15=0,1.05,IF(입력란!$C$15=1,1.05*1.05,IF(입력란!$C$15=2,1.05*1.12,IF(입력란!$C$15=3,1.05*1.25)))),1)</f>
        <v>59325.030804066446</v>
      </c>
      <c r="U70" s="30"/>
      <c r="V70" s="30"/>
      <c r="W70" s="39"/>
      <c r="X70" s="39"/>
      <c r="Y70" s="39"/>
      <c r="Z70" s="25"/>
      <c r="AA70" s="30">
        <f t="shared" si="2"/>
        <v>148317.85327037063</v>
      </c>
      <c r="AB70" s="30">
        <f t="shared" si="3"/>
        <v>29667.791662237745</v>
      </c>
      <c r="AC70" s="30">
        <f t="shared" si="7"/>
        <v>118650.06160813289</v>
      </c>
      <c r="AD70" s="26"/>
      <c r="AE70" s="26"/>
      <c r="AF70" s="39"/>
      <c r="AG70" s="39"/>
      <c r="AH70" s="39"/>
      <c r="AI70" s="25"/>
      <c r="AJ70" s="26">
        <f>AQ70*(1-입력란!$C$35/100)</f>
        <v>11.86088448936</v>
      </c>
      <c r="AK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0" s="26">
        <f>입력란!$C$47+입력란!$C$41+IF(입력란!$C$18=1,10,IF(입력란!$C$18=2,25,IF(입력란!$C$18=3,50,0)))+IF(입력란!$C$23&lt;&gt;0,-12)</f>
        <v>378.9445412</v>
      </c>
      <c r="AM70" s="30">
        <f t="shared" si="5"/>
        <v>74158.926635185315</v>
      </c>
      <c r="AN70" s="30">
        <f>(VLOOKUP(C70,$B$4:$AJ$7,4,FALSE)+VLOOKUP(C70,$B$8:$AJ$11,4,FALSE)*입력란!$C$29)*입력란!$C$48/100</f>
        <v>14833.895831118873</v>
      </c>
      <c r="AO70" s="30">
        <f>(VLOOKUP(C70,$B$4:$AJ$7,5,FALSE)+VLOOKUP(C70,$B$8:$AJ$11,5,FALSE)*입력란!$C$29)*입력란!$C$48/100</f>
        <v>59325.030804066446</v>
      </c>
      <c r="AP70" s="30"/>
      <c r="AQ70" s="28">
        <v>12</v>
      </c>
    </row>
    <row r="71" spans="2:43" ht="13.5" customHeight="1" x14ac:dyDescent="0.3">
      <c r="B71" s="31">
        <v>56</v>
      </c>
      <c r="C71" s="36">
        <v>10</v>
      </c>
      <c r="D71" s="41" t="s">
        <v>120</v>
      </c>
      <c r="E71" s="38" t="s">
        <v>112</v>
      </c>
      <c r="F71" s="40" t="s">
        <v>126</v>
      </c>
      <c r="G71" s="40"/>
      <c r="H71" s="52">
        <f t="shared" si="0"/>
        <v>19702.061824530694</v>
      </c>
      <c r="I71" s="53">
        <f>SUM(J71:Q71)*IF(입력란!$C$16=1,1.04,IF(입력란!$C$16=2,1.1,IF(입력란!$C$16=3,1.2,1)))*IF(입력란!$C$21=1,1+입력란!$C$38*0.001,IF(입력란!$C$21=2,1+입력란!$C$38*0.0022,IF(입력란!$C$21=3,1+입력란!$C$38*0.0045,1)))*IF(입력란!$C$18&lt;&gt;0,0.98,1)</f>
        <v>233683.8795029879</v>
      </c>
      <c r="J71" s="30">
        <f>S71*(1+IF($AK71+IF(입력란!$C$26=1,10,0)+IF(입력란!$C$9=1,10,0)+IF(MID(E71,1,1)="3",트라이포드!G$7,0)&gt;100,100,$AK71+IF(입력란!$C$26=1,10,0)+IF(입력란!$C$9=1,10,0))/100*(($AL71+트라이포드!H$7)/100-1))</f>
        <v>56212.238499319341</v>
      </c>
      <c r="K71" s="30">
        <f>T71*(1+IF($AK71+IF(입력란!$C$26=1,10,0)+IF(입력란!$C$9=1,10,0)+IF(MID(E71,5,1)="1",트라이포드!P$7,0)&gt;100,100,$AK71+IF(입력란!$C$26=1,10,0)+IF(입력란!$C$9=1,10,0)+IF(MID(E71,5,1)="1",트라이포드!P$7,0))/100*($AL71/100-1))</f>
        <v>177471.64100366857</v>
      </c>
      <c r="L71" s="30"/>
      <c r="M71" s="30"/>
      <c r="N71" s="39"/>
      <c r="O71" s="39"/>
      <c r="P71" s="39"/>
      <c r="Q71" s="30"/>
      <c r="R71" s="24">
        <f t="shared" si="1"/>
        <v>74158.926635185315</v>
      </c>
      <c r="S71" s="30">
        <f>AN71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1" s="30">
        <f>AO71*IF(입력란!$C$12=0,1,IF(입력란!$C$12=1,1.3,IF(입력란!$C$12=2,1.45,IF(입력란!$C$12=3,1.6,1))))*IF(MID(E71,3,1)="3",트라이포드!$N$7,트라이포드!$M$7)*IF(MID(E71,5,1)="2",트라이포드!$R$7,트라이포드!$Q$7)*IF(입력란!$C$9=1,IF(입력란!$C$15=0,1.05,IF(입력란!$C$15=1,1.05*1.05,IF(입력란!$C$15=2,1.05*1.12,IF(입력란!$C$15=3,1.05*1.25)))),1)</f>
        <v>59325.030804066446</v>
      </c>
      <c r="U71" s="30"/>
      <c r="V71" s="30"/>
      <c r="W71" s="39"/>
      <c r="X71" s="39"/>
      <c r="Y71" s="39"/>
      <c r="Z71" s="25"/>
      <c r="AA71" s="30">
        <f t="shared" si="2"/>
        <v>148317.85327037063</v>
      </c>
      <c r="AB71" s="30">
        <f t="shared" si="3"/>
        <v>29667.791662237745</v>
      </c>
      <c r="AC71" s="30">
        <f t="shared" si="7"/>
        <v>118650.06160813289</v>
      </c>
      <c r="AD71" s="26"/>
      <c r="AE71" s="26"/>
      <c r="AF71" s="39"/>
      <c r="AG71" s="39"/>
      <c r="AH71" s="39"/>
      <c r="AI71" s="25"/>
      <c r="AJ71" s="26">
        <f>AQ71*(1-입력란!$C$35/100)</f>
        <v>11.86088448936</v>
      </c>
      <c r="AK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1" s="26">
        <f>입력란!$C$47+입력란!$C$41+IF(입력란!$C$18=1,10,IF(입력란!$C$18=2,25,IF(입력란!$C$18=3,50,0)))+IF(입력란!$C$23&lt;&gt;0,-12)</f>
        <v>378.9445412</v>
      </c>
      <c r="AM71" s="30">
        <f t="shared" si="5"/>
        <v>74158.926635185315</v>
      </c>
      <c r="AN71" s="30">
        <f>(VLOOKUP(C71,$B$4:$AJ$7,4,FALSE)+VLOOKUP(C71,$B$8:$AJ$11,4,FALSE)*입력란!$C$29)*입력란!$C$48/100</f>
        <v>14833.895831118873</v>
      </c>
      <c r="AO71" s="30">
        <f>(VLOOKUP(C71,$B$4:$AJ$7,5,FALSE)+VLOOKUP(C71,$B$8:$AJ$11,5,FALSE)*입력란!$C$29)*입력란!$C$48/100</f>
        <v>59325.030804066446</v>
      </c>
      <c r="AP71" s="30"/>
      <c r="AQ71" s="28">
        <v>12</v>
      </c>
    </row>
    <row r="72" spans="2:43" ht="13.5" customHeight="1" x14ac:dyDescent="0.3">
      <c r="B72" s="31">
        <v>57</v>
      </c>
      <c r="C72" s="36">
        <v>10</v>
      </c>
      <c r="D72" s="41" t="s">
        <v>120</v>
      </c>
      <c r="E72" s="38" t="s">
        <v>113</v>
      </c>
      <c r="F72" s="40"/>
      <c r="G72" s="40"/>
      <c r="H72" s="52">
        <f t="shared" si="0"/>
        <v>18516.403687773884</v>
      </c>
      <c r="I72" s="53">
        <f>SUM(J72:Q72)*IF(입력란!$C$16=1,1.04,IF(입력란!$C$16=2,1.1,IF(입력란!$C$16=3,1.2,1)))*IF(입력란!$C$21=1,1+입력란!$C$38*0.001,IF(입력란!$C$21=2,1+입력란!$C$38*0.0022,IF(입력란!$C$21=3,1+입력란!$C$38*0.0045,1)))*IF(입력란!$C$18&lt;&gt;0,0.98,1)</f>
        <v>219620.92529904557</v>
      </c>
      <c r="J72" s="30">
        <f>S72*(1+IF($AK72+IF(입력란!$C$26=1,10,0)+IF(입력란!$C$9=1,10,0)+IF(MID(E72,1,1)="3",트라이포드!G$7,0)&gt;100,100,$AK72+IF(입력란!$C$26=1,10,0)+IF(입력란!$C$9=1,10,0))/100*(($AL72+트라이포드!H$7)/100-1))</f>
        <v>56212.238499319341</v>
      </c>
      <c r="K72" s="30">
        <f>T72*(1+IF($AK72+IF(입력란!$C$26=1,10,0)+IF(입력란!$C$9=1,10,0)+IF(MID(E72,5,1)="1",트라이포드!P$7,0)&gt;100,100,$AK72+IF(입력란!$C$26=1,10,0)+IF(입력란!$C$9=1,10,0)+IF(MID(E72,5,1)="1",트라이포드!P$7,0))/100*($AL72/100-1))</f>
        <v>163408.68679972622</v>
      </c>
      <c r="L72" s="30"/>
      <c r="M72" s="30"/>
      <c r="N72" s="39"/>
      <c r="O72" s="39"/>
      <c r="P72" s="39"/>
      <c r="Q72" s="30"/>
      <c r="R72" s="24">
        <f t="shared" si="1"/>
        <v>117169.5739681335</v>
      </c>
      <c r="S72" s="30">
        <f>AN72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2" s="30">
        <f>AO72*IF(입력란!$C$12=0,1,IF(입력란!$C$12=1,1.3,IF(입력란!$C$12=2,1.45,IF(입력란!$C$12=3,1.6,1))))*IF(MID(E72,3,1)="3",트라이포드!$N$7,트라이포드!$M$7)*IF(MID(E72,5,1)="2",트라이포드!$R$7,트라이포드!$Q$7)*IF(입력란!$C$9=1,IF(입력란!$C$15=0,1.05,IF(입력란!$C$15=1,1.05*1.05,IF(입력란!$C$15=2,1.05*1.12,IF(입력란!$C$15=3,1.05*1.25)))),1)</f>
        <v>102335.67813701462</v>
      </c>
      <c r="U72" s="30"/>
      <c r="V72" s="30"/>
      <c r="W72" s="39"/>
      <c r="X72" s="39"/>
      <c r="Y72" s="39"/>
      <c r="Z72" s="25"/>
      <c r="AA72" s="30">
        <f t="shared" si="2"/>
        <v>234339.14793626699</v>
      </c>
      <c r="AB72" s="30">
        <f t="shared" si="3"/>
        <v>29667.791662237745</v>
      </c>
      <c r="AC72" s="30">
        <f t="shared" si="7"/>
        <v>204671.35627402924</v>
      </c>
      <c r="AD72" s="26"/>
      <c r="AE72" s="26"/>
      <c r="AF72" s="39"/>
      <c r="AG72" s="39"/>
      <c r="AH72" s="39"/>
      <c r="AI72" s="25"/>
      <c r="AJ72" s="26">
        <f>AQ72*(1-입력란!$C$35/100)</f>
        <v>11.86088448936</v>
      </c>
      <c r="AK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2" s="26">
        <f>입력란!$C$47+입력란!$C$41+IF(입력란!$C$18=1,10,IF(입력란!$C$18=2,25,IF(입력란!$C$18=3,50,0)))+IF(입력란!$C$23&lt;&gt;0,-12)</f>
        <v>378.9445412</v>
      </c>
      <c r="AM72" s="30">
        <f t="shared" si="5"/>
        <v>74158.926635185315</v>
      </c>
      <c r="AN72" s="30">
        <f>(VLOOKUP(C72,$B$4:$AJ$7,4,FALSE)+VLOOKUP(C72,$B$8:$AJ$11,4,FALSE)*입력란!$C$29)*입력란!$C$48/100</f>
        <v>14833.895831118873</v>
      </c>
      <c r="AO72" s="30">
        <f>(VLOOKUP(C72,$B$4:$AJ$7,5,FALSE)+VLOOKUP(C72,$B$8:$AJ$11,5,FALSE)*입력란!$C$29)*입력란!$C$48/100</f>
        <v>59325.030804066446</v>
      </c>
      <c r="AP72" s="30"/>
      <c r="AQ72" s="28">
        <v>12</v>
      </c>
    </row>
    <row r="73" spans="2:43" ht="13.5" customHeight="1" x14ac:dyDescent="0.3">
      <c r="B73" s="31">
        <v>58</v>
      </c>
      <c r="C73" s="36">
        <v>10</v>
      </c>
      <c r="D73" s="41" t="s">
        <v>120</v>
      </c>
      <c r="E73" s="38" t="s">
        <v>111</v>
      </c>
      <c r="F73" s="40" t="s">
        <v>125</v>
      </c>
      <c r="G73" s="40"/>
      <c r="H73" s="52">
        <f t="shared" si="0"/>
        <v>15920.716669877234</v>
      </c>
      <c r="I73" s="53">
        <f>SUM(J73:Q73)*IF(입력란!$C$16=1,1.04,IF(입력란!$C$16=2,1.1,IF(입력란!$C$16=3,1.2,1)))*IF(입력란!$C$21=1,1+입력란!$C$38*0.001,IF(입력란!$C$21=2,1+입력란!$C$38*0.0022,IF(입력란!$C$21=3,1+입력란!$C$38*0.0045,1)))*IF(입력란!$C$18&lt;&gt;0,0.98,1)</f>
        <v>188833.78140924207</v>
      </c>
      <c r="J73" s="30">
        <f>S73*(1+IF($AK73+IF(입력란!$C$26=1,10,0)+IF(입력란!$C$9=1,10,0)+IF(MID(E73,1,1)="3",트라이포드!G$7,0)&gt;100,100,$AK73+IF(입력란!$C$26=1,10,0)+IF(입력란!$C$9=1,10,0))/100*(($AL73+트라이포드!H$7)/100-1))</f>
        <v>56212.238499319341</v>
      </c>
      <c r="K73" s="30">
        <f>T73*(1+IF($AK73+IF(입력란!$C$26=1,10,0)+IF(입력란!$C$9=1,10,0)+IF(MID(E73,5,1)="1",트라이포드!P$7,0)&gt;100,100,$AK73+IF(입력란!$C$26=1,10,0)+IF(입력란!$C$9=1,10,0)+IF(MID(E73,5,1)="1",트라이포드!P$7,0))/100*($AL73/100-1))</f>
        <v>132621.54290992272</v>
      </c>
      <c r="L73" s="30"/>
      <c r="M73" s="30"/>
      <c r="N73" s="39"/>
      <c r="O73" s="39"/>
      <c r="P73" s="39"/>
      <c r="Q73" s="30"/>
      <c r="R73" s="24">
        <f t="shared" si="1"/>
        <v>97888.938956811893</v>
      </c>
      <c r="S73" s="30">
        <f>AN73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3" s="30">
        <f>AO73*IF(입력란!$C$12=0,1,IF(입력란!$C$12=1,1.3,IF(입력란!$C$12=2,1.45,IF(입력란!$C$12=3,1.6,1))))*IF(MID(E73,3,1)="3",트라이포드!$N$7,트라이포드!$M$7)*IF(MID(E73,5,1)="2",트라이포드!$R$7,트라이포드!$Q$7)*IF(입력란!$C$9=1,IF(입력란!$C$15=0,1.05,IF(입력란!$C$15=1,1.05*1.05,IF(입력란!$C$15=2,1.05*1.12,IF(입력란!$C$15=3,1.05*1.25)))),1)</f>
        <v>83055.043125693017</v>
      </c>
      <c r="U73" s="30"/>
      <c r="V73" s="30"/>
      <c r="W73" s="39"/>
      <c r="X73" s="39"/>
      <c r="Y73" s="39"/>
      <c r="Z73" s="25"/>
      <c r="AA73" s="30">
        <f t="shared" si="2"/>
        <v>195777.87791362379</v>
      </c>
      <c r="AB73" s="30">
        <f t="shared" si="3"/>
        <v>29667.791662237745</v>
      </c>
      <c r="AC73" s="30">
        <f t="shared" si="7"/>
        <v>166110.08625138603</v>
      </c>
      <c r="AD73" s="26"/>
      <c r="AE73" s="26"/>
      <c r="AF73" s="39"/>
      <c r="AG73" s="39"/>
      <c r="AH73" s="39"/>
      <c r="AI73" s="25"/>
      <c r="AJ73" s="26">
        <f>AQ73*(1-입력란!$C$35/100)</f>
        <v>11.86088448936</v>
      </c>
      <c r="AK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3" s="26">
        <f>입력란!$C$47+입력란!$C$41+IF(입력란!$C$18=1,10,IF(입력란!$C$18=2,25,IF(입력란!$C$18=3,50,0)))+IF(입력란!$C$23&lt;&gt;0,-12)</f>
        <v>378.9445412</v>
      </c>
      <c r="AM73" s="30">
        <f t="shared" si="5"/>
        <v>74158.926635185315</v>
      </c>
      <c r="AN73" s="30">
        <f>(VLOOKUP(C73,$B$4:$AJ$7,4,FALSE)+VLOOKUP(C73,$B$8:$AJ$11,4,FALSE)*입력란!$C$29)*입력란!$C$48/100</f>
        <v>14833.895831118873</v>
      </c>
      <c r="AO73" s="30">
        <f>(VLOOKUP(C73,$B$4:$AJ$7,5,FALSE)+VLOOKUP(C73,$B$8:$AJ$11,5,FALSE)*입력란!$C$29)*입력란!$C$48/100</f>
        <v>59325.030804066446</v>
      </c>
      <c r="AP73" s="30"/>
      <c r="AQ73" s="28">
        <v>12</v>
      </c>
    </row>
    <row r="74" spans="2:43" ht="13.5" customHeight="1" x14ac:dyDescent="0.3">
      <c r="B74" s="31">
        <v>59</v>
      </c>
      <c r="C74" s="36">
        <v>10</v>
      </c>
      <c r="D74" s="41" t="s">
        <v>120</v>
      </c>
      <c r="E74" s="38" t="s">
        <v>118</v>
      </c>
      <c r="F74" s="40" t="s">
        <v>127</v>
      </c>
      <c r="G74" s="40"/>
      <c r="H74" s="52">
        <f t="shared" si="0"/>
        <v>25687.16828646015</v>
      </c>
      <c r="I74" s="53">
        <f>SUM(J74:Q74)*IF(입력란!$C$16=1,1.04,IF(입력란!$C$16=2,1.1,IF(입력란!$C$16=3,1.2,1)))*IF(입력란!$C$21=1,1+입력란!$C$38*0.001,IF(입력란!$C$21=2,1+입력란!$C$38*0.0022,IF(입력란!$C$21=3,1+입력란!$C$38*0.0045,1)))*IF(입력란!$C$18&lt;&gt;0,0.98,1)</f>
        <v>304672.53590445529</v>
      </c>
      <c r="J74" s="30">
        <f>S74*(1+IF($AK74+IF(입력란!$C$26=1,10,0)+IF(입력란!$C$9=1,10,0)+IF(MID(E74,1,1)="3",트라이포드!G$7,0)&gt;100,100,$AK74+IF(입력란!$C$26=1,10,0)+IF(입력란!$C$9=1,10,0))/100*(($AL74+트라이포드!H$7)/100-1))</f>
        <v>56212.238499319341</v>
      </c>
      <c r="K74" s="30">
        <f>T74*(1+IF($AK74+IF(입력란!$C$26=1,10,0)+IF(입력란!$C$9=1,10,0)+IF(MID(E74,5,1)="1",트라이포드!P$7,0)&gt;100,100,$AK74+IF(입력란!$C$26=1,10,0)+IF(입력란!$C$9=1,10,0)+IF(MID(E74,5,1)="1",트라이포드!P$7,0))/100*($AL74/100-1))</f>
        <v>248460.29740513596</v>
      </c>
      <c r="L74" s="30"/>
      <c r="M74" s="30"/>
      <c r="N74" s="39"/>
      <c r="O74" s="39"/>
      <c r="P74" s="39"/>
      <c r="Q74" s="30"/>
      <c r="R74" s="24">
        <f t="shared" si="1"/>
        <v>97888.938956811893</v>
      </c>
      <c r="S74" s="30">
        <f>AN74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4" s="30">
        <f>AO74*IF(입력란!$C$12=0,1,IF(입력란!$C$12=1,1.3,IF(입력란!$C$12=2,1.45,IF(입력란!$C$12=3,1.6,1))))*IF(MID(E74,3,1)="3",트라이포드!$N$7,트라이포드!$M$7)*IF(MID(E74,5,1)="2",트라이포드!$R$7,트라이포드!$Q$7)*IF(입력란!$C$9=1,IF(입력란!$C$15=0,1.05,IF(입력란!$C$15=1,1.05*1.05,IF(입력란!$C$15=2,1.05*1.12,IF(입력란!$C$15=3,1.05*1.25)))),1)</f>
        <v>83055.043125693017</v>
      </c>
      <c r="U74" s="30"/>
      <c r="V74" s="30"/>
      <c r="W74" s="39"/>
      <c r="X74" s="39"/>
      <c r="Y74" s="39"/>
      <c r="Z74" s="25"/>
      <c r="AA74" s="30">
        <f t="shared" si="2"/>
        <v>195777.87791362379</v>
      </c>
      <c r="AB74" s="30">
        <f t="shared" si="3"/>
        <v>29667.791662237745</v>
      </c>
      <c r="AC74" s="30">
        <f t="shared" si="7"/>
        <v>166110.08625138603</v>
      </c>
      <c r="AD74" s="26"/>
      <c r="AE74" s="26"/>
      <c r="AF74" s="39"/>
      <c r="AG74" s="39"/>
      <c r="AH74" s="39"/>
      <c r="AI74" s="25"/>
      <c r="AJ74" s="26">
        <f>AQ74*(1-입력란!$C$35/100)</f>
        <v>11.86088448936</v>
      </c>
      <c r="AK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4" s="26">
        <f>입력란!$C$47+입력란!$C$41+IF(입력란!$C$18=1,10,IF(입력란!$C$18=2,25,IF(입력란!$C$18=3,50,0)))+IF(입력란!$C$23&lt;&gt;0,-12)</f>
        <v>378.9445412</v>
      </c>
      <c r="AM74" s="30">
        <f t="shared" si="5"/>
        <v>74158.926635185315</v>
      </c>
      <c r="AN74" s="30">
        <f>(VLOOKUP(C74,$B$4:$AJ$7,4,FALSE)+VLOOKUP(C74,$B$8:$AJ$11,4,FALSE)*입력란!$C$29)*입력란!$C$48/100</f>
        <v>14833.895831118873</v>
      </c>
      <c r="AO74" s="30">
        <f>(VLOOKUP(C74,$B$4:$AJ$7,5,FALSE)+VLOOKUP(C74,$B$8:$AJ$11,5,FALSE)*입력란!$C$29)*입력란!$C$48/100</f>
        <v>59325.030804066446</v>
      </c>
      <c r="AP74" s="30"/>
      <c r="AQ74" s="28">
        <v>12</v>
      </c>
    </row>
    <row r="75" spans="2:43" ht="13.5" customHeight="1" x14ac:dyDescent="0.3">
      <c r="B75" s="31">
        <v>60</v>
      </c>
      <c r="C75" s="36">
        <v>10</v>
      </c>
      <c r="D75" s="41" t="s">
        <v>120</v>
      </c>
      <c r="E75" s="38" t="s">
        <v>119</v>
      </c>
      <c r="F75" s="40" t="s">
        <v>125</v>
      </c>
      <c r="G75" s="40"/>
      <c r="H75" s="52">
        <f t="shared" si="0"/>
        <v>24027.246895000615</v>
      </c>
      <c r="I75" s="53">
        <f>SUM(J75:Q75)*IF(입력란!$C$16=1,1.04,IF(입력란!$C$16=2,1.1,IF(입력란!$C$16=3,1.2,1)))*IF(입력란!$C$21=1,1+입력란!$C$38*0.001,IF(입력란!$C$21=2,1+입력란!$C$38*0.0022,IF(입력란!$C$21=3,1+입력란!$C$38*0.0045,1)))*IF(입력란!$C$18&lt;&gt;0,0.98,1)</f>
        <v>284984.40001893602</v>
      </c>
      <c r="J75" s="30">
        <f>S75*(1+IF($AK75+IF(입력란!$C$26=1,10,0)+IF(입력란!$C$9=1,10,0)+IF(MID(E75,1,1)="3",트라이포드!G$7,0)&gt;100,100,$AK75+IF(입력란!$C$26=1,10,0)+IF(입력란!$C$9=1,10,0))/100*(($AL75+트라이포드!H$7)/100-1))</f>
        <v>56212.238499319341</v>
      </c>
      <c r="K75" s="30">
        <f>T75*(1+IF($AK75+IF(입력란!$C$26=1,10,0)+IF(입력란!$C$9=1,10,0)+IF(MID(E75,5,1)="1",트라이포드!P$7,0)&gt;100,100,$AK75+IF(입력란!$C$26=1,10,0)+IF(입력란!$C$9=1,10,0)+IF(MID(E75,5,1)="1",트라이포드!P$7,0))/100*($AL75/100-1))</f>
        <v>228772.1615196167</v>
      </c>
      <c r="L75" s="30"/>
      <c r="M75" s="30"/>
      <c r="N75" s="39"/>
      <c r="O75" s="39"/>
      <c r="P75" s="39"/>
      <c r="Q75" s="30"/>
      <c r="R75" s="24">
        <f t="shared" si="1"/>
        <v>158103.84522293933</v>
      </c>
      <c r="S75" s="30">
        <f>AN75*IF(입력란!$C$12=0,1,IF(입력란!$C$12=1,1.3,IF(입력란!$C$12=2,1.45,IF(입력란!$C$12=3,1.6,1))))*IF(입력란!$C$10=1,1.2,IF(입력란!$C$9=1,IF(입력란!$C$15=0,1.05,IF(입력란!$C$15=1,1.05*1.05,IF(입력란!$C$15=2,1.05*1.12,IF(입력란!$C$15=3,1.05*1.25)))),1))</f>
        <v>14833.895831118873</v>
      </c>
      <c r="T75" s="30">
        <f>AO75*IF(입력란!$C$12=0,1,IF(입력란!$C$12=1,1.3,IF(입력란!$C$12=2,1.45,IF(입력란!$C$12=3,1.6,1))))*IF(MID(E75,3,1)="3",트라이포드!$N$7,트라이포드!$M$7)*IF(MID(E75,5,1)="2",트라이포드!$R$7,트라이포드!$Q$7)*IF(입력란!$C$9=1,IF(입력란!$C$15=0,1.05,IF(입력란!$C$15=1,1.05*1.05,IF(입력란!$C$15=2,1.05*1.12,IF(입력란!$C$15=3,1.05*1.25)))),1)</f>
        <v>143269.94939182047</v>
      </c>
      <c r="U75" s="30"/>
      <c r="V75" s="30"/>
      <c r="W75" s="39"/>
      <c r="X75" s="39"/>
      <c r="Y75" s="39"/>
      <c r="Z75" s="25"/>
      <c r="AA75" s="30">
        <f t="shared" si="2"/>
        <v>316207.69044587866</v>
      </c>
      <c r="AB75" s="30">
        <f t="shared" si="3"/>
        <v>29667.791662237745</v>
      </c>
      <c r="AC75" s="30">
        <f t="shared" si="7"/>
        <v>286539.89878364094</v>
      </c>
      <c r="AD75" s="26"/>
      <c r="AE75" s="26"/>
      <c r="AF75" s="39"/>
      <c r="AG75" s="39"/>
      <c r="AH75" s="39"/>
      <c r="AI75" s="25"/>
      <c r="AJ75" s="26">
        <f>AQ75*(1-입력란!$C$35/100)</f>
        <v>11.86088448936</v>
      </c>
      <c r="AK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5" s="26">
        <f>입력란!$C$47+입력란!$C$41+IF(입력란!$C$18=1,10,IF(입력란!$C$18=2,25,IF(입력란!$C$18=3,50,0)))+IF(입력란!$C$23&lt;&gt;0,-12)</f>
        <v>378.9445412</v>
      </c>
      <c r="AM75" s="30">
        <f t="shared" si="5"/>
        <v>74158.926635185315</v>
      </c>
      <c r="AN75" s="30">
        <f>(VLOOKUP(C75,$B$4:$AJ$7,4,FALSE)+VLOOKUP(C75,$B$8:$AJ$11,4,FALSE)*입력란!$C$29)*입력란!$C$48/100</f>
        <v>14833.895831118873</v>
      </c>
      <c r="AO75" s="30">
        <f>(VLOOKUP(C75,$B$4:$AJ$7,5,FALSE)+VLOOKUP(C75,$B$8:$AJ$11,5,FALSE)*입력란!$C$29)*입력란!$C$48/100</f>
        <v>59325.030804066446</v>
      </c>
      <c r="AP75" s="30"/>
      <c r="AQ75" s="28">
        <v>12</v>
      </c>
    </row>
    <row r="76" spans="2:43" ht="13.5" customHeight="1" x14ac:dyDescent="0.3">
      <c r="B76" s="31">
        <v>61</v>
      </c>
      <c r="C76" s="36">
        <v>1</v>
      </c>
      <c r="D76" s="37" t="s">
        <v>131</v>
      </c>
      <c r="E76" s="38" t="s">
        <v>96</v>
      </c>
      <c r="F76" s="40"/>
      <c r="G76" s="40" t="s">
        <v>133</v>
      </c>
      <c r="H76" s="52">
        <f t="shared" si="0"/>
        <v>13561.062131308552</v>
      </c>
      <c r="I76" s="53">
        <f>SUM(J76:Q76)*IF(입력란!$C$16=1,1.04,IF(입력란!$C$16=2,1.1,IF(입력란!$C$16=3,1.2,1)))*IF(입력란!$C$21=1,1+입력란!$C$38*0.001,IF(입력란!$C$21=2,1+입력란!$C$38*0.0022,IF(입력란!$C$21=3,1+입력란!$C$38*0.0045,1)))*IF(입력란!$C$18&lt;&gt;0,0.98,1)</f>
        <v>107230.79432832325</v>
      </c>
      <c r="J76" s="30">
        <f>S76*(1+IF($AK76+IF(입력란!$C$26=1,10,0)+IF(MID(E76,3,1)="3",트라이포드!N$8,0)&gt;100,100,$AK76+IF(입력란!$C$26=1,10,0)+IF(MID(E76,3,1)="3",트라이포드!N$8,0))/100*($AL76/100-1))</f>
        <v>107230.79432832325</v>
      </c>
      <c r="K76" s="30"/>
      <c r="L76" s="30"/>
      <c r="M76" s="30"/>
      <c r="N76" s="39"/>
      <c r="O76" s="39"/>
      <c r="P76" s="39"/>
      <c r="Q76" s="30"/>
      <c r="R76" s="24">
        <f t="shared" si="1"/>
        <v>67153.933304713923</v>
      </c>
      <c r="S76" s="30">
        <f>AN76*IF(입력란!$C$12=0,1,IF(입력란!$C$12=1,1.3,IF(입력란!$C$12=2,1.45,IF(입력란!$C$12=3,1.6,1))))*IF(MID(E76,5,1)="1",10*트라이포드!$P$8,10)*IF(MID(E76,5,1)="2",트라이포드!$R$8,트라이포드!$Q$8)</f>
        <v>67153.933304713923</v>
      </c>
      <c r="T76" s="30"/>
      <c r="U76" s="30"/>
      <c r="V76" s="30"/>
      <c r="W76" s="39"/>
      <c r="X76" s="39"/>
      <c r="Y76" s="39"/>
      <c r="Z76" s="25"/>
      <c r="AA76" s="30">
        <f t="shared" si="2"/>
        <v>134307.86660942785</v>
      </c>
      <c r="AB76" s="30">
        <f t="shared" si="3"/>
        <v>134307.86660942785</v>
      </c>
      <c r="AC76" s="30"/>
      <c r="AD76" s="26"/>
      <c r="AE76" s="26"/>
      <c r="AF76" s="39"/>
      <c r="AG76" s="39"/>
      <c r="AH76" s="39"/>
      <c r="AI76" s="25"/>
      <c r="AJ76" s="26">
        <f>AQ76*(1-입력란!$C$35/100)</f>
        <v>7.9072563262399997</v>
      </c>
      <c r="AK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6" s="26">
        <f>입력란!$C$47+입력란!$C$41+IF(입력란!$C$18=1,10,IF(입력란!$C$18=2,25,IF(입력란!$C$18=3,50,0)))+IF(입력란!$C$23&lt;&gt;0,-12)</f>
        <v>378.9445412</v>
      </c>
      <c r="AM76" s="30">
        <f t="shared" si="5"/>
        <v>6715.3933304713919</v>
      </c>
      <c r="AN76" s="30">
        <f>(VLOOKUP(C76,$B$4:$AJ$7,6,FALSE)+VLOOKUP(C76,$B$8:$AJ$11,6,FALSE)*입력란!$C$29)*입력란!$C$48/100</f>
        <v>6715.3933304713919</v>
      </c>
      <c r="AO76" s="26"/>
      <c r="AP76" s="30"/>
      <c r="AQ76" s="28">
        <v>8</v>
      </c>
    </row>
    <row r="77" spans="2:43" ht="13.5" customHeight="1" x14ac:dyDescent="0.3">
      <c r="B77" s="31">
        <v>62</v>
      </c>
      <c r="C77" s="36">
        <v>4</v>
      </c>
      <c r="D77" s="37" t="s">
        <v>131</v>
      </c>
      <c r="E77" s="38" t="s">
        <v>96</v>
      </c>
      <c r="F77" s="40"/>
      <c r="G77" s="40" t="s">
        <v>133</v>
      </c>
      <c r="H77" s="52">
        <f t="shared" si="0"/>
        <v>13590.949244343714</v>
      </c>
      <c r="I77" s="53">
        <f>SUM(J77:Q77)*IF(입력란!$C$16=1,1.04,IF(입력란!$C$16=2,1.1,IF(입력란!$C$16=3,1.2,1)))*IF(입력란!$C$21=1,1+입력란!$C$38*0.001,IF(입력란!$C$21=2,1+입력란!$C$38*0.0022,IF(입력란!$C$21=3,1+입력란!$C$38*0.0045,1)))*IF(입력란!$C$18&lt;&gt;0,0.98,1)</f>
        <v>107467.11939194358</v>
      </c>
      <c r="J77" s="30">
        <f>S77*(1+IF($AK77+IF(입력란!$C$26=1,10,0)+IF(MID(E77,3,1)="3",트라이포드!N$8,0)&gt;100,100,$AK77+IF(입력란!$C$26=1,10,0)+IF(MID(E77,3,1)="3",트라이포드!N$8,0))/100*($AL77/100-1))</f>
        <v>107467.11939194358</v>
      </c>
      <c r="K77" s="30"/>
      <c r="L77" s="30"/>
      <c r="M77" s="30"/>
      <c r="N77" s="39"/>
      <c r="O77" s="39"/>
      <c r="P77" s="39"/>
      <c r="Q77" s="30"/>
      <c r="R77" s="24">
        <f t="shared" si="1"/>
        <v>67301.933304713923</v>
      </c>
      <c r="S77" s="30">
        <f>AN77*IF(입력란!$C$12=0,1,IF(입력란!$C$12=1,1.3,IF(입력란!$C$12=2,1.45,IF(입력란!$C$12=3,1.6,1))))*IF(MID(E77,5,1)="1",10*트라이포드!$P$8,10)*IF(MID(E77,5,1)="2",트라이포드!$R$8,트라이포드!$Q$8)</f>
        <v>67301.933304713923</v>
      </c>
      <c r="T77" s="30"/>
      <c r="U77" s="30"/>
      <c r="V77" s="30"/>
      <c r="W77" s="39"/>
      <c r="X77" s="39"/>
      <c r="Y77" s="39"/>
      <c r="Z77" s="25"/>
      <c r="AA77" s="30">
        <f t="shared" si="2"/>
        <v>134603.86660942785</v>
      </c>
      <c r="AB77" s="30">
        <f t="shared" si="3"/>
        <v>134603.86660942785</v>
      </c>
      <c r="AC77" s="30"/>
      <c r="AD77" s="26"/>
      <c r="AE77" s="26"/>
      <c r="AF77" s="39"/>
      <c r="AG77" s="39"/>
      <c r="AH77" s="39"/>
      <c r="AI77" s="25"/>
      <c r="AJ77" s="26">
        <f>AQ77*(1-입력란!$C$35/100)</f>
        <v>7.9072563262399997</v>
      </c>
      <c r="AK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7" s="26">
        <f>입력란!$C$47+입력란!$C$41+IF(입력란!$C$18=1,10,IF(입력란!$C$18=2,25,IF(입력란!$C$18=3,50,0)))+IF(입력란!$C$23&lt;&gt;0,-12)</f>
        <v>378.9445412</v>
      </c>
      <c r="AM77" s="30">
        <f t="shared" si="5"/>
        <v>6730.1933304713921</v>
      </c>
      <c r="AN77" s="30">
        <f>(VLOOKUP(C77,$B$4:$AJ$7,6,FALSE)+VLOOKUP(C77,$B$8:$AJ$11,6,FALSE)*입력란!$C$29)*입력란!$C$48/100</f>
        <v>6730.1933304713921</v>
      </c>
      <c r="AO77" s="26"/>
      <c r="AP77" s="30"/>
      <c r="AQ77" s="29">
        <v>8</v>
      </c>
    </row>
    <row r="78" spans="2:43" ht="13.5" customHeight="1" x14ac:dyDescent="0.3">
      <c r="B78" s="31">
        <v>63</v>
      </c>
      <c r="C78" s="36">
        <v>7</v>
      </c>
      <c r="D78" s="37" t="s">
        <v>131</v>
      </c>
      <c r="E78" s="38" t="s">
        <v>96</v>
      </c>
      <c r="F78" s="40"/>
      <c r="G78" s="40" t="s">
        <v>133</v>
      </c>
      <c r="H78" s="52">
        <f t="shared" si="0"/>
        <v>13603.87340133189</v>
      </c>
      <c r="I78" s="53">
        <f>SUM(J78:Q78)*IF(입력란!$C$16=1,1.04,IF(입력란!$C$16=2,1.1,IF(입력란!$C$16=3,1.2,1)))*IF(입력란!$C$21=1,1+입력란!$C$38*0.001,IF(입력란!$C$21=2,1+입력란!$C$38*0.0022,IF(입력란!$C$21=3,1+입력란!$C$38*0.0045,1)))*IF(입력란!$C$18&lt;&gt;0,0.98,1)</f>
        <v>107569.31401404965</v>
      </c>
      <c r="J78" s="30">
        <f>S78*(1+IF($AK78+IF(입력란!$C$26=1,10,0)+IF(MID(E78,3,1)="3",트라이포드!N$8,0)&gt;100,100,$AK78+IF(입력란!$C$26=1,10,0)+IF(MID(E78,3,1)="3",트라이포드!N$8,0))/100*($AL78/100-1))</f>
        <v>107569.31401404965</v>
      </c>
      <c r="K78" s="30"/>
      <c r="L78" s="30"/>
      <c r="M78" s="30"/>
      <c r="N78" s="39"/>
      <c r="O78" s="39"/>
      <c r="P78" s="39"/>
      <c r="Q78" s="30"/>
      <c r="R78" s="24">
        <f t="shared" si="1"/>
        <v>67365.933304713923</v>
      </c>
      <c r="S78" s="30">
        <f>AN78*IF(입력란!$C$12=0,1,IF(입력란!$C$12=1,1.3,IF(입력란!$C$12=2,1.45,IF(입력란!$C$12=3,1.6,1))))*IF(MID(E78,5,1)="1",10*트라이포드!$P$8,10)*IF(MID(E78,5,1)="2",트라이포드!$R$8,트라이포드!$Q$8)</f>
        <v>67365.933304713923</v>
      </c>
      <c r="T78" s="30"/>
      <c r="U78" s="30"/>
      <c r="V78" s="30"/>
      <c r="W78" s="39"/>
      <c r="X78" s="39"/>
      <c r="Y78" s="39"/>
      <c r="Z78" s="25"/>
      <c r="AA78" s="30">
        <f t="shared" si="2"/>
        <v>134731.86660942785</v>
      </c>
      <c r="AB78" s="30">
        <f t="shared" si="3"/>
        <v>134731.86660942785</v>
      </c>
      <c r="AC78" s="30"/>
      <c r="AD78" s="26"/>
      <c r="AE78" s="26"/>
      <c r="AF78" s="39"/>
      <c r="AG78" s="39"/>
      <c r="AH78" s="39"/>
      <c r="AI78" s="25"/>
      <c r="AJ78" s="26">
        <f>AQ78*(1-입력란!$C$35/100)</f>
        <v>7.9072563262399997</v>
      </c>
      <c r="AK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8" s="26">
        <f>입력란!$C$47+입력란!$C$41+IF(입력란!$C$18=1,10,IF(입력란!$C$18=2,25,IF(입력란!$C$18=3,50,0)))+IF(입력란!$C$23&lt;&gt;0,-12)</f>
        <v>378.9445412</v>
      </c>
      <c r="AM78" s="30">
        <f t="shared" si="5"/>
        <v>6736.5933304713926</v>
      </c>
      <c r="AN78" s="30">
        <f>(VLOOKUP(C78,$B$4:$AJ$7,6,FALSE)+VLOOKUP(C78,$B$8:$AJ$11,6,FALSE)*입력란!$C$29)*입력란!$C$48/100</f>
        <v>6736.5933304713926</v>
      </c>
      <c r="AO78" s="26"/>
      <c r="AP78" s="30"/>
      <c r="AQ78" s="28">
        <v>8</v>
      </c>
    </row>
    <row r="79" spans="2:43" ht="13.5" customHeight="1" x14ac:dyDescent="0.3">
      <c r="B79" s="31">
        <v>64</v>
      </c>
      <c r="C79" s="36">
        <v>7</v>
      </c>
      <c r="D79" s="37" t="s">
        <v>131</v>
      </c>
      <c r="E79" s="38" t="s">
        <v>100</v>
      </c>
      <c r="F79" s="40"/>
      <c r="G79" s="40" t="s">
        <v>133</v>
      </c>
      <c r="H79" s="52">
        <f t="shared" si="0"/>
        <v>20733.284128476771</v>
      </c>
      <c r="I79" s="53">
        <f>SUM(J79:Q79)*IF(입력란!$C$16=1,1.04,IF(입력란!$C$16=2,1.1,IF(입력란!$C$16=3,1.2,1)))*IF(입력란!$C$21=1,1+입력란!$C$38*0.001,IF(입력란!$C$21=2,1+입력란!$C$38*0.0022,IF(입력란!$C$21=3,1+입력란!$C$38*0.0045,1)))*IF(입력란!$C$18&lt;&gt;0,0.98,1)</f>
        <v>163943.39208862933</v>
      </c>
      <c r="J79" s="30">
        <f>S79*(1+IF($AK79+IF(입력란!$C$26=1,10,0)+IF(MID(E79,3,1)="3",트라이포드!N$8,0)&gt;100,100,$AK79+IF(입력란!$C$26=1,10,0)+IF(MID(E79,3,1)="3",트라이포드!N$8,0))/100*($AL79/100-1))</f>
        <v>163943.39208862933</v>
      </c>
      <c r="K79" s="30"/>
      <c r="L79" s="30"/>
      <c r="M79" s="30"/>
      <c r="N79" s="39"/>
      <c r="O79" s="39"/>
      <c r="P79" s="39"/>
      <c r="Q79" s="30"/>
      <c r="R79" s="24">
        <f t="shared" si="1"/>
        <v>67365.933304713923</v>
      </c>
      <c r="S79" s="30">
        <f>AN79*IF(입력란!$C$12=0,1,IF(입력란!$C$12=1,1.3,IF(입력란!$C$12=2,1.45,IF(입력란!$C$12=3,1.6,1))))*IF(MID(E79,5,1)="1",10*트라이포드!$P$8,10)*IF(MID(E79,5,1)="2",트라이포드!$R$8,트라이포드!$Q$8)</f>
        <v>67365.933304713923</v>
      </c>
      <c r="T79" s="30"/>
      <c r="U79" s="30"/>
      <c r="V79" s="30"/>
      <c r="W79" s="39"/>
      <c r="X79" s="39"/>
      <c r="Y79" s="39"/>
      <c r="Z79" s="25"/>
      <c r="AA79" s="30">
        <f t="shared" si="2"/>
        <v>134731.86660942785</v>
      </c>
      <c r="AB79" s="30">
        <f t="shared" si="3"/>
        <v>134731.86660942785</v>
      </c>
      <c r="AC79" s="30"/>
      <c r="AD79" s="26"/>
      <c r="AE79" s="26"/>
      <c r="AF79" s="39"/>
      <c r="AG79" s="39"/>
      <c r="AH79" s="39"/>
      <c r="AI79" s="25"/>
      <c r="AJ79" s="26">
        <f>AQ79*(1-입력란!$C$35/100)</f>
        <v>7.9072563262399997</v>
      </c>
      <c r="AK7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79" s="26">
        <f>입력란!$C$47+입력란!$C$41+IF(입력란!$C$18=1,10,IF(입력란!$C$18=2,25,IF(입력란!$C$18=3,50,0)))+IF(입력란!$C$23&lt;&gt;0,-12)</f>
        <v>378.9445412</v>
      </c>
      <c r="AM79" s="30">
        <f t="shared" si="5"/>
        <v>6736.5933304713926</v>
      </c>
      <c r="AN79" s="30">
        <f>(VLOOKUP(C79,$B$4:$AJ$7,6,FALSE)+VLOOKUP(C79,$B$8:$AJ$11,6,FALSE)*입력란!$C$29)*입력란!$C$48/100</f>
        <v>6736.5933304713926</v>
      </c>
      <c r="AO79" s="26"/>
      <c r="AP79" s="30"/>
      <c r="AQ79" s="29">
        <v>8</v>
      </c>
    </row>
    <row r="80" spans="2:43" ht="13.5" customHeight="1" x14ac:dyDescent="0.3">
      <c r="B80" s="31">
        <v>65</v>
      </c>
      <c r="C80" s="36">
        <v>10</v>
      </c>
      <c r="D80" s="37" t="s">
        <v>131</v>
      </c>
      <c r="E80" s="38" t="s">
        <v>96</v>
      </c>
      <c r="F80" s="40"/>
      <c r="G80" s="40" t="s">
        <v>133</v>
      </c>
      <c r="H80" s="52">
        <f t="shared" ref="H80:H143" si="8">I80/AJ80</f>
        <v>13612.758759261264</v>
      </c>
      <c r="I80" s="53">
        <f>SUM(J80:Q80)*IF(입력란!$C$16=1,1.04,IF(입력란!$C$16=2,1.1,IF(입력란!$C$16=3,1.2,1)))*IF(입력란!$C$21=1,1+입력란!$C$38*0.001,IF(입력란!$C$21=2,1+입력란!$C$38*0.0022,IF(입력란!$C$21=3,1+입력란!$C$38*0.0045,1)))*IF(입력란!$C$18&lt;&gt;0,0.98,1)</f>
        <v>107639.57281674759</v>
      </c>
      <c r="J80" s="30">
        <f>S80*(1+IF($AK80+IF(입력란!$C$26=1,10,0)+IF(MID(E80,3,1)="3",트라이포드!N$8,0)&gt;100,100,$AK80+IF(입력란!$C$26=1,10,0)+IF(MID(E80,3,1)="3",트라이포드!N$8,0))/100*($AL80/100-1))</f>
        <v>107639.57281674759</v>
      </c>
      <c r="K80" s="30"/>
      <c r="L80" s="30"/>
      <c r="M80" s="30"/>
      <c r="N80" s="39"/>
      <c r="O80" s="39"/>
      <c r="P80" s="39"/>
      <c r="Q80" s="30"/>
      <c r="R80" s="24">
        <f t="shared" ref="R80:R143" si="9">SUM(S80:Z80)</f>
        <v>67409.933304713923</v>
      </c>
      <c r="S80" s="30">
        <f>AN80*IF(입력란!$C$12=0,1,IF(입력란!$C$12=1,1.3,IF(입력란!$C$12=2,1.45,IF(입력란!$C$12=3,1.6,1))))*IF(MID(E80,5,1)="1",10*트라이포드!$P$8,10)*IF(MID(E80,5,1)="2",트라이포드!$R$8,트라이포드!$Q$8)</f>
        <v>67409.933304713923</v>
      </c>
      <c r="T80" s="30"/>
      <c r="U80" s="30"/>
      <c r="V80" s="30"/>
      <c r="W80" s="39"/>
      <c r="X80" s="39"/>
      <c r="Y80" s="39"/>
      <c r="Z80" s="25"/>
      <c r="AA80" s="30">
        <f t="shared" ref="AA80:AA143" si="10">SUM(AB80:AI80)</f>
        <v>134819.86660942785</v>
      </c>
      <c r="AB80" s="30">
        <f t="shared" ref="AB80:AB143" si="11">S80*2</f>
        <v>134819.86660942785</v>
      </c>
      <c r="AC80" s="30"/>
      <c r="AD80" s="26"/>
      <c r="AE80" s="26"/>
      <c r="AF80" s="39"/>
      <c r="AG80" s="39"/>
      <c r="AH80" s="39"/>
      <c r="AI80" s="25"/>
      <c r="AJ80" s="26">
        <f>AQ80*(1-입력란!$C$35/100)</f>
        <v>7.9072563262399997</v>
      </c>
      <c r="AK8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0" s="26">
        <f>입력란!$C$47+입력란!$C$41+IF(입력란!$C$18=1,10,IF(입력란!$C$18=2,25,IF(입력란!$C$18=3,50,0)))+IF(입력란!$C$23&lt;&gt;0,-12)</f>
        <v>378.9445412</v>
      </c>
      <c r="AM80" s="30">
        <f t="shared" ref="AM80:AM143" si="12">SUM(AN80:AP80)</f>
        <v>6740.9933304713923</v>
      </c>
      <c r="AN80" s="30">
        <f>(VLOOKUP(C80,$B$4:$AJ$7,6,FALSE)+VLOOKUP(C80,$B$8:$AJ$11,6,FALSE)*입력란!$C$29)*입력란!$C$48/100</f>
        <v>6740.9933304713923</v>
      </c>
      <c r="AO80" s="26"/>
      <c r="AP80" s="30"/>
      <c r="AQ80" s="28">
        <v>8</v>
      </c>
    </row>
    <row r="81" spans="2:43" ht="13.5" customHeight="1" x14ac:dyDescent="0.3">
      <c r="B81" s="31">
        <v>66</v>
      </c>
      <c r="C81" s="36">
        <v>10</v>
      </c>
      <c r="D81" s="37" t="s">
        <v>131</v>
      </c>
      <c r="E81" s="38" t="s">
        <v>100</v>
      </c>
      <c r="F81" s="40"/>
      <c r="G81" s="40" t="s">
        <v>133</v>
      </c>
      <c r="H81" s="52">
        <f t="shared" si="8"/>
        <v>20746.826054742774</v>
      </c>
      <c r="I81" s="53">
        <f>SUM(J81:Q81)*IF(입력란!$C$16=1,1.04,IF(입력란!$C$16=2,1.1,IF(입력란!$C$16=3,1.2,1)))*IF(입력란!$C$21=1,1+입력란!$C$38*0.001,IF(입력란!$C$21=2,1+입력란!$C$38*0.0022,IF(입력란!$C$21=3,1+입력란!$C$38*0.0045,1)))*IF(입력란!$C$18&lt;&gt;0,0.98,1)</f>
        <v>164050.47157076566</v>
      </c>
      <c r="J81" s="30">
        <f>S81*(1+IF($AK81+IF(입력란!$C$26=1,10,0)+IF(MID(E81,3,1)="3",트라이포드!N$8,0)&gt;100,100,$AK81+IF(입력란!$C$26=1,10,0)+IF(MID(E81,3,1)="3",트라이포드!N$8,0))/100*($AL81/100-1))</f>
        <v>164050.47157076566</v>
      </c>
      <c r="K81" s="30"/>
      <c r="L81" s="30"/>
      <c r="M81" s="30"/>
      <c r="N81" s="39"/>
      <c r="O81" s="39"/>
      <c r="P81" s="39"/>
      <c r="Q81" s="30"/>
      <c r="R81" s="24">
        <f t="shared" si="9"/>
        <v>67409.933304713923</v>
      </c>
      <c r="S81" s="30">
        <f>AN81*IF(입력란!$C$12=0,1,IF(입력란!$C$12=1,1.3,IF(입력란!$C$12=2,1.45,IF(입력란!$C$12=3,1.6,1))))*IF(MID(E81,5,1)="1",10*트라이포드!$P$8,10)*IF(MID(E81,5,1)="2",트라이포드!$R$8,트라이포드!$Q$8)</f>
        <v>67409.933304713923</v>
      </c>
      <c r="T81" s="30"/>
      <c r="U81" s="30"/>
      <c r="V81" s="30"/>
      <c r="W81" s="39"/>
      <c r="X81" s="39"/>
      <c r="Y81" s="39"/>
      <c r="Z81" s="25"/>
      <c r="AA81" s="30">
        <f t="shared" si="10"/>
        <v>134819.86660942785</v>
      </c>
      <c r="AB81" s="30">
        <f t="shared" si="11"/>
        <v>134819.86660942785</v>
      </c>
      <c r="AC81" s="30"/>
      <c r="AD81" s="26"/>
      <c r="AE81" s="26"/>
      <c r="AF81" s="39"/>
      <c r="AG81" s="39"/>
      <c r="AH81" s="39"/>
      <c r="AI81" s="25"/>
      <c r="AJ81" s="26">
        <f>AQ81*(1-입력란!$C$35/100)</f>
        <v>7.9072563262399997</v>
      </c>
      <c r="AK8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1" s="26">
        <f>입력란!$C$47+입력란!$C$41+IF(입력란!$C$18=1,10,IF(입력란!$C$18=2,25,IF(입력란!$C$18=3,50,0)))+IF(입력란!$C$23&lt;&gt;0,-12)</f>
        <v>378.9445412</v>
      </c>
      <c r="AM81" s="30">
        <f t="shared" si="12"/>
        <v>6740.9933304713923</v>
      </c>
      <c r="AN81" s="30">
        <f>(VLOOKUP(C81,$B$4:$AJ$7,6,FALSE)+VLOOKUP(C81,$B$8:$AJ$11,6,FALSE)*입력란!$C$29)*입력란!$C$48/100</f>
        <v>6740.9933304713923</v>
      </c>
      <c r="AO81" s="26"/>
      <c r="AP81" s="30"/>
      <c r="AQ81" s="29">
        <v>8</v>
      </c>
    </row>
    <row r="82" spans="2:43" ht="13.5" customHeight="1" x14ac:dyDescent="0.3">
      <c r="B82" s="31">
        <v>67</v>
      </c>
      <c r="C82" s="36">
        <v>10</v>
      </c>
      <c r="D82" s="37" t="s">
        <v>131</v>
      </c>
      <c r="E82" s="38" t="s">
        <v>123</v>
      </c>
      <c r="F82" s="40"/>
      <c r="G82" s="40" t="s">
        <v>132</v>
      </c>
      <c r="H82" s="52">
        <f t="shared" si="8"/>
        <v>18377.224325002702</v>
      </c>
      <c r="I82" s="53">
        <f>SUM(J82:Q82)*IF(입력란!$C$16=1,1.04,IF(입력란!$C$16=2,1.1,IF(입력란!$C$16=3,1.2,1)))*IF(입력란!$C$21=1,1+입력란!$C$38*0.001,IF(입력란!$C$21=2,1+입력란!$C$38*0.0022,IF(입력란!$C$21=3,1+입력란!$C$38*0.0045,1)))*IF(입력란!$C$18&lt;&gt;0,0.98,1)</f>
        <v>145313.42330260924</v>
      </c>
      <c r="J82" s="30">
        <f>S82*(1+IF($AK82+IF(입력란!$C$26=1,10,0)+IF(MID(E82,3,1)="3",트라이포드!N$8,0)&gt;100,100,$AK82+IF(입력란!$C$26=1,10,0)+IF(MID(E82,3,1)="3",트라이포드!N$8,0))/100*($AL82/100-1))</f>
        <v>145313.42330260924</v>
      </c>
      <c r="K82" s="30"/>
      <c r="L82" s="30"/>
      <c r="M82" s="30"/>
      <c r="N82" s="39"/>
      <c r="O82" s="39"/>
      <c r="P82" s="39"/>
      <c r="Q82" s="30"/>
      <c r="R82" s="24">
        <f t="shared" si="9"/>
        <v>91003.409961363795</v>
      </c>
      <c r="S82" s="30">
        <f>AN82*IF(입력란!$C$12=0,1,IF(입력란!$C$12=1,1.3,IF(입력란!$C$12=2,1.45,IF(입력란!$C$12=3,1.6,1))))*IF(MID(E82,5,1)="1",10*트라이포드!$P$8,10)*IF(MID(E82,5,1)="2",트라이포드!$R$8,트라이포드!$Q$8)</f>
        <v>91003.409961363795</v>
      </c>
      <c r="T82" s="30"/>
      <c r="U82" s="30"/>
      <c r="V82" s="30"/>
      <c r="W82" s="39"/>
      <c r="X82" s="39"/>
      <c r="Y82" s="39"/>
      <c r="Z82" s="25"/>
      <c r="AA82" s="30">
        <f t="shared" si="10"/>
        <v>182006.81992272759</v>
      </c>
      <c r="AB82" s="30">
        <f t="shared" si="11"/>
        <v>182006.81992272759</v>
      </c>
      <c r="AC82" s="30"/>
      <c r="AD82" s="26"/>
      <c r="AE82" s="26"/>
      <c r="AF82" s="39"/>
      <c r="AG82" s="39"/>
      <c r="AH82" s="39"/>
      <c r="AI82" s="25"/>
      <c r="AJ82" s="26">
        <f>AQ82*(1-입력란!$C$35/100)</f>
        <v>7.9072563262399997</v>
      </c>
      <c r="AK8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2" s="26">
        <f>입력란!$C$47+입력란!$C$41+IF(입력란!$C$18=1,10,IF(입력란!$C$18=2,25,IF(입력란!$C$18=3,50,0)))+IF(입력란!$C$23&lt;&gt;0,-12)</f>
        <v>378.9445412</v>
      </c>
      <c r="AM82" s="30">
        <f t="shared" si="12"/>
        <v>6740.9933304713923</v>
      </c>
      <c r="AN82" s="30">
        <f>(VLOOKUP(C82,$B$4:$AJ$7,6,FALSE)+VLOOKUP(C82,$B$8:$AJ$11,6,FALSE)*입력란!$C$29)*입력란!$C$48/100</f>
        <v>6740.9933304713923</v>
      </c>
      <c r="AO82" s="26"/>
      <c r="AP82" s="30"/>
      <c r="AQ82" s="28">
        <v>8</v>
      </c>
    </row>
    <row r="83" spans="2:43" ht="13.5" customHeight="1" x14ac:dyDescent="0.3">
      <c r="B83" s="31">
        <v>68</v>
      </c>
      <c r="C83" s="40">
        <v>10</v>
      </c>
      <c r="D83" s="37" t="s">
        <v>131</v>
      </c>
      <c r="E83" s="38" t="s">
        <v>124</v>
      </c>
      <c r="F83" s="40"/>
      <c r="G83" s="40" t="s">
        <v>133</v>
      </c>
      <c r="H83" s="52">
        <f t="shared" si="8"/>
        <v>24502.965766670273</v>
      </c>
      <c r="I83" s="53">
        <f>SUM(J83:Q83)*IF(입력란!$C$16=1,1.04,IF(입력란!$C$16=2,1.1,IF(입력란!$C$16=3,1.2,1)))*IF(입력란!$C$21=1,1+입력란!$C$38*0.001,IF(입력란!$C$21=2,1+입력란!$C$38*0.0022,IF(입력란!$C$21=3,1+입력란!$C$38*0.0045,1)))*IF(입력란!$C$18&lt;&gt;0,0.98,1)</f>
        <v>193751.23107014567</v>
      </c>
      <c r="J83" s="30">
        <f>S83*(1+IF($AK83+IF(입력란!$C$26=1,10,0)+IF(MID(E83,3,1)="3",트라이포드!N$8,0)&gt;100,100,$AK83+IF(입력란!$C$26=1,10,0)+IF(MID(E83,3,1)="3",트라이포드!N$8,0))/100*($AL83/100-1))</f>
        <v>193751.23107014567</v>
      </c>
      <c r="K83" s="30"/>
      <c r="L83" s="30"/>
      <c r="M83" s="30"/>
      <c r="N83" s="39"/>
      <c r="O83" s="39"/>
      <c r="P83" s="39"/>
      <c r="Q83" s="30"/>
      <c r="R83" s="24">
        <f t="shared" si="9"/>
        <v>121337.87994848506</v>
      </c>
      <c r="S83" s="30">
        <f>AN83*IF(입력란!$C$12=0,1,IF(입력란!$C$12=1,1.3,IF(입력란!$C$12=2,1.45,IF(입력란!$C$12=3,1.6,1))))*IF(MID(E83,5,1)="1",10*트라이포드!$P$8,10)*IF(MID(E83,5,1)="2",트라이포드!$R$8,트라이포드!$Q$8)</f>
        <v>121337.87994848506</v>
      </c>
      <c r="T83" s="30"/>
      <c r="U83" s="30"/>
      <c r="V83" s="30"/>
      <c r="W83" s="39"/>
      <c r="X83" s="39"/>
      <c r="Y83" s="39"/>
      <c r="Z83" s="25"/>
      <c r="AA83" s="30">
        <f t="shared" si="10"/>
        <v>242675.75989697012</v>
      </c>
      <c r="AB83" s="30">
        <f t="shared" si="11"/>
        <v>242675.75989697012</v>
      </c>
      <c r="AC83" s="30"/>
      <c r="AD83" s="26"/>
      <c r="AE83" s="26"/>
      <c r="AF83" s="39"/>
      <c r="AG83" s="39"/>
      <c r="AH83" s="39"/>
      <c r="AI83" s="25"/>
      <c r="AJ83" s="26">
        <f>AQ83*(1-입력란!$C$35/100)</f>
        <v>7.9072563262399997</v>
      </c>
      <c r="AK8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3" s="26">
        <f>입력란!$C$47+입력란!$C$41+IF(입력란!$C$18=1,10,IF(입력란!$C$18=2,25,IF(입력란!$C$18=3,50,0)))+IF(입력란!$C$23&lt;&gt;0,-12)</f>
        <v>378.9445412</v>
      </c>
      <c r="AM83" s="30">
        <f t="shared" si="12"/>
        <v>6740.9933304713923</v>
      </c>
      <c r="AN83" s="30">
        <f>(VLOOKUP(C83,$B$4:$AJ$7,6,FALSE)+VLOOKUP(C83,$B$8:$AJ$11,6,FALSE)*입력란!$C$29)*입력란!$C$48/100</f>
        <v>6740.9933304713923</v>
      </c>
      <c r="AO83" s="26"/>
      <c r="AP83" s="30"/>
      <c r="AQ83" s="29">
        <v>8</v>
      </c>
    </row>
    <row r="84" spans="2:43" ht="13.5" customHeight="1" x14ac:dyDescent="0.3">
      <c r="B84" s="31">
        <v>69</v>
      </c>
      <c r="C84" s="40">
        <v>10</v>
      </c>
      <c r="D84" s="37" t="s">
        <v>131</v>
      </c>
      <c r="E84" s="38" t="s">
        <v>128</v>
      </c>
      <c r="F84" s="40"/>
      <c r="G84" s="40" t="s">
        <v>132</v>
      </c>
      <c r="H84" s="52">
        <f t="shared" si="8"/>
        <v>28008.215173902747</v>
      </c>
      <c r="I84" s="53">
        <f>SUM(J84:Q84)*IF(입력란!$C$16=1,1.04,IF(입력란!$C$16=2,1.1,IF(입력란!$C$16=3,1.2,1)))*IF(입력란!$C$21=1,1+입력란!$C$38*0.001,IF(입력란!$C$21=2,1+입력란!$C$38*0.0022,IF(입력란!$C$21=3,1+입력란!$C$38*0.0045,1)))*IF(입력란!$C$18&lt;&gt;0,0.98,1)</f>
        <v>221468.13662053365</v>
      </c>
      <c r="J84" s="30">
        <f>S84*(1+IF($AK84+IF(입력란!$C$26=1,10,0)+IF(MID(E84,3,1)="3",트라이포드!N$8,0)&gt;100,100,$AK84+IF(입력란!$C$26=1,10,0)+IF(MID(E84,3,1)="3",트라이포드!N$8,0))/100*($AL84/100-1))</f>
        <v>221468.13662053365</v>
      </c>
      <c r="K84" s="30"/>
      <c r="L84" s="30"/>
      <c r="M84" s="30"/>
      <c r="N84" s="39"/>
      <c r="O84" s="39"/>
      <c r="P84" s="39"/>
      <c r="Q84" s="30"/>
      <c r="R84" s="24">
        <f t="shared" si="9"/>
        <v>91003.409961363795</v>
      </c>
      <c r="S84" s="30">
        <f>AN84*IF(입력란!$C$12=0,1,IF(입력란!$C$12=1,1.3,IF(입력란!$C$12=2,1.45,IF(입력란!$C$12=3,1.6,1))))*IF(MID(E84,5,1)="1",10*트라이포드!$P$8,10)*IF(MID(E84,5,1)="2",트라이포드!$R$8,트라이포드!$Q$8)</f>
        <v>91003.409961363795</v>
      </c>
      <c r="T84" s="30"/>
      <c r="U84" s="30"/>
      <c r="V84" s="30"/>
      <c r="W84" s="39"/>
      <c r="X84" s="39"/>
      <c r="Y84" s="39"/>
      <c r="Z84" s="25"/>
      <c r="AA84" s="30">
        <f t="shared" si="10"/>
        <v>182006.81992272759</v>
      </c>
      <c r="AB84" s="30">
        <f t="shared" si="11"/>
        <v>182006.81992272759</v>
      </c>
      <c r="AC84" s="30"/>
      <c r="AD84" s="26"/>
      <c r="AE84" s="26"/>
      <c r="AF84" s="39"/>
      <c r="AG84" s="39"/>
      <c r="AH84" s="39"/>
      <c r="AI84" s="25"/>
      <c r="AJ84" s="26">
        <f>AQ84*(1-입력란!$C$35/100)</f>
        <v>7.9072563262399997</v>
      </c>
      <c r="AK8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4" s="26">
        <f>입력란!$C$47+입력란!$C$41+IF(입력란!$C$18=1,10,IF(입력란!$C$18=2,25,IF(입력란!$C$18=3,50,0)))+IF(입력란!$C$23&lt;&gt;0,-12)</f>
        <v>378.9445412</v>
      </c>
      <c r="AM84" s="30">
        <f t="shared" si="12"/>
        <v>6740.9933304713923</v>
      </c>
      <c r="AN84" s="30">
        <f>(VLOOKUP(C84,$B$4:$AJ$7,6,FALSE)+VLOOKUP(C84,$B$8:$AJ$11,6,FALSE)*입력란!$C$29)*입력란!$C$48/100</f>
        <v>6740.9933304713923</v>
      </c>
      <c r="AO84" s="26"/>
      <c r="AP84" s="30"/>
      <c r="AQ84" s="28">
        <v>8</v>
      </c>
    </row>
    <row r="85" spans="2:43" ht="13.5" customHeight="1" x14ac:dyDescent="0.3">
      <c r="B85" s="31">
        <v>70</v>
      </c>
      <c r="C85" s="40">
        <v>10</v>
      </c>
      <c r="D85" s="37" t="s">
        <v>131</v>
      </c>
      <c r="E85" s="38" t="s">
        <v>129</v>
      </c>
      <c r="F85" s="40"/>
      <c r="G85" s="40" t="s">
        <v>133</v>
      </c>
      <c r="H85" s="52">
        <f t="shared" si="8"/>
        <v>37344.286898536993</v>
      </c>
      <c r="I85" s="53">
        <f>SUM(J85:Q85)*IF(입력란!$C$16=1,1.04,IF(입력란!$C$16=2,1.1,IF(입력란!$C$16=3,1.2,1)))*IF(입력란!$C$21=1,1+입력란!$C$38*0.001,IF(입력란!$C$21=2,1+입력란!$C$38*0.0022,IF(입력란!$C$21=3,1+입력란!$C$38*0.0045,1)))*IF(입력란!$C$18&lt;&gt;0,0.98,1)</f>
        <v>295290.84882737818</v>
      </c>
      <c r="J85" s="30">
        <f>S85*(1+IF($AK85+IF(입력란!$C$26=1,10,0)+IF(MID(E85,3,1)="3",트라이포드!N$8,0)&gt;100,100,$AK85+IF(입력란!$C$26=1,10,0)+IF(MID(E85,3,1)="3",트라이포드!N$8,0))/100*($AL85/100-1))</f>
        <v>295290.84882737818</v>
      </c>
      <c r="K85" s="30"/>
      <c r="L85" s="30"/>
      <c r="M85" s="30"/>
      <c r="N85" s="39"/>
      <c r="O85" s="39"/>
      <c r="P85" s="39"/>
      <c r="Q85" s="30"/>
      <c r="R85" s="24">
        <f t="shared" si="9"/>
        <v>121337.87994848506</v>
      </c>
      <c r="S85" s="30">
        <f>AN85*IF(입력란!$C$12=0,1,IF(입력란!$C$12=1,1.3,IF(입력란!$C$12=2,1.45,IF(입력란!$C$12=3,1.6,1))))*IF(MID(E85,5,1)="1",10*트라이포드!$P$8,10)*IF(MID(E85,5,1)="2",트라이포드!$R$8,트라이포드!$Q$8)</f>
        <v>121337.87994848506</v>
      </c>
      <c r="T85" s="30"/>
      <c r="U85" s="30"/>
      <c r="V85" s="30"/>
      <c r="W85" s="39"/>
      <c r="X85" s="39"/>
      <c r="Y85" s="39"/>
      <c r="Z85" s="25"/>
      <c r="AA85" s="30">
        <f t="shared" si="10"/>
        <v>242675.75989697012</v>
      </c>
      <c r="AB85" s="30">
        <f t="shared" si="11"/>
        <v>242675.75989697012</v>
      </c>
      <c r="AC85" s="30"/>
      <c r="AD85" s="26"/>
      <c r="AE85" s="26"/>
      <c r="AF85" s="39"/>
      <c r="AG85" s="39"/>
      <c r="AH85" s="39"/>
      <c r="AI85" s="25"/>
      <c r="AJ85" s="26">
        <f>AQ85*(1-입력란!$C$35/100)</f>
        <v>7.9072563262399997</v>
      </c>
      <c r="AK8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5" s="26">
        <f>입력란!$C$47+입력란!$C$41+IF(입력란!$C$18=1,10,IF(입력란!$C$18=2,25,IF(입력란!$C$18=3,50,0)))+IF(입력란!$C$23&lt;&gt;0,-12)</f>
        <v>378.9445412</v>
      </c>
      <c r="AM85" s="30">
        <f t="shared" si="12"/>
        <v>6740.9933304713923</v>
      </c>
      <c r="AN85" s="30">
        <f>(VLOOKUP(C85,$B$4:$AJ$7,6,FALSE)+VLOOKUP(C85,$B$8:$AJ$11,6,FALSE)*입력란!$C$29)*입력란!$C$48/100</f>
        <v>6740.9933304713923</v>
      </c>
      <c r="AO85" s="26"/>
      <c r="AP85" s="30"/>
      <c r="AQ85" s="29">
        <v>8</v>
      </c>
    </row>
    <row r="86" spans="2:43" ht="13.5" customHeight="1" x14ac:dyDescent="0.3">
      <c r="B86" s="31">
        <v>71</v>
      </c>
      <c r="C86" s="40">
        <v>1</v>
      </c>
      <c r="D86" s="37" t="s">
        <v>135</v>
      </c>
      <c r="E86" s="38" t="s">
        <v>96</v>
      </c>
      <c r="F86" s="40"/>
      <c r="G86" s="40"/>
      <c r="H86" s="52">
        <f t="shared" si="8"/>
        <v>12336.002637414402</v>
      </c>
      <c r="I86" s="53">
        <f>SUM(J86:Q86)*IF(입력란!$C$16=1,1.04,IF(입력란!$C$16=2,1.1,IF(입력란!$C$16=3,1.2,1)))*IF(입력란!$C$21=1,1+입력란!$C$38*0.001,IF(입력란!$C$21=2,1+입력란!$C$38*0.0022,IF(입력란!$C$21=3,1+입력란!$C$38*0.0045,1)))*IF(입력란!$C$18&lt;&gt;0,0.98,1)</f>
        <v>243859.83723802087</v>
      </c>
      <c r="J86" s="30">
        <f>S86*(1+IF($AK86+IF(입력란!$C$26=1,10,0)+IF(MID(E86,3,1)="2",IF(MID(E86,1,1)="3",0,트라이포드!L$9),0)&gt;100,100,$AK86+IF(입력란!$C$26=1,10,0)+IF(MID(E86,3,1)="2",IF(MID(E86,1,1)="3",0,트라이포드!L$9),0))/100*($AL86/100-1))</f>
        <v>243859.83723802087</v>
      </c>
      <c r="K86" s="30"/>
      <c r="L86" s="30"/>
      <c r="M86" s="30"/>
      <c r="N86" s="39"/>
      <c r="O86" s="39"/>
      <c r="P86" s="39"/>
      <c r="Q86" s="30"/>
      <c r="R86" s="24">
        <f t="shared" si="9"/>
        <v>152718.69753607671</v>
      </c>
      <c r="S86" s="30">
        <f>AN86*IF(입력란!$C$12=0,1,IF(입력란!$C$12=1,1.3,IF(입력란!$C$12=2,1.45,IF(입력란!$C$12=3,1.6,1))))*IF(MID(E86,1,1)="3",트라이포드!$H$9,트라이포드!$G$9)*IF(MID(E86,3,1)="3",트라이포드!$N$9,트라이포드!$M$9)*IF(MID(E86,5,1)="1",트라이포드!$P$9,IF(MID(E86,5,1)="2",트라이포드!$R$9,트라이포드!$O$9))</f>
        <v>152718.69753607671</v>
      </c>
      <c r="T86" s="30"/>
      <c r="U86" s="30"/>
      <c r="V86" s="30"/>
      <c r="W86" s="39"/>
      <c r="X86" s="39"/>
      <c r="Y86" s="39"/>
      <c r="Z86" s="25"/>
      <c r="AA86" s="30">
        <f t="shared" si="10"/>
        <v>305437.39507215342</v>
      </c>
      <c r="AB86" s="30">
        <f t="shared" si="11"/>
        <v>305437.39507215342</v>
      </c>
      <c r="AC86" s="30"/>
      <c r="AD86" s="26"/>
      <c r="AE86" s="26"/>
      <c r="AF86" s="39"/>
      <c r="AG86" s="39"/>
      <c r="AH86" s="39"/>
      <c r="AI86" s="25"/>
      <c r="AJ86" s="26">
        <f>AQ86*(1-입력란!$C$35/100)</f>
        <v>19.768140815599999</v>
      </c>
      <c r="AK8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6" s="26">
        <f>입력란!$C$47+입력란!$C$41+IF(입력란!$C$18=1,10,IF(입력란!$C$18=2,25,IF(입력란!$C$18=3,50,0)))+IF(입력란!$C$23&lt;&gt;0,-12)</f>
        <v>378.9445412</v>
      </c>
      <c r="AM86" s="30">
        <f t="shared" si="12"/>
        <v>152718.69753607671</v>
      </c>
      <c r="AN86" s="30">
        <f>(VLOOKUP(C86,$B$4:$AJ$7,7,FALSE)+VLOOKUP(C86,$B$8:$AJ$11,7,FALSE)*입력란!$C$29)*입력란!$C$48/100</f>
        <v>152718.69753607671</v>
      </c>
      <c r="AO86" s="26"/>
      <c r="AP86" s="30"/>
      <c r="AQ86" s="28">
        <v>20</v>
      </c>
    </row>
    <row r="87" spans="2:43" ht="13.5" customHeight="1" x14ac:dyDescent="0.3">
      <c r="B87" s="31">
        <v>72</v>
      </c>
      <c r="C87" s="40">
        <v>4</v>
      </c>
      <c r="D87" s="37" t="s">
        <v>135</v>
      </c>
      <c r="E87" s="38" t="s">
        <v>96</v>
      </c>
      <c r="F87" s="40"/>
      <c r="G87" s="40"/>
      <c r="H87" s="52">
        <f t="shared" si="8"/>
        <v>12362.723331987459</v>
      </c>
      <c r="I87" s="53">
        <f>SUM(J87:Q87)*IF(입력란!$C$16=1,1.04,IF(입력란!$C$16=2,1.1,IF(입력란!$C$16=3,1.2,1)))*IF(입력란!$C$21=1,1+입력란!$C$38*0.001,IF(입력란!$C$21=2,1+입력란!$C$38*0.0022,IF(입력란!$C$21=3,1+입력란!$C$38*0.0045,1)))*IF(입력란!$C$18&lt;&gt;0,0.98,1)</f>
        <v>244388.05569103171</v>
      </c>
      <c r="J87" s="30">
        <f>S87*(1+IF($AK87+IF(입력란!$C$26=1,10,0)+IF(MID(E87,3,1)="2",IF(MID(E87,1,1)="3",0,트라이포드!L$9),0)&gt;100,100,$AK87+IF(입력란!$C$26=1,10,0)+IF(MID(E87,3,1)="2",IF(MID(E87,1,1)="3",0,트라이포드!L$9),0))/100*($AL87/100-1))</f>
        <v>244388.05569103171</v>
      </c>
      <c r="K87" s="30"/>
      <c r="L87" s="30"/>
      <c r="M87" s="30"/>
      <c r="N87" s="39"/>
      <c r="O87" s="39"/>
      <c r="P87" s="39"/>
      <c r="Q87" s="30"/>
      <c r="R87" s="24">
        <f t="shared" si="9"/>
        <v>153049.4975360767</v>
      </c>
      <c r="S87" s="30">
        <f>AN87*IF(입력란!$C$12=0,1,IF(입력란!$C$12=1,1.3,IF(입력란!$C$12=2,1.45,IF(입력란!$C$12=3,1.6,1))))*IF(MID(E87,1,1)="3",트라이포드!$H$9,트라이포드!$G$9)*IF(MID(E87,3,1)="3",트라이포드!$N$9,트라이포드!$M$9)*IF(MID(E87,5,1)="1",트라이포드!$P$9,IF(MID(E87,5,1)="2",트라이포드!$R$9,트라이포드!$O$9))</f>
        <v>153049.4975360767</v>
      </c>
      <c r="T87" s="30"/>
      <c r="U87" s="30"/>
      <c r="V87" s="30"/>
      <c r="W87" s="39"/>
      <c r="X87" s="39"/>
      <c r="Y87" s="39"/>
      <c r="Z87" s="25"/>
      <c r="AA87" s="30">
        <f t="shared" si="10"/>
        <v>306098.9950721534</v>
      </c>
      <c r="AB87" s="30">
        <f t="shared" si="11"/>
        <v>306098.9950721534</v>
      </c>
      <c r="AC87" s="30"/>
      <c r="AD87" s="26"/>
      <c r="AE87" s="26"/>
      <c r="AF87" s="39"/>
      <c r="AG87" s="39"/>
      <c r="AH87" s="39"/>
      <c r="AI87" s="25"/>
      <c r="AJ87" s="26">
        <f>AQ87*(1-입력란!$C$35/100)</f>
        <v>19.768140815599999</v>
      </c>
      <c r="AK8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7" s="26">
        <f>입력란!$C$47+입력란!$C$41+IF(입력란!$C$18=1,10,IF(입력란!$C$18=2,25,IF(입력란!$C$18=3,50,0)))+IF(입력란!$C$23&lt;&gt;0,-12)</f>
        <v>378.9445412</v>
      </c>
      <c r="AM87" s="30">
        <f t="shared" si="12"/>
        <v>153049.4975360767</v>
      </c>
      <c r="AN87" s="30">
        <f>(VLOOKUP(C87,$B$4:$AJ$7,7,FALSE)+VLOOKUP(C87,$B$8:$AJ$11,7,FALSE)*입력란!$C$29)*입력란!$C$48/100</f>
        <v>153049.4975360767</v>
      </c>
      <c r="AO87" s="26"/>
      <c r="AP87" s="30"/>
      <c r="AQ87" s="29">
        <v>20</v>
      </c>
    </row>
    <row r="88" spans="2:43" ht="13.5" customHeight="1" x14ac:dyDescent="0.3">
      <c r="B88" s="31">
        <v>73</v>
      </c>
      <c r="C88" s="40">
        <v>4</v>
      </c>
      <c r="D88" s="37" t="s">
        <v>135</v>
      </c>
      <c r="E88" s="38" t="s">
        <v>97</v>
      </c>
      <c r="F88" s="40" t="s">
        <v>138</v>
      </c>
      <c r="G88" s="40"/>
      <c r="H88" s="52">
        <f t="shared" si="8"/>
        <v>14835.267998384952</v>
      </c>
      <c r="I88" s="53">
        <f>SUM(J88:Q88)*IF(입력란!$C$16=1,1.04,IF(입력란!$C$16=2,1.1,IF(입력란!$C$16=3,1.2,1)))*IF(입력란!$C$21=1,1+입력란!$C$38*0.001,IF(입력란!$C$21=2,1+입력란!$C$38*0.0022,IF(입력란!$C$21=3,1+입력란!$C$38*0.0045,1)))*IF(입력란!$C$18&lt;&gt;0,0.98,1)</f>
        <v>293265.66682923806</v>
      </c>
      <c r="J88" s="30">
        <f>S88*(1+IF($AK88+IF(입력란!$C$26=1,10,0)+IF(MID(E88,3,1)="2",IF(MID(E88,1,1)="3",0,트라이포드!L$9),0)&gt;100,100,$AK88+IF(입력란!$C$26=1,10,0)+IF(MID(E88,3,1)="2",IF(MID(E88,1,1)="3",0,트라이포드!L$9),0))/100*($AL88/100-1))</f>
        <v>293265.66682923806</v>
      </c>
      <c r="K88" s="30"/>
      <c r="L88" s="30"/>
      <c r="M88" s="30"/>
      <c r="N88" s="39"/>
      <c r="O88" s="39"/>
      <c r="P88" s="39"/>
      <c r="Q88" s="30"/>
      <c r="R88" s="24">
        <f t="shared" si="9"/>
        <v>183659.39704329203</v>
      </c>
      <c r="S88" s="30">
        <f>AN88*IF(입력란!$C$12=0,1,IF(입력란!$C$12=1,1.3,IF(입력란!$C$12=2,1.45,IF(입력란!$C$12=3,1.6,1))))*IF(MID(E88,1,1)="3",트라이포드!$H$9,트라이포드!$G$9)*IF(MID(E88,3,1)="3",트라이포드!$N$9,트라이포드!$M$9)*IF(MID(E88,5,1)="1",트라이포드!$P$9,IF(MID(E88,5,1)="2",트라이포드!$R$9,트라이포드!$O$9))</f>
        <v>183659.39704329203</v>
      </c>
      <c r="T88" s="30"/>
      <c r="U88" s="30"/>
      <c r="V88" s="30"/>
      <c r="W88" s="39"/>
      <c r="X88" s="39"/>
      <c r="Y88" s="39"/>
      <c r="Z88" s="25"/>
      <c r="AA88" s="30">
        <f t="shared" si="10"/>
        <v>367318.79408658406</v>
      </c>
      <c r="AB88" s="30">
        <f t="shared" si="11"/>
        <v>367318.79408658406</v>
      </c>
      <c r="AC88" s="30"/>
      <c r="AD88" s="26"/>
      <c r="AE88" s="26"/>
      <c r="AF88" s="39"/>
      <c r="AG88" s="39"/>
      <c r="AH88" s="39"/>
      <c r="AI88" s="25"/>
      <c r="AJ88" s="26">
        <f>AQ88*(1-입력란!$C$35/100)</f>
        <v>19.768140815599999</v>
      </c>
      <c r="AK8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8" s="26">
        <f>입력란!$C$47+입력란!$C$41+IF(입력란!$C$18=1,10,IF(입력란!$C$18=2,25,IF(입력란!$C$18=3,50,0)))+IF(입력란!$C$23&lt;&gt;0,-12)</f>
        <v>378.9445412</v>
      </c>
      <c r="AM88" s="30">
        <f t="shared" si="12"/>
        <v>153049.4975360767</v>
      </c>
      <c r="AN88" s="30">
        <f>(VLOOKUP(C88,$B$4:$AJ$7,7,FALSE)+VLOOKUP(C88,$B$8:$AJ$11,7,FALSE)*입력란!$C$29)*입력란!$C$48/100</f>
        <v>153049.4975360767</v>
      </c>
      <c r="AO88" s="26"/>
      <c r="AP88" s="30"/>
      <c r="AQ88" s="28">
        <v>20</v>
      </c>
    </row>
    <row r="89" spans="2:43" ht="13.5" customHeight="1" x14ac:dyDescent="0.3">
      <c r="B89" s="31">
        <v>74</v>
      </c>
      <c r="C89" s="36">
        <v>7</v>
      </c>
      <c r="D89" s="37" t="s">
        <v>135</v>
      </c>
      <c r="E89" s="38" t="s">
        <v>96</v>
      </c>
      <c r="F89" s="40"/>
      <c r="G89" s="40"/>
      <c r="H89" s="52">
        <f t="shared" si="8"/>
        <v>12375.45773328271</v>
      </c>
      <c r="I89" s="53">
        <f>SUM(J89:Q89)*IF(입력란!$C$16=1,1.04,IF(입력란!$C$16=2,1.1,IF(입력란!$C$16=3,1.2,1)))*IF(입력란!$C$21=1,1+입력란!$C$38*0.001,IF(입력란!$C$21=2,1+입력란!$C$38*0.0022,IF(입력란!$C$21=3,1+입력란!$C$38*0.0045,1)))*IF(입력란!$C$18&lt;&gt;0,0.98,1)</f>
        <v>244639.79112903858</v>
      </c>
      <c r="J89" s="30">
        <f>S89*(1+IF($AK89+IF(입력란!$C$26=1,10,0)+IF(MID(E89,3,1)="2",IF(MID(E89,1,1)="3",0,트라이포드!L$9),0)&gt;100,100,$AK89+IF(입력란!$C$26=1,10,0)+IF(MID(E89,3,1)="2",IF(MID(E89,1,1)="3",0,트라이포드!L$9),0))/100*($AL89/100-1))</f>
        <v>244639.79112903858</v>
      </c>
      <c r="K89" s="30"/>
      <c r="L89" s="30"/>
      <c r="M89" s="30"/>
      <c r="N89" s="39"/>
      <c r="O89" s="39"/>
      <c r="P89" s="39"/>
      <c r="Q89" s="30"/>
      <c r="R89" s="24">
        <f t="shared" si="9"/>
        <v>153207.14837621304</v>
      </c>
      <c r="S89" s="30">
        <f>AN89*IF(입력란!$C$12=0,1,IF(입력란!$C$12=1,1.3,IF(입력란!$C$12=2,1.45,IF(입력란!$C$12=3,1.6,1))))*IF(MID(E89,1,1)="3",트라이포드!$H$9,트라이포드!$G$9)*IF(MID(E89,3,1)="3",트라이포드!$N$9,트라이포드!$M$9)*IF(MID(E89,5,1)="1",트라이포드!$P$9,IF(MID(E89,5,1)="2",트라이포드!$R$9,트라이포드!$O$9))</f>
        <v>153207.14837621304</v>
      </c>
      <c r="T89" s="30"/>
      <c r="U89" s="30"/>
      <c r="V89" s="30"/>
      <c r="W89" s="39"/>
      <c r="X89" s="39"/>
      <c r="Y89" s="39"/>
      <c r="Z89" s="25"/>
      <c r="AA89" s="30">
        <f t="shared" si="10"/>
        <v>306414.29675242607</v>
      </c>
      <c r="AB89" s="30">
        <f t="shared" si="11"/>
        <v>306414.29675242607</v>
      </c>
      <c r="AC89" s="30"/>
      <c r="AD89" s="26"/>
      <c r="AE89" s="26"/>
      <c r="AF89" s="39"/>
      <c r="AG89" s="39"/>
      <c r="AH89" s="39"/>
      <c r="AI89" s="25"/>
      <c r="AJ89" s="26">
        <f>AQ89*(1-입력란!$C$35/100)</f>
        <v>19.768140815599999</v>
      </c>
      <c r="AK8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89" s="26">
        <f>입력란!$C$47+입력란!$C$41+IF(입력란!$C$18=1,10,IF(입력란!$C$18=2,25,IF(입력란!$C$18=3,50,0)))+IF(입력란!$C$23&lt;&gt;0,-12)</f>
        <v>378.9445412</v>
      </c>
      <c r="AM89" s="30">
        <f t="shared" si="12"/>
        <v>153207.14837621304</v>
      </c>
      <c r="AN89" s="30">
        <f>(VLOOKUP(C89,$B$4:$AJ$7,7,FALSE)+VLOOKUP(C89,$B$8:$AJ$11,7,FALSE)*입력란!$C$29)*입력란!$C$48/100</f>
        <v>153207.14837621304</v>
      </c>
      <c r="AO89" s="26"/>
      <c r="AP89" s="30"/>
      <c r="AQ89" s="29">
        <v>20</v>
      </c>
    </row>
    <row r="90" spans="2:43" ht="13.5" customHeight="1" x14ac:dyDescent="0.3">
      <c r="B90" s="31">
        <v>75</v>
      </c>
      <c r="C90" s="36">
        <v>7</v>
      </c>
      <c r="D90" s="37" t="s">
        <v>135</v>
      </c>
      <c r="E90" s="38" t="s">
        <v>99</v>
      </c>
      <c r="F90" s="40" t="s">
        <v>139</v>
      </c>
      <c r="G90" s="40"/>
      <c r="H90" s="52">
        <f t="shared" si="8"/>
        <v>25346.722389179267</v>
      </c>
      <c r="I90" s="53">
        <f>SUM(J90:Q90)*IF(입력란!$C$16=1,1.04,IF(입력란!$C$16=2,1.1,IF(입력란!$C$16=3,1.2,1)))*IF(입력란!$C$21=1,1+입력란!$C$38*0.001,IF(입력란!$C$21=2,1+입력란!$C$38*0.0022,IF(입력란!$C$21=3,1+입력란!$C$38*0.0045,1)))*IF(입력란!$C$18&lt;&gt;0,0.98,1)</f>
        <v>501057.57740321703</v>
      </c>
      <c r="J90" s="30">
        <f>S90*(1+IF($AK90+IF(입력란!$C$26=1,10,0)+IF(MID(E90,3,1)="2",IF(MID(E90,1,1)="3",0,트라이포드!L$9),0)&gt;100,100,$AK90+IF(입력란!$C$26=1,10,0)+IF(MID(E90,3,1)="2",IF(MID(E90,1,1)="3",0,트라이포드!L$9),0))/100*($AL90/100-1))</f>
        <v>501057.57740321703</v>
      </c>
      <c r="K90" s="30"/>
      <c r="L90" s="30"/>
      <c r="M90" s="30"/>
      <c r="N90" s="39"/>
      <c r="O90" s="39"/>
      <c r="P90" s="39"/>
      <c r="Q90" s="30"/>
      <c r="R90" s="24">
        <f t="shared" si="9"/>
        <v>153207.14837621304</v>
      </c>
      <c r="S90" s="30">
        <f>AN90*IF(입력란!$C$12=0,1,IF(입력란!$C$12=1,1.3,IF(입력란!$C$12=2,1.45,IF(입력란!$C$12=3,1.6,1))))*IF(MID(E90,1,1)="3",트라이포드!$H$9,트라이포드!$G$9)*IF(MID(E90,3,1)="3",트라이포드!$N$9,트라이포드!$M$9)*IF(MID(E90,5,1)="1",트라이포드!$P$9,IF(MID(E90,5,1)="2",트라이포드!$R$9,트라이포드!$O$9))</f>
        <v>153207.14837621304</v>
      </c>
      <c r="T90" s="30"/>
      <c r="U90" s="30"/>
      <c r="V90" s="30"/>
      <c r="W90" s="39"/>
      <c r="X90" s="39"/>
      <c r="Y90" s="39"/>
      <c r="Z90" s="25"/>
      <c r="AA90" s="30">
        <f t="shared" si="10"/>
        <v>306414.29675242607</v>
      </c>
      <c r="AB90" s="30">
        <f t="shared" si="11"/>
        <v>306414.29675242607</v>
      </c>
      <c r="AC90" s="30"/>
      <c r="AD90" s="26"/>
      <c r="AE90" s="26"/>
      <c r="AF90" s="39"/>
      <c r="AG90" s="39"/>
      <c r="AH90" s="39"/>
      <c r="AI90" s="25"/>
      <c r="AJ90" s="26">
        <f>AQ90*(1-입력란!$C$35/100)</f>
        <v>19.768140815599999</v>
      </c>
      <c r="AK9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0" s="26">
        <f>입력란!$C$47+입력란!$C$41+IF(입력란!$C$18=1,10,IF(입력란!$C$18=2,25,IF(입력란!$C$18=3,50,0)))+IF(입력란!$C$23&lt;&gt;0,-12)</f>
        <v>378.9445412</v>
      </c>
      <c r="AM90" s="30">
        <f t="shared" si="12"/>
        <v>153207.14837621304</v>
      </c>
      <c r="AN90" s="30">
        <f>(VLOOKUP(C90,$B$4:$AJ$7,7,FALSE)+VLOOKUP(C90,$B$8:$AJ$11,7,FALSE)*입력란!$C$29)*입력란!$C$48/100</f>
        <v>153207.14837621304</v>
      </c>
      <c r="AO90" s="26"/>
      <c r="AP90" s="30"/>
      <c r="AQ90" s="28">
        <v>20</v>
      </c>
    </row>
    <row r="91" spans="2:43" ht="13.5" customHeight="1" x14ac:dyDescent="0.3">
      <c r="B91" s="31">
        <v>76</v>
      </c>
      <c r="C91" s="36">
        <v>7</v>
      </c>
      <c r="D91" s="37" t="s">
        <v>135</v>
      </c>
      <c r="E91" s="38" t="s">
        <v>100</v>
      </c>
      <c r="F91" s="40"/>
      <c r="G91" s="40"/>
      <c r="H91" s="52">
        <f t="shared" si="8"/>
        <v>15345.567589270562</v>
      </c>
      <c r="I91" s="53">
        <f>SUM(J91:Q91)*IF(입력란!$C$16=1,1.04,IF(입력란!$C$16=2,1.1,IF(입력란!$C$16=3,1.2,1)))*IF(입력란!$C$21=1,1+입력란!$C$38*0.001,IF(입력란!$C$21=2,1+입력란!$C$38*0.0022,IF(입력란!$C$21=3,1+입력란!$C$38*0.0045,1)))*IF(입력란!$C$18&lt;&gt;0,0.98,1)</f>
        <v>303353.34100000787</v>
      </c>
      <c r="J91" s="30">
        <f>S91*(1+IF($AK91+IF(입력란!$C$26=1,10,0)+IF(MID(E91,3,1)="2",IF(MID(E91,1,1)="3",0,트라이포드!L$9),0)&gt;100,100,$AK91+IF(입력란!$C$26=1,10,0)+IF(MID(E91,3,1)="2",IF(MID(E91,1,1)="3",0,트라이포드!L$9),0))/100*($AL91/100-1))</f>
        <v>303353.34100000787</v>
      </c>
      <c r="K91" s="30"/>
      <c r="L91" s="30"/>
      <c r="M91" s="30"/>
      <c r="N91" s="39"/>
      <c r="O91" s="39"/>
      <c r="P91" s="39"/>
      <c r="Q91" s="30"/>
      <c r="R91" s="24">
        <f t="shared" si="9"/>
        <v>189976.86398650418</v>
      </c>
      <c r="S91" s="30">
        <f>AN91*IF(입력란!$C$12=0,1,IF(입력란!$C$12=1,1.3,IF(입력란!$C$12=2,1.45,IF(입력란!$C$12=3,1.6,1))))*IF(MID(E91,1,1)="3",트라이포드!$H$9,트라이포드!$G$9)*IF(MID(E91,3,1)="3",트라이포드!$N$9,트라이포드!$M$9)*IF(MID(E91,5,1)="1",트라이포드!$P$9,IF(MID(E91,5,1)="2",트라이포드!$R$9,트라이포드!$O$9))</f>
        <v>189976.86398650418</v>
      </c>
      <c r="T91" s="30"/>
      <c r="U91" s="30"/>
      <c r="V91" s="30"/>
      <c r="W91" s="39"/>
      <c r="X91" s="39"/>
      <c r="Y91" s="39"/>
      <c r="Z91" s="25"/>
      <c r="AA91" s="30">
        <f t="shared" si="10"/>
        <v>379953.72797300835</v>
      </c>
      <c r="AB91" s="30">
        <f t="shared" si="11"/>
        <v>379953.72797300835</v>
      </c>
      <c r="AC91" s="30"/>
      <c r="AD91" s="26"/>
      <c r="AE91" s="26"/>
      <c r="AF91" s="39"/>
      <c r="AG91" s="39"/>
      <c r="AH91" s="39"/>
      <c r="AI91" s="25"/>
      <c r="AJ91" s="26">
        <f>AQ91*(1-입력란!$C$35/100)</f>
        <v>19.768140815599999</v>
      </c>
      <c r="AK9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1" s="26">
        <f>입력란!$C$47+입력란!$C$41+IF(입력란!$C$18=1,10,IF(입력란!$C$18=2,25,IF(입력란!$C$18=3,50,0)))+IF(입력란!$C$23&lt;&gt;0,-12)</f>
        <v>378.9445412</v>
      </c>
      <c r="AM91" s="30">
        <f t="shared" si="12"/>
        <v>153207.14837621304</v>
      </c>
      <c r="AN91" s="30">
        <f>(VLOOKUP(C91,$B$4:$AJ$7,7,FALSE)+VLOOKUP(C91,$B$8:$AJ$11,7,FALSE)*입력란!$C$29)*입력란!$C$48/100</f>
        <v>153207.14837621304</v>
      </c>
      <c r="AO91" s="26"/>
      <c r="AP91" s="30"/>
      <c r="AQ91" s="29">
        <v>20</v>
      </c>
    </row>
    <row r="92" spans="2:43" ht="13.5" customHeight="1" x14ac:dyDescent="0.3">
      <c r="B92" s="31">
        <v>77</v>
      </c>
      <c r="C92" s="36">
        <v>7</v>
      </c>
      <c r="D92" s="37" t="s">
        <v>135</v>
      </c>
      <c r="E92" s="38" t="s">
        <v>110</v>
      </c>
      <c r="F92" s="40" t="s">
        <v>399</v>
      </c>
      <c r="G92" s="40"/>
      <c r="H92" s="52">
        <f t="shared" si="8"/>
        <v>14850.549279939252</v>
      </c>
      <c r="I92" s="53">
        <f>SUM(J92:Q92)*IF(입력란!$C$16=1,1.04,IF(입력란!$C$16=2,1.1,IF(입력란!$C$16=3,1.2,1)))*IF(입력란!$C$21=1,1+입력란!$C$38*0.001,IF(입력란!$C$21=2,1+입력란!$C$38*0.0022,IF(입력란!$C$21=3,1+입력란!$C$38*0.0045,1)))*IF(입력란!$C$18&lt;&gt;0,0.98,1)</f>
        <v>293567.74935484631</v>
      </c>
      <c r="J92" s="30">
        <f>S92*(1+IF($AK92+IF(입력란!$C$26=1,10,0)+IF(MID(E92,3,1)="2",IF(MID(E92,1,1)="3",0,트라이포드!L$9),0)&gt;100,100,$AK92+IF(입력란!$C$26=1,10,0)+IF(MID(E92,3,1)="2",IF(MID(E92,1,1)="3",0,트라이포드!L$9),0))/100*($AL92/100-1))</f>
        <v>293567.74935484631</v>
      </c>
      <c r="K92" s="30"/>
      <c r="L92" s="30"/>
      <c r="M92" s="30"/>
      <c r="N92" s="39"/>
      <c r="O92" s="39"/>
      <c r="P92" s="39"/>
      <c r="Q92" s="30"/>
      <c r="R92" s="24">
        <f t="shared" si="9"/>
        <v>183848.57805145564</v>
      </c>
      <c r="S92" s="30">
        <f>AN92*IF(입력란!$C$12=0,1,IF(입력란!$C$12=1,1.3,IF(입력란!$C$12=2,1.45,IF(입력란!$C$12=3,1.6,1))))*IF(MID(E92,1,1)="3",트라이포드!$H$9,트라이포드!$G$9)*IF(MID(E92,3,1)="3",트라이포드!$N$9,트라이포드!$M$9)*IF(MID(E92,5,1)="1",트라이포드!$P$9,IF(MID(E92,5,1)="2",트라이포드!$R$9,트라이포드!$O$9))</f>
        <v>183848.57805145564</v>
      </c>
      <c r="T92" s="30"/>
      <c r="U92" s="30"/>
      <c r="V92" s="30"/>
      <c r="W92" s="39"/>
      <c r="X92" s="39"/>
      <c r="Y92" s="39"/>
      <c r="Z92" s="25"/>
      <c r="AA92" s="30">
        <f t="shared" si="10"/>
        <v>367697.15610291128</v>
      </c>
      <c r="AB92" s="30">
        <f t="shared" si="11"/>
        <v>367697.15610291128</v>
      </c>
      <c r="AC92" s="30"/>
      <c r="AD92" s="26"/>
      <c r="AE92" s="26"/>
      <c r="AF92" s="39"/>
      <c r="AG92" s="39"/>
      <c r="AH92" s="39"/>
      <c r="AI92" s="25"/>
      <c r="AJ92" s="26">
        <f>AQ92*(1-입력란!$C$35/100)</f>
        <v>19.768140815599999</v>
      </c>
      <c r="AK9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2" s="26">
        <f>입력란!$C$47+입력란!$C$41+IF(입력란!$C$18=1,10,IF(입력란!$C$18=2,25,IF(입력란!$C$18=3,50,0)))+IF(입력란!$C$23&lt;&gt;0,-12)</f>
        <v>378.9445412</v>
      </c>
      <c r="AM92" s="30">
        <f t="shared" si="12"/>
        <v>153207.14837621304</v>
      </c>
      <c r="AN92" s="30">
        <f>(VLOOKUP(C92,$B$4:$AJ$7,7,FALSE)+VLOOKUP(C92,$B$8:$AJ$11,7,FALSE)*입력란!$C$29)*입력란!$C$48/100</f>
        <v>153207.14837621304</v>
      </c>
      <c r="AO92" s="26"/>
      <c r="AP92" s="30"/>
      <c r="AQ92" s="28">
        <v>20</v>
      </c>
    </row>
    <row r="93" spans="2:43" ht="13.5" customHeight="1" x14ac:dyDescent="0.3">
      <c r="B93" s="31">
        <v>78</v>
      </c>
      <c r="C93" s="36">
        <v>7</v>
      </c>
      <c r="D93" s="37" t="s">
        <v>135</v>
      </c>
      <c r="E93" s="38" t="s">
        <v>111</v>
      </c>
      <c r="F93" s="40"/>
      <c r="G93" s="40"/>
      <c r="H93" s="52">
        <f t="shared" si="8"/>
        <v>18414.68110712467</v>
      </c>
      <c r="I93" s="53">
        <f>SUM(J93:Q93)*IF(입력란!$C$16=1,1.04,IF(입력란!$C$16=2,1.1,IF(입력란!$C$16=3,1.2,1)))*IF(입력란!$C$21=1,1+입력란!$C$38*0.001,IF(입력란!$C$21=2,1+입력란!$C$38*0.0022,IF(입력란!$C$21=3,1+입력란!$C$38*0.0045,1)))*IF(입력란!$C$18&lt;&gt;0,0.98,1)</f>
        <v>364024.0092000094</v>
      </c>
      <c r="J93" s="30">
        <f>S93*(1+IF($AK93+IF(입력란!$C$26=1,10,0)+IF(MID(E93,3,1)="2",IF(MID(E93,1,1)="3",0,트라이포드!L$9),0)&gt;100,100,$AK93+IF(입력란!$C$26=1,10,0)+IF(MID(E93,3,1)="2",IF(MID(E93,1,1)="3",0,트라이포드!L$9),0))/100*($AL93/100-1))</f>
        <v>364024.0092000094</v>
      </c>
      <c r="K93" s="30"/>
      <c r="L93" s="30"/>
      <c r="M93" s="30"/>
      <c r="N93" s="39"/>
      <c r="O93" s="39"/>
      <c r="P93" s="39"/>
      <c r="Q93" s="30"/>
      <c r="R93" s="24">
        <f t="shared" si="9"/>
        <v>227972.23678380498</v>
      </c>
      <c r="S93" s="30">
        <f>AN93*IF(입력란!$C$12=0,1,IF(입력란!$C$12=1,1.3,IF(입력란!$C$12=2,1.45,IF(입력란!$C$12=3,1.6,1))))*IF(MID(E93,1,1)="3",트라이포드!$H$9,트라이포드!$G$9)*IF(MID(E93,3,1)="3",트라이포드!$N$9,트라이포드!$M$9)*IF(MID(E93,5,1)="1",트라이포드!$P$9,IF(MID(E93,5,1)="2",트라이포드!$R$9,트라이포드!$O$9))</f>
        <v>227972.23678380498</v>
      </c>
      <c r="T93" s="30"/>
      <c r="U93" s="30"/>
      <c r="V93" s="30"/>
      <c r="W93" s="39"/>
      <c r="X93" s="39"/>
      <c r="Y93" s="39"/>
      <c r="Z93" s="25"/>
      <c r="AA93" s="30">
        <f t="shared" si="10"/>
        <v>455944.47356760997</v>
      </c>
      <c r="AB93" s="30">
        <f t="shared" si="11"/>
        <v>455944.47356760997</v>
      </c>
      <c r="AC93" s="30"/>
      <c r="AD93" s="26"/>
      <c r="AE93" s="26"/>
      <c r="AF93" s="39"/>
      <c r="AG93" s="39"/>
      <c r="AH93" s="39"/>
      <c r="AI93" s="25"/>
      <c r="AJ93" s="26">
        <f>AQ93*(1-입력란!$C$35/100)</f>
        <v>19.768140815599999</v>
      </c>
      <c r="AK9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3" s="26">
        <f>입력란!$C$47+입력란!$C$41+IF(입력란!$C$18=1,10,IF(입력란!$C$18=2,25,IF(입력란!$C$18=3,50,0)))+IF(입력란!$C$23&lt;&gt;0,-12)</f>
        <v>378.9445412</v>
      </c>
      <c r="AM93" s="30">
        <f t="shared" si="12"/>
        <v>153207.14837621304</v>
      </c>
      <c r="AN93" s="30">
        <f>(VLOOKUP(C93,$B$4:$AJ$7,7,FALSE)+VLOOKUP(C93,$B$8:$AJ$11,7,FALSE)*입력란!$C$29)*입력란!$C$48/100</f>
        <v>153207.14837621304</v>
      </c>
      <c r="AO93" s="26"/>
      <c r="AP93" s="30"/>
      <c r="AQ93" s="29">
        <v>20</v>
      </c>
    </row>
    <row r="94" spans="2:43" ht="13.5" customHeight="1" x14ac:dyDescent="0.3">
      <c r="B94" s="31">
        <v>79</v>
      </c>
      <c r="C94" s="36">
        <v>10</v>
      </c>
      <c r="D94" s="37" t="s">
        <v>135</v>
      </c>
      <c r="E94" s="38" t="s">
        <v>96</v>
      </c>
      <c r="F94" s="40"/>
      <c r="G94" s="40"/>
      <c r="H94" s="52">
        <f t="shared" si="8"/>
        <v>12383.07887924384</v>
      </c>
      <c r="I94" s="53">
        <f>SUM(J94:Q94)*IF(입력란!$C$16=1,1.04,IF(입력란!$C$16=2,1.1,IF(입력란!$C$16=3,1.2,1)))*IF(입력란!$C$21=1,1+입력란!$C$38*0.001,IF(입력란!$C$21=2,1+입력란!$C$38*0.0022,IF(입력란!$C$21=3,1+입력란!$C$38*0.0045,1)))*IF(입력란!$C$18&lt;&gt;0,0.98,1)</f>
        <v>244790.44701557443</v>
      </c>
      <c r="J94" s="30">
        <f>S94*(1+IF($AK94+IF(입력란!$C$26=1,10,0)+IF(MID(E94,3,1)="2",IF(MID(E94,1,1)="3",0,트라이포드!L$9),0)&gt;100,100,$AK94+IF(입력란!$C$26=1,10,0)+IF(MID(E94,3,1)="2",IF(MID(E94,1,1)="3",0,트라이포드!L$9),0))/100*($AL94/100-1))</f>
        <v>244790.44701557443</v>
      </c>
      <c r="K94" s="30"/>
      <c r="L94" s="30"/>
      <c r="M94" s="30"/>
      <c r="N94" s="39"/>
      <c r="O94" s="39"/>
      <c r="P94" s="39"/>
      <c r="Q94" s="30"/>
      <c r="R94" s="24">
        <f t="shared" si="9"/>
        <v>153301.4975360767</v>
      </c>
      <c r="S94" s="30">
        <f>AN94*IF(입력란!$C$12=0,1,IF(입력란!$C$12=1,1.3,IF(입력란!$C$12=2,1.45,IF(입력란!$C$12=3,1.6,1))))*IF(MID(E94,1,1)="3",트라이포드!$H$9,트라이포드!$G$9)*IF(MID(E94,3,1)="3",트라이포드!$N$9,트라이포드!$M$9)*IF(MID(E94,5,1)="1",트라이포드!$P$9,IF(MID(E94,5,1)="2",트라이포드!$R$9,트라이포드!$O$9))</f>
        <v>153301.4975360767</v>
      </c>
      <c r="T94" s="30"/>
      <c r="U94" s="30"/>
      <c r="V94" s="30"/>
      <c r="W94" s="39"/>
      <c r="X94" s="39"/>
      <c r="Y94" s="39"/>
      <c r="Z94" s="25"/>
      <c r="AA94" s="30">
        <f t="shared" si="10"/>
        <v>306602.9950721534</v>
      </c>
      <c r="AB94" s="30">
        <f t="shared" si="11"/>
        <v>306602.9950721534</v>
      </c>
      <c r="AC94" s="30"/>
      <c r="AD94" s="26"/>
      <c r="AE94" s="26"/>
      <c r="AF94" s="39"/>
      <c r="AG94" s="39"/>
      <c r="AH94" s="39"/>
      <c r="AI94" s="25"/>
      <c r="AJ94" s="26">
        <f>AQ94*(1-입력란!$C$35/100)</f>
        <v>19.768140815599999</v>
      </c>
      <c r="AK9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4" s="26">
        <f>입력란!$C$47+입력란!$C$41+IF(입력란!$C$18=1,10,IF(입력란!$C$18=2,25,IF(입력란!$C$18=3,50,0)))+IF(입력란!$C$23&lt;&gt;0,-12)</f>
        <v>378.9445412</v>
      </c>
      <c r="AM94" s="30">
        <f t="shared" si="12"/>
        <v>153301.4975360767</v>
      </c>
      <c r="AN94" s="30">
        <f>(VLOOKUP(C94,$B$4:$AJ$7,7,FALSE)+VLOOKUP(C94,$B$8:$AJ$11,7,FALSE)*입력란!$C$29)*입력란!$C$48/100</f>
        <v>153301.4975360767</v>
      </c>
      <c r="AO94" s="26"/>
      <c r="AP94" s="30"/>
      <c r="AQ94" s="28">
        <v>20</v>
      </c>
    </row>
    <row r="95" spans="2:43" ht="13.5" customHeight="1" x14ac:dyDescent="0.3">
      <c r="B95" s="31">
        <v>80</v>
      </c>
      <c r="C95" s="36">
        <v>10</v>
      </c>
      <c r="D95" s="37" t="s">
        <v>135</v>
      </c>
      <c r="E95" s="38" t="s">
        <v>97</v>
      </c>
      <c r="F95" s="40" t="s">
        <v>138</v>
      </c>
      <c r="G95" s="40"/>
      <c r="H95" s="52">
        <f t="shared" si="8"/>
        <v>14859.694655092606</v>
      </c>
      <c r="I95" s="53">
        <f>SUM(J95:Q95)*IF(입력란!$C$16=1,1.04,IF(입력란!$C$16=2,1.1,IF(입력란!$C$16=3,1.2,1)))*IF(입력란!$C$21=1,1+입력란!$C$38*0.001,IF(입력란!$C$21=2,1+입력란!$C$38*0.0022,IF(입력란!$C$21=3,1+입력란!$C$38*0.0045,1)))*IF(입력란!$C$18&lt;&gt;0,0.98,1)</f>
        <v>293748.5364186893</v>
      </c>
      <c r="J95" s="30">
        <f>S95*(1+IF($AK95+IF(입력란!$C$26=1,10,0)+IF(MID(E95,3,1)="2",IF(MID(E95,1,1)="3",0,트라이포드!L$9),0)&gt;100,100,$AK95+IF(입력란!$C$26=1,10,0)+IF(MID(E95,3,1)="2",IF(MID(E95,1,1)="3",0,트라이포드!L$9),0))/100*($AL95/100-1))</f>
        <v>293748.5364186893</v>
      </c>
      <c r="K95" s="30"/>
      <c r="L95" s="30"/>
      <c r="M95" s="30"/>
      <c r="N95" s="39"/>
      <c r="O95" s="39"/>
      <c r="P95" s="39"/>
      <c r="Q95" s="30"/>
      <c r="R95" s="24">
        <f t="shared" si="9"/>
        <v>183961.79704329203</v>
      </c>
      <c r="S95" s="30">
        <f>AN95*IF(입력란!$C$12=0,1,IF(입력란!$C$12=1,1.3,IF(입력란!$C$12=2,1.45,IF(입력란!$C$12=3,1.6,1))))*IF(MID(E95,1,1)="3",트라이포드!$H$9,트라이포드!$G$9)*IF(MID(E95,3,1)="3",트라이포드!$N$9,트라이포드!$M$9)*IF(MID(E95,5,1)="1",트라이포드!$P$9,IF(MID(E95,5,1)="2",트라이포드!$R$9,트라이포드!$O$9))</f>
        <v>183961.79704329203</v>
      </c>
      <c r="T95" s="30"/>
      <c r="U95" s="30"/>
      <c r="V95" s="30"/>
      <c r="W95" s="39"/>
      <c r="X95" s="39"/>
      <c r="Y95" s="39"/>
      <c r="Z95" s="25"/>
      <c r="AA95" s="30">
        <f t="shared" si="10"/>
        <v>367923.59408658405</v>
      </c>
      <c r="AB95" s="30">
        <f t="shared" si="11"/>
        <v>367923.59408658405</v>
      </c>
      <c r="AC95" s="30"/>
      <c r="AD95" s="26"/>
      <c r="AE95" s="26"/>
      <c r="AF95" s="39"/>
      <c r="AG95" s="39"/>
      <c r="AH95" s="39"/>
      <c r="AI95" s="25"/>
      <c r="AJ95" s="26">
        <f>AQ95*(1-입력란!$C$35/100)</f>
        <v>19.768140815599999</v>
      </c>
      <c r="AK9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5" s="26">
        <f>입력란!$C$47+입력란!$C$41+IF(입력란!$C$18=1,10,IF(입력란!$C$18=2,25,IF(입력란!$C$18=3,50,0)))+IF(입력란!$C$23&lt;&gt;0,-12)</f>
        <v>378.9445412</v>
      </c>
      <c r="AM95" s="30">
        <f t="shared" si="12"/>
        <v>153301.4975360767</v>
      </c>
      <c r="AN95" s="30">
        <f>(VLOOKUP(C95,$B$4:$AJ$7,7,FALSE)+VLOOKUP(C95,$B$8:$AJ$11,7,FALSE)*입력란!$C$29)*입력란!$C$48/100</f>
        <v>153301.4975360767</v>
      </c>
      <c r="AO95" s="26"/>
      <c r="AP95" s="30"/>
      <c r="AQ95" s="29">
        <v>20</v>
      </c>
    </row>
    <row r="96" spans="2:43" ht="13.5" customHeight="1" x14ac:dyDescent="0.3">
      <c r="B96" s="31">
        <v>81</v>
      </c>
      <c r="C96" s="36">
        <v>10</v>
      </c>
      <c r="D96" s="37" t="s">
        <v>135</v>
      </c>
      <c r="E96" s="38" t="s">
        <v>123</v>
      </c>
      <c r="F96" s="40"/>
      <c r="G96" s="40"/>
      <c r="H96" s="52">
        <f t="shared" si="8"/>
        <v>22289.541982638912</v>
      </c>
      <c r="I96" s="53">
        <f>SUM(J96:Q96)*IF(입력란!$C$16=1,1.04,IF(입력란!$C$16=2,1.1,IF(입력란!$C$16=3,1.2,1)))*IF(입력란!$C$21=1,1+입력란!$C$38*0.001,IF(입력란!$C$21=2,1+입력란!$C$38*0.0022,IF(입력란!$C$21=3,1+입력란!$C$38*0.0045,1)))*IF(입력란!$C$18&lt;&gt;0,0.98,1)</f>
        <v>440622.80462803401</v>
      </c>
      <c r="J96" s="30">
        <f>S96*(1+IF($AK96+IF(입력란!$C$26=1,10,0)+IF(MID(E96,3,1)="2",IF(MID(E96,1,1)="3",0,트라이포드!L$9),0)&gt;100,100,$AK96+IF(입력란!$C$26=1,10,0)+IF(MID(E96,3,1)="2",IF(MID(E96,1,1)="3",0,트라이포드!L$9),0))/100*($AL96/100-1))</f>
        <v>440622.80462803401</v>
      </c>
      <c r="K96" s="30"/>
      <c r="L96" s="30"/>
      <c r="M96" s="30"/>
      <c r="N96" s="39"/>
      <c r="O96" s="39"/>
      <c r="P96" s="39"/>
      <c r="Q96" s="30"/>
      <c r="R96" s="24">
        <f t="shared" si="9"/>
        <v>275942.69556493807</v>
      </c>
      <c r="S96" s="30">
        <f>AN96*IF(입력란!$C$12=0,1,IF(입력란!$C$12=1,1.3,IF(입력란!$C$12=2,1.45,IF(입력란!$C$12=3,1.6,1))))*IF(MID(E96,1,1)="3",트라이포드!$H$9,트라이포드!$G$9)*IF(MID(E96,3,1)="3",트라이포드!$N$9,트라이포드!$M$9)*IF(MID(E96,5,1)="1",트라이포드!$P$9,IF(MID(E96,5,1)="2",트라이포드!$R$9,트라이포드!$O$9))</f>
        <v>275942.69556493807</v>
      </c>
      <c r="T96" s="30"/>
      <c r="U96" s="30"/>
      <c r="V96" s="30"/>
      <c r="W96" s="39"/>
      <c r="X96" s="39"/>
      <c r="Y96" s="39"/>
      <c r="Z96" s="25"/>
      <c r="AA96" s="30">
        <f t="shared" si="10"/>
        <v>551885.39112987614</v>
      </c>
      <c r="AB96" s="30">
        <f t="shared" si="11"/>
        <v>551885.39112987614</v>
      </c>
      <c r="AC96" s="30"/>
      <c r="AD96" s="26"/>
      <c r="AE96" s="26"/>
      <c r="AF96" s="39"/>
      <c r="AG96" s="39"/>
      <c r="AH96" s="39"/>
      <c r="AI96" s="25"/>
      <c r="AJ96" s="26">
        <f>AQ96*(1-입력란!$C$35/100)</f>
        <v>19.768140815599999</v>
      </c>
      <c r="AK9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6" s="26">
        <f>입력란!$C$47+입력란!$C$41+IF(입력란!$C$18=1,10,IF(입력란!$C$18=2,25,IF(입력란!$C$18=3,50,0)))+IF(입력란!$C$23&lt;&gt;0,-12)</f>
        <v>378.9445412</v>
      </c>
      <c r="AM96" s="30">
        <f t="shared" si="12"/>
        <v>153301.4975360767</v>
      </c>
      <c r="AN96" s="30">
        <f>(VLOOKUP(C96,$B$4:$AJ$7,7,FALSE)+VLOOKUP(C96,$B$8:$AJ$11,7,FALSE)*입력란!$C$29)*입력란!$C$48/100</f>
        <v>153301.4975360767</v>
      </c>
      <c r="AO96" s="26"/>
      <c r="AP96" s="30"/>
      <c r="AQ96" s="28">
        <v>20</v>
      </c>
    </row>
    <row r="97" spans="2:43" ht="13.5" customHeight="1" x14ac:dyDescent="0.3">
      <c r="B97" s="31">
        <v>82</v>
      </c>
      <c r="C97" s="36">
        <v>10</v>
      </c>
      <c r="D97" s="37" t="s">
        <v>135</v>
      </c>
      <c r="E97" s="38" t="s">
        <v>124</v>
      </c>
      <c r="F97" s="40"/>
      <c r="G97" s="40"/>
      <c r="H97" s="52">
        <f t="shared" si="8"/>
        <v>19812.926206790147</v>
      </c>
      <c r="I97" s="53">
        <f>SUM(J97:Q97)*IF(입력란!$C$16=1,1.04,IF(입력란!$C$16=2,1.1,IF(입력란!$C$16=3,1.2,1)))*IF(입력란!$C$21=1,1+입력란!$C$38*0.001,IF(입력란!$C$21=2,1+입력란!$C$38*0.0022,IF(입력란!$C$21=3,1+입력란!$C$38*0.0045,1)))*IF(입력란!$C$18&lt;&gt;0,0.98,1)</f>
        <v>391664.71522491914</v>
      </c>
      <c r="J97" s="30">
        <f>S97*(1+IF($AK97+IF(입력란!$C$26=1,10,0)+IF(MID(E97,3,1)="2",IF(MID(E97,1,1)="3",0,트라이포드!L$9),0)&gt;100,100,$AK97+IF(입력란!$C$26=1,10,0)+IF(MID(E97,3,1)="2",IF(MID(E97,1,1)="3",0,트라이포드!L$9),0))/100*($AL97/100-1))</f>
        <v>391664.71522491914</v>
      </c>
      <c r="K97" s="30"/>
      <c r="L97" s="30"/>
      <c r="M97" s="30"/>
      <c r="N97" s="39"/>
      <c r="O97" s="39"/>
      <c r="P97" s="39"/>
      <c r="Q97" s="30"/>
      <c r="R97" s="24">
        <f t="shared" si="9"/>
        <v>245282.39605772274</v>
      </c>
      <c r="S97" s="30">
        <f>AN97*IF(입력란!$C$12=0,1,IF(입력란!$C$12=1,1.3,IF(입력란!$C$12=2,1.45,IF(입력란!$C$12=3,1.6,1))))*IF(MID(E97,1,1)="3",트라이포드!$H$9,트라이포드!$G$9)*IF(MID(E97,3,1)="3",트라이포드!$N$9,트라이포드!$M$9)*IF(MID(E97,5,1)="1",트라이포드!$P$9,IF(MID(E97,5,1)="2",트라이포드!$R$9,트라이포드!$O$9))</f>
        <v>245282.39605772274</v>
      </c>
      <c r="T97" s="30"/>
      <c r="U97" s="30"/>
      <c r="V97" s="30"/>
      <c r="W97" s="39"/>
      <c r="X97" s="39"/>
      <c r="Y97" s="39"/>
      <c r="Z97" s="25"/>
      <c r="AA97" s="30">
        <f t="shared" si="10"/>
        <v>490564.79211544548</v>
      </c>
      <c r="AB97" s="30">
        <f t="shared" si="11"/>
        <v>490564.79211544548</v>
      </c>
      <c r="AC97" s="30"/>
      <c r="AD97" s="26"/>
      <c r="AE97" s="26"/>
      <c r="AF97" s="39"/>
      <c r="AG97" s="39"/>
      <c r="AH97" s="39"/>
      <c r="AI97" s="25"/>
      <c r="AJ97" s="26">
        <f>AQ97*(1-입력란!$C$35/100)</f>
        <v>19.768140815599999</v>
      </c>
      <c r="AK9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7" s="26">
        <f>입력란!$C$47+입력란!$C$41+IF(입력란!$C$18=1,10,IF(입력란!$C$18=2,25,IF(입력란!$C$18=3,50,0)))+IF(입력란!$C$23&lt;&gt;0,-12)</f>
        <v>378.9445412</v>
      </c>
      <c r="AM97" s="30">
        <f t="shared" si="12"/>
        <v>153301.4975360767</v>
      </c>
      <c r="AN97" s="30">
        <f>(VLOOKUP(C97,$B$4:$AJ$7,7,FALSE)+VLOOKUP(C97,$B$8:$AJ$11,7,FALSE)*입력란!$C$29)*입력란!$C$48/100</f>
        <v>153301.4975360767</v>
      </c>
      <c r="AO97" s="26"/>
      <c r="AP97" s="30"/>
      <c r="AQ97" s="29">
        <v>20</v>
      </c>
    </row>
    <row r="98" spans="2:43" ht="13.5" customHeight="1" x14ac:dyDescent="0.3">
      <c r="B98" s="31">
        <v>83</v>
      </c>
      <c r="C98" s="36">
        <v>10</v>
      </c>
      <c r="D98" s="37" t="s">
        <v>135</v>
      </c>
      <c r="E98" s="38" t="s">
        <v>112</v>
      </c>
      <c r="F98" s="40" t="s">
        <v>138</v>
      </c>
      <c r="G98" s="40"/>
      <c r="H98" s="52">
        <f t="shared" si="8"/>
        <v>26747.450379166694</v>
      </c>
      <c r="I98" s="53">
        <f>SUM(J98:Q98)*IF(입력란!$C$16=1,1.04,IF(입력란!$C$16=2,1.1,IF(입력란!$C$16=3,1.2,1)))*IF(입력란!$C$21=1,1+입력란!$C$38*0.001,IF(입력란!$C$21=2,1+입력란!$C$38*0.0022,IF(입력란!$C$21=3,1+입력란!$C$38*0.0045,1)))*IF(입력란!$C$18&lt;&gt;0,0.98,1)</f>
        <v>528747.36555364076</v>
      </c>
      <c r="J98" s="30">
        <f>S98*(1+IF($AK98+IF(입력란!$C$26=1,10,0)+IF(MID(E98,3,1)="2",IF(MID(E98,1,1)="3",0,트라이포드!L$9),0)&gt;100,100,$AK98+IF(입력란!$C$26=1,10,0)+IF(MID(E98,3,1)="2",IF(MID(E98,1,1)="3",0,트라이포드!L$9),0))/100*($AL98/100-1))</f>
        <v>528747.36555364076</v>
      </c>
      <c r="K98" s="30"/>
      <c r="L98" s="30"/>
      <c r="M98" s="30"/>
      <c r="N98" s="39"/>
      <c r="O98" s="39"/>
      <c r="P98" s="39"/>
      <c r="Q98" s="30"/>
      <c r="R98" s="24">
        <f t="shared" si="9"/>
        <v>331131.23467792565</v>
      </c>
      <c r="S98" s="30">
        <f>AN98*IF(입력란!$C$12=0,1,IF(입력란!$C$12=1,1.3,IF(입력란!$C$12=2,1.45,IF(입력란!$C$12=3,1.6,1))))*IF(MID(E98,1,1)="3",트라이포드!$H$9,트라이포드!$G$9)*IF(MID(E98,3,1)="3",트라이포드!$N$9,트라이포드!$M$9)*IF(MID(E98,5,1)="1",트라이포드!$P$9,IF(MID(E98,5,1)="2",트라이포드!$R$9,트라이포드!$O$9))</f>
        <v>331131.23467792565</v>
      </c>
      <c r="T98" s="30"/>
      <c r="U98" s="30"/>
      <c r="V98" s="30"/>
      <c r="W98" s="39"/>
      <c r="X98" s="39"/>
      <c r="Y98" s="39"/>
      <c r="Z98" s="25"/>
      <c r="AA98" s="30">
        <f t="shared" si="10"/>
        <v>662262.4693558513</v>
      </c>
      <c r="AB98" s="30">
        <f t="shared" si="11"/>
        <v>662262.4693558513</v>
      </c>
      <c r="AC98" s="30"/>
      <c r="AD98" s="26"/>
      <c r="AE98" s="26"/>
      <c r="AF98" s="39"/>
      <c r="AG98" s="39"/>
      <c r="AH98" s="39"/>
      <c r="AI98" s="25"/>
      <c r="AJ98" s="26">
        <f>AQ98*(1-입력란!$C$35/100)</f>
        <v>19.768140815599999</v>
      </c>
      <c r="AK9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8" s="26">
        <f>입력란!$C$47+입력란!$C$41+IF(입력란!$C$18=1,10,IF(입력란!$C$18=2,25,IF(입력란!$C$18=3,50,0)))+IF(입력란!$C$23&lt;&gt;0,-12)</f>
        <v>378.9445412</v>
      </c>
      <c r="AM98" s="30">
        <f t="shared" si="12"/>
        <v>153301.4975360767</v>
      </c>
      <c r="AN98" s="30">
        <f>(VLOOKUP(C98,$B$4:$AJ$7,7,FALSE)+VLOOKUP(C98,$B$8:$AJ$11,7,FALSE)*입력란!$C$29)*입력란!$C$48/100</f>
        <v>153301.4975360767</v>
      </c>
      <c r="AO98" s="26"/>
      <c r="AP98" s="30"/>
      <c r="AQ98" s="28">
        <v>20</v>
      </c>
    </row>
    <row r="99" spans="2:43" ht="13.5" customHeight="1" x14ac:dyDescent="0.3">
      <c r="B99" s="31">
        <v>84</v>
      </c>
      <c r="C99" s="36">
        <v>10</v>
      </c>
      <c r="D99" s="37" t="s">
        <v>135</v>
      </c>
      <c r="E99" s="38" t="s">
        <v>113</v>
      </c>
      <c r="F99" s="40" t="s">
        <v>138</v>
      </c>
      <c r="G99" s="40"/>
      <c r="H99" s="52">
        <f t="shared" si="8"/>
        <v>23775.511448148169</v>
      </c>
      <c r="I99" s="53">
        <f>SUM(J99:Q99)*IF(입력란!$C$16=1,1.04,IF(입력란!$C$16=2,1.1,IF(입력란!$C$16=3,1.2,1)))*IF(입력란!$C$21=1,1+입력란!$C$38*0.001,IF(입력란!$C$21=2,1+입력란!$C$38*0.0022,IF(입력란!$C$21=3,1+입력란!$C$38*0.0045,1)))*IF(입력란!$C$18&lt;&gt;0,0.98,1)</f>
        <v>469997.65826990287</v>
      </c>
      <c r="J99" s="30">
        <f>S99*(1+IF($AK99+IF(입력란!$C$26=1,10,0)+IF(MID(E99,3,1)="2",IF(MID(E99,1,1)="3",0,트라이포드!L$9),0)&gt;100,100,$AK99+IF(입력란!$C$26=1,10,0)+IF(MID(E99,3,1)="2",IF(MID(E99,1,1)="3",0,트라이포드!L$9),0))/100*($AL99/100-1))</f>
        <v>469997.65826990287</v>
      </c>
      <c r="K99" s="30"/>
      <c r="L99" s="30"/>
      <c r="M99" s="30"/>
      <c r="N99" s="39"/>
      <c r="O99" s="39"/>
      <c r="P99" s="39"/>
      <c r="Q99" s="30"/>
      <c r="R99" s="24">
        <f t="shared" si="9"/>
        <v>294338.87526926724</v>
      </c>
      <c r="S99" s="30">
        <f>AN99*IF(입력란!$C$12=0,1,IF(입력란!$C$12=1,1.3,IF(입력란!$C$12=2,1.45,IF(입력란!$C$12=3,1.6,1))))*IF(MID(E99,1,1)="3",트라이포드!$H$9,트라이포드!$G$9)*IF(MID(E99,3,1)="3",트라이포드!$N$9,트라이포드!$M$9)*IF(MID(E99,5,1)="1",트라이포드!$P$9,IF(MID(E99,5,1)="2",트라이포드!$R$9,트라이포드!$O$9))</f>
        <v>294338.87526926724</v>
      </c>
      <c r="T99" s="30"/>
      <c r="U99" s="30"/>
      <c r="V99" s="30"/>
      <c r="W99" s="39"/>
      <c r="X99" s="39"/>
      <c r="Y99" s="39"/>
      <c r="Z99" s="25"/>
      <c r="AA99" s="30">
        <f t="shared" si="10"/>
        <v>588677.75053853448</v>
      </c>
      <c r="AB99" s="30">
        <f t="shared" si="11"/>
        <v>588677.75053853448</v>
      </c>
      <c r="AC99" s="30"/>
      <c r="AD99" s="26"/>
      <c r="AE99" s="26"/>
      <c r="AF99" s="39"/>
      <c r="AG99" s="39"/>
      <c r="AH99" s="39"/>
      <c r="AI99" s="25"/>
      <c r="AJ99" s="26">
        <f>AQ99*(1-입력란!$C$35/100)</f>
        <v>19.768140815599999</v>
      </c>
      <c r="AK9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99" s="26">
        <f>입력란!$C$47+입력란!$C$41+IF(입력란!$C$18=1,10,IF(입력란!$C$18=2,25,IF(입력란!$C$18=3,50,0)))+IF(입력란!$C$23&lt;&gt;0,-12)</f>
        <v>378.9445412</v>
      </c>
      <c r="AM99" s="30">
        <f t="shared" si="12"/>
        <v>153301.4975360767</v>
      </c>
      <c r="AN99" s="30">
        <f>(VLOOKUP(C99,$B$4:$AJ$7,7,FALSE)+VLOOKUP(C99,$B$8:$AJ$11,7,FALSE)*입력란!$C$29)*입력란!$C$48/100</f>
        <v>153301.4975360767</v>
      </c>
      <c r="AO99" s="26"/>
      <c r="AP99" s="30"/>
      <c r="AQ99" s="29">
        <v>20</v>
      </c>
    </row>
    <row r="100" spans="2:43" ht="13.5" customHeight="1" x14ac:dyDescent="0.3">
      <c r="B100" s="31">
        <v>85</v>
      </c>
      <c r="C100" s="36">
        <v>10</v>
      </c>
      <c r="D100" s="37" t="s">
        <v>135</v>
      </c>
      <c r="E100" s="38" t="s">
        <v>136</v>
      </c>
      <c r="F100" s="40" t="s">
        <v>400</v>
      </c>
      <c r="G100" s="40"/>
      <c r="H100" s="52">
        <f t="shared" si="8"/>
        <v>26747.450379166694</v>
      </c>
      <c r="I100" s="53">
        <f>SUM(J100:Q100)*IF(입력란!$C$16=1,1.04,IF(입력란!$C$16=2,1.1,IF(입력란!$C$16=3,1.2,1)))*IF(입력란!$C$21=1,1+입력란!$C$38*0.001,IF(입력란!$C$21=2,1+입력란!$C$38*0.0022,IF(입력란!$C$21=3,1+입력란!$C$38*0.0045,1)))*IF(입력란!$C$18&lt;&gt;0,0.98,1)</f>
        <v>528747.36555364076</v>
      </c>
      <c r="J100" s="30">
        <f>S100*(1+IF($AK100+IF(입력란!$C$26=1,10,0)+IF(MID(E100,3,1)="2",IF(MID(E100,1,1)="3",0,트라이포드!L$9),0)&gt;100,100,$AK100+IF(입력란!$C$26=1,10,0)+IF(MID(E100,3,1)="2",IF(MID(E100,1,1)="3",0,트라이포드!L$9),0))/100*($AL100/100-1))</f>
        <v>528747.36555364076</v>
      </c>
      <c r="K100" s="30"/>
      <c r="L100" s="30"/>
      <c r="M100" s="30"/>
      <c r="N100" s="39"/>
      <c r="O100" s="39"/>
      <c r="P100" s="39"/>
      <c r="Q100" s="30"/>
      <c r="R100" s="24">
        <f t="shared" si="9"/>
        <v>331131.23467792565</v>
      </c>
      <c r="S100" s="30">
        <f>AN100*IF(입력란!$C$12=0,1,IF(입력란!$C$12=1,1.3,IF(입력란!$C$12=2,1.45,IF(입력란!$C$12=3,1.6,1))))*IF(MID(E100,1,1)="3",트라이포드!$H$9,트라이포드!$G$9)*IF(MID(E100,3,1)="3",트라이포드!$N$9,트라이포드!$M$9)*IF(MID(E100,5,1)="1",트라이포드!$P$9,IF(MID(E100,5,1)="2",트라이포드!$R$9,트라이포드!$O$9))</f>
        <v>331131.23467792565</v>
      </c>
      <c r="T100" s="30"/>
      <c r="U100" s="30"/>
      <c r="V100" s="30"/>
      <c r="W100" s="39"/>
      <c r="X100" s="39"/>
      <c r="Y100" s="39"/>
      <c r="Z100" s="25"/>
      <c r="AA100" s="30">
        <f t="shared" si="10"/>
        <v>662262.4693558513</v>
      </c>
      <c r="AB100" s="30">
        <f t="shared" si="11"/>
        <v>662262.4693558513</v>
      </c>
      <c r="AC100" s="30"/>
      <c r="AD100" s="26"/>
      <c r="AE100" s="26"/>
      <c r="AF100" s="39"/>
      <c r="AG100" s="39"/>
      <c r="AH100" s="39"/>
      <c r="AI100" s="25"/>
      <c r="AJ100" s="26">
        <f>AQ100*(1-입력란!$C$35/100)</f>
        <v>19.768140815599999</v>
      </c>
      <c r="AK10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0" s="26">
        <f>입력란!$C$47+입력란!$C$41+IF(입력란!$C$18=1,10,IF(입력란!$C$18=2,25,IF(입력란!$C$18=3,50,0)))+IF(입력란!$C$23&lt;&gt;0,-12)</f>
        <v>378.9445412</v>
      </c>
      <c r="AM100" s="30">
        <f t="shared" si="12"/>
        <v>153301.4975360767</v>
      </c>
      <c r="AN100" s="30">
        <f>(VLOOKUP(C100,$B$4:$AJ$7,7,FALSE)+VLOOKUP(C100,$B$8:$AJ$11,7,FALSE)*입력란!$C$29)*입력란!$C$48/100</f>
        <v>153301.4975360767</v>
      </c>
      <c r="AO100" s="26"/>
      <c r="AP100" s="30"/>
      <c r="AQ100" s="28">
        <v>20</v>
      </c>
    </row>
    <row r="101" spans="2:43" ht="13.5" customHeight="1" x14ac:dyDescent="0.3">
      <c r="B101" s="31">
        <v>86</v>
      </c>
      <c r="C101" s="36">
        <v>10</v>
      </c>
      <c r="D101" s="37" t="s">
        <v>135</v>
      </c>
      <c r="E101" s="38" t="s">
        <v>137</v>
      </c>
      <c r="F101" s="40" t="s">
        <v>400</v>
      </c>
      <c r="G101" s="40"/>
      <c r="H101" s="52">
        <f t="shared" si="8"/>
        <v>23775.511448148169</v>
      </c>
      <c r="I101" s="53">
        <f>SUM(J101:Q101)*IF(입력란!$C$16=1,1.04,IF(입력란!$C$16=2,1.1,IF(입력란!$C$16=3,1.2,1)))*IF(입력란!$C$21=1,1+입력란!$C$38*0.001,IF(입력란!$C$21=2,1+입력란!$C$38*0.0022,IF(입력란!$C$21=3,1+입력란!$C$38*0.0045,1)))*IF(입력란!$C$18&lt;&gt;0,0.98,1)</f>
        <v>469997.65826990287</v>
      </c>
      <c r="J101" s="30">
        <f>S101*(1+IF($AK101+IF(입력란!$C$26=1,10,0)+IF(MID(E101,3,1)="2",IF(MID(E101,1,1)="3",0,트라이포드!L$9),0)&gt;100,100,$AK101+IF(입력란!$C$26=1,10,0)+IF(MID(E101,3,1)="2",IF(MID(E101,1,1)="3",0,트라이포드!L$9),0))/100*($AL101/100-1))</f>
        <v>469997.65826990287</v>
      </c>
      <c r="K101" s="30"/>
      <c r="L101" s="30"/>
      <c r="M101" s="30"/>
      <c r="N101" s="39"/>
      <c r="O101" s="39"/>
      <c r="P101" s="39"/>
      <c r="Q101" s="30"/>
      <c r="R101" s="24">
        <f t="shared" si="9"/>
        <v>294338.87526926724</v>
      </c>
      <c r="S101" s="30">
        <f>AN101*IF(입력란!$C$12=0,1,IF(입력란!$C$12=1,1.3,IF(입력란!$C$12=2,1.45,IF(입력란!$C$12=3,1.6,1))))*IF(MID(E101,1,1)="3",트라이포드!$H$9,트라이포드!$G$9)*IF(MID(E101,3,1)="3",트라이포드!$N$9,트라이포드!$M$9)*IF(MID(E101,5,1)="1",트라이포드!$P$9,IF(MID(E101,5,1)="2",트라이포드!$R$9,트라이포드!$O$9))</f>
        <v>294338.87526926724</v>
      </c>
      <c r="T101" s="30"/>
      <c r="U101" s="30"/>
      <c r="V101" s="30"/>
      <c r="W101" s="39"/>
      <c r="X101" s="39"/>
      <c r="Y101" s="39"/>
      <c r="Z101" s="25"/>
      <c r="AA101" s="30">
        <f t="shared" si="10"/>
        <v>588677.75053853448</v>
      </c>
      <c r="AB101" s="30">
        <f t="shared" si="11"/>
        <v>588677.75053853448</v>
      </c>
      <c r="AC101" s="30"/>
      <c r="AD101" s="26"/>
      <c r="AE101" s="26"/>
      <c r="AF101" s="39"/>
      <c r="AG101" s="39"/>
      <c r="AH101" s="39"/>
      <c r="AI101" s="25"/>
      <c r="AJ101" s="26">
        <f>AQ101*(1-입력란!$C$35/100)</f>
        <v>19.768140815599999</v>
      </c>
      <c r="AK10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1" s="26">
        <f>입력란!$C$47+입력란!$C$41+IF(입력란!$C$18=1,10,IF(입력란!$C$18=2,25,IF(입력란!$C$18=3,50,0)))+IF(입력란!$C$23&lt;&gt;0,-12)</f>
        <v>378.9445412</v>
      </c>
      <c r="AM101" s="30">
        <f t="shared" si="12"/>
        <v>153301.4975360767</v>
      </c>
      <c r="AN101" s="30">
        <f>(VLOOKUP(C101,$B$4:$AJ$7,7,FALSE)+VLOOKUP(C101,$B$8:$AJ$11,7,FALSE)*입력란!$C$29)*입력란!$C$48/100</f>
        <v>153301.4975360767</v>
      </c>
      <c r="AO101" s="26"/>
      <c r="AP101" s="30"/>
      <c r="AQ101" s="29">
        <v>20</v>
      </c>
    </row>
    <row r="102" spans="2:43" ht="13.5" customHeight="1" x14ac:dyDescent="0.3">
      <c r="B102" s="31">
        <v>87</v>
      </c>
      <c r="C102" s="36">
        <v>10</v>
      </c>
      <c r="D102" s="37" t="s">
        <v>135</v>
      </c>
      <c r="E102" s="38" t="s">
        <v>118</v>
      </c>
      <c r="F102" s="40" t="s">
        <v>138</v>
      </c>
      <c r="G102" s="40"/>
      <c r="H102" s="52">
        <f t="shared" si="8"/>
        <v>33166.838470166695</v>
      </c>
      <c r="I102" s="53">
        <f>SUM(J102:Q102)*IF(입력란!$C$16=1,1.04,IF(입력란!$C$16=2,1.1,IF(입력란!$C$16=3,1.2,1)))*IF(입력란!$C$21=1,1+입력란!$C$38*0.001,IF(입력란!$C$21=2,1+입력란!$C$38*0.0022,IF(입력란!$C$21=3,1+입력란!$C$38*0.0045,1)))*IF(입력란!$C$18&lt;&gt;0,0.98,1)</f>
        <v>655646.73328651453</v>
      </c>
      <c r="J102" s="30">
        <f>S102*(1+IF($AK102+IF(입력란!$C$26=1,10,0)+IF(MID(E102,3,1)="2",IF(MID(E102,1,1)="3",0,트라이포드!L$9),0)&gt;100,100,$AK102+IF(입력란!$C$26=1,10,0)+IF(MID(E102,3,1)="2",IF(MID(E102,1,1)="3",0,트라이포드!L$9),0))/100*($AL102/100-1))</f>
        <v>655646.73328651453</v>
      </c>
      <c r="K102" s="30"/>
      <c r="L102" s="30"/>
      <c r="M102" s="30"/>
      <c r="N102" s="39"/>
      <c r="O102" s="39"/>
      <c r="P102" s="39"/>
      <c r="Q102" s="30"/>
      <c r="R102" s="24">
        <f t="shared" si="9"/>
        <v>410602.7310006278</v>
      </c>
      <c r="S102" s="30">
        <f>AN102*IF(입력란!$C$12=0,1,IF(입력란!$C$12=1,1.3,IF(입력란!$C$12=2,1.45,IF(입력란!$C$12=3,1.6,1))))*IF(MID(E102,1,1)="3",트라이포드!$H$9,트라이포드!$G$9)*IF(MID(E102,3,1)="3",트라이포드!$N$9,트라이포드!$M$9)*IF(MID(E102,5,1)="1",트라이포드!$P$9,IF(MID(E102,5,1)="2",트라이포드!$R$9,트라이포드!$O$9))</f>
        <v>410602.7310006278</v>
      </c>
      <c r="T102" s="30"/>
      <c r="U102" s="30"/>
      <c r="V102" s="30"/>
      <c r="W102" s="39"/>
      <c r="X102" s="39"/>
      <c r="Y102" s="39"/>
      <c r="Z102" s="25"/>
      <c r="AA102" s="30">
        <f t="shared" si="10"/>
        <v>821205.4620012556</v>
      </c>
      <c r="AB102" s="30">
        <f t="shared" si="11"/>
        <v>821205.4620012556</v>
      </c>
      <c r="AC102" s="30"/>
      <c r="AD102" s="26"/>
      <c r="AE102" s="26"/>
      <c r="AF102" s="39"/>
      <c r="AG102" s="39"/>
      <c r="AH102" s="39"/>
      <c r="AI102" s="25"/>
      <c r="AJ102" s="26">
        <f>AQ102*(1-입력란!$C$35/100)</f>
        <v>19.768140815599999</v>
      </c>
      <c r="AK10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2" s="26">
        <f>입력란!$C$47+입력란!$C$41+IF(입력란!$C$18=1,10,IF(입력란!$C$18=2,25,IF(입력란!$C$18=3,50,0)))+IF(입력란!$C$23&lt;&gt;0,-12)</f>
        <v>378.9445412</v>
      </c>
      <c r="AM102" s="30">
        <f t="shared" si="12"/>
        <v>153301.4975360767</v>
      </c>
      <c r="AN102" s="30">
        <f>(VLOOKUP(C102,$B$4:$AJ$7,7,FALSE)+VLOOKUP(C102,$B$8:$AJ$11,7,FALSE)*입력란!$C$29)*입력란!$C$48/100</f>
        <v>153301.4975360767</v>
      </c>
      <c r="AO102" s="26"/>
      <c r="AP102" s="30"/>
      <c r="AQ102" s="28">
        <v>20</v>
      </c>
    </row>
    <row r="103" spans="2:43" ht="13.5" customHeight="1" x14ac:dyDescent="0.3">
      <c r="B103" s="31">
        <v>88</v>
      </c>
      <c r="C103" s="36">
        <v>10</v>
      </c>
      <c r="D103" s="37" t="s">
        <v>135</v>
      </c>
      <c r="E103" s="38" t="s">
        <v>119</v>
      </c>
      <c r="F103" s="40" t="s">
        <v>138</v>
      </c>
      <c r="G103" s="40"/>
      <c r="H103" s="52">
        <f t="shared" si="8"/>
        <v>29481.634195703733</v>
      </c>
      <c r="I103" s="53">
        <f>SUM(J103:Q103)*IF(입력란!$C$16=1,1.04,IF(입력란!$C$16=2,1.1,IF(입력란!$C$16=3,1.2,1)))*IF(입력란!$C$21=1,1+입력란!$C$38*0.001,IF(입력란!$C$21=2,1+입력란!$C$38*0.0022,IF(입력란!$C$21=3,1+입력란!$C$38*0.0045,1)))*IF(입력란!$C$18&lt;&gt;0,0.98,1)</f>
        <v>582797.09625467961</v>
      </c>
      <c r="J103" s="30">
        <f>S103*(1+IF($AK103+IF(입력란!$C$26=1,10,0)+IF(MID(E103,3,1)="2",IF(MID(E103,1,1)="3",0,트라이포드!L$9),0)&gt;100,100,$AK103+IF(입력란!$C$26=1,10,0)+IF(MID(E103,3,1)="2",IF(MID(E103,1,1)="3",0,트라이포드!L$9),0))/100*($AL103/100-1))</f>
        <v>582797.09625467961</v>
      </c>
      <c r="K103" s="30"/>
      <c r="L103" s="30"/>
      <c r="M103" s="30"/>
      <c r="N103" s="39"/>
      <c r="O103" s="39"/>
      <c r="P103" s="39"/>
      <c r="Q103" s="30"/>
      <c r="R103" s="24">
        <f t="shared" si="9"/>
        <v>364980.20533389138</v>
      </c>
      <c r="S103" s="30">
        <f>AN103*IF(입력란!$C$12=0,1,IF(입력란!$C$12=1,1.3,IF(입력란!$C$12=2,1.45,IF(입력란!$C$12=3,1.6,1))))*IF(MID(E103,1,1)="3",트라이포드!$H$9,트라이포드!$G$9)*IF(MID(E103,3,1)="3",트라이포드!$N$9,트라이포드!$M$9)*IF(MID(E103,5,1)="1",트라이포드!$P$9,IF(MID(E103,5,1)="2",트라이포드!$R$9,트라이포드!$O$9))</f>
        <v>364980.20533389138</v>
      </c>
      <c r="T103" s="30"/>
      <c r="U103" s="30"/>
      <c r="V103" s="30"/>
      <c r="W103" s="39"/>
      <c r="X103" s="39"/>
      <c r="Y103" s="39"/>
      <c r="Z103" s="25"/>
      <c r="AA103" s="30">
        <f t="shared" si="10"/>
        <v>729960.41066778277</v>
      </c>
      <c r="AB103" s="30">
        <f t="shared" si="11"/>
        <v>729960.41066778277</v>
      </c>
      <c r="AC103" s="30"/>
      <c r="AD103" s="26"/>
      <c r="AE103" s="26"/>
      <c r="AF103" s="39"/>
      <c r="AG103" s="39"/>
      <c r="AH103" s="39"/>
      <c r="AI103" s="25"/>
      <c r="AJ103" s="26">
        <f>AQ103*(1-입력란!$C$35/100)</f>
        <v>19.768140815599999</v>
      </c>
      <c r="AK10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3" s="26">
        <f>입력란!$C$47+입력란!$C$41+IF(입력란!$C$18=1,10,IF(입력란!$C$18=2,25,IF(입력란!$C$18=3,50,0)))+IF(입력란!$C$23&lt;&gt;0,-12)</f>
        <v>378.9445412</v>
      </c>
      <c r="AM103" s="30">
        <f t="shared" si="12"/>
        <v>153301.4975360767</v>
      </c>
      <c r="AN103" s="30">
        <f>(VLOOKUP(C103,$B$4:$AJ$7,7,FALSE)+VLOOKUP(C103,$B$8:$AJ$11,7,FALSE)*입력란!$C$29)*입력란!$C$48/100</f>
        <v>153301.4975360767</v>
      </c>
      <c r="AO103" s="26"/>
      <c r="AP103" s="30"/>
      <c r="AQ103" s="29">
        <v>20</v>
      </c>
    </row>
    <row r="104" spans="2:43" ht="13.5" customHeight="1" x14ac:dyDescent="0.3">
      <c r="B104" s="31">
        <v>89</v>
      </c>
      <c r="C104" s="36">
        <v>1</v>
      </c>
      <c r="D104" s="37" t="s">
        <v>140</v>
      </c>
      <c r="E104" s="38" t="s">
        <v>96</v>
      </c>
      <c r="F104" s="40"/>
      <c r="G104" s="40"/>
      <c r="H104" s="52">
        <f t="shared" si="8"/>
        <v>8484.6665140769164</v>
      </c>
      <c r="I104" s="53">
        <f>SUM(J104:Q104)*IF(입력란!$C$16=1,1.04,IF(입력란!$C$16=2,1.1,IF(입력란!$C$16=3,1.2,1)))*IF(입력란!$C$21=1,1+입력란!$C$38*0.001,IF(입력란!$C$21=2,1+입력란!$C$38*0.0022,IF(입력란!$C$21=3,1+입력란!$C$38*0.0045,1)))*IF(입력란!$C$18&lt;&gt;0,0.98,1)</f>
        <v>75476.737090655297</v>
      </c>
      <c r="J104" s="30">
        <f>S104*(1+IF($AK104+IF(입력란!$C$26=1,10,0)+IF(MID(E104,3,1)="2",트라이포드!L$10,0)&gt;100,100,$AK104+IF(입력란!$C$26=1,10,0)+IF(MID(E104,3,1)="2",트라이포드!L$10,0))/100*($AL104/100-1))</f>
        <v>75476.737090655297</v>
      </c>
      <c r="K104" s="30"/>
      <c r="L104" s="30"/>
      <c r="M104" s="30"/>
      <c r="N104" s="39"/>
      <c r="O104" s="39"/>
      <c r="P104" s="39"/>
      <c r="Q104" s="30">
        <f>Z104*(1+IF($AK104+IF(입력란!$C$26=1,10,0)&gt;100,100,$AK104+IF(입력란!$C$26=1,10,0))/100*($AL104/100-1))</f>
        <v>0</v>
      </c>
      <c r="R104" s="24">
        <f t="shared" si="9"/>
        <v>47267.762962980465</v>
      </c>
      <c r="S104" s="30">
        <f>AN104*IF(입력란!$C$12=0,1,IF(입력란!$C$12=1,1.3,IF(입력란!$C$12=2,1.45,IF(입력란!$C$12=3,1.6,1))))*IF(MID(E104,5,1)="1",트라이포드!$P$10,트라이포드!$O$10)</f>
        <v>47267.762962980465</v>
      </c>
      <c r="T104" s="30"/>
      <c r="U104" s="30"/>
      <c r="V104" s="30"/>
      <c r="W104" s="39"/>
      <c r="X104" s="39"/>
      <c r="Y104" s="39"/>
      <c r="Z104" s="25">
        <f>AN104*IF(입력란!$C$12=0,1,IF(입력란!$C$12=1,1.3,IF(입력란!$C$12=2,1.45,IF(입력란!$C$12=3,1.6,1))))*IF(MID(E104,3,1)="1",트라이포드!$J$10,트라이포드!$I$10)</f>
        <v>0</v>
      </c>
      <c r="AA104" s="30">
        <f t="shared" si="10"/>
        <v>94535.52592596093</v>
      </c>
      <c r="AB104" s="30">
        <f t="shared" si="11"/>
        <v>94535.52592596093</v>
      </c>
      <c r="AC104" s="30"/>
      <c r="AD104" s="26"/>
      <c r="AE104" s="26"/>
      <c r="AF104" s="39"/>
      <c r="AG104" s="39"/>
      <c r="AH104" s="39"/>
      <c r="AI104" s="25">
        <f t="shared" ref="AI104:AI135" si="13">Z104*2</f>
        <v>0</v>
      </c>
      <c r="AJ104" s="26">
        <f>(AQ104-IF(MID(E104,5,1)="2",트라이포드!R$10,0))*(1-입력란!$C$35/100)</f>
        <v>8.8956633670199992</v>
      </c>
      <c r="AK10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4" s="26">
        <f>입력란!$C$47+입력란!$C$41+IF(입력란!$C$18=1,10,IF(입력란!$C$18=2,25,IF(입력란!$C$18=3,50,0)))+IF(입력란!$C$23&lt;&gt;0,-12)</f>
        <v>378.9445412</v>
      </c>
      <c r="AM104" s="30">
        <f t="shared" si="12"/>
        <v>47267.762962980465</v>
      </c>
      <c r="AN104" s="30">
        <f>(VLOOKUP(C104,$B$4:$AJ$7,8,FALSE)+VLOOKUP(C104,$B$8:$AJ$11,8,FALSE)*입력란!$C$29)*입력란!$C$48/100</f>
        <v>47267.762962980465</v>
      </c>
      <c r="AO104" s="26"/>
      <c r="AP104" s="30"/>
      <c r="AQ104" s="29">
        <v>9</v>
      </c>
    </row>
    <row r="105" spans="2:43" ht="13.5" customHeight="1" x14ac:dyDescent="0.3">
      <c r="B105" s="31">
        <v>90</v>
      </c>
      <c r="C105" s="36">
        <v>4</v>
      </c>
      <c r="D105" s="37" t="s">
        <v>140</v>
      </c>
      <c r="E105" s="38" t="s">
        <v>96</v>
      </c>
      <c r="F105" s="40"/>
      <c r="G105" s="40"/>
      <c r="H105" s="52">
        <f t="shared" si="8"/>
        <v>8503.0475373489917</v>
      </c>
      <c r="I105" s="53">
        <f>SUM(J105:Q105)*IF(입력란!$C$16=1,1.04,IF(입력란!$C$16=2,1.1,IF(입력란!$C$16=3,1.2,1)))*IF(입력란!$C$21=1,1+입력란!$C$38*0.001,IF(입력란!$C$21=2,1+입력란!$C$38*0.0022,IF(입력란!$C$21=3,1+입력란!$C$38*0.0045,1)))*IF(입력란!$C$18&lt;&gt;0,0.98,1)</f>
        <v>75640.248486025041</v>
      </c>
      <c r="J105" s="30">
        <f>S105*(1+IF($AK105+IF(입력란!$C$26=1,10,0)+IF(MID(E105,3,1)="2",트라이포드!L$10,0)&gt;100,100,$AK105+IF(입력란!$C$26=1,10,0)+IF(MID(E105,3,1)="2",트라이포드!L$10,0))/100*($AL105/100-1))</f>
        <v>75640.248486025041</v>
      </c>
      <c r="K105" s="30"/>
      <c r="L105" s="30"/>
      <c r="M105" s="30"/>
      <c r="N105" s="39"/>
      <c r="O105" s="39"/>
      <c r="P105" s="39"/>
      <c r="Q105" s="30">
        <f>Z105*(1+IF($AK105+IF(입력란!$C$26=1,10,0)&gt;100,100,$AK105+IF(입력란!$C$26=1,10,0))/100*($AL105/100-1))</f>
        <v>0</v>
      </c>
      <c r="R105" s="24">
        <f t="shared" si="9"/>
        <v>47370.162962980467</v>
      </c>
      <c r="S105" s="30">
        <f>AN105*IF(입력란!$C$12=0,1,IF(입력란!$C$12=1,1.3,IF(입력란!$C$12=2,1.45,IF(입력란!$C$12=3,1.6,1))))*IF(MID(E105,5,1)="1",트라이포드!$P$10,트라이포드!$O$10)</f>
        <v>47370.162962980467</v>
      </c>
      <c r="T105" s="30"/>
      <c r="U105" s="30"/>
      <c r="V105" s="30"/>
      <c r="W105" s="39"/>
      <c r="X105" s="39"/>
      <c r="Y105" s="39"/>
      <c r="Z105" s="25">
        <f>AN105*IF(입력란!$C$12=0,1,IF(입력란!$C$12=1,1.3,IF(입력란!$C$12=2,1.45,IF(입력란!$C$12=3,1.6,1))))*IF(MID(E105,3,1)="1",트라이포드!$J$10,트라이포드!$I$10)</f>
        <v>0</v>
      </c>
      <c r="AA105" s="30">
        <f t="shared" si="10"/>
        <v>94740.325925960933</v>
      </c>
      <c r="AB105" s="30">
        <f t="shared" si="11"/>
        <v>94740.325925960933</v>
      </c>
      <c r="AC105" s="30"/>
      <c r="AD105" s="26"/>
      <c r="AE105" s="26"/>
      <c r="AF105" s="39"/>
      <c r="AG105" s="39"/>
      <c r="AH105" s="39"/>
      <c r="AI105" s="25">
        <f t="shared" si="13"/>
        <v>0</v>
      </c>
      <c r="AJ105" s="26">
        <f>(AQ105-IF(MID(E105,5,1)="2",트라이포드!R$10,0))*(1-입력란!$C$35/100)</f>
        <v>8.8956633670199992</v>
      </c>
      <c r="AK10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5" s="26">
        <f>입력란!$C$47+입력란!$C$41+IF(입력란!$C$18=1,10,IF(입력란!$C$18=2,25,IF(입력란!$C$18=3,50,0)))+IF(입력란!$C$23&lt;&gt;0,-12)</f>
        <v>378.9445412</v>
      </c>
      <c r="AM105" s="30">
        <f t="shared" si="12"/>
        <v>47370.162962980467</v>
      </c>
      <c r="AN105" s="30">
        <f>(VLOOKUP(C105,$B$4:$AJ$7,8,FALSE)+VLOOKUP(C105,$B$8:$AJ$11,8,FALSE)*입력란!$C$29)*입력란!$C$48/100</f>
        <v>47370.162962980467</v>
      </c>
      <c r="AO105" s="26"/>
      <c r="AP105" s="30"/>
      <c r="AQ105" s="29">
        <v>9</v>
      </c>
    </row>
    <row r="106" spans="2:43" ht="13.5" customHeight="1" x14ac:dyDescent="0.3">
      <c r="B106" s="31">
        <v>91</v>
      </c>
      <c r="C106" s="36">
        <v>7</v>
      </c>
      <c r="D106" s="37" t="s">
        <v>140</v>
      </c>
      <c r="E106" s="38" t="s">
        <v>363</v>
      </c>
      <c r="F106" s="40" t="s">
        <v>372</v>
      </c>
      <c r="G106" s="40"/>
      <c r="H106" s="52">
        <f t="shared" si="8"/>
        <v>13619.480598445116</v>
      </c>
      <c r="I106" s="53">
        <f>SUM(J106:Q106)*IF(입력란!$C$16=1,1.04,IF(입력란!$C$16=2,1.1,IF(입력란!$C$16=3,1.2,1)))*IF(입력란!$C$21=1,1+입력란!$C$38*0.001,IF(입력란!$C$21=2,1+입력란!$C$38*0.0022,IF(입력란!$C$21=3,1+입력란!$C$38*0.0045,1)))*IF(입력란!$C$18&lt;&gt;0,0.98,1)</f>
        <v>121154.31463742783</v>
      </c>
      <c r="J106" s="30">
        <f>S106*(1+IF($AK106+IF(입력란!$C$26=1,10,0)+IF(MID(E106,3,1)="2",트라이포드!L$10,0)&gt;100,100,$AK106+IF(입력란!$C$26=1,10,0)+IF(MID(E106,3,1)="2",트라이포드!L$10,0))/100*($AL106/100-1))</f>
        <v>75721.44664839239</v>
      </c>
      <c r="K106" s="30"/>
      <c r="L106" s="30"/>
      <c r="M106" s="30"/>
      <c r="N106" s="39"/>
      <c r="O106" s="39"/>
      <c r="P106" s="39"/>
      <c r="Q106" s="30">
        <f>Z106*(1+IF($AK106+IF(입력란!$C$26=1,10,0)&gt;100,100,$AK106+IF(입력란!$C$26=1,10,0))/100*($AL106/100-1))</f>
        <v>45432.867989035432</v>
      </c>
      <c r="R106" s="24">
        <f t="shared" si="9"/>
        <v>75873.622084986899</v>
      </c>
      <c r="S106" s="30">
        <f>AN106*IF(입력란!$C$12=0,1,IF(입력란!$C$12=1,1.3,IF(입력란!$C$12=2,1.45,IF(입력란!$C$12=3,1.6,1))))*IF(MID(E106,5,1)="1",트라이포드!$P$10,트라이포드!$O$10)</f>
        <v>47421.01380311681</v>
      </c>
      <c r="T106" s="30"/>
      <c r="U106" s="30"/>
      <c r="V106" s="30"/>
      <c r="W106" s="39"/>
      <c r="X106" s="39"/>
      <c r="Y106" s="39"/>
      <c r="Z106" s="25">
        <f>AN106*IF(입력란!$C$12=0,1,IF(입력란!$C$12=1,1.3,IF(입력란!$C$12=2,1.45,IF(입력란!$C$12=3,1.6,1))))*IF(MID(E106,3,1)="1",트라이포드!$J$10,트라이포드!$I$10)</f>
        <v>28452.608281870085</v>
      </c>
      <c r="AA106" s="30">
        <f t="shared" si="10"/>
        <v>151747.2441699738</v>
      </c>
      <c r="AB106" s="30">
        <f t="shared" si="11"/>
        <v>94842.02760623362</v>
      </c>
      <c r="AC106" s="30"/>
      <c r="AD106" s="26"/>
      <c r="AE106" s="26"/>
      <c r="AF106" s="39"/>
      <c r="AG106" s="39"/>
      <c r="AH106" s="39"/>
      <c r="AI106" s="25">
        <f t="shared" si="13"/>
        <v>56905.21656374017</v>
      </c>
      <c r="AJ106" s="26">
        <f>(AQ106-IF(MID(E106,5,1)="2",트라이포드!R$10,0))*(1-입력란!$C$35/100)</f>
        <v>8.8956633670199992</v>
      </c>
      <c r="AK10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6" s="26">
        <f>입력란!$C$47+입력란!$C$41+IF(입력란!$C$18=1,10,IF(입력란!$C$18=2,25,IF(입력란!$C$18=3,50,0)))+IF(입력란!$C$23&lt;&gt;0,-12)</f>
        <v>378.9445412</v>
      </c>
      <c r="AM106" s="30">
        <f t="shared" si="12"/>
        <v>47421.01380311681</v>
      </c>
      <c r="AN106" s="30">
        <f>(VLOOKUP(C106,$B$4:$AJ$7,8,FALSE)+VLOOKUP(C106,$B$8:$AJ$11,8,FALSE)*입력란!$C$29)*입력란!$C$48/100</f>
        <v>47421.01380311681</v>
      </c>
      <c r="AO106" s="26"/>
      <c r="AP106" s="30"/>
      <c r="AQ106" s="29">
        <v>9</v>
      </c>
    </row>
    <row r="107" spans="2:43" ht="13.5" customHeight="1" x14ac:dyDescent="0.3">
      <c r="B107" s="31">
        <v>92</v>
      </c>
      <c r="C107" s="36">
        <v>7</v>
      </c>
      <c r="D107" s="37" t="s">
        <v>140</v>
      </c>
      <c r="E107" s="38" t="s">
        <v>362</v>
      </c>
      <c r="F107" s="40"/>
      <c r="G107" s="40"/>
      <c r="H107" s="52">
        <f t="shared" si="8"/>
        <v>8512.1753740281965</v>
      </c>
      <c r="I107" s="53">
        <f>SUM(J107:Q107)*IF(입력란!$C$16=1,1.04,IF(입력란!$C$16=2,1.1,IF(입력란!$C$16=3,1.2,1)))*IF(입력란!$C$21=1,1+입력란!$C$38*0.001,IF(입력란!$C$21=2,1+입력란!$C$38*0.0022,IF(입력란!$C$21=3,1+입력란!$C$38*0.0045,1)))*IF(입력란!$C$18&lt;&gt;0,0.98,1)</f>
        <v>75721.44664839239</v>
      </c>
      <c r="J107" s="30">
        <f>S107*(1+IF($AK107+IF(입력란!$C$26=1,10,0)+IF(MID(E107,3,1)="2",트라이포드!L$10,0)&gt;100,100,$AK107+IF(입력란!$C$26=1,10,0)+IF(MID(E107,3,1)="2",트라이포드!L$10,0))/100*($AL107/100-1))</f>
        <v>75721.44664839239</v>
      </c>
      <c r="K107" s="30"/>
      <c r="L107" s="30"/>
      <c r="M107" s="30"/>
      <c r="N107" s="39"/>
      <c r="O107" s="39"/>
      <c r="P107" s="39"/>
      <c r="Q107" s="30">
        <f>Z107*(1+IF($AK107+IF(입력란!$C$26=1,10,0)&gt;100,100,$AK107+IF(입력란!$C$26=1,10,0))/100*($AL107/100-1))</f>
        <v>0</v>
      </c>
      <c r="R107" s="24">
        <f t="shared" si="9"/>
        <v>47421.01380311681</v>
      </c>
      <c r="S107" s="30">
        <f>AN107*IF(입력란!$C$12=0,1,IF(입력란!$C$12=1,1.3,IF(입력란!$C$12=2,1.45,IF(입력란!$C$12=3,1.6,1))))*IF(MID(E107,5,1)="1",트라이포드!$P$10,트라이포드!$O$10)</f>
        <v>47421.01380311681</v>
      </c>
      <c r="T107" s="30"/>
      <c r="U107" s="30"/>
      <c r="V107" s="30"/>
      <c r="W107" s="39"/>
      <c r="X107" s="39"/>
      <c r="Y107" s="39"/>
      <c r="Z107" s="25">
        <f>AN107*IF(입력란!$C$12=0,1,IF(입력란!$C$12=1,1.3,IF(입력란!$C$12=2,1.45,IF(입력란!$C$12=3,1.6,1))))*IF(MID(E107,3,1)="1",트라이포드!$J$10,트라이포드!$I$10)</f>
        <v>0</v>
      </c>
      <c r="AA107" s="30">
        <f t="shared" si="10"/>
        <v>94842.02760623362</v>
      </c>
      <c r="AB107" s="30">
        <f t="shared" si="11"/>
        <v>94842.02760623362</v>
      </c>
      <c r="AC107" s="30"/>
      <c r="AD107" s="26"/>
      <c r="AE107" s="26"/>
      <c r="AF107" s="39"/>
      <c r="AG107" s="39"/>
      <c r="AH107" s="39"/>
      <c r="AI107" s="25">
        <f t="shared" si="13"/>
        <v>0</v>
      </c>
      <c r="AJ107" s="26">
        <f>(AQ107-IF(MID(E107,5,1)="2",트라이포드!R$10,0))*(1-입력란!$C$35/100)</f>
        <v>8.8956633670199992</v>
      </c>
      <c r="AK10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7" s="26">
        <f>입력란!$C$47+입력란!$C$41+IF(입력란!$C$18=1,10,IF(입력란!$C$18=2,25,IF(입력란!$C$18=3,50,0)))+IF(입력란!$C$23&lt;&gt;0,-12)</f>
        <v>378.9445412</v>
      </c>
      <c r="AM107" s="30">
        <f t="shared" si="12"/>
        <v>47421.01380311681</v>
      </c>
      <c r="AN107" s="30">
        <f>(VLOOKUP(C107,$B$4:$AJ$7,8,FALSE)+VLOOKUP(C107,$B$8:$AJ$11,8,FALSE)*입력란!$C$29)*입력란!$C$48/100</f>
        <v>47421.01380311681</v>
      </c>
      <c r="AO107" s="26"/>
      <c r="AP107" s="30"/>
      <c r="AQ107" s="29">
        <v>9</v>
      </c>
    </row>
    <row r="108" spans="2:43" ht="13.5" customHeight="1" x14ac:dyDescent="0.3">
      <c r="B108" s="31">
        <v>93</v>
      </c>
      <c r="C108" s="36">
        <v>7</v>
      </c>
      <c r="D108" s="37" t="s">
        <v>140</v>
      </c>
      <c r="E108" s="38" t="s">
        <v>99</v>
      </c>
      <c r="F108" s="40"/>
      <c r="G108" s="40"/>
      <c r="H108" s="52">
        <f t="shared" si="8"/>
        <v>15947.16498233019</v>
      </c>
      <c r="I108" s="53">
        <f>SUM(J108:Q108)*IF(입력란!$C$16=1,1.04,IF(입력란!$C$16=2,1.1,IF(입력란!$C$16=3,1.2,1)))*IF(입력란!$C$21=1,1+입력란!$C$38*0.001,IF(입력란!$C$21=2,1+입력란!$C$38*0.0022,IF(입력란!$C$21=3,1+입력란!$C$38*0.0045,1)))*IF(입력란!$C$18&lt;&gt;0,0.98,1)</f>
        <v>141860.61134113881</v>
      </c>
      <c r="J108" s="30">
        <f>S108*(1+IF($AK108+IF(입력란!$C$26=1,10,0)+IF(MID(E108,3,1)="2",트라이포드!L$10,0)&gt;100,100,$AK108+IF(입력란!$C$26=1,10,0)+IF(MID(E108,3,1)="2",트라이포드!L$10,0))/100*($AL108/100-1))</f>
        <v>141860.61134113881</v>
      </c>
      <c r="K108" s="30"/>
      <c r="L108" s="30"/>
      <c r="M108" s="30"/>
      <c r="N108" s="39"/>
      <c r="O108" s="39"/>
      <c r="P108" s="39"/>
      <c r="Q108" s="30">
        <f>Z108*(1+IF($AK108+IF(입력란!$C$26=1,10,0)&gt;100,100,$AK108+IF(입력란!$C$26=1,10,0))/100*($AL108/100-1))</f>
        <v>0</v>
      </c>
      <c r="R108" s="24">
        <f t="shared" si="9"/>
        <v>47421.01380311681</v>
      </c>
      <c r="S108" s="30">
        <f>AN108*IF(입력란!$C$12=0,1,IF(입력란!$C$12=1,1.3,IF(입력란!$C$12=2,1.45,IF(입력란!$C$12=3,1.6,1))))*IF(MID(E108,5,1)="1",트라이포드!$P$10,트라이포드!$O$10)</f>
        <v>47421.01380311681</v>
      </c>
      <c r="T108" s="30"/>
      <c r="U108" s="30"/>
      <c r="V108" s="30"/>
      <c r="W108" s="39"/>
      <c r="X108" s="39"/>
      <c r="Y108" s="39"/>
      <c r="Z108" s="25">
        <f>AN108*IF(입력란!$C$12=0,1,IF(입력란!$C$12=1,1.3,IF(입력란!$C$12=2,1.45,IF(입력란!$C$12=3,1.6,1))))*IF(MID(E108,3,1)="1",트라이포드!$J$10,트라이포드!$I$10)</f>
        <v>0</v>
      </c>
      <c r="AA108" s="30">
        <f t="shared" si="10"/>
        <v>94842.02760623362</v>
      </c>
      <c r="AB108" s="30">
        <f t="shared" si="11"/>
        <v>94842.02760623362</v>
      </c>
      <c r="AC108" s="30"/>
      <c r="AD108" s="26"/>
      <c r="AE108" s="26"/>
      <c r="AF108" s="39"/>
      <c r="AG108" s="39"/>
      <c r="AH108" s="39"/>
      <c r="AI108" s="25">
        <f t="shared" si="13"/>
        <v>0</v>
      </c>
      <c r="AJ108" s="26">
        <f>(AQ108-IF(MID(E108,5,1)="2",트라이포드!R$10,0))*(1-입력란!$C$35/100)</f>
        <v>8.8956633670199992</v>
      </c>
      <c r="AK10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8" s="26">
        <f>입력란!$C$47+입력란!$C$41+IF(입력란!$C$18=1,10,IF(입력란!$C$18=2,25,IF(입력란!$C$18=3,50,0)))+IF(입력란!$C$23&lt;&gt;0,-12)</f>
        <v>378.9445412</v>
      </c>
      <c r="AM108" s="30">
        <f t="shared" si="12"/>
        <v>47421.01380311681</v>
      </c>
      <c r="AN108" s="30">
        <f>(VLOOKUP(C108,$B$4:$AJ$7,8,FALSE)+VLOOKUP(C108,$B$8:$AJ$11,8,FALSE)*입력란!$C$29)*입력란!$C$48/100</f>
        <v>47421.01380311681</v>
      </c>
      <c r="AO108" s="26"/>
      <c r="AP108" s="30"/>
      <c r="AQ108" s="29">
        <v>9</v>
      </c>
    </row>
    <row r="109" spans="2:43" ht="13.5" customHeight="1" x14ac:dyDescent="0.3">
      <c r="B109" s="31">
        <v>94</v>
      </c>
      <c r="C109" s="36">
        <v>10</v>
      </c>
      <c r="D109" s="37" t="s">
        <v>140</v>
      </c>
      <c r="E109" s="38" t="s">
        <v>96</v>
      </c>
      <c r="F109" s="40"/>
      <c r="G109" s="40"/>
      <c r="H109" s="52">
        <f t="shared" si="8"/>
        <v>8516.9051056752032</v>
      </c>
      <c r="I109" s="53">
        <f>SUM(J109:Q109)*IF(입력란!$C$16=1,1.04,IF(입력란!$C$16=2,1.1,IF(입력란!$C$16=3,1.2,1)))*IF(입력란!$C$21=1,1+입력란!$C$38*0.001,IF(입력란!$C$21=2,1+입력란!$C$38*0.0022,IF(입력란!$C$21=3,1+입력란!$C$38*0.0045,1)))*IF(입력란!$C$18&lt;&gt;0,0.98,1)</f>
        <v>75763.5207489405</v>
      </c>
      <c r="J109" s="30">
        <f>S109*(1+IF($AK109+IF(입력란!$C$26=1,10,0)+IF(MID(E109,3,1)="2",트라이포드!L$10,0)&gt;100,100,$AK109+IF(입력란!$C$26=1,10,0)+IF(MID(E109,3,1)="2",트라이포드!L$10,0))/100*($AL109/100-1))</f>
        <v>75763.5207489405</v>
      </c>
      <c r="K109" s="30"/>
      <c r="L109" s="30"/>
      <c r="M109" s="30"/>
      <c r="N109" s="39"/>
      <c r="O109" s="39"/>
      <c r="P109" s="39"/>
      <c r="Q109" s="30">
        <f>Z109*(1+IF($AK109+IF(입력란!$C$26=1,10,0)&gt;100,100,$AK109+IF(입력란!$C$26=1,10,0))/100*($AL109/100-1))</f>
        <v>0</v>
      </c>
      <c r="R109" s="24">
        <f t="shared" si="9"/>
        <v>47447.362962980464</v>
      </c>
      <c r="S109" s="30">
        <f>AN109*IF(입력란!$C$12=0,1,IF(입력란!$C$12=1,1.3,IF(입력란!$C$12=2,1.45,IF(입력란!$C$12=3,1.6,1))))*IF(MID(E109,5,1)="1",트라이포드!$P$10,트라이포드!$O$10)</f>
        <v>47447.362962980464</v>
      </c>
      <c r="T109" s="30"/>
      <c r="U109" s="30"/>
      <c r="V109" s="30"/>
      <c r="W109" s="39"/>
      <c r="X109" s="39"/>
      <c r="Y109" s="39"/>
      <c r="Z109" s="25">
        <f>AN109*IF(입력란!$C$12=0,1,IF(입력란!$C$12=1,1.3,IF(입력란!$C$12=2,1.45,IF(입력란!$C$12=3,1.6,1))))*IF(MID(E109,3,1)="1",트라이포드!$J$10,트라이포드!$I$10)</f>
        <v>0</v>
      </c>
      <c r="AA109" s="30">
        <f t="shared" si="10"/>
        <v>94894.725925960927</v>
      </c>
      <c r="AB109" s="30">
        <f t="shared" si="11"/>
        <v>94894.725925960927</v>
      </c>
      <c r="AC109" s="30"/>
      <c r="AD109" s="26"/>
      <c r="AE109" s="26"/>
      <c r="AF109" s="39"/>
      <c r="AG109" s="39"/>
      <c r="AH109" s="39"/>
      <c r="AI109" s="25">
        <f t="shared" si="13"/>
        <v>0</v>
      </c>
      <c r="AJ109" s="26">
        <f>(AQ109-IF(MID(E109,5,1)="2",트라이포드!R$10,0))*(1-입력란!$C$35/100)</f>
        <v>8.8956633670199992</v>
      </c>
      <c r="AK10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09" s="26">
        <f>입력란!$C$47+입력란!$C$41+IF(입력란!$C$18=1,10,IF(입력란!$C$18=2,25,IF(입력란!$C$18=3,50,0)))+IF(입력란!$C$23&lt;&gt;0,-12)</f>
        <v>378.9445412</v>
      </c>
      <c r="AM109" s="30">
        <f t="shared" si="12"/>
        <v>47447.362962980464</v>
      </c>
      <c r="AN109" s="30">
        <f>(VLOOKUP(C109,$B$4:$AJ$7,8,FALSE)+VLOOKUP(C109,$B$8:$AJ$11,8,FALSE)*입력란!$C$29)*입력란!$C$48/100</f>
        <v>47447.362962980464</v>
      </c>
      <c r="AO109" s="26"/>
      <c r="AP109" s="30"/>
      <c r="AQ109" s="29">
        <v>9</v>
      </c>
    </row>
    <row r="110" spans="2:43" ht="13.5" customHeight="1" x14ac:dyDescent="0.3">
      <c r="B110" s="31">
        <v>95</v>
      </c>
      <c r="C110" s="36">
        <v>10</v>
      </c>
      <c r="D110" s="37" t="s">
        <v>140</v>
      </c>
      <c r="E110" s="38" t="s">
        <v>363</v>
      </c>
      <c r="F110" s="40" t="s">
        <v>372</v>
      </c>
      <c r="G110" s="40"/>
      <c r="H110" s="52">
        <f t="shared" si="8"/>
        <v>13627.048169080324</v>
      </c>
      <c r="I110" s="53">
        <f>SUM(J110:Q110)*IF(입력란!$C$16=1,1.04,IF(입력란!$C$16=2,1.1,IF(입력란!$C$16=3,1.2,1)))*IF(입력란!$C$21=1,1+입력란!$C$38*0.001,IF(입력란!$C$21=2,1+입력란!$C$38*0.0022,IF(입력란!$C$21=3,1+입력란!$C$38*0.0045,1)))*IF(입력란!$C$18&lt;&gt;0,0.98,1)</f>
        <v>121221.6331983048</v>
      </c>
      <c r="J110" s="30">
        <f>S110*(1+IF($AK110+IF(입력란!$C$26=1,10,0)+IF(MID(E110,3,1)="2",트라이포드!L$10,0)&gt;100,100,$AK110+IF(입력란!$C$26=1,10,0)+IF(MID(E110,3,1)="2",트라이포드!L$10,0))/100*($AL110/100-1))</f>
        <v>75763.5207489405</v>
      </c>
      <c r="K110" s="30"/>
      <c r="L110" s="30"/>
      <c r="M110" s="30"/>
      <c r="N110" s="39"/>
      <c r="O110" s="39"/>
      <c r="P110" s="39"/>
      <c r="Q110" s="30">
        <f>Z110*(1+IF($AK110+IF(입력란!$C$26=1,10,0)&gt;100,100,$AK110+IF(입력란!$C$26=1,10,0))/100*($AL110/100-1))</f>
        <v>45458.112449364293</v>
      </c>
      <c r="R110" s="24">
        <f t="shared" si="9"/>
        <v>75915.780740768736</v>
      </c>
      <c r="S110" s="30">
        <f>AN110*IF(입력란!$C$12=0,1,IF(입력란!$C$12=1,1.3,IF(입력란!$C$12=2,1.45,IF(입력란!$C$12=3,1.6,1))))*IF(MID(E110,5,1)="1",트라이포드!$P$10,트라이포드!$O$10)</f>
        <v>47447.362962980464</v>
      </c>
      <c r="T110" s="30"/>
      <c r="U110" s="30"/>
      <c r="V110" s="30"/>
      <c r="W110" s="39"/>
      <c r="X110" s="39"/>
      <c r="Y110" s="39"/>
      <c r="Z110" s="25">
        <f>AN110*IF(입력란!$C$12=0,1,IF(입력란!$C$12=1,1.3,IF(입력란!$C$12=2,1.45,IF(입력란!$C$12=3,1.6,1))))*IF(MID(E110,3,1)="1",트라이포드!$J$10,트라이포드!$I$10)</f>
        <v>28468.417777788276</v>
      </c>
      <c r="AA110" s="30">
        <f t="shared" si="10"/>
        <v>151831.56148153747</v>
      </c>
      <c r="AB110" s="30">
        <f t="shared" si="11"/>
        <v>94894.725925960927</v>
      </c>
      <c r="AC110" s="30"/>
      <c r="AD110" s="26"/>
      <c r="AE110" s="26"/>
      <c r="AF110" s="39"/>
      <c r="AG110" s="39"/>
      <c r="AH110" s="39"/>
      <c r="AI110" s="25">
        <f t="shared" si="13"/>
        <v>56936.835555576552</v>
      </c>
      <c r="AJ110" s="26">
        <f>(AQ110-IF(MID(E110,5,1)="2",트라이포드!R$10,0))*(1-입력란!$C$35/100)</f>
        <v>8.8956633670199992</v>
      </c>
      <c r="AK11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0" s="26">
        <f>입력란!$C$47+입력란!$C$41+IF(입력란!$C$18=1,10,IF(입력란!$C$18=2,25,IF(입력란!$C$18=3,50,0)))+IF(입력란!$C$23&lt;&gt;0,-12)</f>
        <v>378.9445412</v>
      </c>
      <c r="AM110" s="30">
        <f t="shared" si="12"/>
        <v>47447.362962980464</v>
      </c>
      <c r="AN110" s="30">
        <f>(VLOOKUP(C110,$B$4:$AJ$7,8,FALSE)+VLOOKUP(C110,$B$8:$AJ$11,8,FALSE)*입력란!$C$29)*입력란!$C$48/100</f>
        <v>47447.362962980464</v>
      </c>
      <c r="AO110" s="26"/>
      <c r="AP110" s="30"/>
      <c r="AQ110" s="29">
        <v>9</v>
      </c>
    </row>
    <row r="111" spans="2:43" ht="13.5" customHeight="1" x14ac:dyDescent="0.3">
      <c r="B111" s="31">
        <v>96</v>
      </c>
      <c r="C111" s="36">
        <v>10</v>
      </c>
      <c r="D111" s="37" t="s">
        <v>140</v>
      </c>
      <c r="E111" s="38" t="s">
        <v>361</v>
      </c>
      <c r="F111" s="40"/>
      <c r="G111" s="40"/>
      <c r="H111" s="52">
        <f t="shared" si="8"/>
        <v>15956.025914769049</v>
      </c>
      <c r="I111" s="53">
        <f>SUM(J111:Q111)*IF(입력란!$C$16=1,1.04,IF(입력란!$C$16=2,1.1,IF(입력란!$C$16=3,1.2,1)))*IF(입력란!$C$21=1,1+입력란!$C$38*0.001,IF(입력란!$C$21=2,1+입력란!$C$38*0.0022,IF(입력란!$C$21=3,1+입력란!$C$38*0.0045,1)))*IF(입력란!$C$18&lt;&gt;0,0.98,1)</f>
        <v>141939.43521323279</v>
      </c>
      <c r="J111" s="30">
        <f>S111*(1+IF($AK111+IF(입력란!$C$26=1,10,0)+IF(MID(E111,3,1)="2",트라이포드!L$10,0)&gt;100,100,$AK111+IF(입력란!$C$26=1,10,0)+IF(MID(E111,3,1)="2",트라이포드!L$10,0))/100*($AL111/100-1))</f>
        <v>141939.43521323279</v>
      </c>
      <c r="K111" s="30"/>
      <c r="L111" s="30"/>
      <c r="M111" s="30"/>
      <c r="N111" s="39"/>
      <c r="O111" s="39"/>
      <c r="P111" s="39"/>
      <c r="Q111" s="30">
        <f>Z111*(1+IF($AK111+IF(입력란!$C$26=1,10,0)&gt;100,100,$AK111+IF(입력란!$C$26=1,10,0))/100*($AL111/100-1))</f>
        <v>0</v>
      </c>
      <c r="R111" s="24">
        <f t="shared" si="9"/>
        <v>47447.362962980464</v>
      </c>
      <c r="S111" s="30">
        <f>AN111*IF(입력란!$C$12=0,1,IF(입력란!$C$12=1,1.3,IF(입력란!$C$12=2,1.45,IF(입력란!$C$12=3,1.6,1))))*IF(MID(E111,5,1)="1",트라이포드!$P$10,트라이포드!$O$10)</f>
        <v>47447.362962980464</v>
      </c>
      <c r="T111" s="30"/>
      <c r="U111" s="30"/>
      <c r="V111" s="30"/>
      <c r="W111" s="39"/>
      <c r="X111" s="39"/>
      <c r="Y111" s="39"/>
      <c r="Z111" s="25">
        <f>AN111*IF(입력란!$C$12=0,1,IF(입력란!$C$12=1,1.3,IF(입력란!$C$12=2,1.45,IF(입력란!$C$12=3,1.6,1))))*IF(MID(E111,3,1)="1",트라이포드!$J$10,트라이포드!$I$10)</f>
        <v>0</v>
      </c>
      <c r="AA111" s="30">
        <f t="shared" si="10"/>
        <v>94894.725925960927</v>
      </c>
      <c r="AB111" s="30">
        <f t="shared" si="11"/>
        <v>94894.725925960927</v>
      </c>
      <c r="AC111" s="30"/>
      <c r="AD111" s="26"/>
      <c r="AE111" s="26"/>
      <c r="AF111" s="39"/>
      <c r="AG111" s="39"/>
      <c r="AH111" s="39"/>
      <c r="AI111" s="25">
        <f t="shared" si="13"/>
        <v>0</v>
      </c>
      <c r="AJ111" s="26">
        <f>(AQ111-IF(MID(E111,5,1)="2",트라이포드!R$10,0))*(1-입력란!$C$35/100)</f>
        <v>8.8956633670199992</v>
      </c>
      <c r="AK11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1" s="26">
        <f>입력란!$C$47+입력란!$C$41+IF(입력란!$C$18=1,10,IF(입력란!$C$18=2,25,IF(입력란!$C$18=3,50,0)))+IF(입력란!$C$23&lt;&gt;0,-12)</f>
        <v>378.9445412</v>
      </c>
      <c r="AM111" s="30">
        <f t="shared" si="12"/>
        <v>47447.362962980464</v>
      </c>
      <c r="AN111" s="30">
        <f>(VLOOKUP(C111,$B$4:$AJ$7,8,FALSE)+VLOOKUP(C111,$B$8:$AJ$11,8,FALSE)*입력란!$C$29)*입력란!$C$48/100</f>
        <v>47447.362962980464</v>
      </c>
      <c r="AO111" s="26"/>
      <c r="AP111" s="30"/>
      <c r="AQ111" s="29">
        <v>9</v>
      </c>
    </row>
    <row r="112" spans="2:43" ht="13.5" customHeight="1" x14ac:dyDescent="0.3">
      <c r="B112" s="31">
        <v>97</v>
      </c>
      <c r="C112" s="36">
        <v>10</v>
      </c>
      <c r="D112" s="37" t="s">
        <v>140</v>
      </c>
      <c r="E112" s="38" t="s">
        <v>147</v>
      </c>
      <c r="F112" s="40" t="s">
        <v>372</v>
      </c>
      <c r="G112" s="40"/>
      <c r="H112" s="52">
        <f t="shared" si="8"/>
        <v>22143.953274755528</v>
      </c>
      <c r="I112" s="53">
        <f>SUM(J112:Q112)*IF(입력란!$C$16=1,1.04,IF(입력란!$C$16=2,1.1,IF(입력란!$C$16=3,1.2,1)))*IF(입력란!$C$21=1,1+입력란!$C$38*0.001,IF(입력란!$C$21=2,1+입력란!$C$38*0.0022,IF(입력란!$C$21=3,1+입력란!$C$38*0.0045,1)))*IF(입력란!$C$18&lt;&gt;0,0.98,1)</f>
        <v>196985.1539472453</v>
      </c>
      <c r="J112" s="30">
        <f>S112*(1+IF($AK112+IF(입력란!$C$26=1,10,0)+IF(MID(E112,3,1)="2",트라이포드!L$10,0)&gt;100,100,$AK112+IF(입력란!$C$26=1,10,0)+IF(MID(E112,3,1)="2",트라이포드!L$10,0))/100*($AL112/100-1))</f>
        <v>151527.041497881</v>
      </c>
      <c r="K112" s="30"/>
      <c r="L112" s="30"/>
      <c r="M112" s="30"/>
      <c r="N112" s="39"/>
      <c r="O112" s="39"/>
      <c r="P112" s="39"/>
      <c r="Q112" s="30">
        <f>Z112*(1+IF($AK112+IF(입력란!$C$26=1,10,0)&gt;100,100,$AK112+IF(입력란!$C$26=1,10,0))/100*($AL112/100-1))</f>
        <v>45458.112449364293</v>
      </c>
      <c r="R112" s="24">
        <f t="shared" si="9"/>
        <v>123363.1437037492</v>
      </c>
      <c r="S112" s="30">
        <f>AN112*IF(입력란!$C$12=0,1,IF(입력란!$C$12=1,1.3,IF(입력란!$C$12=2,1.45,IF(입력란!$C$12=3,1.6,1))))*IF(MID(E112,5,1)="1",트라이포드!$P$10,트라이포드!$O$10)</f>
        <v>94894.725925960927</v>
      </c>
      <c r="T112" s="30"/>
      <c r="U112" s="30"/>
      <c r="V112" s="30"/>
      <c r="W112" s="39"/>
      <c r="X112" s="39"/>
      <c r="Y112" s="39"/>
      <c r="Z112" s="25">
        <f>AN112*IF(입력란!$C$12=0,1,IF(입력란!$C$12=1,1.3,IF(입력란!$C$12=2,1.45,IF(입력란!$C$12=3,1.6,1))))*IF(MID(E112,3,1)="1",트라이포드!$J$10,트라이포드!$I$10)</f>
        <v>28468.417777788276</v>
      </c>
      <c r="AA112" s="30">
        <f t="shared" si="10"/>
        <v>246726.2874074984</v>
      </c>
      <c r="AB112" s="30">
        <f t="shared" si="11"/>
        <v>189789.45185192185</v>
      </c>
      <c r="AC112" s="30"/>
      <c r="AD112" s="26"/>
      <c r="AE112" s="26"/>
      <c r="AF112" s="39"/>
      <c r="AG112" s="39"/>
      <c r="AH112" s="39"/>
      <c r="AI112" s="25">
        <f t="shared" si="13"/>
        <v>56936.835555576552</v>
      </c>
      <c r="AJ112" s="26">
        <f>(AQ112-IF(MID(E112,5,1)="2",트라이포드!R$10,0))*(1-입력란!$C$35/100)</f>
        <v>8.8956633670199992</v>
      </c>
      <c r="AK11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2" s="26">
        <f>입력란!$C$47+입력란!$C$41+IF(입력란!$C$18=1,10,IF(입력란!$C$18=2,25,IF(입력란!$C$18=3,50,0)))+IF(입력란!$C$23&lt;&gt;0,-12)</f>
        <v>378.9445412</v>
      </c>
      <c r="AM112" s="30">
        <f t="shared" si="12"/>
        <v>47447.362962980464</v>
      </c>
      <c r="AN112" s="30">
        <f>(VLOOKUP(C112,$B$4:$AJ$7,8,FALSE)+VLOOKUP(C112,$B$8:$AJ$11,8,FALSE)*입력란!$C$29)*입력란!$C$48/100</f>
        <v>47447.362962980464</v>
      </c>
      <c r="AO112" s="26"/>
      <c r="AP112" s="30"/>
      <c r="AQ112" s="29">
        <v>9</v>
      </c>
    </row>
    <row r="113" spans="2:43" ht="13.5" customHeight="1" x14ac:dyDescent="0.3">
      <c r="B113" s="31">
        <v>98</v>
      </c>
      <c r="C113" s="36">
        <v>10</v>
      </c>
      <c r="D113" s="37" t="s">
        <v>140</v>
      </c>
      <c r="E113" s="38" t="s">
        <v>364</v>
      </c>
      <c r="F113" s="40"/>
      <c r="G113" s="40"/>
      <c r="H113" s="52">
        <f t="shared" si="8"/>
        <v>31912.051829538097</v>
      </c>
      <c r="I113" s="53">
        <f>SUM(J113:Q113)*IF(입력란!$C$16=1,1.04,IF(입력란!$C$16=2,1.1,IF(입력란!$C$16=3,1.2,1)))*IF(입력란!$C$21=1,1+입력란!$C$38*0.001,IF(입력란!$C$21=2,1+입력란!$C$38*0.0022,IF(입력란!$C$21=3,1+입력란!$C$38*0.0045,1)))*IF(입력란!$C$18&lt;&gt;0,0.98,1)</f>
        <v>283878.87042646558</v>
      </c>
      <c r="J113" s="30">
        <f>S113*(1+IF($AK113+IF(입력란!$C$26=1,10,0)+IF(MID(E113,3,1)="2",트라이포드!L$10,0)&gt;100,100,$AK113+IF(입력란!$C$26=1,10,0)+IF(MID(E113,3,1)="2",트라이포드!L$10,0))/100*($AL113/100-1))</f>
        <v>283878.87042646558</v>
      </c>
      <c r="K113" s="30"/>
      <c r="L113" s="30"/>
      <c r="M113" s="30"/>
      <c r="N113" s="39"/>
      <c r="O113" s="39"/>
      <c r="P113" s="39"/>
      <c r="Q113" s="30">
        <f>Z113*(1+IF($AK113+IF(입력란!$C$26=1,10,0)&gt;100,100,$AK113+IF(입력란!$C$26=1,10,0))/100*($AL113/100-1))</f>
        <v>0</v>
      </c>
      <c r="R113" s="24">
        <f t="shared" si="9"/>
        <v>94894.725925960927</v>
      </c>
      <c r="S113" s="30">
        <f>AN113*IF(입력란!$C$12=0,1,IF(입력란!$C$12=1,1.3,IF(입력란!$C$12=2,1.45,IF(입력란!$C$12=3,1.6,1))))*IF(MID(E113,5,1)="1",트라이포드!$P$10,트라이포드!$O$10)</f>
        <v>94894.725925960927</v>
      </c>
      <c r="T113" s="30"/>
      <c r="U113" s="30"/>
      <c r="V113" s="30"/>
      <c r="W113" s="39"/>
      <c r="X113" s="39"/>
      <c r="Y113" s="39"/>
      <c r="Z113" s="25">
        <f>AN113*IF(입력란!$C$12=0,1,IF(입력란!$C$12=1,1.3,IF(입력란!$C$12=2,1.45,IF(입력란!$C$12=3,1.6,1))))*IF(MID(E113,3,1)="1",트라이포드!$J$10,트라이포드!$I$10)</f>
        <v>0</v>
      </c>
      <c r="AA113" s="30">
        <f t="shared" si="10"/>
        <v>189789.45185192185</v>
      </c>
      <c r="AB113" s="30">
        <f t="shared" si="11"/>
        <v>189789.45185192185</v>
      </c>
      <c r="AC113" s="30"/>
      <c r="AD113" s="26"/>
      <c r="AE113" s="26"/>
      <c r="AF113" s="39"/>
      <c r="AG113" s="39"/>
      <c r="AH113" s="39"/>
      <c r="AI113" s="25">
        <f t="shared" si="13"/>
        <v>0</v>
      </c>
      <c r="AJ113" s="26">
        <f>(AQ113-IF(MID(E113,5,1)="2",트라이포드!R$10,0))*(1-입력란!$C$35/100)</f>
        <v>8.8956633670199992</v>
      </c>
      <c r="AK11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3" s="26">
        <f>입력란!$C$47+입력란!$C$41+IF(입력란!$C$18=1,10,IF(입력란!$C$18=2,25,IF(입력란!$C$18=3,50,0)))+IF(입력란!$C$23&lt;&gt;0,-12)</f>
        <v>378.9445412</v>
      </c>
      <c r="AM113" s="30">
        <f t="shared" si="12"/>
        <v>47447.362962980464</v>
      </c>
      <c r="AN113" s="30">
        <f>(VLOOKUP(C113,$B$4:$AJ$7,8,FALSE)+VLOOKUP(C113,$B$8:$AJ$11,8,FALSE)*입력란!$C$29)*입력란!$C$48/100</f>
        <v>47447.362962980464</v>
      </c>
      <c r="AO113" s="26"/>
      <c r="AP113" s="30"/>
      <c r="AQ113" s="29">
        <v>9</v>
      </c>
    </row>
    <row r="114" spans="2:43" ht="13.5" customHeight="1" x14ac:dyDescent="0.3">
      <c r="B114" s="31">
        <v>99</v>
      </c>
      <c r="C114" s="36">
        <v>10</v>
      </c>
      <c r="D114" s="37" t="s">
        <v>140</v>
      </c>
      <c r="E114" s="38" t="s">
        <v>365</v>
      </c>
      <c r="F114" s="40" t="s">
        <v>372</v>
      </c>
      <c r="G114" s="40"/>
      <c r="H114" s="52">
        <f t="shared" si="8"/>
        <v>20440.572253620485</v>
      </c>
      <c r="I114" s="53">
        <f>SUM(J114:Q114)*IF(입력란!$C$16=1,1.04,IF(입력란!$C$16=2,1.1,IF(입력란!$C$16=3,1.2,1)))*IF(입력란!$C$21=1,1+입력란!$C$38*0.001,IF(입력란!$C$21=2,1+입력란!$C$38*0.0022,IF(입력란!$C$21=3,1+입력란!$C$38*0.0045,1)))*IF(입력란!$C$18&lt;&gt;0,0.98,1)</f>
        <v>121221.6331983048</v>
      </c>
      <c r="J114" s="30">
        <f>S114*(1+IF($AK114+IF(입력란!$C$26=1,10,0)+IF(MID(E114,3,1)="2",트라이포드!L$10,0)&gt;100,100,$AK114+IF(입력란!$C$26=1,10,0)+IF(MID(E114,3,1)="2",트라이포드!L$10,0))/100*($AL114/100-1))</f>
        <v>75763.5207489405</v>
      </c>
      <c r="K114" s="30"/>
      <c r="L114" s="30"/>
      <c r="M114" s="30"/>
      <c r="N114" s="39"/>
      <c r="O114" s="39"/>
      <c r="P114" s="39"/>
      <c r="Q114" s="30">
        <f>Z114*(1+IF($AK114+IF(입력란!$C$26=1,10,0)&gt;100,100,$AK114+IF(입력란!$C$26=1,10,0))/100*($AL114/100-1))</f>
        <v>45458.112449364293</v>
      </c>
      <c r="R114" s="24">
        <f t="shared" si="9"/>
        <v>75915.780740768736</v>
      </c>
      <c r="S114" s="30">
        <f>AN114*IF(입력란!$C$12=0,1,IF(입력란!$C$12=1,1.3,IF(입력란!$C$12=2,1.45,IF(입력란!$C$12=3,1.6,1))))*IF(MID(E114,5,1)="1",트라이포드!$P$10,트라이포드!$O$10)</f>
        <v>47447.362962980464</v>
      </c>
      <c r="T114" s="30"/>
      <c r="U114" s="30"/>
      <c r="V114" s="30"/>
      <c r="W114" s="39"/>
      <c r="X114" s="39"/>
      <c r="Y114" s="39"/>
      <c r="Z114" s="25">
        <f>AN114*IF(입력란!$C$12=0,1,IF(입력란!$C$12=1,1.3,IF(입력란!$C$12=2,1.45,IF(입력란!$C$12=3,1.6,1))))*IF(MID(E114,3,1)="1",트라이포드!$J$10,트라이포드!$I$10)</f>
        <v>28468.417777788276</v>
      </c>
      <c r="AA114" s="30">
        <f t="shared" si="10"/>
        <v>151831.56148153747</v>
      </c>
      <c r="AB114" s="30">
        <f t="shared" si="11"/>
        <v>94894.725925960927</v>
      </c>
      <c r="AC114" s="30"/>
      <c r="AD114" s="26"/>
      <c r="AE114" s="26"/>
      <c r="AF114" s="39"/>
      <c r="AG114" s="39"/>
      <c r="AH114" s="39"/>
      <c r="AI114" s="25">
        <f t="shared" si="13"/>
        <v>56936.835555576552</v>
      </c>
      <c r="AJ114" s="26">
        <f>(AQ114-IF(MID(E114,5,1)="2",트라이포드!R$10,0))*(1-입력란!$C$35/100)</f>
        <v>5.93044224468</v>
      </c>
      <c r="AK11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4" s="26">
        <f>입력란!$C$47+입력란!$C$41+IF(입력란!$C$18=1,10,IF(입력란!$C$18=2,25,IF(입력란!$C$18=3,50,0)))+IF(입력란!$C$23&lt;&gt;0,-12)</f>
        <v>378.9445412</v>
      </c>
      <c r="AM114" s="30">
        <f t="shared" si="12"/>
        <v>47447.362962980464</v>
      </c>
      <c r="AN114" s="30">
        <f>(VLOOKUP(C114,$B$4:$AJ$7,8,FALSE)+VLOOKUP(C114,$B$8:$AJ$11,8,FALSE)*입력란!$C$29)*입력란!$C$48/100</f>
        <v>47447.362962980464</v>
      </c>
      <c r="AO114" s="26"/>
      <c r="AP114" s="30"/>
      <c r="AQ114" s="29">
        <v>9</v>
      </c>
    </row>
    <row r="115" spans="2:43" ht="13.5" customHeight="1" x14ac:dyDescent="0.3">
      <c r="B115" s="31">
        <v>100</v>
      </c>
      <c r="C115" s="36">
        <v>10</v>
      </c>
      <c r="D115" s="37" t="s">
        <v>140</v>
      </c>
      <c r="E115" s="38" t="s">
        <v>366</v>
      </c>
      <c r="F115" s="40"/>
      <c r="G115" s="40"/>
      <c r="H115" s="52">
        <f t="shared" si="8"/>
        <v>23934.038872153571</v>
      </c>
      <c r="I115" s="53">
        <f>SUM(J115:Q115)*IF(입력란!$C$16=1,1.04,IF(입력란!$C$16=2,1.1,IF(입력란!$C$16=3,1.2,1)))*IF(입력란!$C$21=1,1+입력란!$C$38*0.001,IF(입력란!$C$21=2,1+입력란!$C$38*0.0022,IF(입력란!$C$21=3,1+입력란!$C$38*0.0045,1)))*IF(입력란!$C$18&lt;&gt;0,0.98,1)</f>
        <v>141939.43521323279</v>
      </c>
      <c r="J115" s="30">
        <f>S115*(1+IF($AK115+IF(입력란!$C$26=1,10,0)+IF(MID(E115,3,1)="2",트라이포드!L$10,0)&gt;100,100,$AK115+IF(입력란!$C$26=1,10,0)+IF(MID(E115,3,1)="2",트라이포드!L$10,0))/100*($AL115/100-1))</f>
        <v>141939.43521323279</v>
      </c>
      <c r="K115" s="30"/>
      <c r="L115" s="30"/>
      <c r="M115" s="30"/>
      <c r="N115" s="39"/>
      <c r="O115" s="39"/>
      <c r="P115" s="39"/>
      <c r="Q115" s="27">
        <f>Z115*(1+IF($AK115+IF(입력란!$C$26=1,10,0)&gt;100,100,$AK115+IF(입력란!$C$26=1,10,0))/100*($AL115/100-1))</f>
        <v>0</v>
      </c>
      <c r="R115" s="24">
        <f t="shared" si="9"/>
        <v>47447.362962980464</v>
      </c>
      <c r="S115" s="30">
        <f>AN115*IF(입력란!$C$12=0,1,IF(입력란!$C$12=1,1.3,IF(입력란!$C$12=2,1.45,IF(입력란!$C$12=3,1.6,1))))*IF(MID(E115,5,1)="1",트라이포드!$P$10,트라이포드!$O$10)</f>
        <v>47447.362962980464</v>
      </c>
      <c r="T115" s="30"/>
      <c r="U115" s="30"/>
      <c r="V115" s="30"/>
      <c r="W115" s="39"/>
      <c r="X115" s="39"/>
      <c r="Y115" s="39"/>
      <c r="Z115" s="25">
        <f>AN115*IF(입력란!$C$12=0,1,IF(입력란!$C$12=1,1.3,IF(입력란!$C$12=2,1.45,IF(입력란!$C$12=3,1.6,1))))*IF(MID(E115,3,1)="1",트라이포드!$J$10,트라이포드!$I$10)</f>
        <v>0</v>
      </c>
      <c r="AA115" s="30">
        <f t="shared" si="10"/>
        <v>94894.725925960927</v>
      </c>
      <c r="AB115" s="30">
        <f t="shared" si="11"/>
        <v>94894.725925960927</v>
      </c>
      <c r="AC115" s="30"/>
      <c r="AD115" s="26"/>
      <c r="AE115" s="26"/>
      <c r="AF115" s="39"/>
      <c r="AG115" s="39"/>
      <c r="AH115" s="39"/>
      <c r="AI115" s="25">
        <f t="shared" si="13"/>
        <v>0</v>
      </c>
      <c r="AJ115" s="26">
        <f>(AQ115-IF(MID(E115,5,1)="2",트라이포드!R$10,0))*(1-입력란!$C$35/100)</f>
        <v>5.93044224468</v>
      </c>
      <c r="AK11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5" s="26">
        <f>입력란!$C$47+입력란!$C$41+IF(입력란!$C$18=1,10,IF(입력란!$C$18=2,25,IF(입력란!$C$18=3,50,0)))+IF(입력란!$C$23&lt;&gt;0,-12)</f>
        <v>378.9445412</v>
      </c>
      <c r="AM115" s="30">
        <f t="shared" si="12"/>
        <v>47447.362962980464</v>
      </c>
      <c r="AN115" s="30">
        <f>(VLOOKUP(C115,$B$4:$AJ$7,8,FALSE)+VLOOKUP(C115,$B$8:$AJ$11,8,FALSE)*입력란!$C$29)*입력란!$C$48/100</f>
        <v>47447.362962980464</v>
      </c>
      <c r="AO115" s="26"/>
      <c r="AP115" s="30"/>
      <c r="AQ115" s="29">
        <v>9</v>
      </c>
    </row>
    <row r="116" spans="2:43" ht="13.5" customHeight="1" x14ac:dyDescent="0.3">
      <c r="B116" s="31">
        <v>101</v>
      </c>
      <c r="C116" s="36">
        <v>1</v>
      </c>
      <c r="D116" s="37" t="s">
        <v>144</v>
      </c>
      <c r="E116" s="38" t="s">
        <v>96</v>
      </c>
      <c r="F116" s="40"/>
      <c r="G116" s="40"/>
      <c r="H116" s="52">
        <f t="shared" si="8"/>
        <v>15419.882132796238</v>
      </c>
      <c r="I116" s="53">
        <f>SUM(J116:Q116)*IF(입력란!$C$16=1,1.04,IF(입력란!$C$16=2,1.1,IF(입력란!$C$16=3,1.2,1)))*IF(입력란!$C$21=1,1+입력란!$C$38*0.001,IF(입력란!$C$21=2,1+입력란!$C$38*0.0022,IF(입력란!$C$21=3,1+입력란!$C$38*0.0045,1)))*IF(입력란!$C$18&lt;&gt;0,0.98,1)</f>
        <v>243857.92108885638</v>
      </c>
      <c r="J116" s="30">
        <f>S116*(1+IF($AK116+IF(입력란!$C$26=1,10,0)+IF(입력란!$C$9=1,10,0)+IF(MID($E116,5,1)="2",트라이포드!R$11,0)&gt;100,100,$AK116+IF(입력란!$C$26=1,10,0)+IF(입력란!$C$9=1,10,0)+IF(MID($E116,5,1)="2",트라이포드!R$11,0))/100*(($AL116+IF(MID($E116,3,1)="3",트라이포드!$N$11,트라이포드!$M$11))/100-1))</f>
        <v>60964.480272214096</v>
      </c>
      <c r="K116" s="30">
        <f>T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60964.480272214096</v>
      </c>
      <c r="L116" s="30">
        <f>U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60964.480272214096</v>
      </c>
      <c r="M116" s="30">
        <f>V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60964.480272214096</v>
      </c>
      <c r="N116" s="30">
        <f>W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0</v>
      </c>
      <c r="O116" s="30">
        <f>X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0</v>
      </c>
      <c r="P116" s="30">
        <f>Y116*(1+IF($AK116+IF(입력란!$C$26=1,10,IF(MID($E116,1,1)="2",10,0))+IF(입력란!$C$9=1,10,0)+IF(MID($E116,5,1)="2",트라이포드!$R$11,0)&gt;100,100,$AK116+IF(입력란!$C$26=1,10,IF(MID($E116,1,1)="2",10,0))+IF(입력란!$C$9=1,10,0)+IF(MID($E116,5,1)="2",트라이포드!$R$11,0))/100*(($AL116+IF(MID($E116,3,1)="3",트라이포드!$N$11,트라이포드!$M$11))/100-1))</f>
        <v>0</v>
      </c>
      <c r="Q116" s="27">
        <f>Z116*(1+IF($AK116+IF(입력란!$C$26=1,10,IF(MID($E116,1,1)="2",10,0))&gt;100,100,$AK116+IF(입력란!$C$26=1,10,IF(MID($E116,1,1)="2",10,0)))/100*($AL116/100-1))</f>
        <v>0</v>
      </c>
      <c r="R116" s="24">
        <f t="shared" si="9"/>
        <v>152717.4975360767</v>
      </c>
      <c r="S116" s="30">
        <f>AN116*IF(입력란!$C$12=0,1,IF(입력란!$C$12=1,1.3,IF(입력란!$C$12=2,1.45,IF(입력란!$C$12=3,1.6,1))))*IF(MID(E116,3,1)="1",트라이포드!$J$11,트라이포드!$I$11)*IF(MID(E116,3,1)="2",트라이포드!$L$11,트라이포드!$K$11)*IF(입력란!$C$9=1,IF(입력란!$C$15=0,1.05,IF(입력란!$C$15=1,1.05*1.05,IF(입력란!$C$15=2,1.05*1.12,IF(입력란!$C$15=3,1.05*1.25)))),1)/IF(MID(E116,3,1)="1",7,4)</f>
        <v>38179.374384019175</v>
      </c>
      <c r="T116" s="30">
        <f t="shared" ref="T116:V143" si="14">S116</f>
        <v>38179.374384019175</v>
      </c>
      <c r="U116" s="30">
        <f t="shared" si="14"/>
        <v>38179.374384019175</v>
      </c>
      <c r="V116" s="30">
        <f t="shared" si="14"/>
        <v>38179.374384019175</v>
      </c>
      <c r="W116" s="39">
        <f t="shared" ref="W116:Y143" si="15">IF(MID($E116,3,1)="1",$S116,0)</f>
        <v>0</v>
      </c>
      <c r="X116" s="39">
        <f t="shared" si="15"/>
        <v>0</v>
      </c>
      <c r="Y116" s="39">
        <f t="shared" si="15"/>
        <v>0</v>
      </c>
      <c r="Z116" s="25">
        <f>AN116*IF(입력란!$C$12=0,1,IF(입력란!$C$12=1,1.3,IF(입력란!$C$12=2,1.45,IF(입력란!$C$12=3,1.6,1))))*IF(MID(E116,5,1)="1",트라이포드!$P$11*IF(MID(E116,3,1)="1",7,4)*5,트라이포드!$O$11)</f>
        <v>0</v>
      </c>
      <c r="AA116" s="30">
        <f t="shared" si="10"/>
        <v>305434.9950721534</v>
      </c>
      <c r="AB116" s="30">
        <f t="shared" si="11"/>
        <v>76358.748768038349</v>
      </c>
      <c r="AC116" s="30">
        <f t="shared" ref="AC116:AC143" si="16">T116*2</f>
        <v>76358.748768038349</v>
      </c>
      <c r="AD116" s="30">
        <f t="shared" ref="AD116:AD143" si="17">U116*2</f>
        <v>76358.748768038349</v>
      </c>
      <c r="AE116" s="30">
        <f t="shared" ref="AE116:AE143" si="18">V116*2</f>
        <v>76358.748768038349</v>
      </c>
      <c r="AF116" s="30">
        <f t="shared" ref="AF116:AF143" si="19">W116*2</f>
        <v>0</v>
      </c>
      <c r="AG116" s="30">
        <f t="shared" ref="AG116:AG143" si="20">X116*2</f>
        <v>0</v>
      </c>
      <c r="AH116" s="30">
        <f t="shared" ref="AH116:AH143" si="21">Y116*2</f>
        <v>0</v>
      </c>
      <c r="AI116" s="25">
        <f t="shared" si="13"/>
        <v>0</v>
      </c>
      <c r="AJ116" s="26">
        <f>AQ116*(1-입력란!$C$35/100)</f>
        <v>15.814512652479999</v>
      </c>
      <c r="AK1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6" s="26">
        <f>입력란!$C$47+입력란!$C$41+IF(입력란!$C$18=1,10,IF(입력란!$C$18=2,25,IF(입력란!$C$18=3,50,0)))+IF(입력란!$C$23&lt;&gt;0,-12)</f>
        <v>378.9445412</v>
      </c>
      <c r="AM116" s="30">
        <f t="shared" si="12"/>
        <v>152717.4975360767</v>
      </c>
      <c r="AN116" s="30">
        <f>(VLOOKUP(C116,$B$4:$AJ$7,9,FALSE)+VLOOKUP(C116,$B$8:$AJ$11,9,FALSE)*입력란!$C$29)*입력란!$C$48/100</f>
        <v>152717.4975360767</v>
      </c>
      <c r="AO116" s="26"/>
      <c r="AP116" s="30"/>
      <c r="AQ116" s="29">
        <v>16</v>
      </c>
    </row>
    <row r="117" spans="2:43" ht="13.5" customHeight="1" x14ac:dyDescent="0.3">
      <c r="B117" s="31">
        <v>102</v>
      </c>
      <c r="C117" s="36">
        <v>4</v>
      </c>
      <c r="D117" s="37" t="s">
        <v>144</v>
      </c>
      <c r="E117" s="38" t="s">
        <v>96</v>
      </c>
      <c r="F117" s="40"/>
      <c r="G117" s="40"/>
      <c r="H117" s="52">
        <f t="shared" si="8"/>
        <v>15453.161837040796</v>
      </c>
      <c r="I117" s="53">
        <f>SUM(J117:Q117)*IF(입력란!$C$16=1,1.04,IF(입력란!$C$16=2,1.1,IF(입력란!$C$16=3,1.2,1)))*IF(입력란!$C$21=1,1+입력란!$C$38*0.001,IF(입력란!$C$21=2,1+입력란!$C$38*0.0022,IF(입력란!$C$21=3,1+입력란!$C$38*0.0045,1)))*IF(입력란!$C$18&lt;&gt;0,0.98,1)</f>
        <v>244384.22339270273</v>
      </c>
      <c r="J117" s="30">
        <f>S117*(1+IF($AK117+IF(입력란!$C$26=1,10,0)+IF(입력란!$C$9=1,10,0)+IF(MID($E117,5,1)="2",트라이포드!R$11,0)&gt;100,100,$AK117+IF(입력란!$C$26=1,10,0)+IF(입력란!$C$9=1,10,0)+IF(MID($E117,5,1)="2",트라이포드!R$11,0))/100*(($AL117+IF(MID($E117,3,1)="3",트라이포드!$N$11,트라이포드!$M$11))/100-1))</f>
        <v>61096.055848175682</v>
      </c>
      <c r="K117" s="30">
        <f>T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61096.055848175682</v>
      </c>
      <c r="L117" s="30">
        <f>U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61096.055848175682</v>
      </c>
      <c r="M117" s="30">
        <f>V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61096.055848175682</v>
      </c>
      <c r="N117" s="30">
        <f>W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0</v>
      </c>
      <c r="O117" s="30">
        <f>X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0</v>
      </c>
      <c r="P117" s="30">
        <f>Y117*(1+IF($AK117+IF(입력란!$C$26=1,10,IF(MID($E117,1,1)="2",10,0))+IF(입력란!$C$9=1,10,0)+IF(MID($E117,5,1)="2",트라이포드!$R$11,0)&gt;100,100,$AK117+IF(입력란!$C$26=1,10,IF(MID($E117,1,1)="2",10,0))+IF(입력란!$C$9=1,10,0)+IF(MID($E117,5,1)="2",트라이포드!$R$11,0))/100*(($AL117+IF(MID($E117,3,1)="3",트라이포드!$N$11,트라이포드!$M$11))/100-1))</f>
        <v>0</v>
      </c>
      <c r="Q117" s="27">
        <f>Z117*(1+IF($AK117+IF(입력란!$C$26=1,10,IF(MID($E117,1,1)="2",10,0))&gt;100,100,$AK117+IF(입력란!$C$26=1,10,IF(MID($E117,1,1)="2",10,0)))/100*($AL117/100-1))</f>
        <v>0</v>
      </c>
      <c r="R117" s="24">
        <f t="shared" si="9"/>
        <v>153047.0975360767</v>
      </c>
      <c r="S117" s="30">
        <f>AN117*IF(입력란!$C$12=0,1,IF(입력란!$C$12=1,1.3,IF(입력란!$C$12=2,1.45,IF(입력란!$C$12=3,1.6,1))))*IF(MID(E117,3,1)="1",트라이포드!$J$11,트라이포드!$I$11)*IF(MID(E117,3,1)="2",트라이포드!$L$11,트라이포드!$K$11)*IF(입력란!$C$9=1,IF(입력란!$C$15=0,1.05,IF(입력란!$C$15=1,1.05*1.05,IF(입력란!$C$15=2,1.05*1.12,IF(입력란!$C$15=3,1.05*1.25)))),1)/IF(MID(E117,3,1)="1",7,4)</f>
        <v>38261.774384019176</v>
      </c>
      <c r="T117" s="30">
        <f t="shared" si="14"/>
        <v>38261.774384019176</v>
      </c>
      <c r="U117" s="30">
        <f t="shared" si="14"/>
        <v>38261.774384019176</v>
      </c>
      <c r="V117" s="30">
        <f t="shared" si="14"/>
        <v>38261.774384019176</v>
      </c>
      <c r="W117" s="39">
        <f t="shared" si="15"/>
        <v>0</v>
      </c>
      <c r="X117" s="39">
        <f t="shared" si="15"/>
        <v>0</v>
      </c>
      <c r="Y117" s="39">
        <f t="shared" si="15"/>
        <v>0</v>
      </c>
      <c r="Z117" s="25">
        <f>AN117*IF(입력란!$C$12=0,1,IF(입력란!$C$12=1,1.3,IF(입력란!$C$12=2,1.45,IF(입력란!$C$12=3,1.6,1))))*IF(MID(E117,5,1)="1",트라이포드!$P$11*IF(MID(E117,3,1)="1",7,4)*5,트라이포드!$O$11)</f>
        <v>0</v>
      </c>
      <c r="AA117" s="30">
        <f t="shared" si="10"/>
        <v>306094.19507215341</v>
      </c>
      <c r="AB117" s="30">
        <f t="shared" si="11"/>
        <v>76523.548768038352</v>
      </c>
      <c r="AC117" s="30">
        <f t="shared" si="16"/>
        <v>76523.548768038352</v>
      </c>
      <c r="AD117" s="30">
        <f t="shared" si="17"/>
        <v>76523.548768038352</v>
      </c>
      <c r="AE117" s="30">
        <f t="shared" si="18"/>
        <v>76523.548768038352</v>
      </c>
      <c r="AF117" s="30">
        <f t="shared" si="19"/>
        <v>0</v>
      </c>
      <c r="AG117" s="30">
        <f t="shared" si="20"/>
        <v>0</v>
      </c>
      <c r="AH117" s="30">
        <f t="shared" si="21"/>
        <v>0</v>
      </c>
      <c r="AI117" s="25">
        <f t="shared" si="13"/>
        <v>0</v>
      </c>
      <c r="AJ117" s="26">
        <f>AQ117*(1-입력란!$C$35/100)</f>
        <v>15.814512652479999</v>
      </c>
      <c r="AK1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7" s="26">
        <f>입력란!$C$47+입력란!$C$41+IF(입력란!$C$18=1,10,IF(입력란!$C$18=2,25,IF(입력란!$C$18=3,50,0)))+IF(입력란!$C$23&lt;&gt;0,-12)</f>
        <v>378.9445412</v>
      </c>
      <c r="AM117" s="30">
        <f t="shared" si="12"/>
        <v>153047.0975360767</v>
      </c>
      <c r="AN117" s="30">
        <f>(VLOOKUP(C117,$B$4:$AJ$7,9,FALSE)+VLOOKUP(C117,$B$8:$AJ$11,9,FALSE)*입력란!$C$29)*입력란!$C$48/100</f>
        <v>153047.0975360767</v>
      </c>
      <c r="AO117" s="26"/>
      <c r="AP117" s="30"/>
      <c r="AQ117" s="29">
        <v>16</v>
      </c>
    </row>
    <row r="118" spans="2:43" ht="13.5" customHeight="1" x14ac:dyDescent="0.3">
      <c r="B118" s="31">
        <v>103</v>
      </c>
      <c r="C118" s="36">
        <v>4</v>
      </c>
      <c r="D118" s="37" t="s">
        <v>144</v>
      </c>
      <c r="E118" s="38" t="s">
        <v>107</v>
      </c>
      <c r="F118" s="40"/>
      <c r="G118" s="40"/>
      <c r="H118" s="52">
        <f t="shared" si="8"/>
        <v>17477.804644995005</v>
      </c>
      <c r="I118" s="53">
        <f>SUM(J118:Q118)*IF(입력란!$C$16=1,1.04,IF(입력란!$C$16=2,1.1,IF(입력란!$C$16=3,1.2,1)))*IF(입력란!$C$21=1,1+입력란!$C$38*0.001,IF(입력란!$C$21=2,1+입력란!$C$38*0.0022,IF(입력란!$C$21=3,1+입력란!$C$38*0.0045,1)))*IF(입력란!$C$18&lt;&gt;0,0.98,1)</f>
        <v>276402.96269584721</v>
      </c>
      <c r="J118" s="30">
        <f>S118*(1+IF($AK118+IF(입력란!$C$26=1,10,0)+IF(입력란!$C$9=1,10,0)+IF(MID($E118,5,1)="2",트라이포드!R$11,0)&gt;100,100,$AK118+IF(입력란!$C$26=1,10,0)+IF(입력란!$C$9=1,10,0)+IF(MID($E118,5,1)="2",트라이포드!R$11,0))/100*(($AL118+IF(MID($E118,3,1)="3",트라이포드!$N$11,트라이포드!$M$11))/100-1))</f>
        <v>61096.055848175682</v>
      </c>
      <c r="K118" s="30">
        <f>T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71768.968949223839</v>
      </c>
      <c r="L118" s="30">
        <f>U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71768.968949223839</v>
      </c>
      <c r="M118" s="30">
        <f>V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71768.968949223839</v>
      </c>
      <c r="N118" s="30">
        <f>W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0</v>
      </c>
      <c r="O118" s="30">
        <f>X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0</v>
      </c>
      <c r="P118" s="30">
        <f>Y118*(1+IF($AK118+IF(입력란!$C$26=1,10,IF(MID($E118,1,1)="2",10,0))+IF(입력란!$C$9=1,10,0)+IF(MID($E118,5,1)="2",트라이포드!$R$11,0)&gt;100,100,$AK118+IF(입력란!$C$26=1,10,IF(MID($E118,1,1)="2",10,0))+IF(입력란!$C$9=1,10,0)+IF(MID($E118,5,1)="2",트라이포드!$R$11,0))/100*(($AL118+IF(MID($E118,3,1)="3",트라이포드!$N$11,트라이포드!$M$11))/100-1))</f>
        <v>0</v>
      </c>
      <c r="Q118" s="27">
        <f>Z118*(1+IF($AK118+IF(입력란!$C$26=1,10,IF(MID($E118,1,1)="2",10,0))&gt;100,100,$AK118+IF(입력란!$C$26=1,10,IF(MID($E118,1,1)="2",10,0)))/100*($AL118/100-1))</f>
        <v>0</v>
      </c>
      <c r="R118" s="24">
        <f t="shared" si="9"/>
        <v>153047.0975360767</v>
      </c>
      <c r="S118" s="30">
        <f>AN118*IF(입력란!$C$12=0,1,IF(입력란!$C$12=1,1.3,IF(입력란!$C$12=2,1.45,IF(입력란!$C$12=3,1.6,1))))*IF(MID(E118,3,1)="1",트라이포드!$J$11,트라이포드!$I$11)*IF(MID(E118,3,1)="2",트라이포드!$L$11,트라이포드!$K$11)*IF(입력란!$C$9=1,IF(입력란!$C$15=0,1.05,IF(입력란!$C$15=1,1.05*1.05,IF(입력란!$C$15=2,1.05*1.12,IF(입력란!$C$15=3,1.05*1.25)))),1)/IF(MID(E118,3,1)="1",7,4)</f>
        <v>38261.774384019176</v>
      </c>
      <c r="T118" s="30">
        <f t="shared" si="14"/>
        <v>38261.774384019176</v>
      </c>
      <c r="U118" s="30">
        <f t="shared" si="14"/>
        <v>38261.774384019176</v>
      </c>
      <c r="V118" s="30">
        <f t="shared" si="14"/>
        <v>38261.774384019176</v>
      </c>
      <c r="W118" s="39">
        <f t="shared" si="15"/>
        <v>0</v>
      </c>
      <c r="X118" s="39">
        <f t="shared" si="15"/>
        <v>0</v>
      </c>
      <c r="Y118" s="39">
        <f t="shared" si="15"/>
        <v>0</v>
      </c>
      <c r="Z118" s="25">
        <f>AN118*IF(입력란!$C$12=0,1,IF(입력란!$C$12=1,1.3,IF(입력란!$C$12=2,1.45,IF(입력란!$C$12=3,1.6,1))))*IF(MID(E118,5,1)="1",트라이포드!$P$11*IF(MID(E118,3,1)="1",7,4)*5,트라이포드!$O$11)</f>
        <v>0</v>
      </c>
      <c r="AA118" s="30">
        <f t="shared" si="10"/>
        <v>306094.19507215341</v>
      </c>
      <c r="AB118" s="30">
        <f t="shared" si="11"/>
        <v>76523.548768038352</v>
      </c>
      <c r="AC118" s="30">
        <f t="shared" si="16"/>
        <v>76523.548768038352</v>
      </c>
      <c r="AD118" s="30">
        <f t="shared" si="17"/>
        <v>76523.548768038352</v>
      </c>
      <c r="AE118" s="30">
        <f t="shared" si="18"/>
        <v>76523.548768038352</v>
      </c>
      <c r="AF118" s="30">
        <f t="shared" si="19"/>
        <v>0</v>
      </c>
      <c r="AG118" s="30">
        <f t="shared" si="20"/>
        <v>0</v>
      </c>
      <c r="AH118" s="30">
        <f t="shared" si="21"/>
        <v>0</v>
      </c>
      <c r="AI118" s="25">
        <f t="shared" si="13"/>
        <v>0</v>
      </c>
      <c r="AJ118" s="26">
        <f>AQ118*(1-입력란!$C$35/100)</f>
        <v>15.814512652479999</v>
      </c>
      <c r="AK1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8" s="26">
        <f>입력란!$C$47+입력란!$C$41+IF(입력란!$C$18=1,10,IF(입력란!$C$18=2,25,IF(입력란!$C$18=3,50,0)))+IF(입력란!$C$23&lt;&gt;0,-12)</f>
        <v>378.9445412</v>
      </c>
      <c r="AM118" s="30">
        <f t="shared" si="12"/>
        <v>153047.0975360767</v>
      </c>
      <c r="AN118" s="30">
        <f>(VLOOKUP(C118,$B$4:$AJ$7,9,FALSE)+VLOOKUP(C118,$B$8:$AJ$11,9,FALSE)*입력란!$C$29)*입력란!$C$48/100</f>
        <v>153047.0975360767</v>
      </c>
      <c r="AO118" s="26"/>
      <c r="AP118" s="30"/>
      <c r="AQ118" s="29">
        <v>16</v>
      </c>
    </row>
    <row r="119" spans="2:43" ht="13.5" customHeight="1" x14ac:dyDescent="0.3">
      <c r="B119" s="31">
        <v>104</v>
      </c>
      <c r="C119" s="36">
        <v>7</v>
      </c>
      <c r="D119" s="37" t="s">
        <v>144</v>
      </c>
      <c r="E119" s="38" t="s">
        <v>96</v>
      </c>
      <c r="F119" s="40"/>
      <c r="G119" s="40"/>
      <c r="H119" s="52">
        <f t="shared" si="8"/>
        <v>15468.751601407785</v>
      </c>
      <c r="I119" s="53">
        <f>SUM(J119:Q119)*IF(입력란!$C$16=1,1.04,IF(입력란!$C$16=2,1.1,IF(입력란!$C$16=3,1.2,1)))*IF(입력란!$C$21=1,1+입력란!$C$38*0.001,IF(입력란!$C$21=2,1+입력란!$C$38*0.0022,IF(입력란!$C$21=3,1+입력란!$C$38*0.0045,1)))*IF(입력란!$C$18&lt;&gt;0,0.98,1)</f>
        <v>244630.76791853367</v>
      </c>
      <c r="J119" s="30">
        <f>S119*(1+IF($AK119+IF(입력란!$C$26=1,10,0)+IF(입력란!$C$9=1,10,0)+IF(MID($E119,5,1)="2",트라이포드!R$11,0)&gt;100,100,$AK119+IF(입력란!$C$26=1,10,0)+IF(입력란!$C$9=1,10,0)+IF(MID($E119,5,1)="2",트라이포드!R$11,0))/100*(($AL119+IF(MID($E119,3,1)="3",트라이포드!$N$11,트라이포드!$M$11))/100-1))</f>
        <v>61157.691979633419</v>
      </c>
      <c r="K119" s="30">
        <f>T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61157.691979633419</v>
      </c>
      <c r="L119" s="30">
        <f>U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61157.691979633419</v>
      </c>
      <c r="M119" s="30">
        <f>V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61157.691979633419</v>
      </c>
      <c r="N119" s="30">
        <f>W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0</v>
      </c>
      <c r="O119" s="30">
        <f>X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0</v>
      </c>
      <c r="P119" s="30">
        <f>Y119*(1+IF($AK119+IF(입력란!$C$26=1,10,IF(MID($E119,1,1)="2",10,0))+IF(입력란!$C$9=1,10,0)+IF(MID($E119,5,1)="2",트라이포드!$R$11,0)&gt;100,100,$AK119+IF(입력란!$C$26=1,10,IF(MID($E119,1,1)="2",10,0))+IF(입력란!$C$9=1,10,0)+IF(MID($E119,5,1)="2",트라이포드!$R$11,0))/100*(($AL119+IF(MID($E119,3,1)="3",트라이포드!$N$11,트라이포드!$M$11))/100-1))</f>
        <v>0</v>
      </c>
      <c r="Q119" s="27">
        <f>Z119*(1+IF($AK119+IF(입력란!$C$26=1,10,IF(MID($E119,1,1)="2",10,0))&gt;100,100,$AK119+IF(입력란!$C$26=1,10,IF(MID($E119,1,1)="2",10,0)))/100*($AL119/100-1))</f>
        <v>0</v>
      </c>
      <c r="R119" s="24">
        <f t="shared" si="9"/>
        <v>153201.4975360767</v>
      </c>
      <c r="S119" s="30">
        <f>AN119*IF(입력란!$C$12=0,1,IF(입력란!$C$12=1,1.3,IF(입력란!$C$12=2,1.45,IF(입력란!$C$12=3,1.6,1))))*IF(MID(E119,3,1)="1",트라이포드!$J$11,트라이포드!$I$11)*IF(MID(E119,3,1)="2",트라이포드!$L$11,트라이포드!$K$11)*IF(입력란!$C$9=1,IF(입력란!$C$15=0,1.05,IF(입력란!$C$15=1,1.05*1.05,IF(입력란!$C$15=2,1.05*1.12,IF(입력란!$C$15=3,1.05*1.25)))),1)/IF(MID(E119,3,1)="1",7,4)</f>
        <v>38300.374384019175</v>
      </c>
      <c r="T119" s="30">
        <f t="shared" si="14"/>
        <v>38300.374384019175</v>
      </c>
      <c r="U119" s="30">
        <f t="shared" si="14"/>
        <v>38300.374384019175</v>
      </c>
      <c r="V119" s="30">
        <f t="shared" si="14"/>
        <v>38300.374384019175</v>
      </c>
      <c r="W119" s="39">
        <f t="shared" si="15"/>
        <v>0</v>
      </c>
      <c r="X119" s="39">
        <f t="shared" si="15"/>
        <v>0</v>
      </c>
      <c r="Y119" s="39">
        <f t="shared" si="15"/>
        <v>0</v>
      </c>
      <c r="Z119" s="25">
        <f>AN119*IF(입력란!$C$12=0,1,IF(입력란!$C$12=1,1.3,IF(입력란!$C$12=2,1.45,IF(입력란!$C$12=3,1.6,1))))*IF(MID(E119,5,1)="1",트라이포드!$P$11*IF(MID(E119,3,1)="1",7,4)*5,트라이포드!$O$11)</f>
        <v>0</v>
      </c>
      <c r="AA119" s="30">
        <f t="shared" si="10"/>
        <v>306402.9950721534</v>
      </c>
      <c r="AB119" s="30">
        <f t="shared" si="11"/>
        <v>76600.748768038349</v>
      </c>
      <c r="AC119" s="30">
        <f t="shared" si="16"/>
        <v>76600.748768038349</v>
      </c>
      <c r="AD119" s="30">
        <f t="shared" si="17"/>
        <v>76600.748768038349</v>
      </c>
      <c r="AE119" s="30">
        <f t="shared" si="18"/>
        <v>76600.748768038349</v>
      </c>
      <c r="AF119" s="30">
        <f t="shared" si="19"/>
        <v>0</v>
      </c>
      <c r="AG119" s="30">
        <f t="shared" si="20"/>
        <v>0</v>
      </c>
      <c r="AH119" s="30">
        <f t="shared" si="21"/>
        <v>0</v>
      </c>
      <c r="AI119" s="25">
        <f t="shared" si="13"/>
        <v>0</v>
      </c>
      <c r="AJ119" s="26">
        <f>AQ119*(1-입력란!$C$35/100)</f>
        <v>15.814512652479999</v>
      </c>
      <c r="AK1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19" s="26">
        <f>입력란!$C$47+입력란!$C$41+IF(입력란!$C$18=1,10,IF(입력란!$C$18=2,25,IF(입력란!$C$18=3,50,0)))+IF(입력란!$C$23&lt;&gt;0,-12)</f>
        <v>378.9445412</v>
      </c>
      <c r="AM119" s="30">
        <f t="shared" si="12"/>
        <v>153201.4975360767</v>
      </c>
      <c r="AN119" s="30">
        <f>(VLOOKUP(C119,$B$4:$AJ$7,9,FALSE)+VLOOKUP(C119,$B$8:$AJ$11,9,FALSE)*입력란!$C$29)*입력란!$C$48/100</f>
        <v>153201.4975360767</v>
      </c>
      <c r="AO119" s="26"/>
      <c r="AP119" s="30"/>
      <c r="AQ119" s="29">
        <v>16</v>
      </c>
    </row>
    <row r="120" spans="2:43" ht="13.5" customHeight="1" x14ac:dyDescent="0.3">
      <c r="B120" s="31">
        <v>105</v>
      </c>
      <c r="C120" s="36">
        <v>7</v>
      </c>
      <c r="D120" s="37" t="s">
        <v>144</v>
      </c>
      <c r="E120" s="38" t="s">
        <v>98</v>
      </c>
      <c r="F120" s="40"/>
      <c r="G120" s="40"/>
      <c r="H120" s="52">
        <f t="shared" si="8"/>
        <v>24750.002562252459</v>
      </c>
      <c r="I120" s="53">
        <f>SUM(J120:Q120)*IF(입력란!$C$16=1,1.04,IF(입력란!$C$16=2,1.1,IF(입력란!$C$16=3,1.2,1)))*IF(입력란!$C$21=1,1+입력란!$C$38*0.001,IF(입력란!$C$21=2,1+입력란!$C$38*0.0022,IF(입력란!$C$21=3,1+입력란!$C$38*0.0045,1)))*IF(입력란!$C$18&lt;&gt;0,0.98,1)</f>
        <v>391409.22866965394</v>
      </c>
      <c r="J120" s="30">
        <f>S120*(1+IF($AK120+IF(입력란!$C$26=1,10,0)+IF(입력란!$C$9=1,10,0)+IF(MID($E120,5,1)="2",트라이포드!R$11,0)&gt;100,100,$AK120+IF(입력란!$C$26=1,10,0)+IF(입력란!$C$9=1,10,0)+IF(MID($E120,5,1)="2",트라이포드!R$11,0))/100*(($AL120+IF(MID($E120,3,1)="3",트라이포드!$N$11,트라이포드!$M$11))/100-1))</f>
        <v>55915.604095664843</v>
      </c>
      <c r="K120" s="30">
        <f>T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L120" s="30">
        <f>U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M120" s="30">
        <f>V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N120" s="30">
        <f>W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O120" s="30">
        <f>X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P120" s="30">
        <f>Y120*(1+IF($AK120+IF(입력란!$C$26=1,10,IF(MID($E120,1,1)="2",10,0))+IF(입력란!$C$9=1,10,0)+IF(MID($E120,5,1)="2",트라이포드!$R$11,0)&gt;100,100,$AK120+IF(입력란!$C$26=1,10,IF(MID($E120,1,1)="2",10,0))+IF(입력란!$C$9=1,10,0)+IF(MID($E120,5,1)="2",트라이포드!$R$11,0))/100*(($AL120+IF(MID($E120,3,1)="3",트라이포드!$N$11,트라이포드!$M$11))/100-1))</f>
        <v>55915.604095664843</v>
      </c>
      <c r="Q120" s="27">
        <f>Z120*(1+IF($AK120+IF(입력란!$C$26=1,10,IF(MID($E120,1,1)="2",10,0))&gt;100,100,$AK120+IF(입력란!$C$26=1,10,IF(MID($E120,1,1)="2",10,0)))/100*($AL120/100-1))</f>
        <v>0</v>
      </c>
      <c r="R120" s="24">
        <f t="shared" si="9"/>
        <v>245122.39605772268</v>
      </c>
      <c r="S120" s="30">
        <f>AN120*IF(입력란!$C$12=0,1,IF(입력란!$C$12=1,1.3,IF(입력란!$C$12=2,1.45,IF(입력란!$C$12=3,1.6,1))))*IF(MID(E120,3,1)="1",트라이포드!$J$11,트라이포드!$I$11)*IF(MID(E120,3,1)="2",트라이포드!$L$11,트라이포드!$K$11)*IF(입력란!$C$9=1,IF(입력란!$C$15=0,1.05,IF(입력란!$C$15=1,1.05*1.05,IF(입력란!$C$15=2,1.05*1.12,IF(입력란!$C$15=3,1.05*1.25)))),1)/IF(MID(E120,3,1)="1",7,4)</f>
        <v>35017.485151103247</v>
      </c>
      <c r="T120" s="30">
        <f t="shared" si="14"/>
        <v>35017.485151103247</v>
      </c>
      <c r="U120" s="30">
        <f t="shared" si="14"/>
        <v>35017.485151103247</v>
      </c>
      <c r="V120" s="30">
        <f t="shared" si="14"/>
        <v>35017.485151103247</v>
      </c>
      <c r="W120" s="39">
        <f t="shared" si="15"/>
        <v>35017.485151103247</v>
      </c>
      <c r="X120" s="39">
        <f t="shared" si="15"/>
        <v>35017.485151103247</v>
      </c>
      <c r="Y120" s="39">
        <f t="shared" si="15"/>
        <v>35017.485151103247</v>
      </c>
      <c r="Z120" s="25">
        <f>AN120*IF(입력란!$C$12=0,1,IF(입력란!$C$12=1,1.3,IF(입력란!$C$12=2,1.45,IF(입력란!$C$12=3,1.6,1))))*IF(MID(E120,5,1)="1",트라이포드!$P$11*IF(MID(E120,3,1)="1",7,4)*5,트라이포드!$O$11)</f>
        <v>0</v>
      </c>
      <c r="AA120" s="30">
        <f t="shared" si="10"/>
        <v>490244.79211544537</v>
      </c>
      <c r="AB120" s="30">
        <f t="shared" si="11"/>
        <v>70034.970302206493</v>
      </c>
      <c r="AC120" s="30">
        <f t="shared" si="16"/>
        <v>70034.970302206493</v>
      </c>
      <c r="AD120" s="30">
        <f t="shared" si="17"/>
        <v>70034.970302206493</v>
      </c>
      <c r="AE120" s="30">
        <f t="shared" si="18"/>
        <v>70034.970302206493</v>
      </c>
      <c r="AF120" s="30">
        <f t="shared" si="19"/>
        <v>70034.970302206493</v>
      </c>
      <c r="AG120" s="30">
        <f t="shared" si="20"/>
        <v>70034.970302206493</v>
      </c>
      <c r="AH120" s="30">
        <f t="shared" si="21"/>
        <v>70034.970302206493</v>
      </c>
      <c r="AI120" s="25">
        <f t="shared" si="13"/>
        <v>0</v>
      </c>
      <c r="AJ120" s="26">
        <f>AQ120*(1-입력란!$C$35/100)</f>
        <v>15.814512652479999</v>
      </c>
      <c r="AK1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0" s="26">
        <f>입력란!$C$47+입력란!$C$41+IF(입력란!$C$18=1,10,IF(입력란!$C$18=2,25,IF(입력란!$C$18=3,50,0)))+IF(입력란!$C$23&lt;&gt;0,-12)</f>
        <v>378.9445412</v>
      </c>
      <c r="AM120" s="30">
        <f t="shared" si="12"/>
        <v>153201.4975360767</v>
      </c>
      <c r="AN120" s="30">
        <f>(VLOOKUP(C120,$B$4:$AJ$7,9,FALSE)+VLOOKUP(C120,$B$8:$AJ$11,9,FALSE)*입력란!$C$29)*입력란!$C$48/100</f>
        <v>153201.4975360767</v>
      </c>
      <c r="AO120" s="26"/>
      <c r="AP120" s="30"/>
      <c r="AQ120" s="29">
        <v>16</v>
      </c>
    </row>
    <row r="121" spans="2:43" ht="13.5" customHeight="1" x14ac:dyDescent="0.3">
      <c r="B121" s="31">
        <v>106</v>
      </c>
      <c r="C121" s="36">
        <v>7</v>
      </c>
      <c r="D121" s="37" t="s">
        <v>144</v>
      </c>
      <c r="E121" s="38" t="s">
        <v>99</v>
      </c>
      <c r="F121" s="40" t="s">
        <v>375</v>
      </c>
      <c r="G121" s="40"/>
      <c r="H121" s="52">
        <f t="shared" si="8"/>
        <v>30937.503202815569</v>
      </c>
      <c r="I121" s="53">
        <f>SUM(J121:Q121)*IF(입력란!$C$16=1,1.04,IF(입력란!$C$16=2,1.1,IF(입력란!$C$16=3,1.2,1)))*IF(입력란!$C$21=1,1+입력란!$C$38*0.001,IF(입력란!$C$21=2,1+입력란!$C$38*0.0022,IF(입력란!$C$21=3,1+입력란!$C$38*0.0045,1)))*IF(입력란!$C$18&lt;&gt;0,0.98,1)</f>
        <v>489261.53583706735</v>
      </c>
      <c r="J121" s="30">
        <f>S121*(1+IF($AK121+IF(입력란!$C$26=1,10,0)+IF(입력란!$C$9=1,10,0)+IF(MID($E121,5,1)="2",트라이포드!R$11,0)&gt;100,100,$AK121+IF(입력란!$C$26=1,10,0)+IF(입력란!$C$9=1,10,0)+IF(MID($E121,5,1)="2",트라이포드!R$11,0))/100*(($AL121+IF(MID($E121,3,1)="3",트라이포드!$N$11,트라이포드!$M$11))/100-1))</f>
        <v>122315.38395926684</v>
      </c>
      <c r="K121" s="30">
        <f>T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122315.38395926684</v>
      </c>
      <c r="L121" s="30">
        <f>U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122315.38395926684</v>
      </c>
      <c r="M121" s="30">
        <f>V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122315.38395926684</v>
      </c>
      <c r="N121" s="30">
        <f>W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0</v>
      </c>
      <c r="O121" s="30">
        <f>X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0</v>
      </c>
      <c r="P121" s="30">
        <f>Y121*(1+IF($AK121+IF(입력란!$C$26=1,10,IF(MID($E121,1,1)="2",10,0))+IF(입력란!$C$9=1,10,0)+IF(MID($E121,5,1)="2",트라이포드!$R$11,0)&gt;100,100,$AK121+IF(입력란!$C$26=1,10,IF(MID($E121,1,1)="2",10,0))+IF(입력란!$C$9=1,10,0)+IF(MID($E121,5,1)="2",트라이포드!$R$11,0))/100*(($AL121+IF(MID($E121,3,1)="3",트라이포드!$N$11,트라이포드!$M$11))/100-1))</f>
        <v>0</v>
      </c>
      <c r="Q121" s="27">
        <f>Z121*(1+IF($AK121+IF(입력란!$C$26=1,10,IF(MID($E121,1,1)="2",10,0))&gt;100,100,$AK121+IF(입력란!$C$26=1,10,IF(MID($E121,1,1)="2",10,0)))/100*($AL121/100-1))</f>
        <v>0</v>
      </c>
      <c r="R121" s="24">
        <f t="shared" si="9"/>
        <v>306402.9950721534</v>
      </c>
      <c r="S121" s="30">
        <f>AN121*IF(입력란!$C$12=0,1,IF(입력란!$C$12=1,1.3,IF(입력란!$C$12=2,1.45,IF(입력란!$C$12=3,1.6,1))))*IF(MID(E121,3,1)="1",트라이포드!$J$11,트라이포드!$I$11)*IF(MID(E121,3,1)="2",트라이포드!$L$11,트라이포드!$K$11)*IF(입력란!$C$9=1,IF(입력란!$C$15=0,1.05,IF(입력란!$C$15=1,1.05*1.05,IF(입력란!$C$15=2,1.05*1.12,IF(입력란!$C$15=3,1.05*1.25)))),1)/IF(MID(E121,3,1)="1",7,4)</f>
        <v>76600.748768038349</v>
      </c>
      <c r="T121" s="30">
        <f t="shared" si="14"/>
        <v>76600.748768038349</v>
      </c>
      <c r="U121" s="30">
        <f t="shared" si="14"/>
        <v>76600.748768038349</v>
      </c>
      <c r="V121" s="30">
        <f t="shared" si="14"/>
        <v>76600.748768038349</v>
      </c>
      <c r="W121" s="39">
        <f t="shared" si="15"/>
        <v>0</v>
      </c>
      <c r="X121" s="39">
        <f t="shared" si="15"/>
        <v>0</v>
      </c>
      <c r="Y121" s="39">
        <f t="shared" si="15"/>
        <v>0</v>
      </c>
      <c r="Z121" s="25">
        <f>AN121*IF(입력란!$C$12=0,1,IF(입력란!$C$12=1,1.3,IF(입력란!$C$12=2,1.45,IF(입력란!$C$12=3,1.6,1))))*IF(MID(E121,5,1)="1",트라이포드!$P$11*IF(MID(E121,3,1)="1",7,4)*5,트라이포드!$O$11)</f>
        <v>0</v>
      </c>
      <c r="AA121" s="30">
        <f t="shared" si="10"/>
        <v>612805.99014430679</v>
      </c>
      <c r="AB121" s="30">
        <f t="shared" si="11"/>
        <v>153201.4975360767</v>
      </c>
      <c r="AC121" s="30">
        <f t="shared" si="16"/>
        <v>153201.4975360767</v>
      </c>
      <c r="AD121" s="30">
        <f t="shared" si="17"/>
        <v>153201.4975360767</v>
      </c>
      <c r="AE121" s="30">
        <f t="shared" si="18"/>
        <v>153201.4975360767</v>
      </c>
      <c r="AF121" s="30">
        <f t="shared" si="19"/>
        <v>0</v>
      </c>
      <c r="AG121" s="30">
        <f t="shared" si="20"/>
        <v>0</v>
      </c>
      <c r="AH121" s="30">
        <f t="shared" si="21"/>
        <v>0</v>
      </c>
      <c r="AI121" s="25">
        <f t="shared" si="13"/>
        <v>0</v>
      </c>
      <c r="AJ121" s="26">
        <f>AQ121*(1-입력란!$C$35/100)</f>
        <v>15.814512652479999</v>
      </c>
      <c r="AK1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1" s="26">
        <f>입력란!$C$47+입력란!$C$41+IF(입력란!$C$18=1,10,IF(입력란!$C$18=2,25,IF(입력란!$C$18=3,50,0)))+IF(입력란!$C$23&lt;&gt;0,-12)</f>
        <v>378.9445412</v>
      </c>
      <c r="AM121" s="30">
        <f t="shared" si="12"/>
        <v>153201.4975360767</v>
      </c>
      <c r="AN121" s="30">
        <f>(VLOOKUP(C121,$B$4:$AJ$7,9,FALSE)+VLOOKUP(C121,$B$8:$AJ$11,9,FALSE)*입력란!$C$29)*입력란!$C$48/100</f>
        <v>153201.4975360767</v>
      </c>
      <c r="AO121" s="26"/>
      <c r="AP121" s="30"/>
      <c r="AQ121" s="29">
        <v>16</v>
      </c>
    </row>
    <row r="122" spans="2:43" ht="13.5" customHeight="1" x14ac:dyDescent="0.3">
      <c r="B122" s="31">
        <v>107</v>
      </c>
      <c r="C122" s="36">
        <v>7</v>
      </c>
      <c r="D122" s="37" t="s">
        <v>144</v>
      </c>
      <c r="E122" s="38" t="s">
        <v>373</v>
      </c>
      <c r="F122" s="40"/>
      <c r="G122" s="40"/>
      <c r="H122" s="52">
        <f t="shared" si="8"/>
        <v>17541.332895318541</v>
      </c>
      <c r="I122" s="53">
        <f>SUM(J122:Q122)*IF(입력란!$C$16=1,1.04,IF(입력란!$C$16=2,1.1,IF(입력란!$C$16=3,1.2,1)))*IF(입력란!$C$21=1,1+입력란!$C$38*0.001,IF(입력란!$C$21=2,1+입력란!$C$38*0.0022,IF(입력란!$C$21=3,1+입력란!$C$38*0.0045,1)))*IF(입력란!$C$18&lt;&gt;0,0.98,1)</f>
        <v>277407.63101437868</v>
      </c>
      <c r="J122" s="30">
        <f>S122*(1+IF($AK122+IF(입력란!$C$26=1,10,0)+IF(입력란!$C$9=1,10,0)+IF(MID($E122,5,1)="2",트라이포드!R$11,0)&gt;100,100,$AK122+IF(입력란!$C$26=1,10,0)+IF(입력란!$C$9=1,10,0)+IF(MID($E122,5,1)="2",트라이포드!R$11,0))/100*(($AL122+IF(MID($E122,3,1)="3",트라이포드!$N$11,트라이포드!$M$11))/100-1))</f>
        <v>69351.907753594671</v>
      </c>
      <c r="K122" s="30">
        <f>T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69351.907753594671</v>
      </c>
      <c r="L122" s="30">
        <f>U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69351.907753594671</v>
      </c>
      <c r="M122" s="30">
        <f>V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69351.907753594671</v>
      </c>
      <c r="N122" s="30">
        <f>W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0</v>
      </c>
      <c r="O122" s="30">
        <f>X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0</v>
      </c>
      <c r="P122" s="30">
        <f>Y122*(1+IF($AK122+IF(입력란!$C$26=1,10,IF(MID($E122,1,1)="2",10,0))+IF(입력란!$C$9=1,10,0)+IF(MID($E122,5,1)="2",트라이포드!$R$11,0)&gt;100,100,$AK122+IF(입력란!$C$26=1,10,IF(MID($E122,1,1)="2",10,0))+IF(입력란!$C$9=1,10,0)+IF(MID($E122,5,1)="2",트라이포드!$R$11,0))/100*(($AL122+IF(MID($E122,3,1)="3",트라이포드!$N$11,트라이포드!$M$11))/100-1))</f>
        <v>0</v>
      </c>
      <c r="Q122" s="27">
        <f>Z122*(1+IF($AK122+IF(입력란!$C$26=1,10,IF(MID($E122,1,1)="2",10,0))&gt;100,100,$AK122+IF(입력란!$C$26=1,10,IF(MID($E122,1,1)="2",10,0)))/100*($AL122/100-1))</f>
        <v>0</v>
      </c>
      <c r="R122" s="24">
        <f t="shared" si="9"/>
        <v>153201.4975360767</v>
      </c>
      <c r="S122" s="30">
        <f>AN122*IF(입력란!$C$12=0,1,IF(입력란!$C$12=1,1.3,IF(입력란!$C$12=2,1.45,IF(입력란!$C$12=3,1.6,1))))*IF(MID(E122,3,1)="1",트라이포드!$J$11,트라이포드!$I$11)*IF(MID(E122,3,1)="2",트라이포드!$L$11,트라이포드!$K$11)*IF(입력란!$C$9=1,IF(입력란!$C$15=0,1.05,IF(입력란!$C$15=1,1.05*1.05,IF(입력란!$C$15=2,1.05*1.12,IF(입력란!$C$15=3,1.05*1.25)))),1)/IF(MID(E122,3,1)="1",7,4)</f>
        <v>38300.374384019175</v>
      </c>
      <c r="T122" s="30">
        <f t="shared" si="14"/>
        <v>38300.374384019175</v>
      </c>
      <c r="U122" s="30">
        <f t="shared" si="14"/>
        <v>38300.374384019175</v>
      </c>
      <c r="V122" s="30">
        <f t="shared" si="14"/>
        <v>38300.374384019175</v>
      </c>
      <c r="W122" s="39">
        <f t="shared" si="15"/>
        <v>0</v>
      </c>
      <c r="X122" s="39">
        <f t="shared" si="15"/>
        <v>0</v>
      </c>
      <c r="Y122" s="39">
        <f t="shared" si="15"/>
        <v>0</v>
      </c>
      <c r="Z122" s="25">
        <f>AN122*IF(입력란!$C$12=0,1,IF(입력란!$C$12=1,1.3,IF(입력란!$C$12=2,1.45,IF(입력란!$C$12=3,1.6,1))))*IF(MID(E122,5,1)="1",트라이포드!$P$11*IF(MID(E122,3,1)="1",7,4)*5,트라이포드!$O$11)</f>
        <v>0</v>
      </c>
      <c r="AA122" s="30">
        <f t="shared" si="10"/>
        <v>306402.9950721534</v>
      </c>
      <c r="AB122" s="30">
        <f t="shared" si="11"/>
        <v>76600.748768038349</v>
      </c>
      <c r="AC122" s="30">
        <f t="shared" si="16"/>
        <v>76600.748768038349</v>
      </c>
      <c r="AD122" s="30">
        <f t="shared" si="17"/>
        <v>76600.748768038349</v>
      </c>
      <c r="AE122" s="30">
        <f t="shared" si="18"/>
        <v>76600.748768038349</v>
      </c>
      <c r="AF122" s="30">
        <f t="shared" si="19"/>
        <v>0</v>
      </c>
      <c r="AG122" s="30">
        <f t="shared" si="20"/>
        <v>0</v>
      </c>
      <c r="AH122" s="30">
        <f t="shared" si="21"/>
        <v>0</v>
      </c>
      <c r="AI122" s="25">
        <f t="shared" si="13"/>
        <v>0</v>
      </c>
      <c r="AJ122" s="26">
        <f>AQ122*(1-입력란!$C$35/100)</f>
        <v>15.814512652479999</v>
      </c>
      <c r="AK1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2" s="26">
        <f>입력란!$C$47+입력란!$C$41+IF(입력란!$C$18=1,10,IF(입력란!$C$18=2,25,IF(입력란!$C$18=3,50,0)))+IF(입력란!$C$23&lt;&gt;0,-12)</f>
        <v>378.9445412</v>
      </c>
      <c r="AM122" s="30">
        <f t="shared" si="12"/>
        <v>153201.4975360767</v>
      </c>
      <c r="AN122" s="30">
        <f>(VLOOKUP(C122,$B$4:$AJ$7,9,FALSE)+VLOOKUP(C122,$B$8:$AJ$11,9,FALSE)*입력란!$C$29)*입력란!$C$48/100</f>
        <v>153201.4975360767</v>
      </c>
      <c r="AO122" s="26"/>
      <c r="AP122" s="30"/>
      <c r="AQ122" s="29">
        <v>16</v>
      </c>
    </row>
    <row r="123" spans="2:43" ht="13.5" customHeight="1" x14ac:dyDescent="0.3">
      <c r="B123" s="31">
        <v>108</v>
      </c>
      <c r="C123" s="36">
        <v>7</v>
      </c>
      <c r="D123" s="37" t="s">
        <v>144</v>
      </c>
      <c r="E123" s="38" t="s">
        <v>145</v>
      </c>
      <c r="F123" s="40"/>
      <c r="G123" s="40"/>
      <c r="H123" s="52">
        <f t="shared" si="8"/>
        <v>17495.436949564195</v>
      </c>
      <c r="I123" s="53">
        <f>SUM(J123:Q123)*IF(입력란!$C$16=1,1.04,IF(입력란!$C$16=2,1.1,IF(입력란!$C$16=3,1.2,1)))*IF(입력란!$C$21=1,1+입력란!$C$38*0.001,IF(입력란!$C$21=2,1+입력란!$C$38*0.0022,IF(입력란!$C$21=3,1+입력란!$C$38*0.0045,1)))*IF(입력란!$C$18&lt;&gt;0,0.98,1)</f>
        <v>276681.80899954907</v>
      </c>
      <c r="J123" s="30">
        <f>S123*(1+IF($AK123+IF(입력란!$C$26=1,10,0)+IF(입력란!$C$9=1,10,0)+IF(MID($E123,5,1)="2",트라이포드!R$11,0)&gt;100,100,$AK123+IF(입력란!$C$26=1,10,0)+IF(입력란!$C$9=1,10,0)+IF(MID($E123,5,1)="2",트라이포드!R$11,0))/100*(($AL123+IF(MID($E123,3,1)="3",트라이포드!$N$11,트라이포드!$M$11))/100-1))</f>
        <v>61157.691979633419</v>
      </c>
      <c r="K123" s="30">
        <f>T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71841.372339971887</v>
      </c>
      <c r="L123" s="30">
        <f>U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71841.372339971887</v>
      </c>
      <c r="M123" s="30">
        <f>V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71841.372339971887</v>
      </c>
      <c r="N123" s="30">
        <f>W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0</v>
      </c>
      <c r="O123" s="30">
        <f>X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0</v>
      </c>
      <c r="P123" s="30">
        <f>Y123*(1+IF($AK123+IF(입력란!$C$26=1,10,IF(MID($E123,1,1)="2",10,0))+IF(입력란!$C$9=1,10,0)+IF(MID($E123,5,1)="2",트라이포드!$R$11,0)&gt;100,100,$AK123+IF(입력란!$C$26=1,10,IF(MID($E123,1,1)="2",10,0))+IF(입력란!$C$9=1,10,0)+IF(MID($E123,5,1)="2",트라이포드!$R$11,0))/100*(($AL123+IF(MID($E123,3,1)="3",트라이포드!$N$11,트라이포드!$M$11))/100-1))</f>
        <v>0</v>
      </c>
      <c r="Q123" s="27">
        <f>Z123*(1+IF($AK123+IF(입력란!$C$26=1,10,IF(MID($E123,1,1)="2",10,0))&gt;100,100,$AK123+IF(입력란!$C$26=1,10,IF(MID($E123,1,1)="2",10,0)))/100*($AL123/100-1))</f>
        <v>0</v>
      </c>
      <c r="R123" s="24">
        <f t="shared" si="9"/>
        <v>153201.4975360767</v>
      </c>
      <c r="S123" s="30">
        <f>AN123*IF(입력란!$C$12=0,1,IF(입력란!$C$12=1,1.3,IF(입력란!$C$12=2,1.45,IF(입력란!$C$12=3,1.6,1))))*IF(MID(E123,3,1)="1",트라이포드!$J$11,트라이포드!$I$11)*IF(MID(E123,3,1)="2",트라이포드!$L$11,트라이포드!$K$11)*IF(입력란!$C$9=1,IF(입력란!$C$15=0,1.05,IF(입력란!$C$15=1,1.05*1.05,IF(입력란!$C$15=2,1.05*1.12,IF(입력란!$C$15=3,1.05*1.25)))),1)/IF(MID(E123,3,1)="1",7,4)</f>
        <v>38300.374384019175</v>
      </c>
      <c r="T123" s="30">
        <f t="shared" si="14"/>
        <v>38300.374384019175</v>
      </c>
      <c r="U123" s="30">
        <f t="shared" si="14"/>
        <v>38300.374384019175</v>
      </c>
      <c r="V123" s="30">
        <f t="shared" si="14"/>
        <v>38300.374384019175</v>
      </c>
      <c r="W123" s="39">
        <f t="shared" si="15"/>
        <v>0</v>
      </c>
      <c r="X123" s="39">
        <f t="shared" si="15"/>
        <v>0</v>
      </c>
      <c r="Y123" s="39">
        <f t="shared" si="15"/>
        <v>0</v>
      </c>
      <c r="Z123" s="25">
        <f>AN123*IF(입력란!$C$12=0,1,IF(입력란!$C$12=1,1.3,IF(입력란!$C$12=2,1.45,IF(입력란!$C$12=3,1.6,1))))*IF(MID(E123,5,1)="1",트라이포드!$P$11*IF(MID(E123,3,1)="1",7,4)*5,트라이포드!$O$11)</f>
        <v>0</v>
      </c>
      <c r="AA123" s="30">
        <f t="shared" si="10"/>
        <v>306402.9950721534</v>
      </c>
      <c r="AB123" s="30">
        <f t="shared" si="11"/>
        <v>76600.748768038349</v>
      </c>
      <c r="AC123" s="30">
        <f t="shared" si="16"/>
        <v>76600.748768038349</v>
      </c>
      <c r="AD123" s="30">
        <f t="shared" si="17"/>
        <v>76600.748768038349</v>
      </c>
      <c r="AE123" s="30">
        <f t="shared" si="18"/>
        <v>76600.748768038349</v>
      </c>
      <c r="AF123" s="30">
        <f t="shared" si="19"/>
        <v>0</v>
      </c>
      <c r="AG123" s="30">
        <f t="shared" si="20"/>
        <v>0</v>
      </c>
      <c r="AH123" s="30">
        <f t="shared" si="21"/>
        <v>0</v>
      </c>
      <c r="AI123" s="25">
        <f t="shared" si="13"/>
        <v>0</v>
      </c>
      <c r="AJ123" s="26">
        <f>AQ123*(1-입력란!$C$35/100)</f>
        <v>15.814512652479999</v>
      </c>
      <c r="AK1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3" s="26">
        <f>입력란!$C$47+입력란!$C$41+IF(입력란!$C$18=1,10,IF(입력란!$C$18=2,25,IF(입력란!$C$18=3,50,0)))+IF(입력란!$C$23&lt;&gt;0,-12)</f>
        <v>378.9445412</v>
      </c>
      <c r="AM123" s="30">
        <f t="shared" si="12"/>
        <v>153201.4975360767</v>
      </c>
      <c r="AN123" s="30">
        <f>(VLOOKUP(C123,$B$4:$AJ$7,9,FALSE)+VLOOKUP(C123,$B$8:$AJ$11,9,FALSE)*입력란!$C$29)*입력란!$C$48/100</f>
        <v>153201.4975360767</v>
      </c>
      <c r="AO123" s="26"/>
      <c r="AP123" s="30"/>
      <c r="AQ123" s="29">
        <v>16</v>
      </c>
    </row>
    <row r="124" spans="2:43" ht="13.5" customHeight="1" x14ac:dyDescent="0.3">
      <c r="B124" s="31">
        <v>109</v>
      </c>
      <c r="C124" s="36">
        <v>7</v>
      </c>
      <c r="D124" s="37" t="s">
        <v>144</v>
      </c>
      <c r="E124" s="38" t="s">
        <v>146</v>
      </c>
      <c r="F124" s="40"/>
      <c r="G124" s="40"/>
      <c r="H124" s="52">
        <f t="shared" si="8"/>
        <v>28455.941484595605</v>
      </c>
      <c r="I124" s="53">
        <f>SUM(J124:Q124)*IF(입력란!$C$16=1,1.04,IF(입력란!$C$16=2,1.1,IF(입력란!$C$16=3,1.2,1)))*IF(입력란!$C$21=1,1+입력란!$C$38*0.001,IF(입력란!$C$21=2,1+입력란!$C$38*0.0022,IF(입력란!$C$21=3,1+입력란!$C$38*0.0045,1)))*IF(입력란!$C$18&lt;&gt;0,0.98,1)</f>
        <v>450016.84664636769</v>
      </c>
      <c r="J124" s="30">
        <f>S124*(1+IF($AK124+IF(입력란!$C$26=1,10,0)+IF(입력란!$C$9=1,10,0)+IF(MID($E124,5,1)="2",트라이포드!R$11,0)&gt;100,100,$AK124+IF(입력란!$C$26=1,10,0)+IF(입력란!$C$9=1,10,0)+IF(MID($E124,5,1)="2",트라이포드!R$11,0))/100*(($AL124+IF(MID($E124,3,1)="3",트라이포드!$N$11,트라이포드!$M$11))/100-1))</f>
        <v>55915.604095664843</v>
      </c>
      <c r="K124" s="30">
        <f>T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L124" s="30">
        <f>U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M124" s="30">
        <f>V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N124" s="30">
        <f>W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O124" s="30">
        <f>X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P124" s="30">
        <f>Y124*(1+IF($AK124+IF(입력란!$C$26=1,10,IF(MID($E124,1,1)="2",10,0))+IF(입력란!$C$9=1,10,0)+IF(MID($E124,5,1)="2",트라이포드!$R$11,0)&gt;100,100,$AK124+IF(입력란!$C$26=1,10,IF(MID($E124,1,1)="2",10,0))+IF(입력란!$C$9=1,10,0)+IF(MID($E124,5,1)="2",트라이포드!$R$11,0))/100*(($AL124+IF(MID($E124,3,1)="3",트라이포드!$N$11,트라이포드!$M$11))/100-1))</f>
        <v>65683.540425117157</v>
      </c>
      <c r="Q124" s="27">
        <f>Z124*(1+IF($AK124+IF(입력란!$C$26=1,10,IF(MID($E124,1,1)="2",10,0))&gt;100,100,$AK124+IF(입력란!$C$26=1,10,IF(MID($E124,1,1)="2",10,0)))/100*($AL124/100-1))</f>
        <v>0</v>
      </c>
      <c r="R124" s="24">
        <f t="shared" si="9"/>
        <v>245122.39605772268</v>
      </c>
      <c r="S124" s="30">
        <f>AN124*IF(입력란!$C$12=0,1,IF(입력란!$C$12=1,1.3,IF(입력란!$C$12=2,1.45,IF(입력란!$C$12=3,1.6,1))))*IF(MID(E124,3,1)="1",트라이포드!$J$11,트라이포드!$I$11)*IF(MID(E124,3,1)="2",트라이포드!$L$11,트라이포드!$K$11)*IF(입력란!$C$9=1,IF(입력란!$C$15=0,1.05,IF(입력란!$C$15=1,1.05*1.05,IF(입력란!$C$15=2,1.05*1.12,IF(입력란!$C$15=3,1.05*1.25)))),1)/IF(MID(E124,3,1)="1",7,4)</f>
        <v>35017.485151103247</v>
      </c>
      <c r="T124" s="30">
        <f t="shared" si="14"/>
        <v>35017.485151103247</v>
      </c>
      <c r="U124" s="30">
        <f t="shared" si="14"/>
        <v>35017.485151103247</v>
      </c>
      <c r="V124" s="30">
        <f t="shared" si="14"/>
        <v>35017.485151103247</v>
      </c>
      <c r="W124" s="39">
        <f t="shared" si="15"/>
        <v>35017.485151103247</v>
      </c>
      <c r="X124" s="39">
        <f t="shared" si="15"/>
        <v>35017.485151103247</v>
      </c>
      <c r="Y124" s="39">
        <f t="shared" si="15"/>
        <v>35017.485151103247</v>
      </c>
      <c r="Z124" s="25">
        <f>AN124*IF(입력란!$C$12=0,1,IF(입력란!$C$12=1,1.3,IF(입력란!$C$12=2,1.45,IF(입력란!$C$12=3,1.6,1))))*IF(MID(E124,5,1)="1",트라이포드!$P$11*IF(MID(E124,3,1)="1",7,4)*5,트라이포드!$O$11)</f>
        <v>0</v>
      </c>
      <c r="AA124" s="30">
        <f t="shared" si="10"/>
        <v>490244.79211544537</v>
      </c>
      <c r="AB124" s="30">
        <f t="shared" si="11"/>
        <v>70034.970302206493</v>
      </c>
      <c r="AC124" s="30">
        <f t="shared" si="16"/>
        <v>70034.970302206493</v>
      </c>
      <c r="AD124" s="30">
        <f t="shared" si="17"/>
        <v>70034.970302206493</v>
      </c>
      <c r="AE124" s="30">
        <f t="shared" si="18"/>
        <v>70034.970302206493</v>
      </c>
      <c r="AF124" s="30">
        <f t="shared" si="19"/>
        <v>70034.970302206493</v>
      </c>
      <c r="AG124" s="30">
        <f t="shared" si="20"/>
        <v>70034.970302206493</v>
      </c>
      <c r="AH124" s="30">
        <f t="shared" si="21"/>
        <v>70034.970302206493</v>
      </c>
      <c r="AI124" s="25">
        <f t="shared" si="13"/>
        <v>0</v>
      </c>
      <c r="AJ124" s="26">
        <f>AQ124*(1-입력란!$C$35/100)</f>
        <v>15.814512652479999</v>
      </c>
      <c r="AK12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4" s="26">
        <f>입력란!$C$47+입력란!$C$41+IF(입력란!$C$18=1,10,IF(입력란!$C$18=2,25,IF(입력란!$C$18=3,50,0)))+IF(입력란!$C$23&lt;&gt;0,-12)</f>
        <v>378.9445412</v>
      </c>
      <c r="AM124" s="30">
        <f t="shared" si="12"/>
        <v>153201.4975360767</v>
      </c>
      <c r="AN124" s="30">
        <f>(VLOOKUP(C124,$B$4:$AJ$7,9,FALSE)+VLOOKUP(C124,$B$8:$AJ$11,9,FALSE)*입력란!$C$29)*입력란!$C$48/100</f>
        <v>153201.4975360767</v>
      </c>
      <c r="AO124" s="26"/>
      <c r="AP124" s="30"/>
      <c r="AQ124" s="29">
        <v>16</v>
      </c>
    </row>
    <row r="125" spans="2:43" ht="13.5" customHeight="1" x14ac:dyDescent="0.3">
      <c r="B125" s="31">
        <v>110</v>
      </c>
      <c r="C125" s="36">
        <v>7</v>
      </c>
      <c r="D125" s="37" t="s">
        <v>144</v>
      </c>
      <c r="E125" s="38" t="s">
        <v>141</v>
      </c>
      <c r="F125" s="40" t="s">
        <v>375</v>
      </c>
      <c r="G125" s="40"/>
      <c r="H125" s="52">
        <f t="shared" si="8"/>
        <v>34990.87389912839</v>
      </c>
      <c r="I125" s="53">
        <f>SUM(J125:Q125)*IF(입력란!$C$16=1,1.04,IF(입력란!$C$16=2,1.1,IF(입력란!$C$16=3,1.2,1)))*IF(입력란!$C$21=1,1+입력란!$C$38*0.001,IF(입력란!$C$21=2,1+입력란!$C$38*0.0022,IF(입력란!$C$21=3,1+입력란!$C$38*0.0045,1)))*IF(입력란!$C$18&lt;&gt;0,0.98,1)</f>
        <v>553363.61799909815</v>
      </c>
      <c r="J125" s="30">
        <f>S125*(1+IF($AK125+IF(입력란!$C$26=1,10,0)+IF(입력란!$C$9=1,10,0)+IF(MID($E125,5,1)="2",트라이포드!R$11,0)&gt;100,100,$AK125+IF(입력란!$C$26=1,10,0)+IF(입력란!$C$9=1,10,0)+IF(MID($E125,5,1)="2",트라이포드!R$11,0))/100*(($AL125+IF(MID($E125,3,1)="3",트라이포드!$N$11,트라이포드!$M$11))/100-1))</f>
        <v>122315.38395926684</v>
      </c>
      <c r="K125" s="30">
        <f>T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143682.74467994377</v>
      </c>
      <c r="L125" s="30">
        <f>U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143682.74467994377</v>
      </c>
      <c r="M125" s="30">
        <f>V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143682.74467994377</v>
      </c>
      <c r="N125" s="30">
        <f>W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0</v>
      </c>
      <c r="O125" s="30">
        <f>X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0</v>
      </c>
      <c r="P125" s="30">
        <f>Y125*(1+IF($AK125+IF(입력란!$C$26=1,10,IF(MID($E125,1,1)="2",10,0))+IF(입력란!$C$9=1,10,0)+IF(MID($E125,5,1)="2",트라이포드!$R$11,0)&gt;100,100,$AK125+IF(입력란!$C$26=1,10,IF(MID($E125,1,1)="2",10,0))+IF(입력란!$C$9=1,10,0)+IF(MID($E125,5,1)="2",트라이포드!$R$11,0))/100*(($AL125+IF(MID($E125,3,1)="3",트라이포드!$N$11,트라이포드!$M$11))/100-1))</f>
        <v>0</v>
      </c>
      <c r="Q125" s="27">
        <f>Z125*(1+IF($AK125+IF(입력란!$C$26=1,10,IF(MID($E125,1,1)="2",10,0))&gt;100,100,$AK125+IF(입력란!$C$26=1,10,IF(MID($E125,1,1)="2",10,0)))/100*($AL125/100-1))</f>
        <v>0</v>
      </c>
      <c r="R125" s="24">
        <f t="shared" si="9"/>
        <v>306402.9950721534</v>
      </c>
      <c r="S125" s="30">
        <f>AN125*IF(입력란!$C$12=0,1,IF(입력란!$C$12=1,1.3,IF(입력란!$C$12=2,1.45,IF(입력란!$C$12=3,1.6,1))))*IF(MID(E125,3,1)="1",트라이포드!$J$11,트라이포드!$I$11)*IF(MID(E125,3,1)="2",트라이포드!$L$11,트라이포드!$K$11)*IF(입력란!$C$9=1,IF(입력란!$C$15=0,1.05,IF(입력란!$C$15=1,1.05*1.05,IF(입력란!$C$15=2,1.05*1.12,IF(입력란!$C$15=3,1.05*1.25)))),1)/IF(MID(E125,3,1)="1",7,4)</f>
        <v>76600.748768038349</v>
      </c>
      <c r="T125" s="30">
        <f t="shared" si="14"/>
        <v>76600.748768038349</v>
      </c>
      <c r="U125" s="30">
        <f t="shared" si="14"/>
        <v>76600.748768038349</v>
      </c>
      <c r="V125" s="30">
        <f t="shared" si="14"/>
        <v>76600.748768038349</v>
      </c>
      <c r="W125" s="39">
        <f t="shared" si="15"/>
        <v>0</v>
      </c>
      <c r="X125" s="39">
        <f t="shared" si="15"/>
        <v>0</v>
      </c>
      <c r="Y125" s="39">
        <f t="shared" si="15"/>
        <v>0</v>
      </c>
      <c r="Z125" s="25">
        <f>AN125*IF(입력란!$C$12=0,1,IF(입력란!$C$12=1,1.3,IF(입력란!$C$12=2,1.45,IF(입력란!$C$12=3,1.6,1))))*IF(MID(E125,5,1)="1",트라이포드!$P$11*IF(MID(E125,3,1)="1",7,4)*5,트라이포드!$O$11)</f>
        <v>0</v>
      </c>
      <c r="AA125" s="30">
        <f t="shared" si="10"/>
        <v>612805.99014430679</v>
      </c>
      <c r="AB125" s="30">
        <f t="shared" si="11"/>
        <v>153201.4975360767</v>
      </c>
      <c r="AC125" s="30">
        <f t="shared" si="16"/>
        <v>153201.4975360767</v>
      </c>
      <c r="AD125" s="30">
        <f t="shared" si="17"/>
        <v>153201.4975360767</v>
      </c>
      <c r="AE125" s="30">
        <f t="shared" si="18"/>
        <v>153201.4975360767</v>
      </c>
      <c r="AF125" s="30">
        <f t="shared" si="19"/>
        <v>0</v>
      </c>
      <c r="AG125" s="30">
        <f t="shared" si="20"/>
        <v>0</v>
      </c>
      <c r="AH125" s="30">
        <f t="shared" si="21"/>
        <v>0</v>
      </c>
      <c r="AI125" s="25">
        <f t="shared" si="13"/>
        <v>0</v>
      </c>
      <c r="AJ125" s="26">
        <f>AQ125*(1-입력란!$C$35/100)</f>
        <v>15.814512652479999</v>
      </c>
      <c r="AK12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5" s="26">
        <f>입력란!$C$47+입력란!$C$41+IF(입력란!$C$18=1,10,IF(입력란!$C$18=2,25,IF(입력란!$C$18=3,50,0)))+IF(입력란!$C$23&lt;&gt;0,-12)</f>
        <v>378.9445412</v>
      </c>
      <c r="AM125" s="30">
        <f t="shared" si="12"/>
        <v>153201.4975360767</v>
      </c>
      <c r="AN125" s="30">
        <f>(VLOOKUP(C125,$B$4:$AJ$7,9,FALSE)+VLOOKUP(C125,$B$8:$AJ$11,9,FALSE)*입력란!$C$29)*입력란!$C$48/100</f>
        <v>153201.4975360767</v>
      </c>
      <c r="AO125" s="26"/>
      <c r="AP125" s="30"/>
      <c r="AQ125" s="29">
        <v>16</v>
      </c>
    </row>
    <row r="126" spans="2:43" ht="13.5" customHeight="1" x14ac:dyDescent="0.3">
      <c r="B126" s="31">
        <v>111</v>
      </c>
      <c r="C126" s="36">
        <v>7</v>
      </c>
      <c r="D126" s="37" t="s">
        <v>144</v>
      </c>
      <c r="E126" s="38" t="s">
        <v>374</v>
      </c>
      <c r="F126" s="40"/>
      <c r="G126" s="40"/>
      <c r="H126" s="52">
        <f t="shared" si="8"/>
        <v>20294.57318498331</v>
      </c>
      <c r="I126" s="53">
        <f>SUM(J126:Q126)*IF(입력란!$C$16=1,1.04,IF(입력란!$C$16=2,1.1,IF(입력란!$C$16=3,1.2,1)))*IF(입력란!$C$21=1,1+입력란!$C$38*0.001,IF(입력란!$C$21=2,1+입력란!$C$38*0.0022,IF(입력란!$C$21=3,1+입력란!$C$38*0.0045,1)))*IF(입력란!$C$18&lt;&gt;0,0.98,1)</f>
        <v>320948.78441059985</v>
      </c>
      <c r="J126" s="30">
        <f>S126*(1+IF($AK126+IF(입력란!$C$26=1,10,0)+IF(입력란!$C$9=1,10,0)+IF(MID($E126,5,1)="2",트라이포드!R$11,0)&gt;100,100,$AK126+IF(입력란!$C$26=1,10,0)+IF(입력란!$C$9=1,10,0)+IF(MID($E126,5,1)="2",트라이포드!R$11,0))/100*(($AL126+IF(MID($E126,3,1)="3",트라이포드!$N$11,트라이포드!$M$11))/100-1))</f>
        <v>69351.907753594671</v>
      </c>
      <c r="K126" s="30">
        <f>T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83865.62555233507</v>
      </c>
      <c r="L126" s="30">
        <f>U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83865.62555233507</v>
      </c>
      <c r="M126" s="30">
        <f>V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83865.62555233507</v>
      </c>
      <c r="N126" s="30">
        <f>W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0</v>
      </c>
      <c r="O126" s="30">
        <f>X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0</v>
      </c>
      <c r="P126" s="30">
        <f>Y126*(1+IF($AK126+IF(입력란!$C$26=1,10,IF(MID($E126,1,1)="2",10,0))+IF(입력란!$C$9=1,10,0)+IF(MID($E126,5,1)="2",트라이포드!$R$11,0)&gt;100,100,$AK126+IF(입력란!$C$26=1,10,IF(MID($E126,1,1)="2",10,0))+IF(입력란!$C$9=1,10,0)+IF(MID($E126,5,1)="2",트라이포드!$R$11,0))/100*(($AL126+IF(MID($E126,3,1)="3",트라이포드!$N$11,트라이포드!$M$11))/100-1))</f>
        <v>0</v>
      </c>
      <c r="Q126" s="27">
        <f>Z126*(1+IF($AK126+IF(입력란!$C$26=1,10,IF(MID($E126,1,1)="2",10,0))&gt;100,100,$AK126+IF(입력란!$C$26=1,10,IF(MID($E126,1,1)="2",10,0)))/100*($AL126/100-1))</f>
        <v>0</v>
      </c>
      <c r="R126" s="24">
        <f t="shared" si="9"/>
        <v>153201.4975360767</v>
      </c>
      <c r="S126" s="30">
        <f>AN126*IF(입력란!$C$12=0,1,IF(입력란!$C$12=1,1.3,IF(입력란!$C$12=2,1.45,IF(입력란!$C$12=3,1.6,1))))*IF(MID(E126,3,1)="1",트라이포드!$J$11,트라이포드!$I$11)*IF(MID(E126,3,1)="2",트라이포드!$L$11,트라이포드!$K$11)*IF(입력란!$C$9=1,IF(입력란!$C$15=0,1.05,IF(입력란!$C$15=1,1.05*1.05,IF(입력란!$C$15=2,1.05*1.12,IF(입력란!$C$15=3,1.05*1.25)))),1)/IF(MID(E126,3,1)="1",7,4)</f>
        <v>38300.374384019175</v>
      </c>
      <c r="T126" s="30">
        <f t="shared" si="14"/>
        <v>38300.374384019175</v>
      </c>
      <c r="U126" s="30">
        <f t="shared" si="14"/>
        <v>38300.374384019175</v>
      </c>
      <c r="V126" s="30">
        <f t="shared" si="14"/>
        <v>38300.374384019175</v>
      </c>
      <c r="W126" s="39">
        <f t="shared" si="15"/>
        <v>0</v>
      </c>
      <c r="X126" s="39">
        <f t="shared" si="15"/>
        <v>0</v>
      </c>
      <c r="Y126" s="39">
        <f t="shared" si="15"/>
        <v>0</v>
      </c>
      <c r="Z126" s="25">
        <f>AN126*IF(입력란!$C$12=0,1,IF(입력란!$C$12=1,1.3,IF(입력란!$C$12=2,1.45,IF(입력란!$C$12=3,1.6,1))))*IF(MID(E126,5,1)="1",트라이포드!$P$11*IF(MID(E126,3,1)="1",7,4)*5,트라이포드!$O$11)</f>
        <v>0</v>
      </c>
      <c r="AA126" s="30">
        <f t="shared" si="10"/>
        <v>306402.9950721534</v>
      </c>
      <c r="AB126" s="30">
        <f t="shared" si="11"/>
        <v>76600.748768038349</v>
      </c>
      <c r="AC126" s="30">
        <f t="shared" si="16"/>
        <v>76600.748768038349</v>
      </c>
      <c r="AD126" s="30">
        <f t="shared" si="17"/>
        <v>76600.748768038349</v>
      </c>
      <c r="AE126" s="30">
        <f t="shared" si="18"/>
        <v>76600.748768038349</v>
      </c>
      <c r="AF126" s="30">
        <f t="shared" si="19"/>
        <v>0</v>
      </c>
      <c r="AG126" s="30">
        <f t="shared" si="20"/>
        <v>0</v>
      </c>
      <c r="AH126" s="30">
        <f t="shared" si="21"/>
        <v>0</v>
      </c>
      <c r="AI126" s="25">
        <f t="shared" si="13"/>
        <v>0</v>
      </c>
      <c r="AJ126" s="26">
        <f>AQ126*(1-입력란!$C$35/100)</f>
        <v>15.814512652479999</v>
      </c>
      <c r="AK12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6" s="26">
        <f>입력란!$C$47+입력란!$C$41+IF(입력란!$C$18=1,10,IF(입력란!$C$18=2,25,IF(입력란!$C$18=3,50,0)))+IF(입력란!$C$23&lt;&gt;0,-12)</f>
        <v>378.9445412</v>
      </c>
      <c r="AM126" s="30">
        <f t="shared" si="12"/>
        <v>153201.4975360767</v>
      </c>
      <c r="AN126" s="30">
        <f>(VLOOKUP(C126,$B$4:$AJ$7,9,FALSE)+VLOOKUP(C126,$B$8:$AJ$11,9,FALSE)*입력란!$C$29)*입력란!$C$48/100</f>
        <v>153201.4975360767</v>
      </c>
      <c r="AO126" s="26"/>
      <c r="AP126" s="30"/>
      <c r="AQ126" s="29">
        <v>16</v>
      </c>
    </row>
    <row r="127" spans="2:43" ht="13.5" customHeight="1" x14ac:dyDescent="0.3">
      <c r="B127" s="31">
        <v>112</v>
      </c>
      <c r="C127" s="36">
        <v>10</v>
      </c>
      <c r="D127" s="37" t="s">
        <v>144</v>
      </c>
      <c r="E127" s="38" t="s">
        <v>96</v>
      </c>
      <c r="F127" s="40"/>
      <c r="G127" s="40"/>
      <c r="H127" s="52">
        <f t="shared" si="8"/>
        <v>15478.767823073624</v>
      </c>
      <c r="I127" s="53">
        <f>SUM(J127:Q127)*IF(입력란!$C$16=1,1.04,IF(입력란!$C$16=2,1.1,IF(입력란!$C$16=3,1.2,1)))*IF(입력란!$C$21=1,1+입력란!$C$38*0.001,IF(입력란!$C$21=2,1+입력란!$C$38*0.0022,IF(입력란!$C$21=3,1+입력란!$C$38*0.0045,1)))*IF(입력란!$C$18&lt;&gt;0,0.98,1)</f>
        <v>244789.16958279812</v>
      </c>
      <c r="J127" s="30">
        <f>S127*(1+IF($AK127+IF(입력란!$C$26=1,10,0)+IF(입력란!$C$9=1,10,0)+IF(MID($E127,5,1)="2",트라이포드!R$11,0)&gt;100,100,$AK127+IF(입력란!$C$26=1,10,0)+IF(입력란!$C$9=1,10,0)+IF(MID($E127,5,1)="2",트라이포드!R$11,0))/100*(($AL127+IF(MID($E127,3,1)="3",트라이포드!$N$11,트라이포드!$M$11))/100-1))</f>
        <v>61197.292395699529</v>
      </c>
      <c r="K127" s="30">
        <f>T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61197.292395699529</v>
      </c>
      <c r="L127" s="30">
        <f>U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61197.292395699529</v>
      </c>
      <c r="M127" s="30">
        <f>V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61197.292395699529</v>
      </c>
      <c r="N127" s="30">
        <f>W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0</v>
      </c>
      <c r="O127" s="30">
        <f>X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0</v>
      </c>
      <c r="P127" s="30">
        <f>Y127*(1+IF($AK127+IF(입력란!$C$26=1,10,IF(MID($E127,1,1)="2",10,0))+IF(입력란!$C$9=1,10,0)+IF(MID($E127,5,1)="2",트라이포드!$R$11,0)&gt;100,100,$AK127+IF(입력란!$C$26=1,10,IF(MID($E127,1,1)="2",10,0))+IF(입력란!$C$9=1,10,0)+IF(MID($E127,5,1)="2",트라이포드!$R$11,0))/100*(($AL127+IF(MID($E127,3,1)="3",트라이포드!$N$11,트라이포드!$M$11))/100-1))</f>
        <v>0</v>
      </c>
      <c r="Q127" s="27">
        <f>Z127*(1+IF($AK127+IF(입력란!$C$26=1,10,IF(MID($E127,1,1)="2",10,0))&gt;100,100,$AK127+IF(입력란!$C$26=1,10,IF(MID($E127,1,1)="2",10,0)))/100*($AL127/100-1))</f>
        <v>0</v>
      </c>
      <c r="R127" s="24">
        <f t="shared" si="9"/>
        <v>153300.69753607671</v>
      </c>
      <c r="S127" s="30">
        <f>AN127*IF(입력란!$C$12=0,1,IF(입력란!$C$12=1,1.3,IF(입력란!$C$12=2,1.45,IF(입력란!$C$12=3,1.6,1))))*IF(MID(E127,3,1)="1",트라이포드!$J$11,트라이포드!$I$11)*IF(MID(E127,3,1)="2",트라이포드!$L$11,트라이포드!$K$11)*IF(입력란!$C$9=1,IF(입력란!$C$15=0,1.05,IF(입력란!$C$15=1,1.05*1.05,IF(입력란!$C$15=2,1.05*1.12,IF(입력란!$C$15=3,1.05*1.25)))),1)/IF(MID(E127,3,1)="1",7,4)</f>
        <v>38325.174384019178</v>
      </c>
      <c r="T127" s="30">
        <f t="shared" si="14"/>
        <v>38325.174384019178</v>
      </c>
      <c r="U127" s="30">
        <f t="shared" si="14"/>
        <v>38325.174384019178</v>
      </c>
      <c r="V127" s="30">
        <f t="shared" si="14"/>
        <v>38325.174384019178</v>
      </c>
      <c r="W127" s="39">
        <f t="shared" si="15"/>
        <v>0</v>
      </c>
      <c r="X127" s="39">
        <f t="shared" si="15"/>
        <v>0</v>
      </c>
      <c r="Y127" s="39">
        <f t="shared" si="15"/>
        <v>0</v>
      </c>
      <c r="Z127" s="25">
        <f>AN127*IF(입력란!$C$12=0,1,IF(입력란!$C$12=1,1.3,IF(입력란!$C$12=2,1.45,IF(입력란!$C$12=3,1.6,1))))*IF(MID(E127,5,1)="1",트라이포드!$P$11*IF(MID(E127,3,1)="1",7,4)*5,트라이포드!$O$11)</f>
        <v>0</v>
      </c>
      <c r="AA127" s="30">
        <f t="shared" si="10"/>
        <v>306601.39507215342</v>
      </c>
      <c r="AB127" s="30">
        <f t="shared" si="11"/>
        <v>76650.348768038355</v>
      </c>
      <c r="AC127" s="30">
        <f t="shared" si="16"/>
        <v>76650.348768038355</v>
      </c>
      <c r="AD127" s="30">
        <f t="shared" si="17"/>
        <v>76650.348768038355</v>
      </c>
      <c r="AE127" s="30">
        <f t="shared" si="18"/>
        <v>76650.348768038355</v>
      </c>
      <c r="AF127" s="30">
        <f t="shared" si="19"/>
        <v>0</v>
      </c>
      <c r="AG127" s="30">
        <f t="shared" si="20"/>
        <v>0</v>
      </c>
      <c r="AH127" s="30">
        <f t="shared" si="21"/>
        <v>0</v>
      </c>
      <c r="AI127" s="25">
        <f t="shared" si="13"/>
        <v>0</v>
      </c>
      <c r="AJ127" s="26">
        <f>AQ127*(1-입력란!$C$35/100)</f>
        <v>15.814512652479999</v>
      </c>
      <c r="AK12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7" s="26">
        <f>입력란!$C$47+입력란!$C$41+IF(입력란!$C$18=1,10,IF(입력란!$C$18=2,25,IF(입력란!$C$18=3,50,0)))+IF(입력란!$C$23&lt;&gt;0,-12)</f>
        <v>378.9445412</v>
      </c>
      <c r="AM127" s="30">
        <f t="shared" si="12"/>
        <v>153300.69753607671</v>
      </c>
      <c r="AN127" s="30">
        <f>(VLOOKUP(C127,$B$4:$AJ$7,9,FALSE)+VLOOKUP(C127,$B$8:$AJ$11,9,FALSE)*입력란!$C$29)*입력란!$C$48/100</f>
        <v>153300.69753607671</v>
      </c>
      <c r="AO127" s="26"/>
      <c r="AP127" s="30"/>
      <c r="AQ127" s="29">
        <v>16</v>
      </c>
    </row>
    <row r="128" spans="2:43" ht="13.5" customHeight="1" x14ac:dyDescent="0.3">
      <c r="B128" s="31">
        <v>113</v>
      </c>
      <c r="C128" s="36">
        <v>10</v>
      </c>
      <c r="D128" s="37" t="s">
        <v>144</v>
      </c>
      <c r="E128" s="38" t="s">
        <v>123</v>
      </c>
      <c r="F128" s="40" t="s">
        <v>372</v>
      </c>
      <c r="G128" s="40"/>
      <c r="H128" s="52">
        <f t="shared" si="8"/>
        <v>24766.028516917799</v>
      </c>
      <c r="I128" s="53">
        <f>SUM(J128:Q128)*IF(입력란!$C$16=1,1.04,IF(입력란!$C$16=2,1.1,IF(입력란!$C$16=3,1.2,1)))*IF(입력란!$C$21=1,1+입력란!$C$38*0.001,IF(입력란!$C$21=2,1+입력란!$C$38*0.0022,IF(입력란!$C$21=3,1+입력란!$C$38*0.0045,1)))*IF(입력란!$C$18&lt;&gt;0,0.98,1)</f>
        <v>391662.67133247701</v>
      </c>
      <c r="J128" s="30">
        <f>S128*(1+IF($AK128+IF(입력란!$C$26=1,10,0)+IF(입력란!$C$9=1,10,0)+IF(MID($E128,5,1)="2",트라이포드!R$11,0)&gt;100,100,$AK128+IF(입력란!$C$26=1,10,0)+IF(입력란!$C$9=1,10,0)+IF(MID($E128,5,1)="2",트라이포드!R$11,0))/100*(($AL128+IF(MID($E128,3,1)="3",트라이포드!$N$11,트라이포드!$M$11))/100-1))</f>
        <v>61197.292395699529</v>
      </c>
      <c r="K128" s="30">
        <f>T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61197.292395699529</v>
      </c>
      <c r="L128" s="30">
        <f>U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61197.292395699529</v>
      </c>
      <c r="M128" s="30">
        <f>V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61197.292395699529</v>
      </c>
      <c r="N128" s="30">
        <f>W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0</v>
      </c>
      <c r="O128" s="30">
        <f>X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0</v>
      </c>
      <c r="P128" s="30">
        <f>Y128*(1+IF($AK128+IF(입력란!$C$26=1,10,IF(MID($E128,1,1)="2",10,0))+IF(입력란!$C$9=1,10,0)+IF(MID($E128,5,1)="2",트라이포드!$R$11,0)&gt;100,100,$AK128+IF(입력란!$C$26=1,10,IF(MID($E128,1,1)="2",10,0))+IF(입력란!$C$9=1,10,0)+IF(MID($E128,5,1)="2",트라이포드!$R$11,0))/100*(($AL128+IF(MID($E128,3,1)="3",트라이포드!$N$11,트라이포드!$M$11))/100-1))</f>
        <v>0</v>
      </c>
      <c r="Q128" s="27">
        <f>Z128*(1+IF($AK128+IF(입력란!$C$26=1,10,IF(MID($E128,1,1)="2",10,0))&gt;100,100,$AK128+IF(입력란!$C$26=1,10,IF(MID($E128,1,1)="2",10,0)))/100*($AL128/100-1))</f>
        <v>146873.50174967886</v>
      </c>
      <c r="R128" s="24">
        <f t="shared" si="9"/>
        <v>245281.11605772271</v>
      </c>
      <c r="S128" s="30">
        <f>AN128*IF(입력란!$C$12=0,1,IF(입력란!$C$12=1,1.3,IF(입력란!$C$12=2,1.45,IF(입력란!$C$12=3,1.6,1))))*IF(MID(E128,3,1)="1",트라이포드!$J$11,트라이포드!$I$11)*IF(MID(E128,3,1)="2",트라이포드!$L$11,트라이포드!$K$11)*IF(입력란!$C$9=1,IF(입력란!$C$15=0,1.05,IF(입력란!$C$15=1,1.05*1.05,IF(입력란!$C$15=2,1.05*1.12,IF(입력란!$C$15=3,1.05*1.25)))),1)/IF(MID(E128,3,1)="1",7,4)</f>
        <v>38325.174384019178</v>
      </c>
      <c r="T128" s="30">
        <f t="shared" si="14"/>
        <v>38325.174384019178</v>
      </c>
      <c r="U128" s="30">
        <f t="shared" si="14"/>
        <v>38325.174384019178</v>
      </c>
      <c r="V128" s="30">
        <f t="shared" si="14"/>
        <v>38325.174384019178</v>
      </c>
      <c r="W128" s="39">
        <f t="shared" si="15"/>
        <v>0</v>
      </c>
      <c r="X128" s="39">
        <f t="shared" si="15"/>
        <v>0</v>
      </c>
      <c r="Y128" s="39">
        <f t="shared" si="15"/>
        <v>0</v>
      </c>
      <c r="Z128" s="25">
        <f>AN128*IF(입력란!$C$12=0,1,IF(입력란!$C$12=1,1.3,IF(입력란!$C$12=2,1.45,IF(입력란!$C$12=3,1.6,1))))*IF(MID(E128,5,1)="1",트라이포드!$P$11*IF(MID(E128,3,1)="1",7,4)*5,트라이포드!$O$11)</f>
        <v>91980.418521646017</v>
      </c>
      <c r="AA128" s="30">
        <f t="shared" si="10"/>
        <v>490562.23211544543</v>
      </c>
      <c r="AB128" s="30">
        <f t="shared" si="11"/>
        <v>76650.348768038355</v>
      </c>
      <c r="AC128" s="30">
        <f t="shared" si="16"/>
        <v>76650.348768038355</v>
      </c>
      <c r="AD128" s="30">
        <f t="shared" si="17"/>
        <v>76650.348768038355</v>
      </c>
      <c r="AE128" s="30">
        <f t="shared" si="18"/>
        <v>76650.348768038355</v>
      </c>
      <c r="AF128" s="30">
        <f t="shared" si="19"/>
        <v>0</v>
      </c>
      <c r="AG128" s="30">
        <f t="shared" si="20"/>
        <v>0</v>
      </c>
      <c r="AH128" s="30">
        <f t="shared" si="21"/>
        <v>0</v>
      </c>
      <c r="AI128" s="25">
        <f t="shared" si="13"/>
        <v>183960.83704329203</v>
      </c>
      <c r="AJ128" s="26">
        <f>AQ128*(1-입력란!$C$35/100)</f>
        <v>15.814512652479999</v>
      </c>
      <c r="AK12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8" s="26">
        <f>입력란!$C$47+입력란!$C$41+IF(입력란!$C$18=1,10,IF(입력란!$C$18=2,25,IF(입력란!$C$18=3,50,0)))+IF(입력란!$C$23&lt;&gt;0,-12)</f>
        <v>378.9445412</v>
      </c>
      <c r="AM128" s="30">
        <f t="shared" si="12"/>
        <v>153300.69753607671</v>
      </c>
      <c r="AN128" s="30">
        <f>(VLOOKUP(C128,$B$4:$AJ$7,9,FALSE)+VLOOKUP(C128,$B$8:$AJ$11,9,FALSE)*입력란!$C$29)*입력란!$C$48/100</f>
        <v>153300.69753607671</v>
      </c>
      <c r="AO128" s="26"/>
      <c r="AP128" s="30"/>
      <c r="AQ128" s="29">
        <v>16</v>
      </c>
    </row>
    <row r="129" spans="2:43" ht="13.5" customHeight="1" x14ac:dyDescent="0.3">
      <c r="B129" s="31">
        <v>114</v>
      </c>
      <c r="C129" s="36">
        <v>10</v>
      </c>
      <c r="D129" s="37" t="s">
        <v>144</v>
      </c>
      <c r="E129" s="38" t="s">
        <v>124</v>
      </c>
      <c r="F129" s="40"/>
      <c r="G129" s="40"/>
      <c r="H129" s="52">
        <f t="shared" si="8"/>
        <v>31702.749053302043</v>
      </c>
      <c r="I129" s="53">
        <f>SUM(J129:Q129)*IF(입력란!$C$16=1,1.04,IF(입력란!$C$16=2,1.1,IF(입력란!$C$16=3,1.2,1)))*IF(입력란!$C$21=1,1+입력란!$C$38*0.001,IF(입력란!$C$21=2,1+입력란!$C$38*0.0022,IF(입력란!$C$21=3,1+입력란!$C$38*0.0045,1)))*IF(입력란!$C$18&lt;&gt;0,0.98,1)</f>
        <v>501363.52602184349</v>
      </c>
      <c r="J129" s="30">
        <f>S129*(1+IF($AK129+IF(입력란!$C$26=1,10,0)+IF(입력란!$C$9=1,10,0)+IF(MID($E129,5,1)="2",트라이포드!R$11,0)&gt;100,100,$AK129+IF(입력란!$C$26=1,10,0)+IF(입력란!$C$9=1,10,0)+IF(MID($E129,5,1)="2",트라이포드!R$11,0))/100*(($AL129+IF(MID($E129,3,1)="3",트라이포드!$N$11,트라이포드!$M$11))/100-1))</f>
        <v>125340.88150546087</v>
      </c>
      <c r="K129" s="30">
        <f>T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125340.88150546087</v>
      </c>
      <c r="L129" s="30">
        <f>U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125340.88150546087</v>
      </c>
      <c r="M129" s="30">
        <f>V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125340.88150546087</v>
      </c>
      <c r="N129" s="30">
        <f>W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0</v>
      </c>
      <c r="O129" s="30">
        <f>X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0</v>
      </c>
      <c r="P129" s="30">
        <f>Y129*(1+IF($AK129+IF(입력란!$C$26=1,10,IF(MID($E129,1,1)="2",10,0))+IF(입력란!$C$9=1,10,0)+IF(MID($E129,5,1)="2",트라이포드!$R$11,0)&gt;100,100,$AK129+IF(입력란!$C$26=1,10,IF(MID($E129,1,1)="2",10,0))+IF(입력란!$C$9=1,10,0)+IF(MID($E129,5,1)="2",트라이포드!$R$11,0))/100*(($AL129+IF(MID($E129,3,1)="3",트라이포드!$N$11,트라이포드!$M$11))/100-1))</f>
        <v>0</v>
      </c>
      <c r="Q129" s="27">
        <f>Z129*(1+IF($AK129+IF(입력란!$C$26=1,10,IF(MID($E129,1,1)="2",10,0))&gt;100,100,$AK129+IF(입력란!$C$26=1,10,IF(MID($E129,1,1)="2",10,0)))/100*($AL129/100-1))</f>
        <v>0</v>
      </c>
      <c r="R129" s="24">
        <f t="shared" si="9"/>
        <v>153300.69753607671</v>
      </c>
      <c r="S129" s="30">
        <f>AN129*IF(입력란!$C$12=0,1,IF(입력란!$C$12=1,1.3,IF(입력란!$C$12=2,1.45,IF(입력란!$C$12=3,1.6,1))))*IF(MID(E129,3,1)="1",트라이포드!$J$11,트라이포드!$I$11)*IF(MID(E129,3,1)="2",트라이포드!$L$11,트라이포드!$K$11)*IF(입력란!$C$9=1,IF(입력란!$C$15=0,1.05,IF(입력란!$C$15=1,1.05*1.05,IF(입력란!$C$15=2,1.05*1.12,IF(입력란!$C$15=3,1.05*1.25)))),1)/IF(MID(E129,3,1)="1",7,4)</f>
        <v>38325.174384019178</v>
      </c>
      <c r="T129" s="30">
        <f t="shared" si="14"/>
        <v>38325.174384019178</v>
      </c>
      <c r="U129" s="30">
        <f t="shared" si="14"/>
        <v>38325.174384019178</v>
      </c>
      <c r="V129" s="30">
        <f t="shared" si="14"/>
        <v>38325.174384019178</v>
      </c>
      <c r="W129" s="39">
        <f t="shared" si="15"/>
        <v>0</v>
      </c>
      <c r="X129" s="39">
        <f t="shared" si="15"/>
        <v>0</v>
      </c>
      <c r="Y129" s="39">
        <f t="shared" si="15"/>
        <v>0</v>
      </c>
      <c r="Z129" s="25">
        <f>AN129*IF(입력란!$C$12=0,1,IF(입력란!$C$12=1,1.3,IF(입력란!$C$12=2,1.45,IF(입력란!$C$12=3,1.6,1))))*IF(MID(E129,5,1)="1",트라이포드!$P$11*IF(MID(E129,3,1)="1",7,4)*5,트라이포드!$O$11)</f>
        <v>0</v>
      </c>
      <c r="AA129" s="30">
        <f t="shared" si="10"/>
        <v>306601.39507215342</v>
      </c>
      <c r="AB129" s="30">
        <f t="shared" si="11"/>
        <v>76650.348768038355</v>
      </c>
      <c r="AC129" s="30">
        <f t="shared" si="16"/>
        <v>76650.348768038355</v>
      </c>
      <c r="AD129" s="30">
        <f t="shared" si="17"/>
        <v>76650.348768038355</v>
      </c>
      <c r="AE129" s="30">
        <f t="shared" si="18"/>
        <v>76650.348768038355</v>
      </c>
      <c r="AF129" s="30">
        <f t="shared" si="19"/>
        <v>0</v>
      </c>
      <c r="AG129" s="30">
        <f t="shared" si="20"/>
        <v>0</v>
      </c>
      <c r="AH129" s="30">
        <f t="shared" si="21"/>
        <v>0</v>
      </c>
      <c r="AI129" s="25">
        <f t="shared" si="13"/>
        <v>0</v>
      </c>
      <c r="AJ129" s="26">
        <f>AQ129*(1-입력란!$C$35/100)</f>
        <v>15.814512652479999</v>
      </c>
      <c r="AK12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29" s="26">
        <f>입력란!$C$47+입력란!$C$41+IF(입력란!$C$18=1,10,IF(입력란!$C$18=2,25,IF(입력란!$C$18=3,50,0)))+IF(입력란!$C$23&lt;&gt;0,-12)</f>
        <v>378.9445412</v>
      </c>
      <c r="AM129" s="30">
        <f t="shared" si="12"/>
        <v>153300.69753607671</v>
      </c>
      <c r="AN129" s="30">
        <f>(VLOOKUP(C129,$B$4:$AJ$7,9,FALSE)+VLOOKUP(C129,$B$8:$AJ$11,9,FALSE)*입력란!$C$29)*입력란!$C$48/100</f>
        <v>153300.69753607671</v>
      </c>
      <c r="AO129" s="26"/>
      <c r="AP129" s="30"/>
      <c r="AQ129" s="29">
        <v>16</v>
      </c>
    </row>
    <row r="130" spans="2:43" ht="13.5" customHeight="1" x14ac:dyDescent="0.3">
      <c r="B130" s="31">
        <v>115</v>
      </c>
      <c r="C130" s="36">
        <v>10</v>
      </c>
      <c r="D130" s="37" t="s">
        <v>144</v>
      </c>
      <c r="E130" s="38" t="s">
        <v>147</v>
      </c>
      <c r="F130" s="40" t="s">
        <v>372</v>
      </c>
      <c r="G130" s="40"/>
      <c r="H130" s="52">
        <f t="shared" si="8"/>
        <v>41018.734731145116</v>
      </c>
      <c r="I130" s="53">
        <f>SUM(J130:Q130)*IF(입력란!$C$16=1,1.04,IF(입력란!$C$16=2,1.1,IF(입력란!$C$16=3,1.2,1)))*IF(입력란!$C$21=1,1+입력란!$C$38*0.001,IF(입력란!$C$21=2,1+입력란!$C$38*0.0022,IF(입력란!$C$21=3,1+입력란!$C$38*0.0045,1)))*IF(입력란!$C$18&lt;&gt;0,0.98,1)</f>
        <v>648691.29939441523</v>
      </c>
      <c r="J130" s="30">
        <f>S130*(1+IF($AK130+IF(입력란!$C$26=1,10,0)+IF(입력란!$C$9=1,10,0)+IF(MID($E130,5,1)="2",트라이포드!R$11,0)&gt;100,100,$AK130+IF(입력란!$C$26=1,10,0)+IF(입력란!$C$9=1,10,0)+IF(MID($E130,5,1)="2",트라이포드!R$11,0))/100*(($AL130+IF(MID($E130,3,1)="3",트라이포드!$N$11,트라이포드!$M$11))/100-1))</f>
        <v>55951.810190353863</v>
      </c>
      <c r="K130" s="30">
        <f>T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L130" s="30">
        <f>U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M130" s="30">
        <f>V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N130" s="30">
        <f>W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O130" s="30">
        <f>X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P130" s="30">
        <f>Y130*(1+IF($AK130+IF(입력란!$C$26=1,10,IF(MID($E130,1,1)="2",10,0))+IF(입력란!$C$9=1,10,0)+IF(MID($E130,5,1)="2",트라이포드!$R$11,0)&gt;100,100,$AK130+IF(입력란!$C$26=1,10,IF(MID($E130,1,1)="2",10,0))+IF(입력란!$C$9=1,10,0)+IF(MID($E130,5,1)="2",트라이포드!$R$11,0))/100*(($AL130+IF(MID($E130,3,1)="3",트라이포드!$N$11,트라이포드!$M$11))/100-1))</f>
        <v>55951.810190353863</v>
      </c>
      <c r="Q130" s="27">
        <f>Z130*(1+IF($AK130+IF(입력란!$C$26=1,10,IF(MID($E130,1,1)="2",10,0))&gt;100,100,$AK130+IF(입력란!$C$26=1,10,IF(MID($E130,1,1)="2",10,0)))/100*($AL130/100-1))</f>
        <v>257028.62806193804</v>
      </c>
      <c r="R130" s="24">
        <f t="shared" si="9"/>
        <v>406246.84847060335</v>
      </c>
      <c r="S130" s="30">
        <f>AN130*IF(입력란!$C$12=0,1,IF(입력란!$C$12=1,1.3,IF(입력란!$C$12=2,1.45,IF(입력란!$C$12=3,1.6,1))))*IF(MID(E130,3,1)="1",트라이포드!$J$11,트라이포드!$I$11)*IF(MID(E130,3,1)="2",트라이포드!$L$11,트라이포드!$K$11)*IF(입력란!$C$9=1,IF(입력란!$C$15=0,1.05,IF(입력란!$C$15=1,1.05*1.05,IF(입력란!$C$15=2,1.05*1.12,IF(입력란!$C$15=3,1.05*1.25)))),1)/IF(MID(E130,3,1)="1",7,4)</f>
        <v>35040.159436817536</v>
      </c>
      <c r="T130" s="30">
        <f t="shared" si="14"/>
        <v>35040.159436817536</v>
      </c>
      <c r="U130" s="30">
        <f t="shared" si="14"/>
        <v>35040.159436817536</v>
      </c>
      <c r="V130" s="30">
        <f t="shared" si="14"/>
        <v>35040.159436817536</v>
      </c>
      <c r="W130" s="39">
        <f t="shared" si="15"/>
        <v>35040.159436817536</v>
      </c>
      <c r="X130" s="39">
        <f t="shared" si="15"/>
        <v>35040.159436817536</v>
      </c>
      <c r="Y130" s="39">
        <f t="shared" si="15"/>
        <v>35040.159436817536</v>
      </c>
      <c r="Z130" s="25">
        <f>AN130*IF(입력란!$C$12=0,1,IF(입력란!$C$12=1,1.3,IF(입력란!$C$12=2,1.45,IF(입력란!$C$12=3,1.6,1))))*IF(MID(E130,5,1)="1",트라이포드!$P$11*IF(MID(E130,3,1)="1",7,4)*5,트라이포드!$O$11)</f>
        <v>160965.73241288055</v>
      </c>
      <c r="AA130" s="30">
        <f t="shared" si="10"/>
        <v>812493.6969412067</v>
      </c>
      <c r="AB130" s="30">
        <f t="shared" si="11"/>
        <v>70080.318873635071</v>
      </c>
      <c r="AC130" s="30">
        <f t="shared" si="16"/>
        <v>70080.318873635071</v>
      </c>
      <c r="AD130" s="30">
        <f t="shared" si="17"/>
        <v>70080.318873635071</v>
      </c>
      <c r="AE130" s="30">
        <f t="shared" si="18"/>
        <v>70080.318873635071</v>
      </c>
      <c r="AF130" s="30">
        <f t="shared" si="19"/>
        <v>70080.318873635071</v>
      </c>
      <c r="AG130" s="30">
        <f t="shared" si="20"/>
        <v>70080.318873635071</v>
      </c>
      <c r="AH130" s="30">
        <f t="shared" si="21"/>
        <v>70080.318873635071</v>
      </c>
      <c r="AI130" s="25">
        <f t="shared" si="13"/>
        <v>321931.4648257611</v>
      </c>
      <c r="AJ130" s="26">
        <f>AQ130*(1-입력란!$C$35/100)</f>
        <v>15.814512652479999</v>
      </c>
      <c r="AK13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0" s="26">
        <f>입력란!$C$47+입력란!$C$41+IF(입력란!$C$18=1,10,IF(입력란!$C$18=2,25,IF(입력란!$C$18=3,50,0)))+IF(입력란!$C$23&lt;&gt;0,-12)</f>
        <v>378.9445412</v>
      </c>
      <c r="AM130" s="30">
        <f t="shared" si="12"/>
        <v>153300.69753607671</v>
      </c>
      <c r="AN130" s="30">
        <f>(VLOOKUP(C130,$B$4:$AJ$7,9,FALSE)+VLOOKUP(C130,$B$8:$AJ$11,9,FALSE)*입력란!$C$29)*입력란!$C$48/100</f>
        <v>153300.69753607671</v>
      </c>
      <c r="AO130" s="26"/>
      <c r="AP130" s="30"/>
      <c r="AQ130" s="29">
        <v>16</v>
      </c>
    </row>
    <row r="131" spans="2:43" ht="13.5" customHeight="1" x14ac:dyDescent="0.3">
      <c r="B131" s="31">
        <v>116</v>
      </c>
      <c r="C131" s="36">
        <v>10</v>
      </c>
      <c r="D131" s="37" t="s">
        <v>144</v>
      </c>
      <c r="E131" s="38" t="s">
        <v>148</v>
      </c>
      <c r="F131" s="40"/>
      <c r="G131" s="40"/>
      <c r="H131" s="52">
        <f t="shared" si="8"/>
        <v>50724.398485283273</v>
      </c>
      <c r="I131" s="53">
        <f>SUM(J131:Q131)*IF(입력란!$C$16=1,1.04,IF(입력란!$C$16=2,1.1,IF(입력란!$C$16=3,1.2,1)))*IF(입력란!$C$21=1,1+입력란!$C$38*0.001,IF(입력란!$C$21=2,1+입력란!$C$38*0.0022,IF(입력란!$C$21=3,1+입력란!$C$38*0.0045,1)))*IF(입력란!$C$18&lt;&gt;0,0.98,1)</f>
        <v>802181.6416349496</v>
      </c>
      <c r="J131" s="30">
        <f>S131*(1+IF($AK131+IF(입력란!$C$26=1,10,0)+IF(입력란!$C$9=1,10,0)+IF(MID($E131,5,1)="2",트라이포드!R$11,0)&gt;100,100,$AK131+IF(입력란!$C$26=1,10,0)+IF(입력란!$C$9=1,10,0)+IF(MID($E131,5,1)="2",트라이포드!R$11,0))/100*(($AL131+IF(MID($E131,3,1)="3",트라이포드!$N$11,트라이포드!$M$11))/100-1))</f>
        <v>114597.37737642137</v>
      </c>
      <c r="K131" s="30">
        <f>T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L131" s="30">
        <f>U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M131" s="30">
        <f>V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N131" s="30">
        <f>W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O131" s="30">
        <f>X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P131" s="30">
        <f>Y131*(1+IF($AK131+IF(입력란!$C$26=1,10,IF(MID($E131,1,1)="2",10,0))+IF(입력란!$C$9=1,10,0)+IF(MID($E131,5,1)="2",트라이포드!$R$11,0)&gt;100,100,$AK131+IF(입력란!$C$26=1,10,IF(MID($E131,1,1)="2",10,0))+IF(입력란!$C$9=1,10,0)+IF(MID($E131,5,1)="2",트라이포드!$R$11,0))/100*(($AL131+IF(MID($E131,3,1)="3",트라이포드!$N$11,트라이포드!$M$11))/100-1))</f>
        <v>114597.37737642137</v>
      </c>
      <c r="Q131" s="27">
        <f>Z131*(1+IF($AK131+IF(입력란!$C$26=1,10,IF(MID($E131,1,1)="2",10,0))&gt;100,100,$AK131+IF(입력란!$C$26=1,10,IF(MID($E131,1,1)="2",10,0)))/100*($AL131/100-1))</f>
        <v>0</v>
      </c>
      <c r="R131" s="24">
        <f t="shared" si="9"/>
        <v>245281.11605772277</v>
      </c>
      <c r="S131" s="30">
        <f>AN131*IF(입력란!$C$12=0,1,IF(입력란!$C$12=1,1.3,IF(입력란!$C$12=2,1.45,IF(입력란!$C$12=3,1.6,1))))*IF(MID(E131,3,1)="1",트라이포드!$J$11,트라이포드!$I$11)*IF(MID(E131,3,1)="2",트라이포드!$L$11,트라이포드!$K$11)*IF(입력란!$C$9=1,IF(입력란!$C$15=0,1.05,IF(입력란!$C$15=1,1.05*1.05,IF(입력란!$C$15=2,1.05*1.12,IF(입력란!$C$15=3,1.05*1.25)))),1)/IF(MID(E131,3,1)="1",7,4)</f>
        <v>35040.159436817536</v>
      </c>
      <c r="T131" s="30">
        <f t="shared" si="14"/>
        <v>35040.159436817536</v>
      </c>
      <c r="U131" s="30">
        <f t="shared" si="14"/>
        <v>35040.159436817536</v>
      </c>
      <c r="V131" s="30">
        <f t="shared" si="14"/>
        <v>35040.159436817536</v>
      </c>
      <c r="W131" s="39">
        <f t="shared" si="15"/>
        <v>35040.159436817536</v>
      </c>
      <c r="X131" s="39">
        <f t="shared" si="15"/>
        <v>35040.159436817536</v>
      </c>
      <c r="Y131" s="39">
        <f t="shared" si="15"/>
        <v>35040.159436817536</v>
      </c>
      <c r="Z131" s="25">
        <f>AN131*IF(입력란!$C$12=0,1,IF(입력란!$C$12=1,1.3,IF(입력란!$C$12=2,1.45,IF(입력란!$C$12=3,1.6,1))))*IF(MID(E131,5,1)="1",트라이포드!$P$11*IF(MID(E131,3,1)="1",7,4)*5,트라이포드!$O$11)</f>
        <v>0</v>
      </c>
      <c r="AA131" s="30">
        <f t="shared" si="10"/>
        <v>490562.23211544554</v>
      </c>
      <c r="AB131" s="30">
        <f t="shared" si="11"/>
        <v>70080.318873635071</v>
      </c>
      <c r="AC131" s="30">
        <f t="shared" si="16"/>
        <v>70080.318873635071</v>
      </c>
      <c r="AD131" s="30">
        <f t="shared" si="17"/>
        <v>70080.318873635071</v>
      </c>
      <c r="AE131" s="30">
        <f t="shared" si="18"/>
        <v>70080.318873635071</v>
      </c>
      <c r="AF131" s="30">
        <f t="shared" si="19"/>
        <v>70080.318873635071</v>
      </c>
      <c r="AG131" s="30">
        <f t="shared" si="20"/>
        <v>70080.318873635071</v>
      </c>
      <c r="AH131" s="30">
        <f t="shared" si="21"/>
        <v>70080.318873635071</v>
      </c>
      <c r="AI131" s="25">
        <f t="shared" si="13"/>
        <v>0</v>
      </c>
      <c r="AJ131" s="26">
        <f>AQ131*(1-입력란!$C$35/100)</f>
        <v>15.814512652479999</v>
      </c>
      <c r="AK13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1" s="26">
        <f>입력란!$C$47+입력란!$C$41+IF(입력란!$C$18=1,10,IF(입력란!$C$18=2,25,IF(입력란!$C$18=3,50,0)))+IF(입력란!$C$23&lt;&gt;0,-12)</f>
        <v>378.9445412</v>
      </c>
      <c r="AM131" s="30">
        <f t="shared" si="12"/>
        <v>153300.69753607671</v>
      </c>
      <c r="AN131" s="30">
        <f>(VLOOKUP(C131,$B$4:$AJ$7,9,FALSE)+VLOOKUP(C131,$B$8:$AJ$11,9,FALSE)*입력란!$C$29)*입력란!$C$48/100</f>
        <v>153300.69753607671</v>
      </c>
      <c r="AO131" s="26"/>
      <c r="AP131" s="30"/>
      <c r="AQ131" s="29">
        <v>16</v>
      </c>
    </row>
    <row r="132" spans="2:43" ht="13.5" customHeight="1" x14ac:dyDescent="0.3">
      <c r="B132" s="31">
        <v>117</v>
      </c>
      <c r="C132" s="36">
        <v>10</v>
      </c>
      <c r="D132" s="37" t="s">
        <v>144</v>
      </c>
      <c r="E132" s="38" t="s">
        <v>142</v>
      </c>
      <c r="F132" s="40" t="s">
        <v>376</v>
      </c>
      <c r="G132" s="40"/>
      <c r="H132" s="52">
        <f t="shared" si="8"/>
        <v>40244.796339991415</v>
      </c>
      <c r="I132" s="53">
        <f>SUM(J132:Q132)*IF(입력란!$C$16=1,1.04,IF(입력란!$C$16=2,1.1,IF(입력란!$C$16=3,1.2,1)))*IF(입력란!$C$21=1,1+입력란!$C$38*0.001,IF(입력란!$C$21=2,1+입력란!$C$38*0.0022,IF(입력란!$C$21=3,1+입력란!$C$38*0.0045,1)))*IF(입력란!$C$18&lt;&gt;0,0.98,1)</f>
        <v>636451.84091527504</v>
      </c>
      <c r="J132" s="30">
        <f>S132*(1+IF($AK132+IF(입력란!$C$26=1,10,0)+IF(입력란!$C$9=1,10,0)+IF(MID($E132,5,1)="2",트라이포드!R$11,0)&gt;100,100,$AK132+IF(입력란!$C$26=1,10,0)+IF(입력란!$C$9=1,10,0)+IF(MID($E132,5,1)="2",트라이포드!R$11,0))/100*(($AL132+IF(MID($E132,3,1)="3",트라이포드!$N$11,트라이포드!$M$11))/100-1))</f>
        <v>122394.58479139906</v>
      </c>
      <c r="K132" s="30">
        <f>T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122394.58479139906</v>
      </c>
      <c r="L132" s="30">
        <f>U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122394.58479139906</v>
      </c>
      <c r="M132" s="30">
        <f>V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122394.58479139906</v>
      </c>
      <c r="N132" s="30">
        <f>W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0</v>
      </c>
      <c r="O132" s="30">
        <f>X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0</v>
      </c>
      <c r="P132" s="30">
        <f>Y132*(1+IF($AK132+IF(입력란!$C$26=1,10,IF(MID($E132,1,1)="2",10,0))+IF(입력란!$C$9=1,10,0)+IF(MID($E132,5,1)="2",트라이포드!$R$11,0)&gt;100,100,$AK132+IF(입력란!$C$26=1,10,IF(MID($E132,1,1)="2",10,0))+IF(입력란!$C$9=1,10,0)+IF(MID($E132,5,1)="2",트라이포드!$R$11,0))/100*(($AL132+IF(MID($E132,3,1)="3",트라이포드!$N$11,트라이포드!$M$11))/100-1))</f>
        <v>0</v>
      </c>
      <c r="Q132" s="27">
        <f>Z132*(1+IF($AK132+IF(입력란!$C$26=1,10,IF(MID($E132,1,1)="2",10,0))&gt;100,100,$AK132+IF(입력란!$C$26=1,10,IF(MID($E132,1,1)="2",10,0)))/100*($AL132/100-1))</f>
        <v>146873.50174967886</v>
      </c>
      <c r="R132" s="24">
        <f t="shared" si="9"/>
        <v>398581.81359379942</v>
      </c>
      <c r="S132" s="30">
        <f>AN132*IF(입력란!$C$12=0,1,IF(입력란!$C$12=1,1.3,IF(입력란!$C$12=2,1.45,IF(입력란!$C$12=3,1.6,1))))*IF(MID(E132,3,1)="1",트라이포드!$J$11,트라이포드!$I$11)*IF(MID(E132,3,1)="2",트라이포드!$L$11,트라이포드!$K$11)*IF(입력란!$C$9=1,IF(입력란!$C$15=0,1.05,IF(입력란!$C$15=1,1.05*1.05,IF(입력란!$C$15=2,1.05*1.12,IF(입력란!$C$15=3,1.05*1.25)))),1)/IF(MID(E132,3,1)="1",7,4)</f>
        <v>76650.348768038355</v>
      </c>
      <c r="T132" s="30">
        <f t="shared" si="14"/>
        <v>76650.348768038355</v>
      </c>
      <c r="U132" s="30">
        <f t="shared" si="14"/>
        <v>76650.348768038355</v>
      </c>
      <c r="V132" s="30">
        <f t="shared" si="14"/>
        <v>76650.348768038355</v>
      </c>
      <c r="W132" s="39">
        <f t="shared" si="15"/>
        <v>0</v>
      </c>
      <c r="X132" s="39">
        <f t="shared" si="15"/>
        <v>0</v>
      </c>
      <c r="Y132" s="39">
        <f t="shared" si="15"/>
        <v>0</v>
      </c>
      <c r="Z132" s="25">
        <f>AN132*IF(입력란!$C$12=0,1,IF(입력란!$C$12=1,1.3,IF(입력란!$C$12=2,1.45,IF(입력란!$C$12=3,1.6,1))))*IF(MID(E132,5,1)="1",트라이포드!$P$11*IF(MID(E132,3,1)="1",7,4)*5,트라이포드!$O$11)</f>
        <v>91980.418521646017</v>
      </c>
      <c r="AA132" s="30">
        <f t="shared" si="10"/>
        <v>797163.62718759885</v>
      </c>
      <c r="AB132" s="30">
        <f t="shared" si="11"/>
        <v>153300.69753607671</v>
      </c>
      <c r="AC132" s="30">
        <f t="shared" si="16"/>
        <v>153300.69753607671</v>
      </c>
      <c r="AD132" s="30">
        <f t="shared" si="17"/>
        <v>153300.69753607671</v>
      </c>
      <c r="AE132" s="30">
        <f t="shared" si="18"/>
        <v>153300.69753607671</v>
      </c>
      <c r="AF132" s="30">
        <f t="shared" si="19"/>
        <v>0</v>
      </c>
      <c r="AG132" s="30">
        <f t="shared" si="20"/>
        <v>0</v>
      </c>
      <c r="AH132" s="30">
        <f t="shared" si="21"/>
        <v>0</v>
      </c>
      <c r="AI132" s="25">
        <f t="shared" si="13"/>
        <v>183960.83704329203</v>
      </c>
      <c r="AJ132" s="26">
        <f>AQ132*(1-입력란!$C$35/100)</f>
        <v>15.814512652479999</v>
      </c>
      <c r="AK13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2" s="26">
        <f>입력란!$C$47+입력란!$C$41+IF(입력란!$C$18=1,10,IF(입력란!$C$18=2,25,IF(입력란!$C$18=3,50,0)))+IF(입력란!$C$23&lt;&gt;0,-12)</f>
        <v>378.9445412</v>
      </c>
      <c r="AM132" s="30">
        <f t="shared" si="12"/>
        <v>153300.69753607671</v>
      </c>
      <c r="AN132" s="30">
        <f>(VLOOKUP(C132,$B$4:$AJ$7,9,FALSE)+VLOOKUP(C132,$B$8:$AJ$11,9,FALSE)*입력란!$C$29)*입력란!$C$48/100</f>
        <v>153300.69753607671</v>
      </c>
      <c r="AO132" s="26"/>
      <c r="AP132" s="30"/>
      <c r="AQ132" s="29">
        <v>16</v>
      </c>
    </row>
    <row r="133" spans="2:43" ht="13.5" customHeight="1" x14ac:dyDescent="0.3">
      <c r="B133" s="31">
        <v>118</v>
      </c>
      <c r="C133" s="36">
        <v>10</v>
      </c>
      <c r="D133" s="37" t="s">
        <v>144</v>
      </c>
      <c r="E133" s="38" t="s">
        <v>128</v>
      </c>
      <c r="F133" s="40" t="s">
        <v>372</v>
      </c>
      <c r="G133" s="40"/>
      <c r="H133" s="52">
        <f t="shared" si="8"/>
        <v>26839.951834683819</v>
      </c>
      <c r="I133" s="53">
        <f>SUM(J133:Q133)*IF(입력란!$C$16=1,1.04,IF(입력란!$C$16=2,1.1,IF(입력란!$C$16=3,1.2,1)))*IF(입력란!$C$21=1,1+입력란!$C$38*0.001,IF(입력란!$C$21=2,1+입력란!$C$38*0.0022,IF(입력란!$C$21=3,1+입력란!$C$38*0.0045,1)))*IF(입력란!$C$18&lt;&gt;0,0.98,1)</f>
        <v>424460.75788156106</v>
      </c>
      <c r="J133" s="30">
        <f>S133*(1+IF($AK133+IF(입력란!$C$26=1,10,0)+IF(입력란!$C$9=1,10,0)+IF(MID($E133,5,1)="2",트라이포드!R$11,0)&gt;100,100,$AK133+IF(입력란!$C$26=1,10,0)+IF(입력란!$C$9=1,10,0)+IF(MID($E133,5,1)="2",트라이포드!R$11,0))/100*(($AL133+IF(MID($E133,3,1)="3",트라이포드!$N$11,트라이포드!$M$11))/100-1))</f>
        <v>69396.814032970549</v>
      </c>
      <c r="K133" s="30">
        <f>T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69396.814032970549</v>
      </c>
      <c r="L133" s="30">
        <f>U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69396.814032970549</v>
      </c>
      <c r="M133" s="30">
        <f>V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69396.814032970549</v>
      </c>
      <c r="N133" s="30">
        <f>W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0</v>
      </c>
      <c r="O133" s="30">
        <f>X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0</v>
      </c>
      <c r="P133" s="30">
        <f>Y133*(1+IF($AK133+IF(입력란!$C$26=1,10,IF(MID($E133,1,1)="2",10,0))+IF(입력란!$C$9=1,10,0)+IF(MID($E133,5,1)="2",트라이포드!$R$11,0)&gt;100,100,$AK133+IF(입력란!$C$26=1,10,IF(MID($E133,1,1)="2",10,0))+IF(입력란!$C$9=1,10,0)+IF(MID($E133,5,1)="2",트라이포드!$R$11,0))/100*(($AL133+IF(MID($E133,3,1)="3",트라이포드!$N$11,트라이포드!$M$11))/100-1))</f>
        <v>0</v>
      </c>
      <c r="Q133" s="27">
        <f>Z133*(1+IF($AK133+IF(입력란!$C$26=1,10,IF(MID($E133,1,1)="2",10,0))&gt;100,100,$AK133+IF(입력란!$C$26=1,10,IF(MID($E133,1,1)="2",10,0)))/100*($AL133/100-1))</f>
        <v>146873.50174967886</v>
      </c>
      <c r="R133" s="24">
        <f t="shared" si="9"/>
        <v>245281.11605772271</v>
      </c>
      <c r="S133" s="30">
        <f>AN133*IF(입력란!$C$12=0,1,IF(입력란!$C$12=1,1.3,IF(입력란!$C$12=2,1.45,IF(입력란!$C$12=3,1.6,1))))*IF(MID(E133,3,1)="1",트라이포드!$J$11,트라이포드!$I$11)*IF(MID(E133,3,1)="2",트라이포드!$L$11,트라이포드!$K$11)*IF(입력란!$C$9=1,IF(입력란!$C$15=0,1.05,IF(입력란!$C$15=1,1.05*1.05,IF(입력란!$C$15=2,1.05*1.12,IF(입력란!$C$15=3,1.05*1.25)))),1)/IF(MID(E133,3,1)="1",7,4)</f>
        <v>38325.174384019178</v>
      </c>
      <c r="T133" s="30">
        <f t="shared" si="14"/>
        <v>38325.174384019178</v>
      </c>
      <c r="U133" s="30">
        <f t="shared" si="14"/>
        <v>38325.174384019178</v>
      </c>
      <c r="V133" s="30">
        <f t="shared" si="14"/>
        <v>38325.174384019178</v>
      </c>
      <c r="W133" s="39">
        <f t="shared" si="15"/>
        <v>0</v>
      </c>
      <c r="X133" s="39">
        <f t="shared" si="15"/>
        <v>0</v>
      </c>
      <c r="Y133" s="39">
        <f t="shared" si="15"/>
        <v>0</v>
      </c>
      <c r="Z133" s="25">
        <f>AN133*IF(입력란!$C$12=0,1,IF(입력란!$C$12=1,1.3,IF(입력란!$C$12=2,1.45,IF(입력란!$C$12=3,1.6,1))))*IF(MID(E133,5,1)="1",트라이포드!$P$11*IF(MID(E133,3,1)="1",7,4)*5,트라이포드!$O$11)</f>
        <v>91980.418521646017</v>
      </c>
      <c r="AA133" s="30">
        <f t="shared" si="10"/>
        <v>490562.23211544543</v>
      </c>
      <c r="AB133" s="30">
        <f t="shared" si="11"/>
        <v>76650.348768038355</v>
      </c>
      <c r="AC133" s="30">
        <f t="shared" si="16"/>
        <v>76650.348768038355</v>
      </c>
      <c r="AD133" s="30">
        <f t="shared" si="17"/>
        <v>76650.348768038355</v>
      </c>
      <c r="AE133" s="30">
        <f t="shared" si="18"/>
        <v>76650.348768038355</v>
      </c>
      <c r="AF133" s="30">
        <f t="shared" si="19"/>
        <v>0</v>
      </c>
      <c r="AG133" s="30">
        <f t="shared" si="20"/>
        <v>0</v>
      </c>
      <c r="AH133" s="30">
        <f t="shared" si="21"/>
        <v>0</v>
      </c>
      <c r="AI133" s="25">
        <f t="shared" si="13"/>
        <v>183960.83704329203</v>
      </c>
      <c r="AJ133" s="26">
        <f>AQ133*(1-입력란!$C$35/100)</f>
        <v>15.814512652479999</v>
      </c>
      <c r="AK13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3" s="26">
        <f>입력란!$C$47+입력란!$C$41+IF(입력란!$C$18=1,10,IF(입력란!$C$18=2,25,IF(입력란!$C$18=3,50,0)))+IF(입력란!$C$23&lt;&gt;0,-12)</f>
        <v>378.9445412</v>
      </c>
      <c r="AM133" s="30">
        <f t="shared" si="12"/>
        <v>153300.69753607671</v>
      </c>
      <c r="AN133" s="30">
        <f>(VLOOKUP(C133,$B$4:$AJ$7,9,FALSE)+VLOOKUP(C133,$B$8:$AJ$11,9,FALSE)*입력란!$C$29)*입력란!$C$48/100</f>
        <v>153300.69753607671</v>
      </c>
      <c r="AO133" s="26"/>
      <c r="AP133" s="30"/>
      <c r="AQ133" s="29">
        <v>16</v>
      </c>
    </row>
    <row r="134" spans="2:43" ht="13.5" customHeight="1" x14ac:dyDescent="0.3">
      <c r="B134" s="31">
        <v>119</v>
      </c>
      <c r="C134" s="36">
        <v>10</v>
      </c>
      <c r="D134" s="37" t="s">
        <v>144</v>
      </c>
      <c r="E134" s="38" t="s">
        <v>149</v>
      </c>
      <c r="F134" s="40" t="s">
        <v>375</v>
      </c>
      <c r="G134" s="40"/>
      <c r="H134" s="52">
        <f t="shared" si="8"/>
        <v>63405.498106604085</v>
      </c>
      <c r="I134" s="53">
        <f>SUM(J134:Q134)*IF(입력란!$C$16=1,1.04,IF(입력란!$C$16=2,1.1,IF(입력란!$C$16=3,1.2,1)))*IF(입력란!$C$21=1,1+입력란!$C$38*0.001,IF(입력란!$C$21=2,1+입력란!$C$38*0.0022,IF(입력란!$C$21=3,1+입력란!$C$38*0.0045,1)))*IF(입력란!$C$18&lt;&gt;0,0.98,1)</f>
        <v>1002727.052043687</v>
      </c>
      <c r="J134" s="30">
        <f>S134*(1+IF($AK134+IF(입력란!$C$26=1,10,0)+IF(입력란!$C$9=1,10,0)+IF(MID($E134,5,1)="2",트라이포드!R$11,0)&gt;100,100,$AK134+IF(입력란!$C$26=1,10,0)+IF(입력란!$C$9=1,10,0)+IF(MID($E134,5,1)="2",트라이포드!R$11,0))/100*(($AL134+IF(MID($E134,3,1)="3",트라이포드!$N$11,트라이포드!$M$11))/100-1))</f>
        <v>250681.76301092174</v>
      </c>
      <c r="K134" s="30">
        <f>T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250681.76301092174</v>
      </c>
      <c r="L134" s="30">
        <f>U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250681.76301092174</v>
      </c>
      <c r="M134" s="30">
        <f>V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250681.76301092174</v>
      </c>
      <c r="N134" s="30">
        <f>W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0</v>
      </c>
      <c r="O134" s="30">
        <f>X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0</v>
      </c>
      <c r="P134" s="30">
        <f>Y134*(1+IF($AK134+IF(입력란!$C$26=1,10,IF(MID($E134,1,1)="2",10,0))+IF(입력란!$C$9=1,10,0)+IF(MID($E134,5,1)="2",트라이포드!$R$11,0)&gt;100,100,$AK134+IF(입력란!$C$26=1,10,IF(MID($E134,1,1)="2",10,0))+IF(입력란!$C$9=1,10,0)+IF(MID($E134,5,1)="2",트라이포드!$R$11,0))/100*(($AL134+IF(MID($E134,3,1)="3",트라이포드!$N$11,트라이포드!$M$11))/100-1))</f>
        <v>0</v>
      </c>
      <c r="Q134" s="27">
        <f>Z134*(1+IF($AK134+IF(입력란!$C$26=1,10,IF(MID($E134,1,1)="2",10,0))&gt;100,100,$AK134+IF(입력란!$C$26=1,10,IF(MID($E134,1,1)="2",10,0)))/100*($AL134/100-1))</f>
        <v>0</v>
      </c>
      <c r="R134" s="24">
        <f t="shared" si="9"/>
        <v>306601.39507215342</v>
      </c>
      <c r="S134" s="30">
        <f>AN134*IF(입력란!$C$12=0,1,IF(입력란!$C$12=1,1.3,IF(입력란!$C$12=2,1.45,IF(입력란!$C$12=3,1.6,1))))*IF(MID(E134,3,1)="1",트라이포드!$J$11,트라이포드!$I$11)*IF(MID(E134,3,1)="2",트라이포드!$L$11,트라이포드!$K$11)*IF(입력란!$C$9=1,IF(입력란!$C$15=0,1.05,IF(입력란!$C$15=1,1.05*1.05,IF(입력란!$C$15=2,1.05*1.12,IF(입력란!$C$15=3,1.05*1.25)))),1)/IF(MID(E134,3,1)="1",7,4)</f>
        <v>76650.348768038355</v>
      </c>
      <c r="T134" s="30">
        <f t="shared" si="14"/>
        <v>76650.348768038355</v>
      </c>
      <c r="U134" s="30">
        <f t="shared" si="14"/>
        <v>76650.348768038355</v>
      </c>
      <c r="V134" s="30">
        <f t="shared" si="14"/>
        <v>76650.348768038355</v>
      </c>
      <c r="W134" s="39">
        <f t="shared" si="15"/>
        <v>0</v>
      </c>
      <c r="X134" s="39">
        <f t="shared" si="15"/>
        <v>0</v>
      </c>
      <c r="Y134" s="39">
        <f t="shared" si="15"/>
        <v>0</v>
      </c>
      <c r="Z134" s="25">
        <f>AN134*IF(입력란!$C$12=0,1,IF(입력란!$C$12=1,1.3,IF(입력란!$C$12=2,1.45,IF(입력란!$C$12=3,1.6,1))))*IF(MID(E134,5,1)="1",트라이포드!$P$11*IF(MID(E134,3,1)="1",7,4)*5,트라이포드!$O$11)</f>
        <v>0</v>
      </c>
      <c r="AA134" s="30">
        <f t="shared" si="10"/>
        <v>613202.79014430684</v>
      </c>
      <c r="AB134" s="30">
        <f t="shared" si="11"/>
        <v>153300.69753607671</v>
      </c>
      <c r="AC134" s="30">
        <f t="shared" si="16"/>
        <v>153300.69753607671</v>
      </c>
      <c r="AD134" s="30">
        <f t="shared" si="17"/>
        <v>153300.69753607671</v>
      </c>
      <c r="AE134" s="30">
        <f t="shared" si="18"/>
        <v>153300.69753607671</v>
      </c>
      <c r="AF134" s="30">
        <f t="shared" si="19"/>
        <v>0</v>
      </c>
      <c r="AG134" s="30">
        <f t="shared" si="20"/>
        <v>0</v>
      </c>
      <c r="AH134" s="30">
        <f t="shared" si="21"/>
        <v>0</v>
      </c>
      <c r="AI134" s="25">
        <f t="shared" si="13"/>
        <v>0</v>
      </c>
      <c r="AJ134" s="26">
        <f>AQ134*(1-입력란!$C$35/100)</f>
        <v>15.814512652479999</v>
      </c>
      <c r="AK13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4" s="26">
        <f>입력란!$C$47+입력란!$C$41+IF(입력란!$C$18=1,10,IF(입력란!$C$18=2,25,IF(입력란!$C$18=3,50,0)))+IF(입력란!$C$23&lt;&gt;0,-12)</f>
        <v>378.9445412</v>
      </c>
      <c r="AM134" s="30">
        <f t="shared" si="12"/>
        <v>153300.69753607671</v>
      </c>
      <c r="AN134" s="30">
        <f>(VLOOKUP(C134,$B$4:$AJ$7,9,FALSE)+VLOOKUP(C134,$B$8:$AJ$11,9,FALSE)*입력란!$C$29)*입력란!$C$48/100</f>
        <v>153300.69753607671</v>
      </c>
      <c r="AO134" s="26"/>
      <c r="AP134" s="30"/>
      <c r="AQ134" s="29">
        <v>16</v>
      </c>
    </row>
    <row r="135" spans="2:43" ht="13.5" customHeight="1" x14ac:dyDescent="0.3">
      <c r="B135" s="31">
        <v>120</v>
      </c>
      <c r="C135" s="36">
        <v>10</v>
      </c>
      <c r="D135" s="37" t="s">
        <v>144</v>
      </c>
      <c r="E135" s="38" t="s">
        <v>129</v>
      </c>
      <c r="F135" s="40"/>
      <c r="G135" s="40"/>
      <c r="H135" s="52">
        <f t="shared" si="8"/>
        <v>39592.87553476289</v>
      </c>
      <c r="I135" s="53">
        <f>SUM(J135:Q135)*IF(입력란!$C$16=1,1.04,IF(입력란!$C$16=2,1.1,IF(입력란!$C$16=3,1.2,1)))*IF(입력란!$C$21=1,1+입력란!$C$38*0.001,IF(입력란!$C$21=2,1+입력란!$C$38*0.0022,IF(입력란!$C$21=3,1+입력란!$C$38*0.0045,1)))*IF(입력란!$C$18&lt;&gt;0,0.98,1)</f>
        <v>626142.03109257354</v>
      </c>
      <c r="J135" s="30">
        <f>S135*(1+IF($AK135+IF(입력란!$C$26=1,10,0)+IF(입력란!$C$9=1,10,0)+IF(MID($E135,5,1)="2",트라이포드!R$11,0)&gt;100,100,$AK135+IF(입력란!$C$26=1,10,0)+IF(입력란!$C$9=1,10,0)+IF(MID($E135,5,1)="2",트라이포드!R$11,0))/100*(($AL135+IF(MID($E135,3,1)="3",트라이포드!$N$11,트라이포드!$M$11))/100-1))</f>
        <v>156535.50777314338</v>
      </c>
      <c r="K135" s="30">
        <f>T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156535.50777314338</v>
      </c>
      <c r="L135" s="30">
        <f>U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156535.50777314338</v>
      </c>
      <c r="M135" s="30">
        <f>V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156535.50777314338</v>
      </c>
      <c r="N135" s="30">
        <f>W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0</v>
      </c>
      <c r="O135" s="30">
        <f>X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0</v>
      </c>
      <c r="P135" s="30">
        <f>Y135*(1+IF($AK135+IF(입력란!$C$26=1,10,IF(MID($E135,1,1)="2",10,0))+IF(입력란!$C$9=1,10,0)+IF(MID($E135,5,1)="2",트라이포드!$R$11,0)&gt;100,100,$AK135+IF(입력란!$C$26=1,10,IF(MID($E135,1,1)="2",10,0))+IF(입력란!$C$9=1,10,0)+IF(MID($E135,5,1)="2",트라이포드!$R$11,0))/100*(($AL135+IF(MID($E135,3,1)="3",트라이포드!$N$11,트라이포드!$M$11))/100-1))</f>
        <v>0</v>
      </c>
      <c r="Q135" s="27">
        <f>Z135*(1+IF($AK135+IF(입력란!$C$26=1,10,IF(MID($E135,1,1)="2",10,0))&gt;100,100,$AK135+IF(입력란!$C$26=1,10,IF(MID($E135,1,1)="2",10,0)))/100*($AL135/100-1))</f>
        <v>0</v>
      </c>
      <c r="R135" s="24">
        <f t="shared" si="9"/>
        <v>153300.69753607671</v>
      </c>
      <c r="S135" s="30">
        <f>AN135*IF(입력란!$C$12=0,1,IF(입력란!$C$12=1,1.3,IF(입력란!$C$12=2,1.45,IF(입력란!$C$12=3,1.6,1))))*IF(MID(E135,3,1)="1",트라이포드!$J$11,트라이포드!$I$11)*IF(MID(E135,3,1)="2",트라이포드!$L$11,트라이포드!$K$11)*IF(입력란!$C$9=1,IF(입력란!$C$15=0,1.05,IF(입력란!$C$15=1,1.05*1.05,IF(입력란!$C$15=2,1.05*1.12,IF(입력란!$C$15=3,1.05*1.25)))),1)/IF(MID(E135,3,1)="1",7,4)</f>
        <v>38325.174384019178</v>
      </c>
      <c r="T135" s="30">
        <f t="shared" si="14"/>
        <v>38325.174384019178</v>
      </c>
      <c r="U135" s="30">
        <f t="shared" si="14"/>
        <v>38325.174384019178</v>
      </c>
      <c r="V135" s="30">
        <f t="shared" si="14"/>
        <v>38325.174384019178</v>
      </c>
      <c r="W135" s="39">
        <f t="shared" si="15"/>
        <v>0</v>
      </c>
      <c r="X135" s="39">
        <f t="shared" si="15"/>
        <v>0</v>
      </c>
      <c r="Y135" s="39">
        <f t="shared" si="15"/>
        <v>0</v>
      </c>
      <c r="Z135" s="25">
        <f>AN135*IF(입력란!$C$12=0,1,IF(입력란!$C$12=1,1.3,IF(입력란!$C$12=2,1.45,IF(입력란!$C$12=3,1.6,1))))*IF(MID(E135,5,1)="1",트라이포드!$P$11*IF(MID(E135,3,1)="1",7,4)*5,트라이포드!$O$11)</f>
        <v>0</v>
      </c>
      <c r="AA135" s="30">
        <f t="shared" si="10"/>
        <v>306601.39507215342</v>
      </c>
      <c r="AB135" s="30">
        <f t="shared" si="11"/>
        <v>76650.348768038355</v>
      </c>
      <c r="AC135" s="30">
        <f t="shared" si="16"/>
        <v>76650.348768038355</v>
      </c>
      <c r="AD135" s="30">
        <f t="shared" si="17"/>
        <v>76650.348768038355</v>
      </c>
      <c r="AE135" s="30">
        <f t="shared" si="18"/>
        <v>76650.348768038355</v>
      </c>
      <c r="AF135" s="30">
        <f t="shared" si="19"/>
        <v>0</v>
      </c>
      <c r="AG135" s="30">
        <f t="shared" si="20"/>
        <v>0</v>
      </c>
      <c r="AH135" s="30">
        <f t="shared" si="21"/>
        <v>0</v>
      </c>
      <c r="AI135" s="25">
        <f t="shared" si="13"/>
        <v>0</v>
      </c>
      <c r="AJ135" s="26">
        <f>AQ135*(1-입력란!$C$35/100)</f>
        <v>15.814512652479999</v>
      </c>
      <c r="AK13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5" s="26">
        <f>입력란!$C$47+입력란!$C$41+IF(입력란!$C$18=1,10,IF(입력란!$C$18=2,25,IF(입력란!$C$18=3,50,0)))+IF(입력란!$C$23&lt;&gt;0,-12)</f>
        <v>378.9445412</v>
      </c>
      <c r="AM135" s="30">
        <f t="shared" si="12"/>
        <v>153300.69753607671</v>
      </c>
      <c r="AN135" s="30">
        <f>(VLOOKUP(C135,$B$4:$AJ$7,9,FALSE)+VLOOKUP(C135,$B$8:$AJ$11,9,FALSE)*입력란!$C$29)*입력란!$C$48/100</f>
        <v>153300.69753607671</v>
      </c>
      <c r="AO135" s="26"/>
      <c r="AP135" s="30"/>
      <c r="AQ135" s="29">
        <v>16</v>
      </c>
    </row>
    <row r="136" spans="2:43" ht="13.5" customHeight="1" x14ac:dyDescent="0.3">
      <c r="B136" s="31">
        <v>121</v>
      </c>
      <c r="C136" s="36">
        <v>10</v>
      </c>
      <c r="D136" s="37" t="s">
        <v>144</v>
      </c>
      <c r="E136" s="38" t="s">
        <v>143</v>
      </c>
      <c r="F136" s="40" t="s">
        <v>372</v>
      </c>
      <c r="G136" s="40"/>
      <c r="H136" s="52">
        <f t="shared" si="8"/>
        <v>28416.424293719196</v>
      </c>
      <c r="I136" s="53">
        <f>SUM(J136:Q136)*IF(입력란!$C$16=1,1.04,IF(입력란!$C$16=2,1.1,IF(입력란!$C$16=3,1.2,1)))*IF(입력란!$C$21=1,1+입력란!$C$38*0.001,IF(입력란!$C$21=2,1+입력란!$C$38*0.0022,IF(입력란!$C$21=3,1+입력란!$C$38*0.0045,1)))*IF(입력란!$C$18&lt;&gt;0,0.98,1)</f>
        <v>449391.90153126227</v>
      </c>
      <c r="J136" s="30">
        <f>S136*(1+IF($AK136+IF(입력란!$C$26=1,10,0)+IF(입력란!$C$9=1,10,0)+IF(MID($E136,5,1)="2",트라이포드!R$11,0)&gt;100,100,$AK136+IF(입력란!$C$26=1,10,0)+IF(입력란!$C$9=1,10,0)+IF(MID($E136,5,1)="2",트라이포드!R$11,0))/100*(($AL136+IF(MID($E136,3,1)="3",트라이포드!$N$11,트라이포드!$M$11))/100-1))</f>
        <v>61197.292395699529</v>
      </c>
      <c r="K136" s="30">
        <f>T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71887.890580659761</v>
      </c>
      <c r="L136" s="30">
        <f>U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71887.890580659761</v>
      </c>
      <c r="M136" s="30">
        <f>V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71887.890580659761</v>
      </c>
      <c r="N136" s="30">
        <f>W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0</v>
      </c>
      <c r="O136" s="30">
        <f>X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0</v>
      </c>
      <c r="P136" s="30">
        <f>Y136*(1+IF($AK136+IF(입력란!$C$26=1,10,IF(MID($E136,1,1)="2",10,0))+IF(입력란!$C$9=1,10,0)+IF(MID($E136,5,1)="2",트라이포드!$R$11,0)&gt;100,100,$AK136+IF(입력란!$C$26=1,10,IF(MID($E136,1,1)="2",10,0))+IF(입력란!$C$9=1,10,0)+IF(MID($E136,5,1)="2",트라이포드!$R$11,0))/100*(($AL136+IF(MID($E136,3,1)="3",트라이포드!$N$11,트라이포드!$M$11))/100-1))</f>
        <v>0</v>
      </c>
      <c r="Q136" s="27">
        <f>Z136*(1+IF($AK136+IF(입력란!$C$26=1,10,IF(MID($E136,1,1)="2",10,0))&gt;100,100,$AK136+IF(입력란!$C$26=1,10,IF(MID($E136,1,1)="2",10,0)))/100*($AL136/100-1))</f>
        <v>172530.93739358342</v>
      </c>
      <c r="R136" s="24">
        <f t="shared" si="9"/>
        <v>245281.11605772271</v>
      </c>
      <c r="S136" s="30">
        <f>AN136*IF(입력란!$C$12=0,1,IF(입력란!$C$12=1,1.3,IF(입력란!$C$12=2,1.45,IF(입력란!$C$12=3,1.6,1))))*IF(MID(E136,3,1)="1",트라이포드!$J$11,트라이포드!$I$11)*IF(MID(E136,3,1)="2",트라이포드!$L$11,트라이포드!$K$11)*IF(입력란!$C$9=1,IF(입력란!$C$15=0,1.05,IF(입력란!$C$15=1,1.05*1.05,IF(입력란!$C$15=2,1.05*1.12,IF(입력란!$C$15=3,1.05*1.25)))),1)/IF(MID(E136,3,1)="1",7,4)</f>
        <v>38325.174384019178</v>
      </c>
      <c r="T136" s="30">
        <f t="shared" si="14"/>
        <v>38325.174384019178</v>
      </c>
      <c r="U136" s="30">
        <f t="shared" si="14"/>
        <v>38325.174384019178</v>
      </c>
      <c r="V136" s="30">
        <f t="shared" si="14"/>
        <v>38325.174384019178</v>
      </c>
      <c r="W136" s="39">
        <f t="shared" si="15"/>
        <v>0</v>
      </c>
      <c r="X136" s="39">
        <f t="shared" si="15"/>
        <v>0</v>
      </c>
      <c r="Y136" s="39">
        <f t="shared" si="15"/>
        <v>0</v>
      </c>
      <c r="Z136" s="25">
        <f>AN136*IF(입력란!$C$12=0,1,IF(입력란!$C$12=1,1.3,IF(입력란!$C$12=2,1.45,IF(입력란!$C$12=3,1.6,1))))*IF(MID(E136,5,1)="1",트라이포드!$P$11*IF(MID(E136,3,1)="1",7,4)*5,트라이포드!$O$11)</f>
        <v>91980.418521646017</v>
      </c>
      <c r="AA136" s="30">
        <f t="shared" si="10"/>
        <v>490562.23211544543</v>
      </c>
      <c r="AB136" s="30">
        <f t="shared" si="11"/>
        <v>76650.348768038355</v>
      </c>
      <c r="AC136" s="30">
        <f t="shared" si="16"/>
        <v>76650.348768038355</v>
      </c>
      <c r="AD136" s="30">
        <f t="shared" si="17"/>
        <v>76650.348768038355</v>
      </c>
      <c r="AE136" s="30">
        <f t="shared" si="18"/>
        <v>76650.348768038355</v>
      </c>
      <c r="AF136" s="30">
        <f t="shared" si="19"/>
        <v>0</v>
      </c>
      <c r="AG136" s="30">
        <f t="shared" si="20"/>
        <v>0</v>
      </c>
      <c r="AH136" s="30">
        <f t="shared" si="21"/>
        <v>0</v>
      </c>
      <c r="AI136" s="25">
        <f t="shared" ref="AI136:AI162" si="22">Z136*2</f>
        <v>183960.83704329203</v>
      </c>
      <c r="AJ136" s="26">
        <f>AQ136*(1-입력란!$C$35/100)</f>
        <v>15.814512652479999</v>
      </c>
      <c r="AK13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6" s="26">
        <f>입력란!$C$47+입력란!$C$41+IF(입력란!$C$18=1,10,IF(입력란!$C$18=2,25,IF(입력란!$C$18=3,50,0)))+IF(입력란!$C$23&lt;&gt;0,-12)</f>
        <v>378.9445412</v>
      </c>
      <c r="AM136" s="30">
        <f t="shared" si="12"/>
        <v>153300.69753607671</v>
      </c>
      <c r="AN136" s="30">
        <f>(VLOOKUP(C136,$B$4:$AJ$7,9,FALSE)+VLOOKUP(C136,$B$8:$AJ$11,9,FALSE)*입력란!$C$29)*입력란!$C$48/100</f>
        <v>153300.69753607671</v>
      </c>
      <c r="AO136" s="26"/>
      <c r="AP136" s="30"/>
      <c r="AQ136" s="29">
        <v>16</v>
      </c>
    </row>
    <row r="137" spans="2:43" ht="13.5" customHeight="1" x14ac:dyDescent="0.3">
      <c r="B137" s="31">
        <v>122</v>
      </c>
      <c r="C137" s="36">
        <v>10</v>
      </c>
      <c r="D137" s="37" t="s">
        <v>144</v>
      </c>
      <c r="E137" s="38" t="s">
        <v>150</v>
      </c>
      <c r="F137" s="40"/>
      <c r="G137" s="40"/>
      <c r="H137" s="52">
        <f t="shared" si="8"/>
        <v>33730.746707080594</v>
      </c>
      <c r="I137" s="53">
        <f>SUM(J137:Q137)*IF(입력란!$C$16=1,1.04,IF(입력란!$C$16=2,1.1,IF(입력란!$C$16=3,1.2,1)))*IF(입력란!$C$21=1,1+입력란!$C$38*0.001,IF(입력란!$C$21=2,1+입력란!$C$38*0.0022,IF(입력란!$C$21=3,1+입력란!$C$38*0.0045,1)))*IF(입력란!$C$18&lt;&gt;0,0.98,1)</f>
        <v>533435.32057672413</v>
      </c>
      <c r="J137" s="30">
        <f>S137*(1+IF($AK137+IF(입력란!$C$26=1,10,0)+IF(입력란!$C$9=1,10,0)+IF(MID($E137,5,1)="2",트라이포드!R$11,0)&gt;100,100,$AK137+IF(입력란!$C$26=1,10,0)+IF(입력란!$C$9=1,10,0)+IF(MID($E137,5,1)="2",트라이포드!R$11,0))/100*(($AL137+IF(MID($E137,3,1)="3",트라이포드!$N$11,트라이포드!$M$11))/100-1))</f>
        <v>125340.88150546087</v>
      </c>
      <c r="K137" s="30">
        <f>T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136031.47969042108</v>
      </c>
      <c r="L137" s="30">
        <f>U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136031.47969042108</v>
      </c>
      <c r="M137" s="30">
        <f>V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136031.47969042108</v>
      </c>
      <c r="N137" s="30">
        <f>W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0</v>
      </c>
      <c r="O137" s="30">
        <f>X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0</v>
      </c>
      <c r="P137" s="30">
        <f>Y137*(1+IF($AK137+IF(입력란!$C$26=1,10,IF(MID($E137,1,1)="2",10,0))+IF(입력란!$C$9=1,10,0)+IF(MID($E137,5,1)="2",트라이포드!$R$11,0)&gt;100,100,$AK137+IF(입력란!$C$26=1,10,IF(MID($E137,1,1)="2",10,0))+IF(입력란!$C$9=1,10,0)+IF(MID($E137,5,1)="2",트라이포드!$R$11,0))/100*(($AL137+IF(MID($E137,3,1)="3",트라이포드!$N$11,트라이포드!$M$11))/100-1))</f>
        <v>0</v>
      </c>
      <c r="Q137" s="27">
        <f>Z137*(1+IF($AK137+IF(입력란!$C$26=1,10,IF(MID($E137,1,1)="2",10,0))&gt;100,100,$AK137+IF(입력란!$C$26=1,10,IF(MID($E137,1,1)="2",10,0)))/100*($AL137/100-1))</f>
        <v>0</v>
      </c>
      <c r="R137" s="24">
        <f t="shared" si="9"/>
        <v>153300.69753607671</v>
      </c>
      <c r="S137" s="30">
        <f>AN137*IF(입력란!$C$12=0,1,IF(입력란!$C$12=1,1.3,IF(입력란!$C$12=2,1.45,IF(입력란!$C$12=3,1.6,1))))*IF(MID(E137,3,1)="1",트라이포드!$J$11,트라이포드!$I$11)*IF(MID(E137,3,1)="2",트라이포드!$L$11,트라이포드!$K$11)*IF(입력란!$C$9=1,IF(입력란!$C$15=0,1.05,IF(입력란!$C$15=1,1.05*1.05,IF(입력란!$C$15=2,1.05*1.12,IF(입력란!$C$15=3,1.05*1.25)))),1)/IF(MID(E137,3,1)="1",7,4)</f>
        <v>38325.174384019178</v>
      </c>
      <c r="T137" s="30">
        <f t="shared" si="14"/>
        <v>38325.174384019178</v>
      </c>
      <c r="U137" s="30">
        <f t="shared" si="14"/>
        <v>38325.174384019178</v>
      </c>
      <c r="V137" s="30">
        <f t="shared" si="14"/>
        <v>38325.174384019178</v>
      </c>
      <c r="W137" s="39">
        <f t="shared" si="15"/>
        <v>0</v>
      </c>
      <c r="X137" s="39">
        <f t="shared" si="15"/>
        <v>0</v>
      </c>
      <c r="Y137" s="39">
        <f t="shared" si="15"/>
        <v>0</v>
      </c>
      <c r="Z137" s="25">
        <f>AN137*IF(입력란!$C$12=0,1,IF(입력란!$C$12=1,1.3,IF(입력란!$C$12=2,1.45,IF(입력란!$C$12=3,1.6,1))))*IF(MID(E137,5,1)="1",트라이포드!$P$11*IF(MID(E137,3,1)="1",7,4)*5,트라이포드!$O$11)</f>
        <v>0</v>
      </c>
      <c r="AA137" s="30">
        <f t="shared" si="10"/>
        <v>306601.39507215342</v>
      </c>
      <c r="AB137" s="30">
        <f t="shared" si="11"/>
        <v>76650.348768038355</v>
      </c>
      <c r="AC137" s="30">
        <f t="shared" si="16"/>
        <v>76650.348768038355</v>
      </c>
      <c r="AD137" s="30">
        <f t="shared" si="17"/>
        <v>76650.348768038355</v>
      </c>
      <c r="AE137" s="30">
        <f t="shared" si="18"/>
        <v>76650.348768038355</v>
      </c>
      <c r="AF137" s="30">
        <f t="shared" si="19"/>
        <v>0</v>
      </c>
      <c r="AG137" s="30">
        <f t="shared" si="20"/>
        <v>0</v>
      </c>
      <c r="AH137" s="30">
        <f t="shared" si="21"/>
        <v>0</v>
      </c>
      <c r="AI137" s="25">
        <f t="shared" si="22"/>
        <v>0</v>
      </c>
      <c r="AJ137" s="26">
        <f>AQ137*(1-입력란!$C$35/100)</f>
        <v>15.814512652479999</v>
      </c>
      <c r="AK1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7" s="26">
        <f>입력란!$C$47+입력란!$C$41+IF(입력란!$C$18=1,10,IF(입력란!$C$18=2,25,IF(입력란!$C$18=3,50,0)))+IF(입력란!$C$23&lt;&gt;0,-12)</f>
        <v>378.9445412</v>
      </c>
      <c r="AM137" s="30">
        <f t="shared" si="12"/>
        <v>153300.69753607671</v>
      </c>
      <c r="AN137" s="30">
        <f>(VLOOKUP(C137,$B$4:$AJ$7,9,FALSE)+VLOOKUP(C137,$B$8:$AJ$11,9,FALSE)*입력란!$C$29)*입력란!$C$48/100</f>
        <v>153300.69753607671</v>
      </c>
      <c r="AO137" s="26"/>
      <c r="AP137" s="30"/>
      <c r="AQ137" s="29">
        <v>16</v>
      </c>
    </row>
    <row r="138" spans="2:43" ht="13.5" customHeight="1" x14ac:dyDescent="0.3">
      <c r="B138" s="31">
        <v>123</v>
      </c>
      <c r="C138" s="36">
        <v>10</v>
      </c>
      <c r="D138" s="37" t="s">
        <v>144</v>
      </c>
      <c r="E138" s="38" t="s">
        <v>151</v>
      </c>
      <c r="F138" s="40" t="s">
        <v>372</v>
      </c>
      <c r="G138" s="40"/>
      <c r="H138" s="52">
        <f t="shared" si="8"/>
        <v>47566.270013344445</v>
      </c>
      <c r="I138" s="53">
        <f>SUM(J138:Q138)*IF(입력란!$C$16=1,1.04,IF(입력란!$C$16=2,1.1,IF(입력란!$C$16=3,1.2,1)))*IF(입력란!$C$21=1,1+입력란!$C$38*0.001,IF(입력란!$C$21=2,1+입력란!$C$38*0.0022,IF(입력란!$C$21=3,1+입력란!$C$38*0.0045,1)))*IF(입력란!$C$18&lt;&gt;0,0.98,1)</f>
        <v>752237.3789573157</v>
      </c>
      <c r="J138" s="30">
        <f>S138*(1+IF($AK138+IF(입력란!$C$26=1,10,0)+IF(입력란!$C$9=1,10,0)+IF(MID($E138,5,1)="2",트라이포드!R$11,0)&gt;100,100,$AK138+IF(입력란!$C$26=1,10,0)+IF(입력란!$C$9=1,10,0)+IF(MID($E138,5,1)="2",트라이포드!R$11,0))/100*(($AL138+IF(MID($E138,3,1)="3",트라이포드!$N$11,트라이포드!$M$11))/100-1))</f>
        <v>55951.810190353863</v>
      </c>
      <c r="K138" s="30">
        <f>T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L138" s="30">
        <f>U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M138" s="30">
        <f>V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N138" s="30">
        <f>W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O138" s="30">
        <f>X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P138" s="30">
        <f>Y138*(1+IF($AK138+IF(입력란!$C$26=1,10,IF(MID($E138,1,1)="2",10,0))+IF(입력란!$C$9=1,10,0)+IF(MID($E138,5,1)="2",트라이포드!$R$11,0)&gt;100,100,$AK138+IF(입력란!$C$26=1,10,IF(MID($E138,1,1)="2",10,0))+IF(입력란!$C$9=1,10,0)+IF(MID($E138,5,1)="2",트라이포드!$R$11,0))/100*(($AL138+IF(MID($E138,3,1)="3",트라이포드!$N$11,트라이포드!$M$11))/100-1))</f>
        <v>65726.071388031793</v>
      </c>
      <c r="Q138" s="27">
        <f>Z138*(1+IF($AK138+IF(입력란!$C$26=1,10,IF(MID($E138,1,1)="2",10,0))&gt;100,100,$AK138+IF(입력란!$C$26=1,10,IF(MID($E138,1,1)="2",10,0)))/100*($AL138/100-1))</f>
        <v>301929.14043877099</v>
      </c>
      <c r="R138" s="24">
        <f t="shared" si="9"/>
        <v>406246.84847060335</v>
      </c>
      <c r="S138" s="30">
        <f>AN138*IF(입력란!$C$12=0,1,IF(입력란!$C$12=1,1.3,IF(입력란!$C$12=2,1.45,IF(입력란!$C$12=3,1.6,1))))*IF(MID(E138,3,1)="1",트라이포드!$J$11,트라이포드!$I$11)*IF(MID(E138,3,1)="2",트라이포드!$L$11,트라이포드!$K$11)*IF(입력란!$C$9=1,IF(입력란!$C$15=0,1.05,IF(입력란!$C$15=1,1.05*1.05,IF(입력란!$C$15=2,1.05*1.12,IF(입력란!$C$15=3,1.05*1.25)))),1)/IF(MID(E138,3,1)="1",7,4)</f>
        <v>35040.159436817536</v>
      </c>
      <c r="T138" s="30">
        <f t="shared" si="14"/>
        <v>35040.159436817536</v>
      </c>
      <c r="U138" s="30">
        <f t="shared" si="14"/>
        <v>35040.159436817536</v>
      </c>
      <c r="V138" s="30">
        <f t="shared" si="14"/>
        <v>35040.159436817536</v>
      </c>
      <c r="W138" s="39">
        <f t="shared" si="15"/>
        <v>35040.159436817536</v>
      </c>
      <c r="X138" s="39">
        <f t="shared" si="15"/>
        <v>35040.159436817536</v>
      </c>
      <c r="Y138" s="39">
        <f t="shared" si="15"/>
        <v>35040.159436817536</v>
      </c>
      <c r="Z138" s="25">
        <f>AN138*IF(입력란!$C$12=0,1,IF(입력란!$C$12=1,1.3,IF(입력란!$C$12=2,1.45,IF(입력란!$C$12=3,1.6,1))))*IF(MID(E138,5,1)="1",트라이포드!$P$11*IF(MID(E138,3,1)="1",7,4)*5,트라이포드!$O$11)</f>
        <v>160965.73241288055</v>
      </c>
      <c r="AA138" s="30">
        <f t="shared" si="10"/>
        <v>812493.6969412067</v>
      </c>
      <c r="AB138" s="30">
        <f t="shared" si="11"/>
        <v>70080.318873635071</v>
      </c>
      <c r="AC138" s="30">
        <f t="shared" si="16"/>
        <v>70080.318873635071</v>
      </c>
      <c r="AD138" s="30">
        <f t="shared" si="17"/>
        <v>70080.318873635071</v>
      </c>
      <c r="AE138" s="30">
        <f t="shared" si="18"/>
        <v>70080.318873635071</v>
      </c>
      <c r="AF138" s="30">
        <f t="shared" si="19"/>
        <v>70080.318873635071</v>
      </c>
      <c r="AG138" s="30">
        <f t="shared" si="20"/>
        <v>70080.318873635071</v>
      </c>
      <c r="AH138" s="30">
        <f t="shared" si="21"/>
        <v>70080.318873635071</v>
      </c>
      <c r="AI138" s="25">
        <f t="shared" si="22"/>
        <v>321931.4648257611</v>
      </c>
      <c r="AJ138" s="26">
        <f>AQ138*(1-입력란!$C$35/100)</f>
        <v>15.814512652479999</v>
      </c>
      <c r="AK1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8" s="26">
        <f>입력란!$C$47+입력란!$C$41+IF(입력란!$C$18=1,10,IF(입력란!$C$18=2,25,IF(입력란!$C$18=3,50,0)))+IF(입력란!$C$23&lt;&gt;0,-12)</f>
        <v>378.9445412</v>
      </c>
      <c r="AM138" s="30">
        <f t="shared" si="12"/>
        <v>153300.69753607671</v>
      </c>
      <c r="AN138" s="30">
        <f>(VLOOKUP(C138,$B$4:$AJ$7,9,FALSE)+VLOOKUP(C138,$B$8:$AJ$11,9,FALSE)*입력란!$C$29)*입력란!$C$48/100</f>
        <v>153300.69753607671</v>
      </c>
      <c r="AO138" s="26"/>
      <c r="AP138" s="30"/>
      <c r="AQ138" s="29">
        <v>16</v>
      </c>
    </row>
    <row r="139" spans="2:43" ht="13.5" customHeight="1" x14ac:dyDescent="0.3">
      <c r="B139" s="31">
        <v>124</v>
      </c>
      <c r="C139" s="36">
        <v>10</v>
      </c>
      <c r="D139" s="37" t="s">
        <v>144</v>
      </c>
      <c r="E139" s="38" t="s">
        <v>152</v>
      </c>
      <c r="F139" s="40"/>
      <c r="G139" s="40"/>
      <c r="H139" s="52">
        <f t="shared" si="8"/>
        <v>54432.73705219262</v>
      </c>
      <c r="I139" s="53">
        <f>SUM(J139:Q139)*IF(입력란!$C$16=1,1.04,IF(입력란!$C$16=2,1.1,IF(입력란!$C$16=3,1.2,1)))*IF(입력란!$C$21=1,1+입력란!$C$38*0.001,IF(입력란!$C$21=2,1+입력란!$C$38*0.0022,IF(입력란!$C$21=3,1+입력란!$C$38*0.0045,1)))*IF(입력란!$C$18&lt;&gt;0,0.98,1)</f>
        <v>860827.20882101706</v>
      </c>
      <c r="J139" s="30">
        <f>S139*(1+IF($AK139+IF(입력란!$C$26=1,10,0)+IF(입력란!$C$9=1,10,0)+IF(MID($E139,5,1)="2",트라이포드!R$11,0)&gt;100,100,$AK139+IF(입력란!$C$26=1,10,0)+IF(입력란!$C$9=1,10,0)+IF(MID($E139,5,1)="2",트라이포드!R$11,0))/100*(($AL139+IF(MID($E139,3,1)="3",트라이포드!$N$11,트라이포드!$M$11))/100-1))</f>
        <v>114597.37737642137</v>
      </c>
      <c r="K139" s="30">
        <f>T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L139" s="30">
        <f>U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M139" s="30">
        <f>V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N139" s="30">
        <f>W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O139" s="30">
        <f>X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P139" s="30">
        <f>Y139*(1+IF($AK139+IF(입력란!$C$26=1,10,IF(MID($E139,1,1)="2",10,0))+IF(입력란!$C$9=1,10,0)+IF(MID($E139,5,1)="2",트라이포드!$R$11,0)&gt;100,100,$AK139+IF(입력란!$C$26=1,10,IF(MID($E139,1,1)="2",10,0))+IF(입력란!$C$9=1,10,0)+IF(MID($E139,5,1)="2",트라이포드!$R$11,0))/100*(($AL139+IF(MID($E139,3,1)="3",트라이포드!$N$11,트라이포드!$M$11))/100-1))</f>
        <v>124371.63857409928</v>
      </c>
      <c r="Q139" s="27">
        <f>Z139*(1+IF($AK139+IF(입력란!$C$26=1,10,IF(MID($E139,1,1)="2",10,0))&gt;100,100,$AK139+IF(입력란!$C$26=1,10,IF(MID($E139,1,1)="2",10,0)))/100*($AL139/100-1))</f>
        <v>0</v>
      </c>
      <c r="R139" s="24">
        <f t="shared" si="9"/>
        <v>245281.11605772277</v>
      </c>
      <c r="S139" s="30">
        <f>AN139*IF(입력란!$C$12=0,1,IF(입력란!$C$12=1,1.3,IF(입력란!$C$12=2,1.45,IF(입력란!$C$12=3,1.6,1))))*IF(MID(E139,3,1)="1",트라이포드!$J$11,트라이포드!$I$11)*IF(MID(E139,3,1)="2",트라이포드!$L$11,트라이포드!$K$11)*IF(입력란!$C$9=1,IF(입력란!$C$15=0,1.05,IF(입력란!$C$15=1,1.05*1.05,IF(입력란!$C$15=2,1.05*1.12,IF(입력란!$C$15=3,1.05*1.25)))),1)/IF(MID(E139,3,1)="1",7,4)</f>
        <v>35040.159436817536</v>
      </c>
      <c r="T139" s="30">
        <f t="shared" si="14"/>
        <v>35040.159436817536</v>
      </c>
      <c r="U139" s="30">
        <f t="shared" si="14"/>
        <v>35040.159436817536</v>
      </c>
      <c r="V139" s="30">
        <f t="shared" si="14"/>
        <v>35040.159436817536</v>
      </c>
      <c r="W139" s="39">
        <f t="shared" si="15"/>
        <v>35040.159436817536</v>
      </c>
      <c r="X139" s="39">
        <f t="shared" si="15"/>
        <v>35040.159436817536</v>
      </c>
      <c r="Y139" s="39">
        <f t="shared" si="15"/>
        <v>35040.159436817536</v>
      </c>
      <c r="Z139" s="25">
        <f>AN139*IF(입력란!$C$12=0,1,IF(입력란!$C$12=1,1.3,IF(입력란!$C$12=2,1.45,IF(입력란!$C$12=3,1.6,1))))*IF(MID(E139,5,1)="1",트라이포드!$P$11*IF(MID(E139,3,1)="1",7,4)*5,트라이포드!$O$11)</f>
        <v>0</v>
      </c>
      <c r="AA139" s="30">
        <f t="shared" si="10"/>
        <v>490562.23211544554</v>
      </c>
      <c r="AB139" s="30">
        <f t="shared" si="11"/>
        <v>70080.318873635071</v>
      </c>
      <c r="AC139" s="30">
        <f t="shared" si="16"/>
        <v>70080.318873635071</v>
      </c>
      <c r="AD139" s="30">
        <f t="shared" si="17"/>
        <v>70080.318873635071</v>
      </c>
      <c r="AE139" s="30">
        <f t="shared" si="18"/>
        <v>70080.318873635071</v>
      </c>
      <c r="AF139" s="30">
        <f t="shared" si="19"/>
        <v>70080.318873635071</v>
      </c>
      <c r="AG139" s="30">
        <f t="shared" si="20"/>
        <v>70080.318873635071</v>
      </c>
      <c r="AH139" s="30">
        <f t="shared" si="21"/>
        <v>70080.318873635071</v>
      </c>
      <c r="AI139" s="25">
        <f t="shared" si="22"/>
        <v>0</v>
      </c>
      <c r="AJ139" s="26">
        <f>AQ139*(1-입력란!$C$35/100)</f>
        <v>15.814512652479999</v>
      </c>
      <c r="AK1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39" s="26">
        <f>입력란!$C$47+입력란!$C$41+IF(입력란!$C$18=1,10,IF(입력란!$C$18=2,25,IF(입력란!$C$18=3,50,0)))+IF(입력란!$C$23&lt;&gt;0,-12)</f>
        <v>378.9445412</v>
      </c>
      <c r="AM139" s="30">
        <f t="shared" si="12"/>
        <v>153300.69753607671</v>
      </c>
      <c r="AN139" s="30">
        <f>(VLOOKUP(C139,$B$4:$AJ$7,9,FALSE)+VLOOKUP(C139,$B$8:$AJ$11,9,FALSE)*입력란!$C$29)*입력란!$C$48/100</f>
        <v>153300.69753607671</v>
      </c>
      <c r="AO139" s="26"/>
      <c r="AP139" s="30"/>
      <c r="AQ139" s="29">
        <v>16</v>
      </c>
    </row>
    <row r="140" spans="2:43" ht="13.5" customHeight="1" x14ac:dyDescent="0.3">
      <c r="B140" s="31">
        <v>125</v>
      </c>
      <c r="C140" s="36">
        <v>10</v>
      </c>
      <c r="D140" s="37" t="s">
        <v>144</v>
      </c>
      <c r="E140" s="38" t="s">
        <v>153</v>
      </c>
      <c r="F140" s="40" t="s">
        <v>376</v>
      </c>
      <c r="G140" s="40"/>
      <c r="H140" s="52">
        <f t="shared" si="8"/>
        <v>45923.189770571371</v>
      </c>
      <c r="I140" s="53">
        <f>SUM(J140:Q140)*IF(입력란!$C$16=1,1.04,IF(입력란!$C$16=2,1.1,IF(입력란!$C$16=3,1.2,1)))*IF(입력란!$C$21=1,1+입력란!$C$38*0.001,IF(입력란!$C$21=2,1+입력란!$C$38*0.0022,IF(입력란!$C$21=3,1+입력란!$C$38*0.0045,1)))*IF(입력란!$C$18&lt;&gt;0,0.98,1)</f>
        <v>726252.86566894106</v>
      </c>
      <c r="J140" s="30">
        <f>S140*(1+IF($AK140+IF(입력란!$C$26=1,10,0)+IF(입력란!$C$9=1,10,0)+IF(MID($E140,5,1)="2",트라이포드!R$11,0)&gt;100,100,$AK140+IF(입력란!$C$26=1,10,0)+IF(입력란!$C$9=1,10,0)+IF(MID($E140,5,1)="2",트라이포드!R$11,0))/100*(($AL140+IF(MID($E140,3,1)="3",트라이포드!$N$11,트라이포드!$M$11))/100-1))</f>
        <v>122394.58479139906</v>
      </c>
      <c r="K140" s="30">
        <f>T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143775.78116131952</v>
      </c>
      <c r="L140" s="30">
        <f>U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143775.78116131952</v>
      </c>
      <c r="M140" s="30">
        <f>V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143775.78116131952</v>
      </c>
      <c r="N140" s="30">
        <f>W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0</v>
      </c>
      <c r="O140" s="30">
        <f>X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0</v>
      </c>
      <c r="P140" s="30">
        <f>Y140*(1+IF($AK140+IF(입력란!$C$26=1,10,IF(MID($E140,1,1)="2",10,0))+IF(입력란!$C$9=1,10,0)+IF(MID($E140,5,1)="2",트라이포드!$R$11,0)&gt;100,100,$AK140+IF(입력란!$C$26=1,10,IF(MID($E140,1,1)="2",10,0))+IF(입력란!$C$9=1,10,0)+IF(MID($E140,5,1)="2",트라이포드!$R$11,0))/100*(($AL140+IF(MID($E140,3,1)="3",트라이포드!$N$11,트라이포드!$M$11))/100-1))</f>
        <v>0</v>
      </c>
      <c r="Q140" s="27">
        <f>Z140*(1+IF($AK140+IF(입력란!$C$26=1,10,IF(MID($E140,1,1)="2",10,0))&gt;100,100,$AK140+IF(입력란!$C$26=1,10,IF(MID($E140,1,1)="2",10,0)))/100*($AL140/100-1))</f>
        <v>172530.93739358342</v>
      </c>
      <c r="R140" s="24">
        <f t="shared" si="9"/>
        <v>398581.81359379942</v>
      </c>
      <c r="S140" s="30">
        <f>AN140*IF(입력란!$C$12=0,1,IF(입력란!$C$12=1,1.3,IF(입력란!$C$12=2,1.45,IF(입력란!$C$12=3,1.6,1))))*IF(MID(E140,3,1)="1",트라이포드!$J$11,트라이포드!$I$11)*IF(MID(E140,3,1)="2",트라이포드!$L$11,트라이포드!$K$11)*IF(입력란!$C$9=1,IF(입력란!$C$15=0,1.05,IF(입력란!$C$15=1,1.05*1.05,IF(입력란!$C$15=2,1.05*1.12,IF(입력란!$C$15=3,1.05*1.25)))),1)/IF(MID(E140,3,1)="1",7,4)</f>
        <v>76650.348768038355</v>
      </c>
      <c r="T140" s="30">
        <f t="shared" si="14"/>
        <v>76650.348768038355</v>
      </c>
      <c r="U140" s="30">
        <f t="shared" si="14"/>
        <v>76650.348768038355</v>
      </c>
      <c r="V140" s="30">
        <f t="shared" si="14"/>
        <v>76650.348768038355</v>
      </c>
      <c r="W140" s="39">
        <f t="shared" si="15"/>
        <v>0</v>
      </c>
      <c r="X140" s="39">
        <f t="shared" si="15"/>
        <v>0</v>
      </c>
      <c r="Y140" s="39">
        <f t="shared" si="15"/>
        <v>0</v>
      </c>
      <c r="Z140" s="25">
        <f>AN140*IF(입력란!$C$12=0,1,IF(입력란!$C$12=1,1.3,IF(입력란!$C$12=2,1.45,IF(입력란!$C$12=3,1.6,1))))*IF(MID(E140,5,1)="1",트라이포드!$P$11*IF(MID(E140,3,1)="1",7,4)*5,트라이포드!$O$11)</f>
        <v>91980.418521646017</v>
      </c>
      <c r="AA140" s="30">
        <f t="shared" si="10"/>
        <v>797163.62718759885</v>
      </c>
      <c r="AB140" s="30">
        <f t="shared" si="11"/>
        <v>153300.69753607671</v>
      </c>
      <c r="AC140" s="30">
        <f t="shared" si="16"/>
        <v>153300.69753607671</v>
      </c>
      <c r="AD140" s="30">
        <f t="shared" si="17"/>
        <v>153300.69753607671</v>
      </c>
      <c r="AE140" s="30">
        <f t="shared" si="18"/>
        <v>153300.69753607671</v>
      </c>
      <c r="AF140" s="30">
        <f t="shared" si="19"/>
        <v>0</v>
      </c>
      <c r="AG140" s="30">
        <f t="shared" si="20"/>
        <v>0</v>
      </c>
      <c r="AH140" s="30">
        <f t="shared" si="21"/>
        <v>0</v>
      </c>
      <c r="AI140" s="25">
        <f t="shared" si="22"/>
        <v>183960.83704329203</v>
      </c>
      <c r="AJ140" s="26">
        <f>AQ140*(1-입력란!$C$35/100)</f>
        <v>15.814512652479999</v>
      </c>
      <c r="AK1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0" s="26">
        <f>입력란!$C$47+입력란!$C$41+IF(입력란!$C$18=1,10,IF(입력란!$C$18=2,25,IF(입력란!$C$18=3,50,0)))+IF(입력란!$C$23&lt;&gt;0,-12)</f>
        <v>378.9445412</v>
      </c>
      <c r="AM140" s="30">
        <f t="shared" si="12"/>
        <v>153300.69753607671</v>
      </c>
      <c r="AN140" s="30">
        <f>(VLOOKUP(C140,$B$4:$AJ$7,9,FALSE)+VLOOKUP(C140,$B$8:$AJ$11,9,FALSE)*입력란!$C$29)*입력란!$C$48/100</f>
        <v>153300.69753607671</v>
      </c>
      <c r="AO140" s="26"/>
      <c r="AP140" s="30"/>
      <c r="AQ140" s="29">
        <v>16</v>
      </c>
    </row>
    <row r="141" spans="2:43" ht="13.5" customHeight="1" x14ac:dyDescent="0.3">
      <c r="B141" s="31">
        <v>126</v>
      </c>
      <c r="C141" s="36">
        <v>10</v>
      </c>
      <c r="D141" s="37" t="s">
        <v>144</v>
      </c>
      <c r="E141" s="38" t="s">
        <v>105</v>
      </c>
      <c r="F141" s="40" t="s">
        <v>372</v>
      </c>
      <c r="G141" s="40"/>
      <c r="H141" s="52">
        <f t="shared" si="8"/>
        <v>31217.373006947073</v>
      </c>
      <c r="I141" s="53">
        <f>SUM(J141:Q141)*IF(입력란!$C$16=1,1.04,IF(입력란!$C$16=2,1.1,IF(입력란!$C$16=3,1.2,1)))*IF(입력란!$C$21=1,1+입력란!$C$38*0.001,IF(입력란!$C$21=2,1+입력란!$C$38*0.0022,IF(입력란!$C$21=3,1+입력란!$C$38*0.0045,1)))*IF(입력란!$C$18&lt;&gt;0,0.98,1)</f>
        <v>493687.54039555212</v>
      </c>
      <c r="J141" s="30">
        <f>S141*(1+IF($AK141+IF(입력란!$C$26=1,10,0)+IF(입력란!$C$9=1,10,0)+IF(MID($E141,5,1)="2",트라이포드!R$11,0)&gt;100,100,$AK141+IF(입력란!$C$26=1,10,0)+IF(입력란!$C$9=1,10,0)+IF(MID($E141,5,1)="2",트라이포드!R$11,0))/100*(($AL141+IF(MID($E141,3,1)="3",트라이포드!$N$11,트라이포드!$M$11))/100-1))</f>
        <v>69396.814032970549</v>
      </c>
      <c r="K141" s="30">
        <f>T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83919.929656332708</v>
      </c>
      <c r="L141" s="30">
        <f>U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83919.929656332708</v>
      </c>
      <c r="M141" s="30">
        <f>V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83919.929656332708</v>
      </c>
      <c r="N141" s="30">
        <f>W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0</v>
      </c>
      <c r="O141" s="30">
        <f>X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0</v>
      </c>
      <c r="P141" s="30">
        <f>Y141*(1+IF($AK141+IF(입력란!$C$26=1,10,IF(MID($E141,1,1)="2",10,0))+IF(입력란!$C$9=1,10,0)+IF(MID($E141,5,1)="2",트라이포드!$R$11,0)&gt;100,100,$AK141+IF(입력란!$C$26=1,10,IF(MID($E141,1,1)="2",10,0))+IF(입력란!$C$9=1,10,0)+IF(MID($E141,5,1)="2",트라이포드!$R$11,0))/100*(($AL141+IF(MID($E141,3,1)="3",트라이포드!$N$11,트라이포드!$M$11))/100-1))</f>
        <v>0</v>
      </c>
      <c r="Q141" s="27">
        <f>Z141*(1+IF($AK141+IF(입력란!$C$26=1,10,IF(MID($E141,1,1)="2",10,0))&gt;100,100,$AK141+IF(입력란!$C$26=1,10,IF(MID($E141,1,1)="2",10,0)))/100*($AL141/100-1))</f>
        <v>172530.93739358342</v>
      </c>
      <c r="R141" s="24">
        <f t="shared" si="9"/>
        <v>245281.11605772271</v>
      </c>
      <c r="S141" s="30">
        <f>AN141*IF(입력란!$C$12=0,1,IF(입력란!$C$12=1,1.3,IF(입력란!$C$12=2,1.45,IF(입력란!$C$12=3,1.6,1))))*IF(MID(E141,3,1)="1",트라이포드!$J$11,트라이포드!$I$11)*IF(MID(E141,3,1)="2",트라이포드!$L$11,트라이포드!$K$11)*IF(입력란!$C$9=1,IF(입력란!$C$15=0,1.05,IF(입력란!$C$15=1,1.05*1.05,IF(입력란!$C$15=2,1.05*1.12,IF(입력란!$C$15=3,1.05*1.25)))),1)/IF(MID(E141,3,1)="1",7,4)</f>
        <v>38325.174384019178</v>
      </c>
      <c r="T141" s="30">
        <f t="shared" si="14"/>
        <v>38325.174384019178</v>
      </c>
      <c r="U141" s="30">
        <f t="shared" si="14"/>
        <v>38325.174384019178</v>
      </c>
      <c r="V141" s="30">
        <f t="shared" si="14"/>
        <v>38325.174384019178</v>
      </c>
      <c r="W141" s="39">
        <f t="shared" si="15"/>
        <v>0</v>
      </c>
      <c r="X141" s="39">
        <f t="shared" si="15"/>
        <v>0</v>
      </c>
      <c r="Y141" s="39">
        <f t="shared" si="15"/>
        <v>0</v>
      </c>
      <c r="Z141" s="25">
        <f>AN141*IF(입력란!$C$12=0,1,IF(입력란!$C$12=1,1.3,IF(입력란!$C$12=2,1.45,IF(입력란!$C$12=3,1.6,1))))*IF(MID(E141,5,1)="1",트라이포드!$P$11*IF(MID(E141,3,1)="1",7,4)*5,트라이포드!$O$11)</f>
        <v>91980.418521646017</v>
      </c>
      <c r="AA141" s="30">
        <f t="shared" si="10"/>
        <v>490562.23211544543</v>
      </c>
      <c r="AB141" s="30">
        <f t="shared" si="11"/>
        <v>76650.348768038355</v>
      </c>
      <c r="AC141" s="30">
        <f t="shared" si="16"/>
        <v>76650.348768038355</v>
      </c>
      <c r="AD141" s="30">
        <f t="shared" si="17"/>
        <v>76650.348768038355</v>
      </c>
      <c r="AE141" s="30">
        <f t="shared" si="18"/>
        <v>76650.348768038355</v>
      </c>
      <c r="AF141" s="30">
        <f t="shared" si="19"/>
        <v>0</v>
      </c>
      <c r="AG141" s="30">
        <f t="shared" si="20"/>
        <v>0</v>
      </c>
      <c r="AH141" s="30">
        <f t="shared" si="21"/>
        <v>0</v>
      </c>
      <c r="AI141" s="25">
        <f t="shared" si="22"/>
        <v>183960.83704329203</v>
      </c>
      <c r="AJ141" s="26">
        <f>AQ141*(1-입력란!$C$35/100)</f>
        <v>15.814512652479999</v>
      </c>
      <c r="AK1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1" s="26">
        <f>입력란!$C$47+입력란!$C$41+IF(입력란!$C$18=1,10,IF(입력란!$C$18=2,25,IF(입력란!$C$18=3,50,0)))+IF(입력란!$C$23&lt;&gt;0,-12)</f>
        <v>378.9445412</v>
      </c>
      <c r="AM141" s="30">
        <f t="shared" si="12"/>
        <v>153300.69753607671</v>
      </c>
      <c r="AN141" s="30">
        <f>(VLOOKUP(C141,$B$4:$AJ$7,9,FALSE)+VLOOKUP(C141,$B$8:$AJ$11,9,FALSE)*입력란!$C$29)*입력란!$C$48/100</f>
        <v>153300.69753607671</v>
      </c>
      <c r="AO141" s="26"/>
      <c r="AP141" s="30"/>
      <c r="AQ141" s="29">
        <v>16</v>
      </c>
    </row>
    <row r="142" spans="2:43" ht="13.5" customHeight="1" x14ac:dyDescent="0.3">
      <c r="B142" s="31">
        <v>127</v>
      </c>
      <c r="C142" s="36">
        <v>10</v>
      </c>
      <c r="D142" s="37" t="s">
        <v>144</v>
      </c>
      <c r="E142" s="38" t="s">
        <v>103</v>
      </c>
      <c r="F142" s="40" t="s">
        <v>375</v>
      </c>
      <c r="G142" s="40"/>
      <c r="H142" s="52">
        <f t="shared" si="8"/>
        <v>67461.493414161188</v>
      </c>
      <c r="I142" s="53">
        <f>SUM(J142:Q142)*IF(입력란!$C$16=1,1.04,IF(입력란!$C$16=2,1.1,IF(입력란!$C$16=3,1.2,1)))*IF(입력란!$C$21=1,1+입력란!$C$38*0.001,IF(입력란!$C$21=2,1+입력란!$C$38*0.0022,IF(입력란!$C$21=3,1+입력란!$C$38*0.0045,1)))*IF(입력란!$C$18&lt;&gt;0,0.98,1)</f>
        <v>1066870.6411534483</v>
      </c>
      <c r="J142" s="30">
        <f>S142*(1+IF($AK142+IF(입력란!$C$26=1,10,0)+IF(입력란!$C$9=1,10,0)+IF(MID($E142,5,1)="2",트라이포드!R$11,0)&gt;100,100,$AK142+IF(입력란!$C$26=1,10,0)+IF(입력란!$C$9=1,10,0)+IF(MID($E142,5,1)="2",트라이포드!R$11,0))/100*(($AL142+IF(MID($E142,3,1)="3",트라이포드!$N$11,트라이포드!$M$11))/100-1))</f>
        <v>250681.76301092174</v>
      </c>
      <c r="K142" s="30">
        <f>T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272062.95938084216</v>
      </c>
      <c r="L142" s="30">
        <f>U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272062.95938084216</v>
      </c>
      <c r="M142" s="30">
        <f>V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272062.95938084216</v>
      </c>
      <c r="N142" s="30">
        <f>W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0</v>
      </c>
      <c r="O142" s="30">
        <f>X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0</v>
      </c>
      <c r="P142" s="30">
        <f>Y142*(1+IF($AK142+IF(입력란!$C$26=1,10,IF(MID($E142,1,1)="2",10,0))+IF(입력란!$C$9=1,10,0)+IF(MID($E142,5,1)="2",트라이포드!$R$11,0)&gt;100,100,$AK142+IF(입력란!$C$26=1,10,IF(MID($E142,1,1)="2",10,0))+IF(입력란!$C$9=1,10,0)+IF(MID($E142,5,1)="2",트라이포드!$R$11,0))/100*(($AL142+IF(MID($E142,3,1)="3",트라이포드!$N$11,트라이포드!$M$11))/100-1))</f>
        <v>0</v>
      </c>
      <c r="Q142" s="27">
        <f>Z142*(1+IF($AK142+IF(입력란!$C$26=1,10,IF(MID($E142,1,1)="2",10,0))&gt;100,100,$AK142+IF(입력란!$C$26=1,10,IF(MID($E142,1,1)="2",10,0)))/100*($AL142/100-1))</f>
        <v>0</v>
      </c>
      <c r="R142" s="24">
        <f t="shared" si="9"/>
        <v>306601.39507215342</v>
      </c>
      <c r="S142" s="30">
        <f>AN142*IF(입력란!$C$12=0,1,IF(입력란!$C$12=1,1.3,IF(입력란!$C$12=2,1.45,IF(입력란!$C$12=3,1.6,1))))*IF(MID(E142,3,1)="1",트라이포드!$J$11,트라이포드!$I$11)*IF(MID(E142,3,1)="2",트라이포드!$L$11,트라이포드!$K$11)*IF(입력란!$C$9=1,IF(입력란!$C$15=0,1.05,IF(입력란!$C$15=1,1.05*1.05,IF(입력란!$C$15=2,1.05*1.12,IF(입력란!$C$15=3,1.05*1.25)))),1)/IF(MID(E142,3,1)="1",7,4)</f>
        <v>76650.348768038355</v>
      </c>
      <c r="T142" s="30">
        <f t="shared" si="14"/>
        <v>76650.348768038355</v>
      </c>
      <c r="U142" s="30">
        <f t="shared" si="14"/>
        <v>76650.348768038355</v>
      </c>
      <c r="V142" s="30">
        <f t="shared" si="14"/>
        <v>76650.348768038355</v>
      </c>
      <c r="W142" s="39">
        <f t="shared" si="15"/>
        <v>0</v>
      </c>
      <c r="X142" s="39">
        <f t="shared" si="15"/>
        <v>0</v>
      </c>
      <c r="Y142" s="39">
        <f t="shared" si="15"/>
        <v>0</v>
      </c>
      <c r="Z142" s="25">
        <f>AN142*IF(입력란!$C$12=0,1,IF(입력란!$C$12=1,1.3,IF(입력란!$C$12=2,1.45,IF(입력란!$C$12=3,1.6,1))))*IF(MID(E142,5,1)="1",트라이포드!$P$11*IF(MID(E142,3,1)="1",7,4)*5,트라이포드!$O$11)</f>
        <v>0</v>
      </c>
      <c r="AA142" s="30">
        <f t="shared" si="10"/>
        <v>613202.79014430684</v>
      </c>
      <c r="AB142" s="30">
        <f t="shared" si="11"/>
        <v>153300.69753607671</v>
      </c>
      <c r="AC142" s="30">
        <f t="shared" si="16"/>
        <v>153300.69753607671</v>
      </c>
      <c r="AD142" s="30">
        <f t="shared" si="17"/>
        <v>153300.69753607671</v>
      </c>
      <c r="AE142" s="30">
        <f t="shared" si="18"/>
        <v>153300.69753607671</v>
      </c>
      <c r="AF142" s="30">
        <f t="shared" si="19"/>
        <v>0</v>
      </c>
      <c r="AG142" s="30">
        <f t="shared" si="20"/>
        <v>0</v>
      </c>
      <c r="AH142" s="30">
        <f t="shared" si="21"/>
        <v>0</v>
      </c>
      <c r="AI142" s="25">
        <f t="shared" si="22"/>
        <v>0</v>
      </c>
      <c r="AJ142" s="26">
        <f>AQ142*(1-입력란!$C$35/100)</f>
        <v>15.814512652479999</v>
      </c>
      <c r="AK1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2" s="26">
        <f>입력란!$C$47+입력란!$C$41+IF(입력란!$C$18=1,10,IF(입력란!$C$18=2,25,IF(입력란!$C$18=3,50,0)))+IF(입력란!$C$23&lt;&gt;0,-12)</f>
        <v>378.9445412</v>
      </c>
      <c r="AM142" s="30">
        <f t="shared" si="12"/>
        <v>153300.69753607671</v>
      </c>
      <c r="AN142" s="30">
        <f>(VLOOKUP(C142,$B$4:$AJ$7,9,FALSE)+VLOOKUP(C142,$B$8:$AJ$11,9,FALSE)*입력란!$C$29)*입력란!$C$48/100</f>
        <v>153300.69753607671</v>
      </c>
      <c r="AO142" s="26"/>
      <c r="AP142" s="30"/>
      <c r="AQ142" s="29">
        <v>16</v>
      </c>
    </row>
    <row r="143" spans="2:43" ht="13.5" customHeight="1" x14ac:dyDescent="0.3">
      <c r="B143" s="31">
        <v>128</v>
      </c>
      <c r="C143" s="36">
        <v>10</v>
      </c>
      <c r="D143" s="37" t="s">
        <v>144</v>
      </c>
      <c r="E143" s="38" t="s">
        <v>106</v>
      </c>
      <c r="F143" s="40"/>
      <c r="G143" s="40"/>
      <c r="H143" s="52">
        <f t="shared" si="8"/>
        <v>42347.898584003298</v>
      </c>
      <c r="I143" s="53">
        <f>SUM(J143:Q143)*IF(입력란!$C$16=1,1.04,IF(입력란!$C$16=2,1.1,IF(입력란!$C$16=3,1.2,1)))*IF(입력란!$C$21=1,1+입력란!$C$38*0.001,IF(입력란!$C$21=2,1+입력란!$C$38*0.0022,IF(입력란!$C$21=3,1+입력란!$C$38*0.0045,1)))*IF(입력란!$C$18&lt;&gt;0,0.98,1)</f>
        <v>669711.37796266004</v>
      </c>
      <c r="J143" s="30">
        <f>S143*(1+IF($AK143+IF(입력란!$C$26=1,10,0)+IF(입력란!$C$9=1,10,0)+IF(MID($E143,5,1)="2",트라이포드!R$11,0)&gt;100,100,$AK143+IF(입력란!$C$26=1,10,0)+IF(입력란!$C$9=1,10,0)+IF(MID($E143,5,1)="2",트라이포드!R$11,0))/100*(($AL143+IF(MID($E143,3,1)="3",트라이포드!$N$11,트라이포드!$M$11))/100-1))</f>
        <v>156535.50777314338</v>
      </c>
      <c r="K143" s="30">
        <f>T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171058.62339650554</v>
      </c>
      <c r="L143" s="30">
        <f>U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171058.62339650554</v>
      </c>
      <c r="M143" s="30">
        <f>V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171058.62339650554</v>
      </c>
      <c r="N143" s="30">
        <f>W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0</v>
      </c>
      <c r="O143" s="30">
        <f>X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0</v>
      </c>
      <c r="P143" s="30">
        <f>Y143*(1+IF($AK143+IF(입력란!$C$26=1,10,IF(MID($E143,1,1)="2",10,0))+IF(입력란!$C$9=1,10,0)+IF(MID($E143,5,1)="2",트라이포드!$R$11,0)&gt;100,100,$AK143+IF(입력란!$C$26=1,10,IF(MID($E143,1,1)="2",10,0))+IF(입력란!$C$9=1,10,0)+IF(MID($E143,5,1)="2",트라이포드!$R$11,0))/100*(($AL143+IF(MID($E143,3,1)="3",트라이포드!$N$11,트라이포드!$M$11))/100-1))</f>
        <v>0</v>
      </c>
      <c r="Q143" s="27">
        <f>Z143*(1+IF($AK143+IF(입력란!$C$26=1,10,IF(MID($E143,1,1)="2",10,0))&gt;100,100,$AK143+IF(입력란!$C$26=1,10,IF(MID($E143,1,1)="2",10,0)))/100*($AL143/100-1))</f>
        <v>0</v>
      </c>
      <c r="R143" s="24">
        <f t="shared" si="9"/>
        <v>153300.69753607671</v>
      </c>
      <c r="S143" s="30">
        <f>AN143*IF(입력란!$C$12=0,1,IF(입력란!$C$12=1,1.3,IF(입력란!$C$12=2,1.45,IF(입력란!$C$12=3,1.6,1))))*IF(MID(E143,3,1)="1",트라이포드!$J$11,트라이포드!$I$11)*IF(MID(E143,3,1)="2",트라이포드!$L$11,트라이포드!$K$11)*IF(입력란!$C$9=1,IF(입력란!$C$15=0,1.05,IF(입력란!$C$15=1,1.05*1.05,IF(입력란!$C$15=2,1.05*1.12,IF(입력란!$C$15=3,1.05*1.25)))),1)/IF(MID(E143,3,1)="1",7,4)</f>
        <v>38325.174384019178</v>
      </c>
      <c r="T143" s="30">
        <f t="shared" si="14"/>
        <v>38325.174384019178</v>
      </c>
      <c r="U143" s="30">
        <f t="shared" si="14"/>
        <v>38325.174384019178</v>
      </c>
      <c r="V143" s="30">
        <f t="shared" si="14"/>
        <v>38325.174384019178</v>
      </c>
      <c r="W143" s="39">
        <f t="shared" si="15"/>
        <v>0</v>
      </c>
      <c r="X143" s="39">
        <f t="shared" si="15"/>
        <v>0</v>
      </c>
      <c r="Y143" s="39">
        <f t="shared" si="15"/>
        <v>0</v>
      </c>
      <c r="Z143" s="25">
        <f>AN143*IF(입력란!$C$12=0,1,IF(입력란!$C$12=1,1.3,IF(입력란!$C$12=2,1.45,IF(입력란!$C$12=3,1.6,1))))*IF(MID(E143,5,1)="1",트라이포드!$P$11*IF(MID(E143,3,1)="1",7,4)*5,트라이포드!$O$11)</f>
        <v>0</v>
      </c>
      <c r="AA143" s="30">
        <f t="shared" si="10"/>
        <v>306601.39507215342</v>
      </c>
      <c r="AB143" s="30">
        <f t="shared" si="11"/>
        <v>76650.348768038355</v>
      </c>
      <c r="AC143" s="30">
        <f t="shared" si="16"/>
        <v>76650.348768038355</v>
      </c>
      <c r="AD143" s="30">
        <f t="shared" si="17"/>
        <v>76650.348768038355</v>
      </c>
      <c r="AE143" s="30">
        <f t="shared" si="18"/>
        <v>76650.348768038355</v>
      </c>
      <c r="AF143" s="30">
        <f t="shared" si="19"/>
        <v>0</v>
      </c>
      <c r="AG143" s="30">
        <f t="shared" si="20"/>
        <v>0</v>
      </c>
      <c r="AH143" s="30">
        <f t="shared" si="21"/>
        <v>0</v>
      </c>
      <c r="AI143" s="25">
        <f t="shared" si="22"/>
        <v>0</v>
      </c>
      <c r="AJ143" s="26">
        <f>AQ143*(1-입력란!$C$35/100)</f>
        <v>15.814512652479999</v>
      </c>
      <c r="AK1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3" s="26">
        <f>입력란!$C$47+입력란!$C$41+IF(입력란!$C$18=1,10,IF(입력란!$C$18=2,25,IF(입력란!$C$18=3,50,0)))+IF(입력란!$C$23&lt;&gt;0,-12)</f>
        <v>378.9445412</v>
      </c>
      <c r="AM143" s="30">
        <f t="shared" si="12"/>
        <v>153300.69753607671</v>
      </c>
      <c r="AN143" s="30">
        <f>(VLOOKUP(C143,$B$4:$AJ$7,9,FALSE)+VLOOKUP(C143,$B$8:$AJ$11,9,FALSE)*입력란!$C$29)*입력란!$C$48/100</f>
        <v>153300.69753607671</v>
      </c>
      <c r="AO143" s="26"/>
      <c r="AP143" s="30"/>
      <c r="AQ143" s="29">
        <v>16</v>
      </c>
    </row>
    <row r="144" spans="2:43" ht="13.5" customHeight="1" x14ac:dyDescent="0.3">
      <c r="B144" s="31">
        <v>129</v>
      </c>
      <c r="C144" s="36">
        <v>1</v>
      </c>
      <c r="D144" s="37" t="s">
        <v>159</v>
      </c>
      <c r="E144" s="38" t="s">
        <v>96</v>
      </c>
      <c r="F144" s="40"/>
      <c r="G144" s="40"/>
      <c r="H144" s="52">
        <f t="shared" ref="H144:H207" si="23">I144/AJ144</f>
        <v>15231.556732894998</v>
      </c>
      <c r="I144" s="53">
        <f>SUM(J144:Q144)*IF(입력란!$C$16=1,1.04,IF(입력란!$C$16=2,1.1,IF(입력란!$C$16=3,1.2,1)))*IF(입력란!$C$21=1,1+입력란!$C$38*0.001,IF(입력란!$C$21=2,1+입력란!$C$38*0.0022,IF(입력란!$C$21=3,1+입력란!$C$38*0.0045,1)))*IF(입력란!$C$18&lt;&gt;0,0.98,1)</f>
        <v>361319.47000400233</v>
      </c>
      <c r="J144" s="30">
        <f>S144*(1+IF($AK144+IF(입력란!$C$9=1,10,0)+IF(입력란!$C$26=1,10,0)+IF(MID(E144,1,1)="3",트라이포드!H$12,0)&gt;100,100,$AK144+IF(입력란!$C$9=1,10,0)+IF(입력란!$C$26=1,10,0)+IF(MID(E144,1,1)="3",트라이포드!H$12,0))/100*(($AL144+IF(MID(E144,5,1)="2",트라이포드!R$12,0))/100-1))</f>
        <v>231246.68071763654</v>
      </c>
      <c r="K144" s="30">
        <f>T144*(1+IF($AK144+IF(입력란!$C$26=1,10,0)+IF(입력란!$C$9=1,10,0)&gt;100,100,$AK144+IF(입력란!$C$26=1,10,0)+IF(입력란!$C$9=1,10,0))/100*($AL144/100-1))</f>
        <v>130072.78928636578</v>
      </c>
      <c r="L144" s="30"/>
      <c r="M144" s="30"/>
      <c r="N144" s="39"/>
      <c r="O144" s="39"/>
      <c r="P144" s="39"/>
      <c r="Q144" s="27">
        <f>Z144*(1+IF($AK144+IF(입력란!$C$26=1,10,0)&gt;100,100,$AK144+IF(입력란!$C$26=1,10,0))/100*($AL144/100-1))</f>
        <v>0</v>
      </c>
      <c r="R144" s="24">
        <f t="shared" ref="R144:R207" si="24">SUM(S144:Z144)</f>
        <v>226278.50275967241</v>
      </c>
      <c r="S144" s="30">
        <f>AN144*IF(입력란!$C$12=0,1,IF(입력란!$C$12=1,1.3,IF(입력란!$C$12=2,1.45,IF(입력란!$C$12=3,1.6,1))))*IF(MID(E144,5,1)="2",트라이포드!$Q$12,1)*IF(입력란!$C$9=1,IF(입력란!$C$15=0,1.05,IF(입력란!$C$15=1,1.05*1.05,IF(입력란!$C$15=2,1.05*1.12,IF(입력란!$C$15=3,1.05*1.25)))),1)</f>
        <v>144819.63200142852</v>
      </c>
      <c r="T144" s="30">
        <f>AO144*IF(입력란!$C$12=0,1,IF(입력란!$C$12=1,1.3,IF(입력란!$C$12=2,1.45,IF(입력란!$C$12=3,1.6,1))))*IF(MID(E144,3,1)="1",트라이포드!$J$12,트라이포드!$I$12)*IF(MID(E144,3,1)="3",트라이포드!$N$12,트라이포드!$M$12)*IF(입력란!$C$9=1,IF(입력란!$C$15=0,1.05,IF(입력란!$C$15=1,1.05*1.05,IF(입력란!$C$15=2,1.05*1.12,IF(입력란!$C$15=3,1.05*1.25)))),1)</f>
        <v>81458.870758243895</v>
      </c>
      <c r="U144" s="30"/>
      <c r="V144" s="30"/>
      <c r="W144" s="39"/>
      <c r="X144" s="39"/>
      <c r="Y144" s="39"/>
      <c r="Z144" s="25">
        <f>AO144*IF(입력란!$C$12=0,1,IF(입력란!$C$12=1,1.3,IF(입력란!$C$12=2,1.45,IF(입력란!$C$12=3,1.6,1))))*IF(MID(E144,3,1)="1",0.6,0)</f>
        <v>0</v>
      </c>
      <c r="AA144" s="30">
        <f t="shared" ref="AA144:AA207" si="25">SUM(AB144:AI144)</f>
        <v>452557.00551934482</v>
      </c>
      <c r="AB144" s="30">
        <f t="shared" ref="AB144:AB207" si="26">S144*2</f>
        <v>289639.26400285703</v>
      </c>
      <c r="AC144" s="30">
        <f t="shared" ref="AC144:AC207" si="27">T144*2</f>
        <v>162917.74151648779</v>
      </c>
      <c r="AD144" s="30"/>
      <c r="AE144" s="30"/>
      <c r="AF144" s="39"/>
      <c r="AG144" s="39"/>
      <c r="AH144" s="39"/>
      <c r="AI144" s="25">
        <f t="shared" si="22"/>
        <v>0</v>
      </c>
      <c r="AJ144" s="26">
        <f>AQ144*(1-입력란!$C$35/100)</f>
        <v>23.72176897872</v>
      </c>
      <c r="AK1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4" s="26">
        <f>입력란!$C$47+입력란!$C$41+IF(입력란!$C$18=1,10,IF(입력란!$C$18=2,25,IF(입력란!$C$18=3,50,0)))+IF(입력란!$C$23&lt;&gt;0,-12)</f>
        <v>378.9445412</v>
      </c>
      <c r="AM144" s="30">
        <f t="shared" ref="AM144:AM207" si="28">SUM(AN144:AP144)</f>
        <v>226278.50275967241</v>
      </c>
      <c r="AN144" s="30">
        <f>(VLOOKUP(C144,$B$4:$AJ$7,10,FALSE)+VLOOKUP(C144,$B$8:$AJ$11,10,FALSE)*입력란!$C$29)*입력란!$C$48/100</f>
        <v>144819.63200142852</v>
      </c>
      <c r="AO144" s="30">
        <f>(VLOOKUP(C144,$B$4:$AJ$7,11,FALSE)+VLOOKUP(C144,$B$8:$AJ$11,11,FALSE)*입력란!$C$29)*입력란!$C$48/100</f>
        <v>81458.870758243895</v>
      </c>
      <c r="AP144" s="30"/>
      <c r="AQ144" s="29">
        <v>24</v>
      </c>
    </row>
    <row r="145" spans="2:43" ht="13.5" customHeight="1" x14ac:dyDescent="0.3">
      <c r="B145" s="31">
        <v>130</v>
      </c>
      <c r="C145" s="36">
        <v>4</v>
      </c>
      <c r="D145" s="37" t="s">
        <v>160</v>
      </c>
      <c r="E145" s="38" t="s">
        <v>96</v>
      </c>
      <c r="F145" s="40"/>
      <c r="G145" s="40"/>
      <c r="H145" s="52">
        <f t="shared" si="23"/>
        <v>15265.024914428968</v>
      </c>
      <c r="I145" s="53">
        <f>SUM(J145:Q145)*IF(입력란!$C$16=1,1.04,IF(입력란!$C$16=2,1.1,IF(입력란!$C$16=3,1.2,1)))*IF(입력란!$C$21=1,1+입력란!$C$38*0.001,IF(입력란!$C$21=2,1+입력란!$C$38*0.0022,IF(입력란!$C$21=3,1+입력란!$C$38*0.0045,1)))*IF(입력란!$C$18&lt;&gt;0,0.98,1)</f>
        <v>362113.39447448903</v>
      </c>
      <c r="J145" s="30">
        <f>S145*(1+IF($AK145+IF(입력란!$C$9=1,10,0)+IF(입력란!$C$26=1,10,0)+IF(MID(E145,1,1)="3",트라이포드!H$12,0)&gt;100,100,$AK145+IF(입력란!$C$9=1,10,0)+IF(입력란!$C$26=1,10,0)+IF(MID(E145,1,1)="3",트라이포드!H$12,0))/100*(($AL145+IF(MID(E145,5,1)="2",트라이포드!R$12,0))/100-1))</f>
        <v>231758.29254455515</v>
      </c>
      <c r="K145" s="30">
        <f>T145*(1+IF($AK145+IF(입력란!$C$26=1,10,0)+IF(입력란!$C$9=1,10,0)&gt;100,100,$AK145+IF(입력란!$C$26=1,10,0)+IF(입력란!$C$9=1,10,0))/100*($AL145/100-1))</f>
        <v>130355.10192993385</v>
      </c>
      <c r="L145" s="30"/>
      <c r="M145" s="30"/>
      <c r="N145" s="39"/>
      <c r="O145" s="39"/>
      <c r="P145" s="39"/>
      <c r="Q145" s="27">
        <f>Z145*(1+IF($AK145+IF(입력란!$C$26=1,10,0)&gt;100,100,$AK145+IF(입력란!$C$26=1,10,0))/100*($AL145/100-1))</f>
        <v>0</v>
      </c>
      <c r="R145" s="24">
        <f t="shared" si="24"/>
        <v>226775.70275967242</v>
      </c>
      <c r="S145" s="30">
        <f>AN145*IF(입력란!$C$12=0,1,IF(입력란!$C$12=1,1.3,IF(입력란!$C$12=2,1.45,IF(입력란!$C$12=3,1.6,1))))*IF(MID(E145,5,1)="2",트라이포드!$Q$12,1)*IF(입력란!$C$9=1,IF(입력란!$C$15=0,1.05,IF(입력란!$C$15=1,1.05*1.05,IF(입력란!$C$15=2,1.05*1.12,IF(입력란!$C$15=3,1.05*1.25)))),1)</f>
        <v>145140.03200142851</v>
      </c>
      <c r="T145" s="30">
        <f>AO145*IF(입력란!$C$12=0,1,IF(입력란!$C$12=1,1.3,IF(입력란!$C$12=2,1.45,IF(입력란!$C$12=3,1.6,1))))*IF(MID(E145,3,1)="1",트라이포드!$J$12,트라이포드!$I$12)*IF(MID(E145,3,1)="3",트라이포드!$N$12,트라이포드!$M$12)*IF(입력란!$C$9=1,IF(입력란!$C$15=0,1.05,IF(입력란!$C$15=1,1.05*1.05,IF(입력란!$C$15=2,1.05*1.12,IF(입력란!$C$15=3,1.05*1.25)))),1)</f>
        <v>81635.670758243898</v>
      </c>
      <c r="U145" s="30"/>
      <c r="V145" s="30"/>
      <c r="W145" s="39"/>
      <c r="X145" s="39"/>
      <c r="Y145" s="39"/>
      <c r="Z145" s="25">
        <f>AO145*IF(입력란!$C$12=0,1,IF(입력란!$C$12=1,1.3,IF(입력란!$C$12=2,1.45,IF(입력란!$C$12=3,1.6,1))))*IF(MID(E145,3,1)="1",0.6,0)</f>
        <v>0</v>
      </c>
      <c r="AA145" s="30">
        <f t="shared" si="25"/>
        <v>453551.40551934484</v>
      </c>
      <c r="AB145" s="30">
        <f t="shared" si="26"/>
        <v>290280.06400285702</v>
      </c>
      <c r="AC145" s="30">
        <f t="shared" si="27"/>
        <v>163271.3415164878</v>
      </c>
      <c r="AD145" s="30"/>
      <c r="AE145" s="30"/>
      <c r="AF145" s="39"/>
      <c r="AG145" s="39"/>
      <c r="AH145" s="39"/>
      <c r="AI145" s="25">
        <f t="shared" si="22"/>
        <v>0</v>
      </c>
      <c r="AJ145" s="26">
        <f>AQ145*(1-입력란!$C$35/100)</f>
        <v>23.72176897872</v>
      </c>
      <c r="AK14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5" s="26">
        <f>입력란!$C$47+입력란!$C$41+IF(입력란!$C$18=1,10,IF(입력란!$C$18=2,25,IF(입력란!$C$18=3,50,0)))+IF(입력란!$C$23&lt;&gt;0,-12)</f>
        <v>378.9445412</v>
      </c>
      <c r="AM145" s="30">
        <f t="shared" si="28"/>
        <v>226775.70275967242</v>
      </c>
      <c r="AN145" s="30">
        <f>(VLOOKUP(C145,$B$4:$AJ$7,10,FALSE)+VLOOKUP(C145,$B$8:$AJ$11,10,FALSE)*입력란!$C$29)*입력란!$C$48/100</f>
        <v>145140.03200142851</v>
      </c>
      <c r="AO145" s="30">
        <f>(VLOOKUP(C145,$B$4:$AJ$7,11,FALSE)+VLOOKUP(C145,$B$8:$AJ$11,11,FALSE)*입력란!$C$29)*입력란!$C$48/100</f>
        <v>81635.670758243898</v>
      </c>
      <c r="AP145" s="30"/>
      <c r="AQ145" s="29">
        <v>24</v>
      </c>
    </row>
    <row r="146" spans="2:43" ht="13.5" customHeight="1" x14ac:dyDescent="0.3">
      <c r="B146" s="31">
        <v>131</v>
      </c>
      <c r="C146" s="36">
        <v>4</v>
      </c>
      <c r="D146" s="37" t="s">
        <v>160</v>
      </c>
      <c r="E146" s="38" t="s">
        <v>97</v>
      </c>
      <c r="F146" s="40"/>
      <c r="G146" s="40"/>
      <c r="H146" s="52">
        <f t="shared" si="23"/>
        <v>22091.837817414478</v>
      </c>
      <c r="I146" s="53">
        <f>SUM(J146:Q146)*IF(입력란!$C$16=1,1.04,IF(입력란!$C$16=2,1.1,IF(입력란!$C$16=3,1.2,1)))*IF(입력란!$C$21=1,1+입력란!$C$38*0.001,IF(입력란!$C$21=2,1+입력란!$C$38*0.0022,IF(입력란!$C$21=3,1+입력란!$C$38*0.0045,1)))*IF(입력란!$C$18&lt;&gt;0,0.98,1)</f>
        <v>524057.47302005615</v>
      </c>
      <c r="J146" s="30">
        <f>S146*(1+IF($AK146+IF(입력란!$C$9=1,10,0)+IF(입력란!$C$26=1,10,0)+IF(MID(E146,1,1)="3",트라이포드!H$12,0)&gt;100,100,$AK146+IF(입력란!$C$9=1,10,0)+IF(입력란!$C$26=1,10,0)+IF(MID(E146,1,1)="3",트라이포드!H$12,0))/100*(($AL146+IF(MID(E146,5,1)="2",트라이포드!R$12,0))/100-1))</f>
        <v>393702.37109012232</v>
      </c>
      <c r="K146" s="30">
        <f>T146*(1+IF($AK146+IF(입력란!$C$26=1,10,0)+IF(입력란!$C$9=1,10,0)&gt;100,100,$AK146+IF(입력란!$C$26=1,10,0)+IF(입력란!$C$9=1,10,0))/100*($AL146/100-1))</f>
        <v>130355.10192993385</v>
      </c>
      <c r="L146" s="30"/>
      <c r="M146" s="30"/>
      <c r="N146" s="39"/>
      <c r="O146" s="39"/>
      <c r="P146" s="39"/>
      <c r="Q146" s="27">
        <f>Z146*(1+IF($AK146+IF(입력란!$C$26=1,10,0)&gt;100,100,$AK146+IF(입력란!$C$26=1,10,0))/100*($AL146/100-1))</f>
        <v>0</v>
      </c>
      <c r="R146" s="24">
        <f t="shared" si="24"/>
        <v>226775.70275967242</v>
      </c>
      <c r="S146" s="30">
        <f>AN146*IF(입력란!$C$12=0,1,IF(입력란!$C$12=1,1.3,IF(입력란!$C$12=2,1.45,IF(입력란!$C$12=3,1.6,1))))*IF(MID(E146,5,1)="2",트라이포드!$Q$12,1)*IF(입력란!$C$9=1,IF(입력란!$C$15=0,1.05,IF(입력란!$C$15=1,1.05*1.05,IF(입력란!$C$15=2,1.05*1.12,IF(입력란!$C$15=3,1.05*1.25)))),1)</f>
        <v>145140.03200142851</v>
      </c>
      <c r="T146" s="30">
        <f>AO146*IF(입력란!$C$12=0,1,IF(입력란!$C$12=1,1.3,IF(입력란!$C$12=2,1.45,IF(입력란!$C$12=3,1.6,1))))*IF(MID(E146,3,1)="1",트라이포드!$J$12,트라이포드!$I$12)*IF(MID(E146,3,1)="3",트라이포드!$N$12,트라이포드!$M$12)*IF(입력란!$C$9=1,IF(입력란!$C$15=0,1.05,IF(입력란!$C$15=1,1.05*1.05,IF(입력란!$C$15=2,1.05*1.12,IF(입력란!$C$15=3,1.05*1.25)))),1)</f>
        <v>81635.670758243898</v>
      </c>
      <c r="U146" s="30"/>
      <c r="V146" s="30"/>
      <c r="W146" s="39"/>
      <c r="X146" s="39"/>
      <c r="Y146" s="39"/>
      <c r="Z146" s="25">
        <f>AO146*IF(입력란!$C$12=0,1,IF(입력란!$C$12=1,1.3,IF(입력란!$C$12=2,1.45,IF(입력란!$C$12=3,1.6,1))))*IF(MID(E146,3,1)="1",0.6,0)</f>
        <v>0</v>
      </c>
      <c r="AA146" s="30">
        <f t="shared" si="25"/>
        <v>453551.40551934484</v>
      </c>
      <c r="AB146" s="30">
        <f t="shared" si="26"/>
        <v>290280.06400285702</v>
      </c>
      <c r="AC146" s="30">
        <f t="shared" si="27"/>
        <v>163271.3415164878</v>
      </c>
      <c r="AD146" s="30"/>
      <c r="AE146" s="30"/>
      <c r="AF146" s="39"/>
      <c r="AG146" s="39"/>
      <c r="AH146" s="39"/>
      <c r="AI146" s="25">
        <f t="shared" si="22"/>
        <v>0</v>
      </c>
      <c r="AJ146" s="26">
        <f>AQ146*(1-입력란!$C$35/100)</f>
        <v>23.72176897872</v>
      </c>
      <c r="AK14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6" s="26">
        <f>입력란!$C$47+입력란!$C$41+IF(입력란!$C$18=1,10,IF(입력란!$C$18=2,25,IF(입력란!$C$18=3,50,0)))+IF(입력란!$C$23&lt;&gt;0,-12)</f>
        <v>378.9445412</v>
      </c>
      <c r="AM146" s="30">
        <f t="shared" si="28"/>
        <v>226775.70275967242</v>
      </c>
      <c r="AN146" s="30">
        <f>(VLOOKUP(C146,$B$4:$AJ$7,10,FALSE)+VLOOKUP(C146,$B$8:$AJ$11,10,FALSE)*입력란!$C$29)*입력란!$C$48/100</f>
        <v>145140.03200142851</v>
      </c>
      <c r="AO146" s="30">
        <f>(VLOOKUP(C146,$B$4:$AJ$7,11,FALSE)+VLOOKUP(C146,$B$8:$AJ$11,11,FALSE)*입력란!$C$29)*입력란!$C$48/100</f>
        <v>81635.670758243898</v>
      </c>
      <c r="AP146" s="30"/>
      <c r="AQ146" s="29">
        <v>24</v>
      </c>
    </row>
    <row r="147" spans="2:43" ht="13.5" customHeight="1" x14ac:dyDescent="0.3">
      <c r="B147" s="31">
        <v>132</v>
      </c>
      <c r="C147" s="36">
        <v>7</v>
      </c>
      <c r="D147" s="37" t="s">
        <v>160</v>
      </c>
      <c r="E147" s="38" t="s">
        <v>96</v>
      </c>
      <c r="F147" s="40"/>
      <c r="G147" s="40"/>
      <c r="H147" s="52">
        <f t="shared" si="23"/>
        <v>15280.480052160663</v>
      </c>
      <c r="I147" s="53">
        <f>SUM(J147:Q147)*IF(입력란!$C$16=1,1.04,IF(입력란!$C$16=2,1.1,IF(입력란!$C$16=3,1.2,1)))*IF(입력란!$C$21=1,1+입력란!$C$38*0.001,IF(입력란!$C$21=2,1+입력란!$C$38*0.0022,IF(입력란!$C$21=3,1+입력란!$C$38*0.0045,1)))*IF(입력란!$C$18&lt;&gt;0,0.98,1)</f>
        <v>362480.01768129459</v>
      </c>
      <c r="J147" s="30">
        <f>S147*(1+IF($AK147+IF(입력란!$C$9=1,10,0)+IF(입력란!$C$26=1,10,0)+IF(MID(E147,1,1)="3",트라이포드!H$12,0)&gt;100,100,$AK147+IF(입력란!$C$9=1,10,0)+IF(입력란!$C$26=1,10,0)+IF(MID(E147,1,1)="3",트라이포드!H$12,0))/100*(($AL147+IF(MID(E147,5,1)="2",트라이포드!R$12,0))/100-1))</f>
        <v>231993.97889178732</v>
      </c>
      <c r="K147" s="30">
        <f>T147*(1+IF($AK147+IF(입력란!$C$26=1,10,0)+IF(입력란!$C$9=1,10,0)&gt;100,100,$AK147+IF(입력란!$C$26=1,10,0)+IF(입력란!$C$9=1,10,0))/100*($AL147/100-1))</f>
        <v>130486.03878950728</v>
      </c>
      <c r="L147" s="30"/>
      <c r="M147" s="30"/>
      <c r="N147" s="39"/>
      <c r="O147" s="39"/>
      <c r="P147" s="39"/>
      <c r="Q147" s="27">
        <f>Z147*(1+IF($AK147+IF(입력란!$C$26=1,10,0)&gt;100,100,$AK147+IF(입력란!$C$26=1,10,0))/100*($AL147/100-1))</f>
        <v>0</v>
      </c>
      <c r="R147" s="24">
        <f t="shared" si="24"/>
        <v>227005.3027596724</v>
      </c>
      <c r="S147" s="30">
        <f>AN147*IF(입력란!$C$12=0,1,IF(입력란!$C$12=1,1.3,IF(입력란!$C$12=2,1.45,IF(입력란!$C$12=3,1.6,1))))*IF(MID(E147,5,1)="2",트라이포드!$Q$12,1)*IF(입력란!$C$9=1,IF(입력란!$C$15=0,1.05,IF(입력란!$C$15=1,1.05*1.05,IF(입력란!$C$15=2,1.05*1.12,IF(입력란!$C$15=3,1.05*1.25)))),1)</f>
        <v>145287.63200142852</v>
      </c>
      <c r="T147" s="30">
        <f>AO147*IF(입력란!$C$12=0,1,IF(입력란!$C$12=1,1.3,IF(입력란!$C$12=2,1.45,IF(입력란!$C$12=3,1.6,1))))*IF(MID(E147,3,1)="1",트라이포드!$J$12,트라이포드!$I$12)*IF(MID(E147,3,1)="3",트라이포드!$N$12,트라이포드!$M$12)*IF(입력란!$C$9=1,IF(입력란!$C$15=0,1.05,IF(입력란!$C$15=1,1.05*1.05,IF(입력란!$C$15=2,1.05*1.12,IF(입력란!$C$15=3,1.05*1.25)))),1)</f>
        <v>81717.670758243898</v>
      </c>
      <c r="U147" s="30"/>
      <c r="V147" s="30"/>
      <c r="W147" s="39"/>
      <c r="X147" s="39"/>
      <c r="Y147" s="39"/>
      <c r="Z147" s="25">
        <f>AO147*IF(입력란!$C$12=0,1,IF(입력란!$C$12=1,1.3,IF(입력란!$C$12=2,1.45,IF(입력란!$C$12=3,1.6,1))))*IF(MID(E147,3,1)="1",0.6,0)</f>
        <v>0</v>
      </c>
      <c r="AA147" s="30">
        <f t="shared" si="25"/>
        <v>454010.6055193448</v>
      </c>
      <c r="AB147" s="30">
        <f t="shared" si="26"/>
        <v>290575.26400285703</v>
      </c>
      <c r="AC147" s="30">
        <f t="shared" si="27"/>
        <v>163435.3415164878</v>
      </c>
      <c r="AD147" s="30"/>
      <c r="AE147" s="30"/>
      <c r="AF147" s="39"/>
      <c r="AG147" s="39"/>
      <c r="AH147" s="39"/>
      <c r="AI147" s="25">
        <f t="shared" si="22"/>
        <v>0</v>
      </c>
      <c r="AJ147" s="26">
        <f>AQ147*(1-입력란!$C$35/100)</f>
        <v>23.72176897872</v>
      </c>
      <c r="AK14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7" s="26">
        <f>입력란!$C$47+입력란!$C$41+IF(입력란!$C$18=1,10,IF(입력란!$C$18=2,25,IF(입력란!$C$18=3,50,0)))+IF(입력란!$C$23&lt;&gt;0,-12)</f>
        <v>378.9445412</v>
      </c>
      <c r="AM147" s="30">
        <f t="shared" si="28"/>
        <v>227005.3027596724</v>
      </c>
      <c r="AN147" s="30">
        <f>(VLOOKUP(C147,$B$4:$AJ$7,10,FALSE)+VLOOKUP(C147,$B$8:$AJ$11,10,FALSE)*입력란!$C$29)*입력란!$C$48/100</f>
        <v>145287.63200142852</v>
      </c>
      <c r="AO147" s="30">
        <f>(VLOOKUP(C147,$B$4:$AJ$7,11,FALSE)+VLOOKUP(C147,$B$8:$AJ$11,11,FALSE)*입력란!$C$29)*입력란!$C$48/100</f>
        <v>81717.670758243898</v>
      </c>
      <c r="AP147" s="30"/>
      <c r="AQ147" s="29">
        <v>24</v>
      </c>
    </row>
    <row r="148" spans="2:43" ht="13.5" customHeight="1" x14ac:dyDescent="0.3">
      <c r="B148" s="31">
        <v>133</v>
      </c>
      <c r="C148" s="36">
        <v>7</v>
      </c>
      <c r="D148" s="37" t="s">
        <v>160</v>
      </c>
      <c r="E148" s="38" t="s">
        <v>161</v>
      </c>
      <c r="F148" s="40" t="s">
        <v>221</v>
      </c>
      <c r="G148" s="40"/>
      <c r="H148" s="52">
        <f t="shared" si="23"/>
        <v>20231.098828353355</v>
      </c>
      <c r="I148" s="53">
        <f>SUM(J148:Q148)*IF(입력란!$C$16=1,1.04,IF(입력란!$C$16=2,1.1,IF(입력란!$C$16=3,1.2,1)))*IF(입력란!$C$21=1,1+입력란!$C$38*0.001,IF(입력란!$C$21=2,1+입력란!$C$38*0.0022,IF(입력란!$C$21=3,1+입력란!$C$38*0.0045,1)))*IF(입력란!$C$18&lt;&gt;0,0.98,1)</f>
        <v>479917.45259185118</v>
      </c>
      <c r="J148" s="30">
        <f>S148*(1+IF($AK148+IF(입력란!$C$9=1,10,0)+IF(입력란!$C$26=1,10,0)+IF(MID(E148,1,1)="3",트라이포드!H$12,0)&gt;100,100,$AK148+IF(입력란!$C$9=1,10,0)+IF(입력란!$C$26=1,10,0)+IF(MID(E148,1,1)="3",트라이포드!H$12,0))/100*(($AL148+IF(MID(E148,5,1)="2",트라이포드!R$12,0))/100-1))</f>
        <v>231993.97889178732</v>
      </c>
      <c r="K148" s="30">
        <f>T148*(1+IF($AK148+IF(입력란!$C$26=1,10,0)+IF(입력란!$C$9=1,10,0)&gt;100,100,$AK148+IF(입력란!$C$26=1,10,0)+IF(입력란!$C$9=1,10,0))/100*($AL148/100-1))</f>
        <v>169631.85042635948</v>
      </c>
      <c r="L148" s="30"/>
      <c r="M148" s="30"/>
      <c r="N148" s="39"/>
      <c r="O148" s="39"/>
      <c r="P148" s="39"/>
      <c r="Q148" s="27">
        <f>Z148*(1+IF($AK148+IF(입력란!$C$26=1,10,0)&gt;100,100,$AK148+IF(입력란!$C$26=1,10,0))/100*($AL148/100-1))</f>
        <v>78291.623273704376</v>
      </c>
      <c r="R148" s="24">
        <f t="shared" si="24"/>
        <v>300551.20644209191</v>
      </c>
      <c r="S148" s="30">
        <f>AN148*IF(입력란!$C$12=0,1,IF(입력란!$C$12=1,1.3,IF(입력란!$C$12=2,1.45,IF(입력란!$C$12=3,1.6,1))))*IF(MID(E148,5,1)="2",트라이포드!$Q$12,1)*IF(입력란!$C$9=1,IF(입력란!$C$15=0,1.05,IF(입력란!$C$15=1,1.05*1.05,IF(입력란!$C$15=2,1.05*1.12,IF(입력란!$C$15=3,1.05*1.25)))),1)</f>
        <v>145287.63200142852</v>
      </c>
      <c r="T148" s="30">
        <f>AO148*IF(입력란!$C$12=0,1,IF(입력란!$C$12=1,1.3,IF(입력란!$C$12=2,1.45,IF(입력란!$C$12=3,1.6,1))))*IF(MID(E148,3,1)="1",트라이포드!$J$12,트라이포드!$I$12)*IF(MID(E148,3,1)="3",트라이포드!$N$12,트라이포드!$M$12)*IF(입력란!$C$9=1,IF(입력란!$C$15=0,1.05,IF(입력란!$C$15=1,1.05*1.05,IF(입력란!$C$15=2,1.05*1.12,IF(입력란!$C$15=3,1.05*1.25)))),1)</f>
        <v>106232.97198571707</v>
      </c>
      <c r="U148" s="30"/>
      <c r="V148" s="30"/>
      <c r="W148" s="39"/>
      <c r="X148" s="39"/>
      <c r="Y148" s="39"/>
      <c r="Z148" s="25">
        <f>AO148*IF(입력란!$C$12=0,1,IF(입력란!$C$12=1,1.3,IF(입력란!$C$12=2,1.45,IF(입력란!$C$12=3,1.6,1))))*IF(MID(E148,3,1)="1",0.6,0)</f>
        <v>49030.60245494634</v>
      </c>
      <c r="AA148" s="30">
        <f t="shared" si="25"/>
        <v>601102.41288418381</v>
      </c>
      <c r="AB148" s="30">
        <f t="shared" si="26"/>
        <v>290575.26400285703</v>
      </c>
      <c r="AC148" s="30">
        <f t="shared" si="27"/>
        <v>212465.94397143414</v>
      </c>
      <c r="AD148" s="30"/>
      <c r="AE148" s="30"/>
      <c r="AF148" s="39"/>
      <c r="AG148" s="39"/>
      <c r="AH148" s="39"/>
      <c r="AI148" s="25">
        <f t="shared" si="22"/>
        <v>98061.20490989268</v>
      </c>
      <c r="AJ148" s="26">
        <f>AQ148*(1-입력란!$C$35/100)</f>
        <v>23.72176897872</v>
      </c>
      <c r="AK14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8" s="26">
        <f>입력란!$C$47+입력란!$C$41+IF(입력란!$C$18=1,10,IF(입력란!$C$18=2,25,IF(입력란!$C$18=3,50,0)))+IF(입력란!$C$23&lt;&gt;0,-12)</f>
        <v>378.9445412</v>
      </c>
      <c r="AM148" s="30">
        <f t="shared" si="28"/>
        <v>227005.3027596724</v>
      </c>
      <c r="AN148" s="30">
        <f>(VLOOKUP(C148,$B$4:$AJ$7,10,FALSE)+VLOOKUP(C148,$B$8:$AJ$11,10,FALSE)*입력란!$C$29)*입력란!$C$48/100</f>
        <v>145287.63200142852</v>
      </c>
      <c r="AO148" s="30">
        <f>(VLOOKUP(C148,$B$4:$AJ$7,11,FALSE)+VLOOKUP(C148,$B$8:$AJ$11,11,FALSE)*입력란!$C$29)*입력란!$C$48/100</f>
        <v>81717.670758243898</v>
      </c>
      <c r="AP148" s="30"/>
      <c r="AQ148" s="29">
        <v>24</v>
      </c>
    </row>
    <row r="149" spans="2:43" ht="13.5" customHeight="1" x14ac:dyDescent="0.3">
      <c r="B149" s="31">
        <v>134</v>
      </c>
      <c r="C149" s="36">
        <v>7</v>
      </c>
      <c r="D149" s="37" t="s">
        <v>160</v>
      </c>
      <c r="E149" s="38" t="s">
        <v>100</v>
      </c>
      <c r="F149" s="40"/>
      <c r="G149" s="40"/>
      <c r="H149" s="52">
        <f t="shared" si="23"/>
        <v>20781.167581263653</v>
      </c>
      <c r="I149" s="53">
        <f>SUM(J149:Q149)*IF(입력란!$C$16=1,1.04,IF(입력란!$C$16=2,1.1,IF(입력란!$C$16=3,1.2,1)))*IF(입력란!$C$21=1,1+입력란!$C$38*0.001,IF(입력란!$C$21=2,1+입력란!$C$38*0.0022,IF(입력란!$C$21=3,1+입력란!$C$38*0.0045,1)))*IF(입력란!$C$18&lt;&gt;0,0.98,1)</f>
        <v>492966.05647080188</v>
      </c>
      <c r="J149" s="30">
        <f>S149*(1+IF($AK149+IF(입력란!$C$9=1,10,0)+IF(입력란!$C$26=1,10,0)+IF(MID(E149,1,1)="3",트라이포드!H$12,0)&gt;100,100,$AK149+IF(입력란!$C$9=1,10,0)+IF(입력란!$C$26=1,10,0)+IF(MID(E149,1,1)="3",트라이포드!H$12,0))/100*(($AL149+IF(MID(E149,5,1)="2",트라이포드!R$12,0))/100-1))</f>
        <v>231993.97889178732</v>
      </c>
      <c r="K149" s="30">
        <f>T149*(1+IF($AK149+IF(입력란!$C$26=1,10,0)+IF(입력란!$C$9=1,10,0)&gt;100,100,$AK149+IF(입력란!$C$26=1,10,0)+IF(입력란!$C$9=1,10,0))/100*($AL149/100-1))</f>
        <v>260972.07757901456</v>
      </c>
      <c r="L149" s="30"/>
      <c r="M149" s="30"/>
      <c r="N149" s="39"/>
      <c r="O149" s="39"/>
      <c r="P149" s="39"/>
      <c r="Q149" s="27">
        <f>Z149*(1+IF($AK149+IF(입력란!$C$26=1,10,0)&gt;100,100,$AK149+IF(입력란!$C$26=1,10,0))/100*($AL149/100-1))</f>
        <v>0</v>
      </c>
      <c r="R149" s="24">
        <f t="shared" si="24"/>
        <v>308722.97351791628</v>
      </c>
      <c r="S149" s="30">
        <f>AN149*IF(입력란!$C$12=0,1,IF(입력란!$C$12=1,1.3,IF(입력란!$C$12=2,1.45,IF(입력란!$C$12=3,1.6,1))))*IF(MID(E149,5,1)="2",트라이포드!$Q$12,1)*IF(입력란!$C$9=1,IF(입력란!$C$15=0,1.05,IF(입력란!$C$15=1,1.05*1.05,IF(입력란!$C$15=2,1.05*1.12,IF(입력란!$C$15=3,1.05*1.25)))),1)</f>
        <v>145287.63200142852</v>
      </c>
      <c r="T149" s="30">
        <f>AO149*IF(입력란!$C$12=0,1,IF(입력란!$C$12=1,1.3,IF(입력란!$C$12=2,1.45,IF(입력란!$C$12=3,1.6,1))))*IF(MID(E149,3,1)="1",트라이포드!$J$12,트라이포드!$I$12)*IF(MID(E149,3,1)="3",트라이포드!$N$12,트라이포드!$M$12)*IF(입력란!$C$9=1,IF(입력란!$C$15=0,1.05,IF(입력란!$C$15=1,1.05*1.05,IF(입력란!$C$15=2,1.05*1.12,IF(입력란!$C$15=3,1.05*1.25)))),1)</f>
        <v>163435.3415164878</v>
      </c>
      <c r="U149" s="30"/>
      <c r="V149" s="30"/>
      <c r="W149" s="39"/>
      <c r="X149" s="39"/>
      <c r="Y149" s="39"/>
      <c r="Z149" s="25">
        <f>AO149*IF(입력란!$C$12=0,1,IF(입력란!$C$12=1,1.3,IF(입력란!$C$12=2,1.45,IF(입력란!$C$12=3,1.6,1))))*IF(MID(E149,3,1)="1",0.6,0)</f>
        <v>0</v>
      </c>
      <c r="AA149" s="30">
        <f t="shared" si="25"/>
        <v>617445.94703583256</v>
      </c>
      <c r="AB149" s="30">
        <f t="shared" si="26"/>
        <v>290575.26400285703</v>
      </c>
      <c r="AC149" s="30">
        <f t="shared" si="27"/>
        <v>326870.68303297559</v>
      </c>
      <c r="AD149" s="30"/>
      <c r="AE149" s="30"/>
      <c r="AF149" s="39"/>
      <c r="AG149" s="39"/>
      <c r="AH149" s="39"/>
      <c r="AI149" s="25">
        <f t="shared" si="22"/>
        <v>0</v>
      </c>
      <c r="AJ149" s="26">
        <f>AQ149*(1-입력란!$C$35/100)</f>
        <v>23.72176897872</v>
      </c>
      <c r="AK14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49" s="26">
        <f>입력란!$C$47+입력란!$C$41+IF(입력란!$C$18=1,10,IF(입력란!$C$18=2,25,IF(입력란!$C$18=3,50,0)))+IF(입력란!$C$23&lt;&gt;0,-12)</f>
        <v>378.9445412</v>
      </c>
      <c r="AM149" s="30">
        <f t="shared" si="28"/>
        <v>227005.3027596724</v>
      </c>
      <c r="AN149" s="30">
        <f>(VLOOKUP(C149,$B$4:$AJ$7,10,FALSE)+VLOOKUP(C149,$B$8:$AJ$11,10,FALSE)*입력란!$C$29)*입력란!$C$48/100</f>
        <v>145287.63200142852</v>
      </c>
      <c r="AO149" s="30">
        <f>(VLOOKUP(C149,$B$4:$AJ$7,11,FALSE)+VLOOKUP(C149,$B$8:$AJ$11,11,FALSE)*입력란!$C$29)*입력란!$C$48/100</f>
        <v>81717.670758243898</v>
      </c>
      <c r="AP149" s="30"/>
      <c r="AQ149" s="29">
        <v>24</v>
      </c>
    </row>
    <row r="150" spans="2:43" ht="13.5" customHeight="1" x14ac:dyDescent="0.3">
      <c r="B150" s="31">
        <v>135</v>
      </c>
      <c r="C150" s="36">
        <v>7</v>
      </c>
      <c r="D150" s="37" t="s">
        <v>160</v>
      </c>
      <c r="E150" s="38" t="s">
        <v>101</v>
      </c>
      <c r="F150" s="40" t="s">
        <v>221</v>
      </c>
      <c r="G150" s="40"/>
      <c r="H150" s="52">
        <f t="shared" si="23"/>
        <v>27064.854251404395</v>
      </c>
      <c r="I150" s="53">
        <f>SUM(J150:Q150)*IF(입력란!$C$16=1,1.04,IF(입력란!$C$16=2,1.1,IF(입력란!$C$16=3,1.2,1)))*IF(입력란!$C$21=1,1+입력란!$C$38*0.001,IF(입력란!$C$21=2,1+입력란!$C$38*0.0022,IF(입력란!$C$21=3,1+입력란!$C$38*0.0045,1)))*IF(입력란!$C$18&lt;&gt;0,0.98,1)</f>
        <v>642026.21999454289</v>
      </c>
      <c r="J150" s="30">
        <f>S150*(1+IF($AK150+IF(입력란!$C$9=1,10,0)+IF(입력란!$C$26=1,10,0)+IF(MID(E150,1,1)="3",트라이포드!H$12,0)&gt;100,100,$AK150+IF(입력란!$C$9=1,10,0)+IF(입력란!$C$26=1,10,0)+IF(MID(E150,1,1)="3",트라이포드!H$12,0))/100*(($AL150+IF(MID(E150,5,1)="2",트라이포드!R$12,0))/100-1))</f>
        <v>394102.746294479</v>
      </c>
      <c r="K150" s="30">
        <f>T150*(1+IF($AK150+IF(입력란!$C$26=1,10,0)+IF(입력란!$C$9=1,10,0)&gt;100,100,$AK150+IF(입력란!$C$26=1,10,0)+IF(입력란!$C$9=1,10,0))/100*($AL150/100-1))</f>
        <v>169631.85042635948</v>
      </c>
      <c r="L150" s="30"/>
      <c r="M150" s="30"/>
      <c r="N150" s="39"/>
      <c r="O150" s="39"/>
      <c r="P150" s="39"/>
      <c r="Q150" s="27">
        <f>Z150*(1+IF($AK150+IF(입력란!$C$26=1,10,0)&gt;100,100,$AK150+IF(입력란!$C$26=1,10,0))/100*($AL150/100-1))</f>
        <v>78291.623273704376</v>
      </c>
      <c r="R150" s="24">
        <f t="shared" si="24"/>
        <v>300551.20644209191</v>
      </c>
      <c r="S150" s="30">
        <f>AN150*IF(입력란!$C$12=0,1,IF(입력란!$C$12=1,1.3,IF(입력란!$C$12=2,1.45,IF(입력란!$C$12=3,1.6,1))))*IF(MID(E150,5,1)="2",트라이포드!$Q$12,1)*IF(입력란!$C$9=1,IF(입력란!$C$15=0,1.05,IF(입력란!$C$15=1,1.05*1.05,IF(입력란!$C$15=2,1.05*1.12,IF(입력란!$C$15=3,1.05*1.25)))),1)</f>
        <v>145287.63200142852</v>
      </c>
      <c r="T150" s="30">
        <f>AO150*IF(입력란!$C$12=0,1,IF(입력란!$C$12=1,1.3,IF(입력란!$C$12=2,1.45,IF(입력란!$C$12=3,1.6,1))))*IF(MID(E150,3,1)="1",트라이포드!$J$12,트라이포드!$I$12)*IF(MID(E150,3,1)="3",트라이포드!$N$12,트라이포드!$M$12)*IF(입력란!$C$9=1,IF(입력란!$C$15=0,1.05,IF(입력란!$C$15=1,1.05*1.05,IF(입력란!$C$15=2,1.05*1.12,IF(입력란!$C$15=3,1.05*1.25)))),1)</f>
        <v>106232.97198571707</v>
      </c>
      <c r="U150" s="30"/>
      <c r="V150" s="30"/>
      <c r="W150" s="39"/>
      <c r="X150" s="39"/>
      <c r="Y150" s="39"/>
      <c r="Z150" s="25">
        <f>AO150*IF(입력란!$C$12=0,1,IF(입력란!$C$12=1,1.3,IF(입력란!$C$12=2,1.45,IF(입력란!$C$12=3,1.6,1))))*IF(MID(E150,3,1)="1",0.6,0)</f>
        <v>49030.60245494634</v>
      </c>
      <c r="AA150" s="30">
        <f t="shared" si="25"/>
        <v>601102.41288418381</v>
      </c>
      <c r="AB150" s="30">
        <f t="shared" si="26"/>
        <v>290575.26400285703</v>
      </c>
      <c r="AC150" s="30">
        <f t="shared" si="27"/>
        <v>212465.94397143414</v>
      </c>
      <c r="AD150" s="30"/>
      <c r="AE150" s="30"/>
      <c r="AF150" s="39"/>
      <c r="AG150" s="39"/>
      <c r="AH150" s="39"/>
      <c r="AI150" s="25">
        <f t="shared" si="22"/>
        <v>98061.20490989268</v>
      </c>
      <c r="AJ150" s="26">
        <f>AQ150*(1-입력란!$C$35/100)</f>
        <v>23.72176897872</v>
      </c>
      <c r="AK15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0" s="26">
        <f>입력란!$C$47+입력란!$C$41+IF(입력란!$C$18=1,10,IF(입력란!$C$18=2,25,IF(입력란!$C$18=3,50,0)))+IF(입력란!$C$23&lt;&gt;0,-12)</f>
        <v>378.9445412</v>
      </c>
      <c r="AM150" s="30">
        <f t="shared" si="28"/>
        <v>227005.3027596724</v>
      </c>
      <c r="AN150" s="30">
        <f>(VLOOKUP(C150,$B$4:$AJ$7,10,FALSE)+VLOOKUP(C150,$B$8:$AJ$11,10,FALSE)*입력란!$C$29)*입력란!$C$48/100</f>
        <v>145287.63200142852</v>
      </c>
      <c r="AO150" s="30">
        <f>(VLOOKUP(C150,$B$4:$AJ$7,11,FALSE)+VLOOKUP(C150,$B$8:$AJ$11,11,FALSE)*입력란!$C$29)*입력란!$C$48/100</f>
        <v>81717.670758243898</v>
      </c>
      <c r="AP150" s="30"/>
      <c r="AQ150" s="29">
        <v>24</v>
      </c>
    </row>
    <row r="151" spans="2:43" ht="13.5" customHeight="1" x14ac:dyDescent="0.3">
      <c r="B151" s="31">
        <v>136</v>
      </c>
      <c r="C151" s="36">
        <v>7</v>
      </c>
      <c r="D151" s="37" t="s">
        <v>160</v>
      </c>
      <c r="E151" s="38" t="s">
        <v>111</v>
      </c>
      <c r="F151" s="40"/>
      <c r="G151" s="40"/>
      <c r="H151" s="52">
        <f t="shared" si="23"/>
        <v>27614.923004314693</v>
      </c>
      <c r="I151" s="53">
        <f>SUM(J151:Q151)*IF(입력란!$C$16=1,1.04,IF(입력란!$C$16=2,1.1,IF(입력란!$C$16=3,1.2,1)))*IF(입력란!$C$21=1,1+입력란!$C$38*0.001,IF(입력란!$C$21=2,1+입력란!$C$38*0.0022,IF(입력란!$C$21=3,1+입력란!$C$38*0.0045,1)))*IF(입력란!$C$18&lt;&gt;0,0.98,1)</f>
        <v>655074.82387349359</v>
      </c>
      <c r="J151" s="30">
        <f>S151*(1+IF($AK151+IF(입력란!$C$9=1,10,0)+IF(입력란!$C$26=1,10,0)+IF(MID(E151,1,1)="3",트라이포드!H$12,0)&gt;100,100,$AK151+IF(입력란!$C$9=1,10,0)+IF(입력란!$C$26=1,10,0)+IF(MID(E151,1,1)="3",트라이포드!H$12,0))/100*(($AL151+IF(MID(E151,5,1)="2",트라이포드!R$12,0))/100-1))</f>
        <v>394102.746294479</v>
      </c>
      <c r="K151" s="30">
        <f>T151*(1+IF($AK151+IF(입력란!$C$26=1,10,0)+IF(입력란!$C$9=1,10,0)&gt;100,100,$AK151+IF(입력란!$C$26=1,10,0)+IF(입력란!$C$9=1,10,0))/100*($AL151/100-1))</f>
        <v>260972.07757901456</v>
      </c>
      <c r="L151" s="30"/>
      <c r="M151" s="30"/>
      <c r="N151" s="39"/>
      <c r="O151" s="39"/>
      <c r="P151" s="39"/>
      <c r="Q151" s="27">
        <f>Z151*(1+IF($AK151+IF(입력란!$C$26=1,10,0)&gt;100,100,$AK151+IF(입력란!$C$26=1,10,0))/100*($AL151/100-1))</f>
        <v>0</v>
      </c>
      <c r="R151" s="24">
        <f t="shared" si="24"/>
        <v>308722.97351791628</v>
      </c>
      <c r="S151" s="30">
        <f>AN151*IF(입력란!$C$12=0,1,IF(입력란!$C$12=1,1.3,IF(입력란!$C$12=2,1.45,IF(입력란!$C$12=3,1.6,1))))*IF(MID(E151,5,1)="2",트라이포드!$Q$12,1)*IF(입력란!$C$9=1,IF(입력란!$C$15=0,1.05,IF(입력란!$C$15=1,1.05*1.05,IF(입력란!$C$15=2,1.05*1.12,IF(입력란!$C$15=3,1.05*1.25)))),1)</f>
        <v>145287.63200142852</v>
      </c>
      <c r="T151" s="30">
        <f>AO151*IF(입력란!$C$12=0,1,IF(입력란!$C$12=1,1.3,IF(입력란!$C$12=2,1.45,IF(입력란!$C$12=3,1.6,1))))*IF(MID(E151,3,1)="1",트라이포드!$J$12,트라이포드!$I$12)*IF(MID(E151,3,1)="3",트라이포드!$N$12,트라이포드!$M$12)*IF(입력란!$C$9=1,IF(입력란!$C$15=0,1.05,IF(입력란!$C$15=1,1.05*1.05,IF(입력란!$C$15=2,1.05*1.12,IF(입력란!$C$15=3,1.05*1.25)))),1)</f>
        <v>163435.3415164878</v>
      </c>
      <c r="U151" s="30"/>
      <c r="V151" s="30"/>
      <c r="W151" s="39"/>
      <c r="X151" s="39"/>
      <c r="Y151" s="39"/>
      <c r="Z151" s="25">
        <f>AO151*IF(입력란!$C$12=0,1,IF(입력란!$C$12=1,1.3,IF(입력란!$C$12=2,1.45,IF(입력란!$C$12=3,1.6,1))))*IF(MID(E151,3,1)="1",0.6,0)</f>
        <v>0</v>
      </c>
      <c r="AA151" s="30">
        <f t="shared" si="25"/>
        <v>617445.94703583256</v>
      </c>
      <c r="AB151" s="30">
        <f t="shared" si="26"/>
        <v>290575.26400285703</v>
      </c>
      <c r="AC151" s="30">
        <f t="shared" si="27"/>
        <v>326870.68303297559</v>
      </c>
      <c r="AD151" s="30"/>
      <c r="AE151" s="30"/>
      <c r="AF151" s="39"/>
      <c r="AG151" s="39"/>
      <c r="AH151" s="39"/>
      <c r="AI151" s="25">
        <f t="shared" si="22"/>
        <v>0</v>
      </c>
      <c r="AJ151" s="26">
        <f>AQ151*(1-입력란!$C$35/100)</f>
        <v>23.72176897872</v>
      </c>
      <c r="AK15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1" s="26">
        <f>입력란!$C$47+입력란!$C$41+IF(입력란!$C$18=1,10,IF(입력란!$C$18=2,25,IF(입력란!$C$18=3,50,0)))+IF(입력란!$C$23&lt;&gt;0,-12)</f>
        <v>378.9445412</v>
      </c>
      <c r="AM151" s="30">
        <f t="shared" si="28"/>
        <v>227005.3027596724</v>
      </c>
      <c r="AN151" s="30">
        <f>(VLOOKUP(C151,$B$4:$AJ$7,10,FALSE)+VLOOKUP(C151,$B$8:$AJ$11,10,FALSE)*입력란!$C$29)*입력란!$C$48/100</f>
        <v>145287.63200142852</v>
      </c>
      <c r="AO151" s="30">
        <f>(VLOOKUP(C151,$B$4:$AJ$7,11,FALSE)+VLOOKUP(C151,$B$8:$AJ$11,11,FALSE)*입력란!$C$29)*입력란!$C$48/100</f>
        <v>81717.670758243898</v>
      </c>
      <c r="AP151" s="30"/>
      <c r="AQ151" s="29">
        <v>24</v>
      </c>
    </row>
    <row r="152" spans="2:43" ht="13.5" customHeight="1" x14ac:dyDescent="0.3">
      <c r="B152" s="31">
        <v>137</v>
      </c>
      <c r="C152" s="36">
        <v>10</v>
      </c>
      <c r="D152" s="37" t="s">
        <v>160</v>
      </c>
      <c r="E152" s="38" t="s">
        <v>162</v>
      </c>
      <c r="F152" s="40"/>
      <c r="G152" s="40"/>
      <c r="H152" s="52">
        <f t="shared" si="23"/>
        <v>15290.280871210032</v>
      </c>
      <c r="I152" s="53">
        <f>SUM(J152:Q152)*IF(입력란!$C$16=1,1.04,IF(입력란!$C$16=2,1.1,IF(입력란!$C$16=3,1.2,1)))*IF(입력란!$C$21=1,1+입력란!$C$38*0.001,IF(입력란!$C$21=2,1+입력란!$C$38*0.0022,IF(입력란!$C$21=3,1+입력란!$C$38*0.0045,1)))*IF(입력란!$C$18&lt;&gt;0,0.98,1)</f>
        <v>362712.51044658595</v>
      </c>
      <c r="J152" s="30">
        <f>S152*(1+IF($AK152+IF(입력란!$C$9=1,10,0)+IF(입력란!$C$26=1,10,0)+IF(MID(E152,1,1)="3",트라이포드!H$12,0)&gt;100,100,$AK152+IF(입력란!$C$9=1,10,0)+IF(입력란!$C$26=1,10,0)+IF(MID(E152,1,1)="3",트라이포드!H$12,0))/100*(($AL152+IF(MID(E152,5,1)="2",트라이포드!R$12,0))/100-1))</f>
        <v>232143.43852661748</v>
      </c>
      <c r="K152" s="30">
        <f>T152*(1+IF($AK152+IF(입력란!$C$26=1,10,0)+IF(입력란!$C$9=1,10,0)&gt;100,100,$AK152+IF(입력란!$C$26=1,10,0)+IF(입력란!$C$9=1,10,0))/100*($AL152/100-1))</f>
        <v>130569.07191996848</v>
      </c>
      <c r="L152" s="30"/>
      <c r="M152" s="30"/>
      <c r="N152" s="39"/>
      <c r="O152" s="39"/>
      <c r="P152" s="39"/>
      <c r="Q152" s="27">
        <f>Z152*(1+IF($AK152+IF(입력란!$C$26=1,10,0)&gt;100,100,$AK152+IF(입력란!$C$26=1,10,0))/100*($AL152/100-1))</f>
        <v>0</v>
      </c>
      <c r="R152" s="24">
        <f t="shared" si="24"/>
        <v>227150.90275967243</v>
      </c>
      <c r="S152" s="30">
        <f>AN152*IF(입력란!$C$12=0,1,IF(입력란!$C$12=1,1.3,IF(입력란!$C$12=2,1.45,IF(입력란!$C$12=3,1.6,1))))*IF(MID(E152,5,1)="2",트라이포드!$Q$12,1)*IF(입력란!$C$9=1,IF(입력란!$C$15=0,1.05,IF(입력란!$C$15=1,1.05*1.05,IF(입력란!$C$15=2,1.05*1.12,IF(입력란!$C$15=3,1.05*1.25)))),1)</f>
        <v>145381.23200142852</v>
      </c>
      <c r="T152" s="30">
        <f>AO152*IF(입력란!$C$12=0,1,IF(입력란!$C$12=1,1.3,IF(입력란!$C$12=2,1.45,IF(입력란!$C$12=3,1.6,1))))*IF(MID(E152,3,1)="1",트라이포드!$J$12,트라이포드!$I$12)*IF(MID(E152,3,1)="3",트라이포드!$N$12,트라이포드!$M$12)*IF(입력란!$C$9=1,IF(입력란!$C$15=0,1.05,IF(입력란!$C$15=1,1.05*1.05,IF(입력란!$C$15=2,1.05*1.12,IF(입력란!$C$15=3,1.05*1.25)))),1)</f>
        <v>81769.670758243898</v>
      </c>
      <c r="U152" s="30"/>
      <c r="V152" s="30"/>
      <c r="W152" s="39"/>
      <c r="X152" s="39"/>
      <c r="Y152" s="39"/>
      <c r="Z152" s="25">
        <f>AO152*IF(입력란!$C$12=0,1,IF(입력란!$C$12=1,1.3,IF(입력란!$C$12=2,1.45,IF(입력란!$C$12=3,1.6,1))))*IF(MID(E152,3,1)="1",0.6,0)</f>
        <v>0</v>
      </c>
      <c r="AA152" s="30">
        <f t="shared" si="25"/>
        <v>454301.80551934487</v>
      </c>
      <c r="AB152" s="30">
        <f t="shared" si="26"/>
        <v>290762.46400285704</v>
      </c>
      <c r="AC152" s="30">
        <f t="shared" si="27"/>
        <v>163539.3415164878</v>
      </c>
      <c r="AD152" s="30"/>
      <c r="AE152" s="30"/>
      <c r="AF152" s="39"/>
      <c r="AG152" s="39"/>
      <c r="AH152" s="39"/>
      <c r="AI152" s="25">
        <f t="shared" si="22"/>
        <v>0</v>
      </c>
      <c r="AJ152" s="26">
        <f>AQ152*(1-입력란!$C$35/100)</f>
        <v>23.72176897872</v>
      </c>
      <c r="AK15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2" s="26">
        <f>입력란!$C$47+입력란!$C$41+IF(입력란!$C$18=1,10,IF(입력란!$C$18=2,25,IF(입력란!$C$18=3,50,0)))+IF(입력란!$C$23&lt;&gt;0,-12)</f>
        <v>378.9445412</v>
      </c>
      <c r="AM152" s="30">
        <f t="shared" si="28"/>
        <v>227150.90275967243</v>
      </c>
      <c r="AN152" s="30">
        <f>(VLOOKUP(C152,$B$4:$AJ$7,10,FALSE)+VLOOKUP(C152,$B$8:$AJ$11,10,FALSE)*입력란!$C$29)*입력란!$C$48/100</f>
        <v>145381.23200142852</v>
      </c>
      <c r="AO152" s="30">
        <f>(VLOOKUP(C152,$B$4:$AJ$7,11,FALSE)+VLOOKUP(C152,$B$8:$AJ$11,11,FALSE)*입력란!$C$29)*입력란!$C$48/100</f>
        <v>81769.670758243898</v>
      </c>
      <c r="AP152" s="30"/>
      <c r="AQ152" s="29">
        <v>24</v>
      </c>
    </row>
    <row r="153" spans="2:43" ht="13.5" customHeight="1" x14ac:dyDescent="0.3">
      <c r="B153" s="31">
        <v>138</v>
      </c>
      <c r="C153" s="36">
        <v>10</v>
      </c>
      <c r="D153" s="37" t="s">
        <v>160</v>
      </c>
      <c r="E153" s="38" t="s">
        <v>163</v>
      </c>
      <c r="F153" s="40"/>
      <c r="G153" s="40"/>
      <c r="H153" s="52">
        <f t="shared" si="23"/>
        <v>19391.632969824976</v>
      </c>
      <c r="I153" s="53">
        <f>SUM(J153:Q153)*IF(입력란!$C$16=1,1.04,IF(입력란!$C$16=2,1.1,IF(입력란!$C$16=3,1.2,1)))*IF(입력란!$C$21=1,1+입력란!$C$38*0.001,IF(입력란!$C$21=2,1+입력란!$C$38*0.0022,IF(입력란!$C$21=3,1+입력란!$C$38*0.0045,1)))*IF(입력란!$C$18&lt;&gt;0,0.98,1)</f>
        <v>460003.83743031806</v>
      </c>
      <c r="J153" s="30">
        <f>S153*(1+IF($AK153+IF(입력란!$C$9=1,10,0)+IF(입력란!$C$26=1,10,0)+IF(MID(E153,1,1)="3",트라이포드!H$12,0)&gt;100,100,$AK153+IF(입력란!$C$9=1,10,0)+IF(입력란!$C$26=1,10,0)+IF(MID(E153,1,1)="3",트라이포드!H$12,0))/100*(($AL153+IF(MID(E153,5,1)="2",트라이포드!R$12,0))/100-1))</f>
        <v>329434.76551034959</v>
      </c>
      <c r="K153" s="30">
        <f>T153*(1+IF($AK153+IF(입력란!$C$26=1,10,0)+IF(입력란!$C$9=1,10,0)&gt;100,100,$AK153+IF(입력란!$C$26=1,10,0)+IF(입력란!$C$9=1,10,0))/100*($AL153/100-1))</f>
        <v>130569.07191996848</v>
      </c>
      <c r="L153" s="30"/>
      <c r="M153" s="30"/>
      <c r="N153" s="39"/>
      <c r="O153" s="39"/>
      <c r="P153" s="39"/>
      <c r="Q153" s="27">
        <f>Z153*(1+IF($AK153+IF(입력란!$C$26=1,10,0)&gt;100,100,$AK153+IF(입력란!$C$26=1,10,0))/100*($AL153/100-1))</f>
        <v>0</v>
      </c>
      <c r="R153" s="24">
        <f t="shared" si="24"/>
        <v>275126.70932014385</v>
      </c>
      <c r="S153" s="30">
        <f>AN153*IF(입력란!$C$12=0,1,IF(입력란!$C$12=1,1.3,IF(입력란!$C$12=2,1.45,IF(입력란!$C$12=3,1.6,1))))*IF(MID(E153,5,1)="2",트라이포드!$Q$12,1)*IF(입력란!$C$9=1,IF(입력란!$C$15=0,1.05,IF(입력란!$C$15=1,1.05*1.05,IF(입력란!$C$15=2,1.05*1.12,IF(입력란!$C$15=3,1.05*1.25)))),1)</f>
        <v>193357.03856189994</v>
      </c>
      <c r="T153" s="30">
        <f>AO153*IF(입력란!$C$12=0,1,IF(입력란!$C$12=1,1.3,IF(입력란!$C$12=2,1.45,IF(입력란!$C$12=3,1.6,1))))*IF(MID(E153,3,1)="1",트라이포드!$J$12,트라이포드!$I$12)*IF(MID(E153,3,1)="3",트라이포드!$N$12,트라이포드!$M$12)*IF(입력란!$C$9=1,IF(입력란!$C$15=0,1.05,IF(입력란!$C$15=1,1.05*1.05,IF(입력란!$C$15=2,1.05*1.12,IF(입력란!$C$15=3,1.05*1.25)))),1)</f>
        <v>81769.670758243898</v>
      </c>
      <c r="U153" s="30"/>
      <c r="V153" s="30"/>
      <c r="W153" s="39"/>
      <c r="X153" s="39"/>
      <c r="Y153" s="39"/>
      <c r="Z153" s="25">
        <f>AO153*IF(입력란!$C$12=0,1,IF(입력란!$C$12=1,1.3,IF(입력란!$C$12=2,1.45,IF(입력란!$C$12=3,1.6,1))))*IF(MID(E153,3,1)="1",0.6,0)</f>
        <v>0</v>
      </c>
      <c r="AA153" s="30">
        <f t="shared" si="25"/>
        <v>550253.41864028771</v>
      </c>
      <c r="AB153" s="30">
        <f t="shared" si="26"/>
        <v>386714.07712379989</v>
      </c>
      <c r="AC153" s="30">
        <f t="shared" si="27"/>
        <v>163539.3415164878</v>
      </c>
      <c r="AD153" s="30"/>
      <c r="AE153" s="30"/>
      <c r="AF153" s="39"/>
      <c r="AG153" s="39"/>
      <c r="AH153" s="39"/>
      <c r="AI153" s="25">
        <f t="shared" si="22"/>
        <v>0</v>
      </c>
      <c r="AJ153" s="26">
        <f>AQ153*(1-입력란!$C$35/100)</f>
        <v>23.72176897872</v>
      </c>
      <c r="AK15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3" s="26">
        <f>입력란!$C$47+입력란!$C$41+IF(입력란!$C$18=1,10,IF(입력란!$C$18=2,25,IF(입력란!$C$18=3,50,0)))+IF(입력란!$C$23&lt;&gt;0,-12)</f>
        <v>378.9445412</v>
      </c>
      <c r="AM153" s="30">
        <f t="shared" si="28"/>
        <v>227150.90275967243</v>
      </c>
      <c r="AN153" s="30">
        <f>(VLOOKUP(C153,$B$4:$AJ$7,10,FALSE)+VLOOKUP(C153,$B$8:$AJ$11,10,FALSE)*입력란!$C$29)*입력란!$C$48/100</f>
        <v>145381.23200142852</v>
      </c>
      <c r="AO153" s="30">
        <f>(VLOOKUP(C153,$B$4:$AJ$7,11,FALSE)+VLOOKUP(C153,$B$8:$AJ$11,11,FALSE)*입력란!$C$29)*입력란!$C$48/100</f>
        <v>81769.670758243898</v>
      </c>
      <c r="AP153" s="30"/>
      <c r="AQ153" s="29">
        <v>24</v>
      </c>
    </row>
    <row r="154" spans="2:43" ht="13.5" customHeight="1" x14ac:dyDescent="0.3">
      <c r="B154" s="31">
        <v>139</v>
      </c>
      <c r="C154" s="36">
        <v>10</v>
      </c>
      <c r="D154" s="37" t="s">
        <v>160</v>
      </c>
      <c r="E154" s="38" t="s">
        <v>164</v>
      </c>
      <c r="F154" s="40" t="s">
        <v>221</v>
      </c>
      <c r="G154" s="40"/>
      <c r="H154" s="52">
        <f t="shared" si="23"/>
        <v>20244.049910668593</v>
      </c>
      <c r="I154" s="53">
        <f>SUM(J154:Q154)*IF(입력란!$C$16=1,1.04,IF(입력란!$C$16=2,1.1,IF(입력란!$C$16=3,1.2,1)))*IF(입력란!$C$21=1,1+입력란!$C$38*0.001,IF(입력란!$C$21=2,1+입력란!$C$38*0.0022,IF(입력란!$C$21=3,1+입력란!$C$38*0.0045,1)))*IF(입력란!$C$18&lt;&gt;0,0.98,1)</f>
        <v>480224.6751745576</v>
      </c>
      <c r="J154" s="30">
        <f>S154*(1+IF($AK154+IF(입력란!$C$9=1,10,0)+IF(입력란!$C$26=1,10,0)+IF(MID(E154,1,1)="3",트라이포드!H$12,0)&gt;100,100,$AK154+IF(입력란!$C$9=1,10,0)+IF(입력란!$C$26=1,10,0)+IF(MID(E154,1,1)="3",트라이포드!H$12,0))/100*(($AL154+IF(MID(E154,5,1)="2",트라이포드!R$12,0))/100-1))</f>
        <v>232143.43852661748</v>
      </c>
      <c r="K154" s="30">
        <f>T154*(1+IF($AK154+IF(입력란!$C$26=1,10,0)+IF(입력란!$C$9=1,10,0)&gt;100,100,$AK154+IF(입력란!$C$26=1,10,0)+IF(입력란!$C$9=1,10,0))/100*($AL154/100-1))</f>
        <v>169739.79349595905</v>
      </c>
      <c r="L154" s="30"/>
      <c r="M154" s="30"/>
      <c r="N154" s="39"/>
      <c r="O154" s="39"/>
      <c r="P154" s="39"/>
      <c r="Q154" s="27">
        <f>Z154*(1+IF($AK154+IF(입력란!$C$26=1,10,0)&gt;100,100,$AK154+IF(입력란!$C$26=1,10,0))/100*($AL154/100-1))</f>
        <v>78341.44315198109</v>
      </c>
      <c r="R154" s="24">
        <f t="shared" si="24"/>
        <v>300743.60644209193</v>
      </c>
      <c r="S154" s="30">
        <f>AN154*IF(입력란!$C$12=0,1,IF(입력란!$C$12=1,1.3,IF(입력란!$C$12=2,1.45,IF(입력란!$C$12=3,1.6,1))))*IF(MID(E154,5,1)="2",트라이포드!$Q$12,1)*IF(입력란!$C$9=1,IF(입력란!$C$15=0,1.05,IF(입력란!$C$15=1,1.05*1.05,IF(입력란!$C$15=2,1.05*1.12,IF(입력란!$C$15=3,1.05*1.25)))),1)</f>
        <v>145381.23200142852</v>
      </c>
      <c r="T154" s="30">
        <f>AO154*IF(입력란!$C$12=0,1,IF(입력란!$C$12=1,1.3,IF(입력란!$C$12=2,1.45,IF(입력란!$C$12=3,1.6,1))))*IF(MID(E154,3,1)="1",트라이포드!$J$12,트라이포드!$I$12)*IF(MID(E154,3,1)="3",트라이포드!$N$12,트라이포드!$M$12)*IF(입력란!$C$9=1,IF(입력란!$C$15=0,1.05,IF(입력란!$C$15=1,1.05*1.05,IF(입력란!$C$15=2,1.05*1.12,IF(입력란!$C$15=3,1.05*1.25)))),1)</f>
        <v>106300.57198571708</v>
      </c>
      <c r="U154" s="30"/>
      <c r="V154" s="30"/>
      <c r="W154" s="39"/>
      <c r="X154" s="39"/>
      <c r="Y154" s="39"/>
      <c r="Z154" s="25">
        <f>AO154*IF(입력란!$C$12=0,1,IF(입력란!$C$12=1,1.3,IF(입력란!$C$12=2,1.45,IF(입력란!$C$12=3,1.6,1))))*IF(MID(E154,3,1)="1",0.6,0)</f>
        <v>49061.802454946337</v>
      </c>
      <c r="AA154" s="30">
        <f t="shared" si="25"/>
        <v>601487.21288418386</v>
      </c>
      <c r="AB154" s="30">
        <f t="shared" si="26"/>
        <v>290762.46400285704</v>
      </c>
      <c r="AC154" s="30">
        <f t="shared" si="27"/>
        <v>212601.14397143415</v>
      </c>
      <c r="AD154" s="30"/>
      <c r="AE154" s="30"/>
      <c r="AF154" s="39"/>
      <c r="AG154" s="39"/>
      <c r="AH154" s="39"/>
      <c r="AI154" s="25">
        <f t="shared" si="22"/>
        <v>98123.604909892674</v>
      </c>
      <c r="AJ154" s="26">
        <f>AQ154*(1-입력란!$C$35/100)</f>
        <v>23.72176897872</v>
      </c>
      <c r="AK15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4" s="26">
        <f>입력란!$C$47+입력란!$C$41+IF(입력란!$C$18=1,10,IF(입력란!$C$18=2,25,IF(입력란!$C$18=3,50,0)))+IF(입력란!$C$23&lt;&gt;0,-12)</f>
        <v>378.9445412</v>
      </c>
      <c r="AM154" s="30">
        <f t="shared" si="28"/>
        <v>227150.90275967243</v>
      </c>
      <c r="AN154" s="30">
        <f>(VLOOKUP(C154,$B$4:$AJ$7,10,FALSE)+VLOOKUP(C154,$B$8:$AJ$11,10,FALSE)*입력란!$C$29)*입력란!$C$48/100</f>
        <v>145381.23200142852</v>
      </c>
      <c r="AO154" s="30">
        <f>(VLOOKUP(C154,$B$4:$AJ$7,11,FALSE)+VLOOKUP(C154,$B$8:$AJ$11,11,FALSE)*입력란!$C$29)*입력란!$C$48/100</f>
        <v>81769.670758243898</v>
      </c>
      <c r="AP154" s="30"/>
      <c r="AQ154" s="29">
        <v>24</v>
      </c>
    </row>
    <row r="155" spans="2:43" ht="13.5" customHeight="1" x14ac:dyDescent="0.3">
      <c r="B155" s="31">
        <v>140</v>
      </c>
      <c r="C155" s="36">
        <v>10</v>
      </c>
      <c r="D155" s="37" t="s">
        <v>160</v>
      </c>
      <c r="E155" s="38" t="s">
        <v>165</v>
      </c>
      <c r="F155" s="40" t="s">
        <v>221</v>
      </c>
      <c r="G155" s="40"/>
      <c r="H155" s="52">
        <f t="shared" si="23"/>
        <v>24345.402009283538</v>
      </c>
      <c r="I155" s="53">
        <f>SUM(J155:Q155)*IF(입력란!$C$16=1,1.04,IF(입력란!$C$16=2,1.1,IF(입력란!$C$16=3,1.2,1)))*IF(입력란!$C$21=1,1+입력란!$C$38*0.001,IF(입력란!$C$21=2,1+입력란!$C$38*0.0022,IF(입력란!$C$21=3,1+입력란!$C$38*0.0045,1)))*IF(입력란!$C$18&lt;&gt;0,0.98,1)</f>
        <v>577516.00215828978</v>
      </c>
      <c r="J155" s="30">
        <f>S155*(1+IF($AK155+IF(입력란!$C$9=1,10,0)+IF(입력란!$C$26=1,10,0)+IF(MID(E155,1,1)="3",트라이포드!H$12,0)&gt;100,100,$AK155+IF(입력란!$C$9=1,10,0)+IF(입력란!$C$26=1,10,0)+IF(MID(E155,1,1)="3",트라이포드!H$12,0))/100*(($AL155+IF(MID(E155,5,1)="2",트라이포드!R$12,0))/100-1))</f>
        <v>329434.76551034959</v>
      </c>
      <c r="K155" s="30">
        <f>T155*(1+IF($AK155+IF(입력란!$C$26=1,10,0)+IF(입력란!$C$9=1,10,0)&gt;100,100,$AK155+IF(입력란!$C$26=1,10,0)+IF(입력란!$C$9=1,10,0))/100*($AL155/100-1))</f>
        <v>169739.79349595905</v>
      </c>
      <c r="L155" s="30"/>
      <c r="M155" s="30"/>
      <c r="N155" s="39"/>
      <c r="O155" s="39"/>
      <c r="P155" s="39"/>
      <c r="Q155" s="27">
        <f>Z155*(1+IF($AK155+IF(입력란!$C$26=1,10,0)&gt;100,100,$AK155+IF(입력란!$C$26=1,10,0))/100*($AL155/100-1))</f>
        <v>78341.44315198109</v>
      </c>
      <c r="R155" s="24">
        <f t="shared" si="24"/>
        <v>348719.41300256335</v>
      </c>
      <c r="S155" s="30">
        <f>AN155*IF(입력란!$C$12=0,1,IF(입력란!$C$12=1,1.3,IF(입력란!$C$12=2,1.45,IF(입력란!$C$12=3,1.6,1))))*IF(MID(E155,5,1)="2",트라이포드!$Q$12,1)*IF(입력란!$C$9=1,IF(입력란!$C$15=0,1.05,IF(입력란!$C$15=1,1.05*1.05,IF(입력란!$C$15=2,1.05*1.12,IF(입력란!$C$15=3,1.05*1.25)))),1)</f>
        <v>193357.03856189994</v>
      </c>
      <c r="T155" s="30">
        <f>AO155*IF(입력란!$C$12=0,1,IF(입력란!$C$12=1,1.3,IF(입력란!$C$12=2,1.45,IF(입력란!$C$12=3,1.6,1))))*IF(MID(E155,3,1)="1",트라이포드!$J$12,트라이포드!$I$12)*IF(MID(E155,3,1)="3",트라이포드!$N$12,트라이포드!$M$12)*IF(입력란!$C$9=1,IF(입력란!$C$15=0,1.05,IF(입력란!$C$15=1,1.05*1.05,IF(입력란!$C$15=2,1.05*1.12,IF(입력란!$C$15=3,1.05*1.25)))),1)</f>
        <v>106300.57198571708</v>
      </c>
      <c r="U155" s="30"/>
      <c r="V155" s="30"/>
      <c r="W155" s="39"/>
      <c r="X155" s="39"/>
      <c r="Y155" s="39"/>
      <c r="Z155" s="25">
        <f>AO155*IF(입력란!$C$12=0,1,IF(입력란!$C$12=1,1.3,IF(입력란!$C$12=2,1.45,IF(입력란!$C$12=3,1.6,1))))*IF(MID(E155,3,1)="1",0.6,0)</f>
        <v>49061.802454946337</v>
      </c>
      <c r="AA155" s="30">
        <f t="shared" si="25"/>
        <v>697438.8260051267</v>
      </c>
      <c r="AB155" s="30">
        <f t="shared" si="26"/>
        <v>386714.07712379989</v>
      </c>
      <c r="AC155" s="30">
        <f t="shared" si="27"/>
        <v>212601.14397143415</v>
      </c>
      <c r="AD155" s="30"/>
      <c r="AE155" s="30"/>
      <c r="AF155" s="39"/>
      <c r="AG155" s="39"/>
      <c r="AH155" s="39"/>
      <c r="AI155" s="25">
        <f t="shared" si="22"/>
        <v>98123.604909892674</v>
      </c>
      <c r="AJ155" s="26">
        <f>AQ155*(1-입력란!$C$35/100)</f>
        <v>23.72176897872</v>
      </c>
      <c r="AK15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5" s="26">
        <f>입력란!$C$47+입력란!$C$41+IF(입력란!$C$18=1,10,IF(입력란!$C$18=2,25,IF(입력란!$C$18=3,50,0)))+IF(입력란!$C$23&lt;&gt;0,-12)</f>
        <v>378.9445412</v>
      </c>
      <c r="AM155" s="30">
        <f t="shared" si="28"/>
        <v>227150.90275967243</v>
      </c>
      <c r="AN155" s="30">
        <f>(VLOOKUP(C155,$B$4:$AJ$7,10,FALSE)+VLOOKUP(C155,$B$8:$AJ$11,10,FALSE)*입력란!$C$29)*입력란!$C$48/100</f>
        <v>145381.23200142852</v>
      </c>
      <c r="AO155" s="30">
        <f>(VLOOKUP(C155,$B$4:$AJ$7,11,FALSE)+VLOOKUP(C155,$B$8:$AJ$11,11,FALSE)*입력란!$C$29)*입력란!$C$48/100</f>
        <v>81769.670758243898</v>
      </c>
      <c r="AP155" s="30"/>
      <c r="AQ155" s="29">
        <v>24</v>
      </c>
    </row>
    <row r="156" spans="2:43" ht="13.5" customHeight="1" x14ac:dyDescent="0.3">
      <c r="B156" s="31">
        <v>141</v>
      </c>
      <c r="C156" s="36">
        <v>10</v>
      </c>
      <c r="D156" s="37" t="s">
        <v>160</v>
      </c>
      <c r="E156" s="38" t="s">
        <v>100</v>
      </c>
      <c r="F156" s="40"/>
      <c r="G156" s="40"/>
      <c r="H156" s="52">
        <f t="shared" si="23"/>
        <v>20794.468692830655</v>
      </c>
      <c r="I156" s="53">
        <f>SUM(J156:Q156)*IF(입력란!$C$16=1,1.04,IF(입력란!$C$16=2,1.1,IF(입력란!$C$16=3,1.2,1)))*IF(입력란!$C$21=1,1+입력란!$C$38*0.001,IF(입력란!$C$21=2,1+입력란!$C$38*0.0022,IF(입력란!$C$21=3,1+입력란!$C$38*0.0045,1)))*IF(입력란!$C$18&lt;&gt;0,0.98,1)</f>
        <v>493281.58236655442</v>
      </c>
      <c r="J156" s="30">
        <f>S156*(1+IF($AK156+IF(입력란!$C$9=1,10,0)+IF(입력란!$C$26=1,10,0)+IF(MID(E156,1,1)="3",트라이포드!H$12,0)&gt;100,100,$AK156+IF(입력란!$C$9=1,10,0)+IF(입력란!$C$26=1,10,0)+IF(MID(E156,1,1)="3",트라이포드!H$12,0))/100*(($AL156+IF(MID(E156,5,1)="2",트라이포드!R$12,0))/100-1))</f>
        <v>232143.43852661748</v>
      </c>
      <c r="K156" s="30">
        <f>T156*(1+IF($AK156+IF(입력란!$C$26=1,10,0)+IF(입력란!$C$9=1,10,0)&gt;100,100,$AK156+IF(입력란!$C$26=1,10,0)+IF(입력란!$C$9=1,10,0))/100*($AL156/100-1))</f>
        <v>261138.14383993697</v>
      </c>
      <c r="L156" s="30"/>
      <c r="M156" s="30"/>
      <c r="N156" s="39"/>
      <c r="O156" s="39"/>
      <c r="P156" s="39"/>
      <c r="Q156" s="27">
        <f>Z156*(1+IF($AK156+IF(입력란!$C$26=1,10,0)&gt;100,100,$AK156+IF(입력란!$C$26=1,10,0))/100*($AL156/100-1))</f>
        <v>0</v>
      </c>
      <c r="R156" s="24">
        <f t="shared" si="24"/>
        <v>308920.57351791632</v>
      </c>
      <c r="S156" s="30">
        <f>AN156*IF(입력란!$C$12=0,1,IF(입력란!$C$12=1,1.3,IF(입력란!$C$12=2,1.45,IF(입력란!$C$12=3,1.6,1))))*IF(MID(E156,5,1)="2",트라이포드!$Q$12,1)*IF(입력란!$C$9=1,IF(입력란!$C$15=0,1.05,IF(입력란!$C$15=1,1.05*1.05,IF(입력란!$C$15=2,1.05*1.12,IF(입력란!$C$15=3,1.05*1.25)))),1)</f>
        <v>145381.23200142852</v>
      </c>
      <c r="T156" s="30">
        <f>AO156*IF(입력란!$C$12=0,1,IF(입력란!$C$12=1,1.3,IF(입력란!$C$12=2,1.45,IF(입력란!$C$12=3,1.6,1))))*IF(MID(E156,3,1)="1",트라이포드!$J$12,트라이포드!$I$12)*IF(MID(E156,3,1)="3",트라이포드!$N$12,트라이포드!$M$12)*IF(입력란!$C$9=1,IF(입력란!$C$15=0,1.05,IF(입력란!$C$15=1,1.05*1.05,IF(입력란!$C$15=2,1.05*1.12,IF(입력란!$C$15=3,1.05*1.25)))),1)</f>
        <v>163539.3415164878</v>
      </c>
      <c r="U156" s="30"/>
      <c r="V156" s="30"/>
      <c r="W156" s="39"/>
      <c r="X156" s="39"/>
      <c r="Y156" s="39"/>
      <c r="Z156" s="25">
        <f>AO156*IF(입력란!$C$12=0,1,IF(입력란!$C$12=1,1.3,IF(입력란!$C$12=2,1.45,IF(입력란!$C$12=3,1.6,1))))*IF(MID(E156,3,1)="1",0.6,0)</f>
        <v>0</v>
      </c>
      <c r="AA156" s="30">
        <f t="shared" si="25"/>
        <v>617841.14703583263</v>
      </c>
      <c r="AB156" s="30">
        <f t="shared" si="26"/>
        <v>290762.46400285704</v>
      </c>
      <c r="AC156" s="30">
        <f t="shared" si="27"/>
        <v>327078.68303297559</v>
      </c>
      <c r="AD156" s="30"/>
      <c r="AE156" s="30"/>
      <c r="AF156" s="39"/>
      <c r="AG156" s="39"/>
      <c r="AH156" s="39"/>
      <c r="AI156" s="25">
        <f t="shared" si="22"/>
        <v>0</v>
      </c>
      <c r="AJ156" s="26">
        <f>AQ156*(1-입력란!$C$35/100)</f>
        <v>23.72176897872</v>
      </c>
      <c r="AK15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6" s="26">
        <f>입력란!$C$47+입력란!$C$41+IF(입력란!$C$18=1,10,IF(입력란!$C$18=2,25,IF(입력란!$C$18=3,50,0)))+IF(입력란!$C$23&lt;&gt;0,-12)</f>
        <v>378.9445412</v>
      </c>
      <c r="AM156" s="30">
        <f t="shared" si="28"/>
        <v>227150.90275967243</v>
      </c>
      <c r="AN156" s="30">
        <f>(VLOOKUP(C156,$B$4:$AJ$7,10,FALSE)+VLOOKUP(C156,$B$8:$AJ$11,10,FALSE)*입력란!$C$29)*입력란!$C$48/100</f>
        <v>145381.23200142852</v>
      </c>
      <c r="AO156" s="30">
        <f>(VLOOKUP(C156,$B$4:$AJ$7,11,FALSE)+VLOOKUP(C156,$B$8:$AJ$11,11,FALSE)*입력란!$C$29)*입력란!$C$48/100</f>
        <v>81769.670758243898</v>
      </c>
      <c r="AP156" s="30"/>
      <c r="AQ156" s="29">
        <v>24</v>
      </c>
    </row>
    <row r="157" spans="2:43" ht="13.5" customHeight="1" x14ac:dyDescent="0.3">
      <c r="B157" s="31">
        <v>142</v>
      </c>
      <c r="C157" s="36">
        <v>10</v>
      </c>
      <c r="D157" s="37" t="s">
        <v>160</v>
      </c>
      <c r="E157" s="38" t="s">
        <v>129</v>
      </c>
      <c r="F157" s="40"/>
      <c r="G157" s="40"/>
      <c r="H157" s="52">
        <f t="shared" si="23"/>
        <v>24895.8207914456</v>
      </c>
      <c r="I157" s="53">
        <f>SUM(J157:Q157)*IF(입력란!$C$16=1,1.04,IF(입력란!$C$16=2,1.1,IF(입력란!$C$16=3,1.2,1)))*IF(입력란!$C$21=1,1+입력란!$C$38*0.001,IF(입력란!$C$21=2,1+입력란!$C$38*0.0022,IF(입력란!$C$21=3,1+입력란!$C$38*0.0045,1)))*IF(입력란!$C$18&lt;&gt;0,0.98,1)</f>
        <v>590572.90935028659</v>
      </c>
      <c r="J157" s="30">
        <f>S157*(1+IF($AK157+IF(입력란!$C$9=1,10,0)+IF(입력란!$C$26=1,10,0)+IF(MID(E157,1,1)="3",트라이포드!H$12,0)&gt;100,100,$AK157+IF(입력란!$C$9=1,10,0)+IF(입력란!$C$26=1,10,0)+IF(MID(E157,1,1)="3",트라이포드!H$12,0))/100*(($AL157+IF(MID(E157,5,1)="2",트라이포드!R$12,0))/100-1))</f>
        <v>329434.76551034959</v>
      </c>
      <c r="K157" s="30">
        <f>T157*(1+IF($AK157+IF(입력란!$C$26=1,10,0)+IF(입력란!$C$9=1,10,0)&gt;100,100,$AK157+IF(입력란!$C$26=1,10,0)+IF(입력란!$C$9=1,10,0))/100*($AL157/100-1))</f>
        <v>261138.14383993697</v>
      </c>
      <c r="L157" s="30"/>
      <c r="M157" s="30"/>
      <c r="N157" s="39"/>
      <c r="O157" s="39"/>
      <c r="P157" s="39"/>
      <c r="Q157" s="27">
        <f>Z157*(1+IF($AK157+IF(입력란!$C$26=1,10,0)&gt;100,100,$AK157+IF(입력란!$C$26=1,10,0))/100*($AL157/100-1))</f>
        <v>0</v>
      </c>
      <c r="R157" s="24">
        <f t="shared" si="24"/>
        <v>356896.38007838774</v>
      </c>
      <c r="S157" s="30">
        <f>AN157*IF(입력란!$C$12=0,1,IF(입력란!$C$12=1,1.3,IF(입력란!$C$12=2,1.45,IF(입력란!$C$12=3,1.6,1))))*IF(MID(E157,5,1)="2",트라이포드!$Q$12,1)*IF(입력란!$C$9=1,IF(입력란!$C$15=0,1.05,IF(입력란!$C$15=1,1.05*1.05,IF(입력란!$C$15=2,1.05*1.12,IF(입력란!$C$15=3,1.05*1.25)))),1)</f>
        <v>193357.03856189994</v>
      </c>
      <c r="T157" s="30">
        <f>AO157*IF(입력란!$C$12=0,1,IF(입력란!$C$12=1,1.3,IF(입력란!$C$12=2,1.45,IF(입력란!$C$12=3,1.6,1))))*IF(MID(E157,3,1)="1",트라이포드!$J$12,트라이포드!$I$12)*IF(MID(E157,3,1)="3",트라이포드!$N$12,트라이포드!$M$12)*IF(입력란!$C$9=1,IF(입력란!$C$15=0,1.05,IF(입력란!$C$15=1,1.05*1.05,IF(입력란!$C$15=2,1.05*1.12,IF(입력란!$C$15=3,1.05*1.25)))),1)</f>
        <v>163539.3415164878</v>
      </c>
      <c r="U157" s="30"/>
      <c r="V157" s="30"/>
      <c r="W157" s="39"/>
      <c r="X157" s="39"/>
      <c r="Y157" s="39"/>
      <c r="Z157" s="25">
        <f>AO157*IF(입력란!$C$12=0,1,IF(입력란!$C$12=1,1.3,IF(입력란!$C$12=2,1.45,IF(입력란!$C$12=3,1.6,1))))*IF(MID(E157,3,1)="1",0.6,0)</f>
        <v>0</v>
      </c>
      <c r="AA157" s="30">
        <f t="shared" si="25"/>
        <v>713792.76015677548</v>
      </c>
      <c r="AB157" s="30">
        <f t="shared" si="26"/>
        <v>386714.07712379989</v>
      </c>
      <c r="AC157" s="30">
        <f t="shared" si="27"/>
        <v>327078.68303297559</v>
      </c>
      <c r="AD157" s="30"/>
      <c r="AE157" s="30"/>
      <c r="AF157" s="39"/>
      <c r="AG157" s="39"/>
      <c r="AH157" s="39"/>
      <c r="AI157" s="25">
        <f t="shared" si="22"/>
        <v>0</v>
      </c>
      <c r="AJ157" s="26">
        <f>AQ157*(1-입력란!$C$35/100)</f>
        <v>23.72176897872</v>
      </c>
      <c r="AK15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7" s="26">
        <f>입력란!$C$47+입력란!$C$41+IF(입력란!$C$18=1,10,IF(입력란!$C$18=2,25,IF(입력란!$C$18=3,50,0)))+IF(입력란!$C$23&lt;&gt;0,-12)</f>
        <v>378.9445412</v>
      </c>
      <c r="AM157" s="30">
        <f t="shared" si="28"/>
        <v>227150.90275967243</v>
      </c>
      <c r="AN157" s="30">
        <f>(VLOOKUP(C157,$B$4:$AJ$7,10,FALSE)+VLOOKUP(C157,$B$8:$AJ$11,10,FALSE)*입력란!$C$29)*입력란!$C$48/100</f>
        <v>145381.23200142852</v>
      </c>
      <c r="AO157" s="30">
        <f>(VLOOKUP(C157,$B$4:$AJ$7,11,FALSE)+VLOOKUP(C157,$B$8:$AJ$11,11,FALSE)*입력란!$C$29)*입력란!$C$48/100</f>
        <v>81769.670758243898</v>
      </c>
      <c r="AP157" s="30"/>
      <c r="AQ157" s="29">
        <v>24</v>
      </c>
    </row>
    <row r="158" spans="2:43" ht="13.5" customHeight="1" x14ac:dyDescent="0.3">
      <c r="B158" s="31">
        <v>143</v>
      </c>
      <c r="C158" s="36">
        <v>10</v>
      </c>
      <c r="D158" s="37" t="s">
        <v>160</v>
      </c>
      <c r="E158" s="38" t="s">
        <v>166</v>
      </c>
      <c r="F158" s="40"/>
      <c r="G158" s="40"/>
      <c r="H158" s="52">
        <f t="shared" si="23"/>
        <v>22128.438867961158</v>
      </c>
      <c r="I158" s="53">
        <f>SUM(J158:Q158)*IF(입력란!$C$16=1,1.04,IF(입력란!$C$16=2,1.1,IF(입력란!$C$16=3,1.2,1)))*IF(입력란!$C$21=1,1+입력란!$C$38*0.001,IF(입력란!$C$21=2,1+입력란!$C$38*0.0022,IF(입력란!$C$21=3,1+입력란!$C$38*0.0045,1)))*IF(입력란!$C$18&lt;&gt;0,0.98,1)</f>
        <v>524925.71468550293</v>
      </c>
      <c r="J158" s="30">
        <f>S158*(1+IF($AK158+IF(입력란!$C$9=1,10,0)+IF(입력란!$C$26=1,10,0)+IF(MID(E158,1,1)="3",트라이포드!H$12,0)&gt;100,100,$AK158+IF(입력란!$C$9=1,10,0)+IF(입력란!$C$26=1,10,0)+IF(MID(E158,1,1)="3",트라이포드!H$12,0))/100*(($AL158+IF(MID(E158,5,1)="2",트라이포드!R$12,0))/100-1))</f>
        <v>394356.64276553446</v>
      </c>
      <c r="K158" s="30">
        <f>T158*(1+IF($AK158+IF(입력란!$C$26=1,10,0)+IF(입력란!$C$9=1,10,0)&gt;100,100,$AK158+IF(입력란!$C$26=1,10,0)+IF(입력란!$C$9=1,10,0))/100*($AL158/100-1))</f>
        <v>130569.07191996848</v>
      </c>
      <c r="L158" s="30"/>
      <c r="M158" s="30"/>
      <c r="N158" s="39"/>
      <c r="O158" s="39"/>
      <c r="P158" s="39"/>
      <c r="Q158" s="27">
        <f>Z158*(1+IF($AK158+IF(입력란!$C$26=1,10,0)&gt;100,100,$AK158+IF(입력란!$C$26=1,10,0))/100*($AL158/100-1))</f>
        <v>0</v>
      </c>
      <c r="R158" s="24">
        <f t="shared" si="24"/>
        <v>227150.90275967243</v>
      </c>
      <c r="S158" s="30">
        <f>AN158*IF(입력란!$C$12=0,1,IF(입력란!$C$12=1,1.3,IF(입력란!$C$12=2,1.45,IF(입력란!$C$12=3,1.6,1))))*IF(MID(E158,5,1)="2",트라이포드!$Q$12,1)*IF(입력란!$C$9=1,IF(입력란!$C$15=0,1.05,IF(입력란!$C$15=1,1.05*1.05,IF(입력란!$C$15=2,1.05*1.12,IF(입력란!$C$15=3,1.05*1.25)))),1)</f>
        <v>145381.23200142852</v>
      </c>
      <c r="T158" s="30">
        <f>AO158*IF(입력란!$C$12=0,1,IF(입력란!$C$12=1,1.3,IF(입력란!$C$12=2,1.45,IF(입력란!$C$12=3,1.6,1))))*IF(MID(E158,3,1)="1",트라이포드!$J$12,트라이포드!$I$12)*IF(MID(E158,3,1)="3",트라이포드!$N$12,트라이포드!$M$12)*IF(입력란!$C$9=1,IF(입력란!$C$15=0,1.05,IF(입력란!$C$15=1,1.05*1.05,IF(입력란!$C$15=2,1.05*1.12,IF(입력란!$C$15=3,1.05*1.25)))),1)</f>
        <v>81769.670758243898</v>
      </c>
      <c r="U158" s="30"/>
      <c r="V158" s="30"/>
      <c r="W158" s="39"/>
      <c r="X158" s="39"/>
      <c r="Y158" s="39"/>
      <c r="Z158" s="25">
        <f>AO158*IF(입력란!$C$12=0,1,IF(입력란!$C$12=1,1.3,IF(입력란!$C$12=2,1.45,IF(입력란!$C$12=3,1.6,1))))*IF(MID(E158,3,1)="1",0.6,0)</f>
        <v>0</v>
      </c>
      <c r="AA158" s="30">
        <f t="shared" si="25"/>
        <v>454301.80551934487</v>
      </c>
      <c r="AB158" s="30">
        <f t="shared" si="26"/>
        <v>290762.46400285704</v>
      </c>
      <c r="AC158" s="30">
        <f t="shared" si="27"/>
        <v>163539.3415164878</v>
      </c>
      <c r="AD158" s="30"/>
      <c r="AE158" s="30"/>
      <c r="AF158" s="39"/>
      <c r="AG158" s="39"/>
      <c r="AH158" s="39"/>
      <c r="AI158" s="25">
        <f t="shared" si="22"/>
        <v>0</v>
      </c>
      <c r="AJ158" s="26">
        <f>AQ158*(1-입력란!$C$35/100)</f>
        <v>23.72176897872</v>
      </c>
      <c r="AK15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8" s="26">
        <f>입력란!$C$47+입력란!$C$41+IF(입력란!$C$18=1,10,IF(입력란!$C$18=2,25,IF(입력란!$C$18=3,50,0)))+IF(입력란!$C$23&lt;&gt;0,-12)</f>
        <v>378.9445412</v>
      </c>
      <c r="AM158" s="30">
        <f t="shared" si="28"/>
        <v>227150.90275967243</v>
      </c>
      <c r="AN158" s="30">
        <f>(VLOOKUP(C158,$B$4:$AJ$7,10,FALSE)+VLOOKUP(C158,$B$8:$AJ$11,10,FALSE)*입력란!$C$29)*입력란!$C$48/100</f>
        <v>145381.23200142852</v>
      </c>
      <c r="AO158" s="30">
        <f>(VLOOKUP(C158,$B$4:$AJ$7,11,FALSE)+VLOOKUP(C158,$B$8:$AJ$11,11,FALSE)*입력란!$C$29)*입력란!$C$48/100</f>
        <v>81769.670758243898</v>
      </c>
      <c r="AP158" s="30"/>
      <c r="AQ158" s="29">
        <v>24</v>
      </c>
    </row>
    <row r="159" spans="2:43" ht="13.5" customHeight="1" x14ac:dyDescent="0.3">
      <c r="B159" s="31">
        <v>144</v>
      </c>
      <c r="C159" s="36">
        <v>10</v>
      </c>
      <c r="D159" s="37" t="s">
        <v>160</v>
      </c>
      <c r="E159" s="38" t="s">
        <v>167</v>
      </c>
      <c r="F159" s="40" t="s">
        <v>221</v>
      </c>
      <c r="G159" s="40"/>
      <c r="H159" s="52">
        <f t="shared" si="23"/>
        <v>27082.207907419721</v>
      </c>
      <c r="I159" s="53">
        <f>SUM(J159:Q159)*IF(입력란!$C$16=1,1.04,IF(입력란!$C$16=2,1.1,IF(입력란!$C$16=3,1.2,1)))*IF(입력란!$C$21=1,1+입력란!$C$38*0.001,IF(입력란!$C$21=2,1+입력란!$C$38*0.0022,IF(입력란!$C$21=3,1+입력란!$C$38*0.0045,1)))*IF(입력란!$C$18&lt;&gt;0,0.98,1)</f>
        <v>642437.87941347458</v>
      </c>
      <c r="J159" s="30">
        <f>S159*(1+IF($AK159+IF(입력란!$C$9=1,10,0)+IF(입력란!$C$26=1,10,0)+IF(MID(E159,1,1)="3",트라이포드!H$12,0)&gt;100,100,$AK159+IF(입력란!$C$9=1,10,0)+IF(입력란!$C$26=1,10,0)+IF(MID(E159,1,1)="3",트라이포드!H$12,0))/100*(($AL159+IF(MID(E159,5,1)="2",트라이포드!R$12,0))/100-1))</f>
        <v>394356.64276553446</v>
      </c>
      <c r="K159" s="30">
        <f>T159*(1+IF($AK159+IF(입력란!$C$26=1,10,0)+IF(입력란!$C$9=1,10,0)&gt;100,100,$AK159+IF(입력란!$C$26=1,10,0)+IF(입력란!$C$9=1,10,0))/100*($AL159/100-1))</f>
        <v>169739.79349595905</v>
      </c>
      <c r="L159" s="30"/>
      <c r="M159" s="30"/>
      <c r="N159" s="39"/>
      <c r="O159" s="39"/>
      <c r="P159" s="39"/>
      <c r="Q159" s="27">
        <f>Z159*(1+IF($AK159+IF(입력란!$C$26=1,10,0)&gt;100,100,$AK159+IF(입력란!$C$26=1,10,0))/100*($AL159/100-1))</f>
        <v>78341.44315198109</v>
      </c>
      <c r="R159" s="24">
        <f t="shared" si="24"/>
        <v>300743.60644209193</v>
      </c>
      <c r="S159" s="30">
        <f>AN159*IF(입력란!$C$12=0,1,IF(입력란!$C$12=1,1.3,IF(입력란!$C$12=2,1.45,IF(입력란!$C$12=3,1.6,1))))*IF(MID(E159,5,1)="2",트라이포드!$Q$12,1)*IF(입력란!$C$9=1,IF(입력란!$C$15=0,1.05,IF(입력란!$C$15=1,1.05*1.05,IF(입력란!$C$15=2,1.05*1.12,IF(입력란!$C$15=3,1.05*1.25)))),1)</f>
        <v>145381.23200142852</v>
      </c>
      <c r="T159" s="30">
        <f>AO159*IF(입력란!$C$12=0,1,IF(입력란!$C$12=1,1.3,IF(입력란!$C$12=2,1.45,IF(입력란!$C$12=3,1.6,1))))*IF(MID(E159,3,1)="1",트라이포드!$J$12,트라이포드!$I$12)*IF(MID(E159,3,1)="3",트라이포드!$N$12,트라이포드!$M$12)*IF(입력란!$C$9=1,IF(입력란!$C$15=0,1.05,IF(입력란!$C$15=1,1.05*1.05,IF(입력란!$C$15=2,1.05*1.12,IF(입력란!$C$15=3,1.05*1.25)))),1)</f>
        <v>106300.57198571708</v>
      </c>
      <c r="U159" s="30"/>
      <c r="V159" s="30"/>
      <c r="W159" s="39"/>
      <c r="X159" s="39"/>
      <c r="Y159" s="39"/>
      <c r="Z159" s="25">
        <f>AO159*IF(입력란!$C$12=0,1,IF(입력란!$C$12=1,1.3,IF(입력란!$C$12=2,1.45,IF(입력란!$C$12=3,1.6,1))))*IF(MID(E159,3,1)="1",0.6,0)</f>
        <v>49061.802454946337</v>
      </c>
      <c r="AA159" s="30">
        <f t="shared" si="25"/>
        <v>601487.21288418386</v>
      </c>
      <c r="AB159" s="30">
        <f t="shared" si="26"/>
        <v>290762.46400285704</v>
      </c>
      <c r="AC159" s="30">
        <f t="shared" si="27"/>
        <v>212601.14397143415</v>
      </c>
      <c r="AD159" s="30"/>
      <c r="AE159" s="30"/>
      <c r="AF159" s="39"/>
      <c r="AG159" s="39"/>
      <c r="AH159" s="39"/>
      <c r="AI159" s="25">
        <f t="shared" si="22"/>
        <v>98123.604909892674</v>
      </c>
      <c r="AJ159" s="26">
        <f>AQ159*(1-입력란!$C$35/100)</f>
        <v>23.72176897872</v>
      </c>
      <c r="AK15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59" s="26">
        <f>입력란!$C$47+입력란!$C$41+IF(입력란!$C$18=1,10,IF(입력란!$C$18=2,25,IF(입력란!$C$18=3,50,0)))+IF(입력란!$C$23&lt;&gt;0,-12)</f>
        <v>378.9445412</v>
      </c>
      <c r="AM159" s="30">
        <f t="shared" si="28"/>
        <v>227150.90275967243</v>
      </c>
      <c r="AN159" s="30">
        <f>(VLOOKUP(C159,$B$4:$AJ$7,10,FALSE)+VLOOKUP(C159,$B$8:$AJ$11,10,FALSE)*입력란!$C$29)*입력란!$C$48/100</f>
        <v>145381.23200142852</v>
      </c>
      <c r="AO159" s="30">
        <f>(VLOOKUP(C159,$B$4:$AJ$7,11,FALSE)+VLOOKUP(C159,$B$8:$AJ$11,11,FALSE)*입력란!$C$29)*입력란!$C$48/100</f>
        <v>81769.670758243898</v>
      </c>
      <c r="AP159" s="30"/>
      <c r="AQ159" s="29">
        <v>24</v>
      </c>
    </row>
    <row r="160" spans="2:43" ht="13.5" customHeight="1" x14ac:dyDescent="0.3">
      <c r="B160" s="31">
        <v>145</v>
      </c>
      <c r="C160" s="36">
        <v>10</v>
      </c>
      <c r="D160" s="37" t="s">
        <v>160</v>
      </c>
      <c r="E160" s="38" t="s">
        <v>168</v>
      </c>
      <c r="F160" s="40" t="s">
        <v>221</v>
      </c>
      <c r="G160" s="40"/>
      <c r="H160" s="52">
        <f t="shared" si="23"/>
        <v>35070.359729694967</v>
      </c>
      <c r="I160" s="53">
        <f>SUM(J160:Q160)*IF(입력란!$C$16=1,1.04,IF(입력란!$C$16=2,1.1,IF(입력란!$C$16=3,1.2,1)))*IF(입력란!$C$21=1,1+입력란!$C$38*0.001,IF(입력란!$C$21=2,1+입력란!$C$38*0.0022,IF(입력란!$C$21=3,1+입력란!$C$38*0.0045,1)))*IF(입력란!$C$18&lt;&gt;0,0.98,1)</f>
        <v>831930.97150842915</v>
      </c>
      <c r="J160" s="30">
        <f>S160*(1+IF($AK160+IF(입력란!$C$9=1,10,0)+IF(입력란!$C$26=1,10,0)+IF(MID(E160,1,1)="3",트라이포드!H$12,0)&gt;100,100,$AK160+IF(입력란!$C$9=1,10,0)+IF(입력란!$C$26=1,10,0)+IF(MID(E160,1,1)="3",트라이포드!H$12,0))/100*(($AL160+IF(MID(E160,5,1)="2",트라이포드!R$12,0))/100-1))</f>
        <v>583849.73486048903</v>
      </c>
      <c r="K160" s="30">
        <f>T160*(1+IF($AK160+IF(입력란!$C$26=1,10,0)+IF(입력란!$C$9=1,10,0)&gt;100,100,$AK160+IF(입력란!$C$26=1,10,0)+IF(입력란!$C$9=1,10,0))/100*($AL160/100-1))</f>
        <v>169739.79349595905</v>
      </c>
      <c r="L160" s="30"/>
      <c r="M160" s="30"/>
      <c r="N160" s="39"/>
      <c r="O160" s="39"/>
      <c r="P160" s="39"/>
      <c r="Q160" s="27">
        <f>Z160*(1+IF($AK160+IF(입력란!$C$26=1,10,0)&gt;100,100,$AK160+IF(입력란!$C$26=1,10,0))/100*($AL160/100-1))</f>
        <v>78341.44315198109</v>
      </c>
      <c r="R160" s="24">
        <f t="shared" si="24"/>
        <v>348719.41300256335</v>
      </c>
      <c r="S160" s="30">
        <f>AN160*IF(입력란!$C$12=0,1,IF(입력란!$C$12=1,1.3,IF(입력란!$C$12=2,1.45,IF(입력란!$C$12=3,1.6,1))))*IF(MID(E160,5,1)="2",트라이포드!$Q$12,1)*IF(입력란!$C$9=1,IF(입력란!$C$15=0,1.05,IF(입력란!$C$15=1,1.05*1.05,IF(입력란!$C$15=2,1.05*1.12,IF(입력란!$C$15=3,1.05*1.25)))),1)</f>
        <v>193357.03856189994</v>
      </c>
      <c r="T160" s="30">
        <f>AO160*IF(입력란!$C$12=0,1,IF(입력란!$C$12=1,1.3,IF(입력란!$C$12=2,1.45,IF(입력란!$C$12=3,1.6,1))))*IF(MID(E160,3,1)="1",트라이포드!$J$12,트라이포드!$I$12)*IF(MID(E160,3,1)="3",트라이포드!$N$12,트라이포드!$M$12)*IF(입력란!$C$9=1,IF(입력란!$C$15=0,1.05,IF(입력란!$C$15=1,1.05*1.05,IF(입력란!$C$15=2,1.05*1.12,IF(입력란!$C$15=3,1.05*1.25)))),1)</f>
        <v>106300.57198571708</v>
      </c>
      <c r="U160" s="30"/>
      <c r="V160" s="30"/>
      <c r="W160" s="39"/>
      <c r="X160" s="39"/>
      <c r="Y160" s="39"/>
      <c r="Z160" s="25">
        <f>AO160*IF(입력란!$C$12=0,1,IF(입력란!$C$12=1,1.3,IF(입력란!$C$12=2,1.45,IF(입력란!$C$12=3,1.6,1))))*IF(MID(E160,3,1)="1",0.6,0)</f>
        <v>49061.802454946337</v>
      </c>
      <c r="AA160" s="30">
        <f t="shared" si="25"/>
        <v>697438.8260051267</v>
      </c>
      <c r="AB160" s="30">
        <f t="shared" si="26"/>
        <v>386714.07712379989</v>
      </c>
      <c r="AC160" s="30">
        <f t="shared" si="27"/>
        <v>212601.14397143415</v>
      </c>
      <c r="AD160" s="30"/>
      <c r="AE160" s="30"/>
      <c r="AF160" s="39"/>
      <c r="AG160" s="39"/>
      <c r="AH160" s="39"/>
      <c r="AI160" s="25">
        <f t="shared" si="22"/>
        <v>98123.604909892674</v>
      </c>
      <c r="AJ160" s="26">
        <f>AQ160*(1-입력란!$C$35/100)</f>
        <v>23.72176897872</v>
      </c>
      <c r="AK16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0" s="26">
        <f>입력란!$C$47+입력란!$C$41+IF(입력란!$C$18=1,10,IF(입력란!$C$18=2,25,IF(입력란!$C$18=3,50,0)))+IF(입력란!$C$23&lt;&gt;0,-12)</f>
        <v>378.9445412</v>
      </c>
      <c r="AM160" s="30">
        <f t="shared" si="28"/>
        <v>227150.90275967243</v>
      </c>
      <c r="AN160" s="30">
        <f>(VLOOKUP(C160,$B$4:$AJ$7,10,FALSE)+VLOOKUP(C160,$B$8:$AJ$11,10,FALSE)*입력란!$C$29)*입력란!$C$48/100</f>
        <v>145381.23200142852</v>
      </c>
      <c r="AO160" s="30">
        <f>(VLOOKUP(C160,$B$4:$AJ$7,11,FALSE)+VLOOKUP(C160,$B$8:$AJ$11,11,FALSE)*입력란!$C$29)*입력란!$C$48/100</f>
        <v>81769.670758243898</v>
      </c>
      <c r="AP160" s="30"/>
      <c r="AQ160" s="29">
        <v>24</v>
      </c>
    </row>
    <row r="161" spans="2:43" ht="13.5" customHeight="1" x14ac:dyDescent="0.3">
      <c r="B161" s="31">
        <v>146</v>
      </c>
      <c r="C161" s="36">
        <v>10</v>
      </c>
      <c r="D161" s="37" t="s">
        <v>160</v>
      </c>
      <c r="E161" s="38" t="s">
        <v>111</v>
      </c>
      <c r="F161" s="40"/>
      <c r="G161" s="40"/>
      <c r="H161" s="52">
        <f t="shared" si="23"/>
        <v>27632.626689581779</v>
      </c>
      <c r="I161" s="53">
        <f>SUM(J161:Q161)*IF(입력란!$C$16=1,1.04,IF(입력란!$C$16=2,1.1,IF(입력란!$C$16=3,1.2,1)))*IF(입력란!$C$21=1,1+입력란!$C$38*0.001,IF(입력란!$C$21=2,1+입력란!$C$38*0.0022,IF(입력란!$C$21=3,1+입력란!$C$38*0.0045,1)))*IF(입력란!$C$18&lt;&gt;0,0.98,1)</f>
        <v>655494.7866054714</v>
      </c>
      <c r="J161" s="30">
        <f>S161*(1+IF($AK161+IF(입력란!$C$9=1,10,0)+IF(입력란!$C$26=1,10,0)+IF(MID(E161,1,1)="3",트라이포드!H$12,0)&gt;100,100,$AK161+IF(입력란!$C$9=1,10,0)+IF(입력란!$C$26=1,10,0)+IF(MID(E161,1,1)="3",트라이포드!H$12,0))/100*(($AL161+IF(MID(E161,5,1)="2",트라이포드!R$12,0))/100-1))</f>
        <v>394356.64276553446</v>
      </c>
      <c r="K161" s="30">
        <f>T161*(1+IF($AK161+IF(입력란!$C$26=1,10,0)+IF(입력란!$C$9=1,10,0)&gt;100,100,$AK161+IF(입력란!$C$26=1,10,0)+IF(입력란!$C$9=1,10,0))/100*($AL161/100-1))</f>
        <v>261138.14383993697</v>
      </c>
      <c r="L161" s="30"/>
      <c r="M161" s="30"/>
      <c r="N161" s="39"/>
      <c r="O161" s="39"/>
      <c r="P161" s="39"/>
      <c r="Q161" s="27">
        <f>Z161*(1+IF($AK161+IF(입력란!$C$26=1,10,0)&gt;100,100,$AK161+IF(입력란!$C$26=1,10,0))/100*($AL161/100-1))</f>
        <v>0</v>
      </c>
      <c r="R161" s="24">
        <f t="shared" si="24"/>
        <v>308920.57351791632</v>
      </c>
      <c r="S161" s="30">
        <f>AN161*IF(입력란!$C$12=0,1,IF(입력란!$C$12=1,1.3,IF(입력란!$C$12=2,1.45,IF(입력란!$C$12=3,1.6,1))))*IF(MID(E161,5,1)="2",트라이포드!$Q$12,1)*IF(입력란!$C$9=1,IF(입력란!$C$15=0,1.05,IF(입력란!$C$15=1,1.05*1.05,IF(입력란!$C$15=2,1.05*1.12,IF(입력란!$C$15=3,1.05*1.25)))),1)</f>
        <v>145381.23200142852</v>
      </c>
      <c r="T161" s="30">
        <f>AO161*IF(입력란!$C$12=0,1,IF(입력란!$C$12=1,1.3,IF(입력란!$C$12=2,1.45,IF(입력란!$C$12=3,1.6,1))))*IF(MID(E161,3,1)="1",트라이포드!$J$12,트라이포드!$I$12)*IF(MID(E161,3,1)="3",트라이포드!$N$12,트라이포드!$M$12)*IF(입력란!$C$9=1,IF(입력란!$C$15=0,1.05,IF(입력란!$C$15=1,1.05*1.05,IF(입력란!$C$15=2,1.05*1.12,IF(입력란!$C$15=3,1.05*1.25)))),1)</f>
        <v>163539.3415164878</v>
      </c>
      <c r="U161" s="30"/>
      <c r="V161" s="30"/>
      <c r="W161" s="39"/>
      <c r="X161" s="39"/>
      <c r="Y161" s="39"/>
      <c r="Z161" s="25">
        <f>AO161*IF(입력란!$C$12=0,1,IF(입력란!$C$12=1,1.3,IF(입력란!$C$12=2,1.45,IF(입력란!$C$12=3,1.6,1))))*IF(MID(E161,3,1)="1",0.6,0)</f>
        <v>0</v>
      </c>
      <c r="AA161" s="30">
        <f t="shared" si="25"/>
        <v>617841.14703583263</v>
      </c>
      <c r="AB161" s="30">
        <f t="shared" si="26"/>
        <v>290762.46400285704</v>
      </c>
      <c r="AC161" s="30">
        <f t="shared" si="27"/>
        <v>327078.68303297559</v>
      </c>
      <c r="AD161" s="30"/>
      <c r="AE161" s="30"/>
      <c r="AF161" s="39"/>
      <c r="AG161" s="39"/>
      <c r="AH161" s="39"/>
      <c r="AI161" s="25">
        <f t="shared" si="22"/>
        <v>0</v>
      </c>
      <c r="AJ161" s="26">
        <f>AQ161*(1-입력란!$C$35/100)</f>
        <v>23.72176897872</v>
      </c>
      <c r="AK16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1" s="26">
        <f>입력란!$C$47+입력란!$C$41+IF(입력란!$C$18=1,10,IF(입력란!$C$18=2,25,IF(입력란!$C$18=3,50,0)))+IF(입력란!$C$23&lt;&gt;0,-12)</f>
        <v>378.9445412</v>
      </c>
      <c r="AM161" s="30">
        <f t="shared" si="28"/>
        <v>227150.90275967243</v>
      </c>
      <c r="AN161" s="30">
        <f>(VLOOKUP(C161,$B$4:$AJ$7,10,FALSE)+VLOOKUP(C161,$B$8:$AJ$11,10,FALSE)*입력란!$C$29)*입력란!$C$48/100</f>
        <v>145381.23200142852</v>
      </c>
      <c r="AO161" s="30">
        <f>(VLOOKUP(C161,$B$4:$AJ$7,11,FALSE)+VLOOKUP(C161,$B$8:$AJ$11,11,FALSE)*입력란!$C$29)*입력란!$C$48/100</f>
        <v>81769.670758243898</v>
      </c>
      <c r="AP161" s="30"/>
      <c r="AQ161" s="29">
        <v>24</v>
      </c>
    </row>
    <row r="162" spans="2:43" ht="13.5" customHeight="1" x14ac:dyDescent="0.3">
      <c r="B162" s="31">
        <v>147</v>
      </c>
      <c r="C162" s="36">
        <v>10</v>
      </c>
      <c r="D162" s="37" t="s">
        <v>160</v>
      </c>
      <c r="E162" s="38" t="s">
        <v>119</v>
      </c>
      <c r="F162" s="40"/>
      <c r="G162" s="40"/>
      <c r="H162" s="52">
        <f t="shared" si="23"/>
        <v>35620.778511857025</v>
      </c>
      <c r="I162" s="53">
        <f>SUM(J162:Q162)*IF(입력란!$C$16=1,1.04,IF(입력란!$C$16=2,1.1,IF(입력란!$C$16=3,1.2,1)))*IF(입력란!$C$21=1,1+입력란!$C$38*0.001,IF(입력란!$C$21=2,1+입력란!$C$38*0.0022,IF(입력란!$C$21=3,1+입력란!$C$38*0.0045,1)))*IF(입력란!$C$18&lt;&gt;0,0.98,1)</f>
        <v>844987.87870042596</v>
      </c>
      <c r="J162" s="30">
        <f>S162*(1+IF($AK162+IF(입력란!$C$9=1,10,0)+IF(입력란!$C$26=1,10,0)+IF(MID(E162,1,1)="3",트라이포드!H$12,0)&gt;100,100,$AK162+IF(입력란!$C$9=1,10,0)+IF(입력란!$C$26=1,10,0)+IF(MID(E162,1,1)="3",트라이포드!H$12,0))/100*(($AL162+IF(MID(E162,5,1)="2",트라이포드!R$12,0))/100-1))</f>
        <v>583849.73486048903</v>
      </c>
      <c r="K162" s="30">
        <f>T162*(1+IF($AK162+IF(입력란!$C$26=1,10,0)+IF(입력란!$C$9=1,10,0)&gt;100,100,$AK162+IF(입력란!$C$26=1,10,0)+IF(입력란!$C$9=1,10,0))/100*($AL162/100-1))</f>
        <v>261138.14383993697</v>
      </c>
      <c r="L162" s="30"/>
      <c r="M162" s="30"/>
      <c r="N162" s="39"/>
      <c r="O162" s="39"/>
      <c r="P162" s="39"/>
      <c r="Q162" s="27">
        <f>Z162*(1+IF($AK162+IF(입력란!$C$26=1,10,0)&gt;100,100,$AK162+IF(입력란!$C$26=1,10,0))/100*($AL162/100-1))</f>
        <v>0</v>
      </c>
      <c r="R162" s="24">
        <f t="shared" si="24"/>
        <v>356896.38007838774</v>
      </c>
      <c r="S162" s="30">
        <f>AN162*IF(입력란!$C$12=0,1,IF(입력란!$C$12=1,1.3,IF(입력란!$C$12=2,1.45,IF(입력란!$C$12=3,1.6,1))))*IF(MID(E162,5,1)="2",트라이포드!$Q$12,1)*IF(입력란!$C$9=1,IF(입력란!$C$15=0,1.05,IF(입력란!$C$15=1,1.05*1.05,IF(입력란!$C$15=2,1.05*1.12,IF(입력란!$C$15=3,1.05*1.25)))),1)</f>
        <v>193357.03856189994</v>
      </c>
      <c r="T162" s="30">
        <f>AO162*IF(입력란!$C$12=0,1,IF(입력란!$C$12=1,1.3,IF(입력란!$C$12=2,1.45,IF(입력란!$C$12=3,1.6,1))))*IF(MID(E162,3,1)="1",트라이포드!$J$12,트라이포드!$I$12)*IF(MID(E162,3,1)="3",트라이포드!$N$12,트라이포드!$M$12)*IF(입력란!$C$9=1,IF(입력란!$C$15=0,1.05,IF(입력란!$C$15=1,1.05*1.05,IF(입력란!$C$15=2,1.05*1.12,IF(입력란!$C$15=3,1.05*1.25)))),1)</f>
        <v>163539.3415164878</v>
      </c>
      <c r="U162" s="30"/>
      <c r="V162" s="30"/>
      <c r="W162" s="39"/>
      <c r="X162" s="39"/>
      <c r="Y162" s="39"/>
      <c r="Z162" s="25">
        <f>AO162*IF(입력란!$C$12=0,1,IF(입력란!$C$12=1,1.3,IF(입력란!$C$12=2,1.45,IF(입력란!$C$12=3,1.6,1))))*IF(MID(E162,3,1)="1",0.6,0)</f>
        <v>0</v>
      </c>
      <c r="AA162" s="30">
        <f t="shared" si="25"/>
        <v>713792.76015677548</v>
      </c>
      <c r="AB162" s="30">
        <f t="shared" si="26"/>
        <v>386714.07712379989</v>
      </c>
      <c r="AC162" s="30">
        <f t="shared" si="27"/>
        <v>327078.68303297559</v>
      </c>
      <c r="AD162" s="30"/>
      <c r="AE162" s="30"/>
      <c r="AF162" s="39"/>
      <c r="AG162" s="39"/>
      <c r="AH162" s="39"/>
      <c r="AI162" s="25">
        <f t="shared" si="22"/>
        <v>0</v>
      </c>
      <c r="AJ162" s="26">
        <f>AQ162*(1-입력란!$C$35/100)</f>
        <v>23.72176897872</v>
      </c>
      <c r="AK1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2" s="26">
        <f>입력란!$C$47+입력란!$C$41+IF(입력란!$C$18=1,10,IF(입력란!$C$18=2,25,IF(입력란!$C$18=3,50,0)))+IF(입력란!$C$23&lt;&gt;0,-12)</f>
        <v>378.9445412</v>
      </c>
      <c r="AM162" s="30">
        <f t="shared" si="28"/>
        <v>227150.90275967243</v>
      </c>
      <c r="AN162" s="30">
        <f>(VLOOKUP(C162,$B$4:$AJ$7,10,FALSE)+VLOOKUP(C162,$B$8:$AJ$11,10,FALSE)*입력란!$C$29)*입력란!$C$48/100</f>
        <v>145381.23200142852</v>
      </c>
      <c r="AO162" s="30">
        <f>(VLOOKUP(C162,$B$4:$AJ$7,11,FALSE)+VLOOKUP(C162,$B$8:$AJ$11,11,FALSE)*입력란!$C$29)*입력란!$C$48/100</f>
        <v>81769.670758243898</v>
      </c>
      <c r="AP162" s="30"/>
      <c r="AQ162" s="29">
        <v>24</v>
      </c>
    </row>
    <row r="163" spans="2:43" ht="13.5" customHeight="1" x14ac:dyDescent="0.3">
      <c r="B163" s="31">
        <v>148</v>
      </c>
      <c r="C163" s="36">
        <v>1</v>
      </c>
      <c r="D163" s="37" t="s">
        <v>169</v>
      </c>
      <c r="E163" s="38" t="s">
        <v>96</v>
      </c>
      <c r="F163" s="40"/>
      <c r="G163" s="40"/>
      <c r="H163" s="52">
        <f t="shared" si="23"/>
        <v>14689.903295451155</v>
      </c>
      <c r="I163" s="53">
        <f>SUM(J163:Q163)*IF(입력란!$C$16=1,1.04,IF(입력란!$C$16=2,1.1,IF(입력란!$C$16=3,1.2,1)))*IF(입력란!$C$21=1,1+입력란!$C$38*0.001,IF(입력란!$C$21=2,1+입력란!$C$38*0.0022,IF(입력란!$C$21=3,1+입력란!$C$38*0.0045,1)))*IF(입력란!$C$18&lt;&gt;0,0.98,1)</f>
        <v>87117.623073607479</v>
      </c>
      <c r="J163" s="30">
        <f>S163*(1+IF($AK163+IF(입력란!$C$9=1,10,0)+IF(입력란!$C$26=1,10,0)+IF(MID(E163,1,1)="3",트라이포드!$H$13,0)&gt;100,100,$AK163+IF(입력란!$C$9=1,10,0)+IF(입력란!$C$26=1,10,0)+IF(MID(E163,1,1)="3",트라이포드!$H$13,0))/100*($AL163/100-1))</f>
        <v>43558.81153680374</v>
      </c>
      <c r="K163" s="30">
        <f>T163*(1+IF($AK163+IF(입력란!$C$9=1,10,0)+IF(입력란!$C$26=1,10,0)+IF(MID(E163,1,1)="3",트라이포드!H$13,0)&gt;100,100,$AK163+IF(입력란!$C$9=1,10,0)+IF(입력란!$C$26=1,10,0)+IF(MID(E163,1,1)="3",트라이포드!H$13,0))/100*($AL163/100-1))</f>
        <v>43558.81153680374</v>
      </c>
      <c r="L163" s="30">
        <f>U163*(1+IF($AK163+IF(입력란!$C$9=1,10,0)+IF(입력란!$C$26=1,10,0)+IF(MID(E163,1,1)="3",트라이포드!H$13,0)&gt;100,100,$AK163+IF(입력란!$C$9=1,10,0)+IF(입력란!$C$26=1,10,0)+IF(MID(E163,1,1)="3",트라이포드!H$13,0))/100*($AL163/100-1))</f>
        <v>0</v>
      </c>
      <c r="M163" s="30"/>
      <c r="N163" s="39"/>
      <c r="O163" s="39"/>
      <c r="P163" s="39"/>
      <c r="Q163" s="27"/>
      <c r="R163" s="24">
        <f t="shared" si="24"/>
        <v>54557.938194858507</v>
      </c>
      <c r="S163" s="30">
        <f>AN163*IF(입력란!$C$12=0,1,IF(입력란!$C$12=1,1.3,IF(입력란!$C$12=2,1.45,IF(입력란!$C$12=3,1.6,1))))*IF(MID(E163,3,1)="1",트라이포드!$J$13,트라이포드!$I$13)*IF(MID(E163,5,1)="2",트라이포드!$R$13,트라이포드!$Q$13)*IF(입력란!$C$9=1,IF(입력란!$C$15=0,1.05,IF(입력란!$C$15=1,1.05*1.05,IF(입력란!$C$15=2,1.05*1.12,IF(입력란!$C$15=3,1.05*1.25)))),1)</f>
        <v>27278.969097429253</v>
      </c>
      <c r="T163" s="30">
        <f>AN163*IF(입력란!$C$12=0,1,IF(입력란!$C$12=1,1.3,IF(입력란!$C$12=2,1.45,IF(입력란!$C$12=3,1.6,1))))*IF(MID(E163,3,1)="1",트라이포드!$J$13,트라이포드!$I$13)*IF(MID(E163,5,1)="2",트라이포드!$R$13,트라이포드!$Q$13)*IF(입력란!$C$9=1,IF(입력란!$C$15=0,1.05,IF(입력란!$C$15=1,1.05*1.05,IF(입력란!$C$15=2,1.05*1.12,IF(입력란!$C$15=3,1.05*1.25)))),1)</f>
        <v>27278.969097429253</v>
      </c>
      <c r="U163" s="30">
        <f>AN163*IF(입력란!$C$12=0,1,IF(입력란!$C$12=1,1.3,IF(입력란!$C$12=2,1.45,IF(입력란!$C$12=3,1.6,1))))*IF(MID(E163,3,1)="1",트라이포드!$J$13,트라이포드!$I$13)*IF(MID(E163,5,1)="1",1,0)*IF(입력란!$C$9=1,IF(입력란!$C$15=0,1.05,IF(입력란!$C$15=1,1.05*1.05,IF(입력란!$C$15=2,1.05*1.12,IF(입력란!$C$15=3,1.05*1.25)))),1)</f>
        <v>0</v>
      </c>
      <c r="V163" s="30"/>
      <c r="W163" s="39"/>
      <c r="X163" s="39"/>
      <c r="Y163" s="39"/>
      <c r="Z163" s="25"/>
      <c r="AA163" s="30">
        <f t="shared" si="25"/>
        <v>109115.87638971701</v>
      </c>
      <c r="AB163" s="30">
        <f t="shared" si="26"/>
        <v>54557.938194858507</v>
      </c>
      <c r="AC163" s="30">
        <f t="shared" si="27"/>
        <v>54557.938194858507</v>
      </c>
      <c r="AD163" s="30">
        <f t="shared" ref="AD163:AD192" si="29">U163*2</f>
        <v>0</v>
      </c>
      <c r="AE163" s="30"/>
      <c r="AF163" s="39"/>
      <c r="AG163" s="39"/>
      <c r="AH163" s="39"/>
      <c r="AI163" s="25"/>
      <c r="AJ163" s="26">
        <f>AQ163*(1-입력란!$C$35/100)</f>
        <v>5.93044224468</v>
      </c>
      <c r="AK1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3" s="26">
        <f>입력란!$C$47+입력란!$C$41+IF(입력란!$C$18=1,10,IF(입력란!$C$18=2,25,IF(입력란!$C$18=3,50,0)))+IF(입력란!$C$23&lt;&gt;0,-12)</f>
        <v>378.9445412</v>
      </c>
      <c r="AM163" s="30">
        <f t="shared" si="28"/>
        <v>27278.969097429253</v>
      </c>
      <c r="AN163" s="30">
        <f>(VLOOKUP(C163,$B$4:$AJ$7,12,FALSE)+VLOOKUP(C163,$B$8:$AJ$11,12,FALSE)*입력란!$C$29)*입력란!$C$48/100</f>
        <v>27278.969097429253</v>
      </c>
      <c r="AO163" s="30"/>
      <c r="AP163" s="30"/>
      <c r="AQ163" s="29">
        <v>6</v>
      </c>
    </row>
    <row r="164" spans="2:43" ht="13.5" customHeight="1" x14ac:dyDescent="0.3">
      <c r="B164" s="31">
        <v>149</v>
      </c>
      <c r="C164" s="36">
        <v>4</v>
      </c>
      <c r="D164" s="37" t="s">
        <v>169</v>
      </c>
      <c r="E164" s="38" t="s">
        <v>96</v>
      </c>
      <c r="F164" s="40"/>
      <c r="G164" s="40"/>
      <c r="H164" s="52">
        <f t="shared" si="23"/>
        <v>14721.99828530513</v>
      </c>
      <c r="I164" s="53">
        <f>SUM(J164:Q164)*IF(입력란!$C$16=1,1.04,IF(입력란!$C$16=2,1.1,IF(입력란!$C$16=3,1.2,1)))*IF(입력란!$C$21=1,1+입력란!$C$38*0.001,IF(입력란!$C$21=2,1+입력란!$C$38*0.0022,IF(입력란!$C$21=3,1+입력란!$C$38*0.0045,1)))*IF(입력란!$C$18&lt;&gt;0,0.98,1)</f>
        <v>87307.960557280065</v>
      </c>
      <c r="J164" s="30">
        <f>S164*(1+IF($AK164+IF(입력란!$C$9=1,10,0)+IF(입력란!$C$26=1,10,0)+IF(MID(E164,1,1)="3",트라이포드!$H$13,0)&gt;100,100,$AK164+IF(입력란!$C$9=1,10,0)+IF(입력란!$C$26=1,10,0)+IF(MID(E164,1,1)="3",트라이포드!$H$13,0))/100*($AL164/100-1))</f>
        <v>43653.980278640032</v>
      </c>
      <c r="K164" s="30">
        <f>T164*(1+IF($AK164+IF(입력란!$C$9=1,10,0)+IF(입력란!$C$26=1,10,0)+IF(MID(E164,1,1)="3",트라이포드!H$13,0)&gt;100,100,$AK164+IF(입력란!$C$9=1,10,0)+IF(입력란!$C$26=1,10,0)+IF(MID(E164,1,1)="3",트라이포드!H$13,0))/100*($AL164/100-1))</f>
        <v>43653.980278640032</v>
      </c>
      <c r="L164" s="30">
        <f>U164*(1+IF($AK164+IF(입력란!$C$9=1,10,0)+IF(입력란!$C$26=1,10,0)+IF(MID(E164,1,1)="3",트라이포드!H$13,0)&gt;100,100,$AK164+IF(입력란!$C$9=1,10,0)+IF(입력란!$C$26=1,10,0)+IF(MID(E164,1,1)="3",트라이포드!H$13,0))/100*($AL164/100-1))</f>
        <v>0</v>
      </c>
      <c r="M164" s="30"/>
      <c r="N164" s="39"/>
      <c r="O164" s="39"/>
      <c r="P164" s="39"/>
      <c r="Q164" s="27"/>
      <c r="R164" s="24">
        <f t="shared" si="24"/>
        <v>54677.138194858504</v>
      </c>
      <c r="S164" s="30">
        <f>AN164*IF(입력란!$C$12=0,1,IF(입력란!$C$12=1,1.3,IF(입력란!$C$12=2,1.45,IF(입력란!$C$12=3,1.6,1))))*IF(MID(E164,3,1)="1",트라이포드!$J$13,트라이포드!$I$13)*IF(MID(E164,5,1)="2",트라이포드!$R$13,트라이포드!$Q$13)*IF(입력란!$C$9=1,IF(입력란!$C$15=0,1.05,IF(입력란!$C$15=1,1.05*1.05,IF(입력란!$C$15=2,1.05*1.12,IF(입력란!$C$15=3,1.05*1.25)))),1)</f>
        <v>27338.569097429252</v>
      </c>
      <c r="T164" s="30">
        <f>AN164*IF(입력란!$C$12=0,1,IF(입력란!$C$12=1,1.3,IF(입력란!$C$12=2,1.45,IF(입력란!$C$12=3,1.6,1))))*IF(MID(E164,3,1)="1",트라이포드!$J$13,트라이포드!$I$13)*IF(MID(E164,5,1)="2",트라이포드!$R$13,트라이포드!$Q$13)*IF(입력란!$C$9=1,IF(입력란!$C$15=0,1.05,IF(입력란!$C$15=1,1.05*1.05,IF(입력란!$C$15=2,1.05*1.12,IF(입력란!$C$15=3,1.05*1.25)))),1)</f>
        <v>27338.569097429252</v>
      </c>
      <c r="U164" s="30">
        <f>AN164*IF(입력란!$C$12=0,1,IF(입력란!$C$12=1,1.3,IF(입력란!$C$12=2,1.45,IF(입력란!$C$12=3,1.6,1))))*IF(MID(E164,3,1)="1",트라이포드!$J$13,트라이포드!$I$13)*IF(MID(E164,5,1)="1",1,0)*IF(입력란!$C$9=1,IF(입력란!$C$15=0,1.05,IF(입력란!$C$15=1,1.05*1.05,IF(입력란!$C$15=2,1.05*1.12,IF(입력란!$C$15=3,1.05*1.25)))),1)</f>
        <v>0</v>
      </c>
      <c r="V164" s="30"/>
      <c r="W164" s="39"/>
      <c r="X164" s="39"/>
      <c r="Y164" s="39"/>
      <c r="Z164" s="25"/>
      <c r="AA164" s="30">
        <f t="shared" si="25"/>
        <v>109354.27638971701</v>
      </c>
      <c r="AB164" s="30">
        <f t="shared" si="26"/>
        <v>54677.138194858504</v>
      </c>
      <c r="AC164" s="30">
        <f t="shared" si="27"/>
        <v>54677.138194858504</v>
      </c>
      <c r="AD164" s="30">
        <f t="shared" si="29"/>
        <v>0</v>
      </c>
      <c r="AE164" s="30"/>
      <c r="AF164" s="39"/>
      <c r="AG164" s="39"/>
      <c r="AH164" s="39"/>
      <c r="AI164" s="25"/>
      <c r="AJ164" s="26">
        <f>AQ164*(1-입력란!$C$35/100)</f>
        <v>5.93044224468</v>
      </c>
      <c r="AK1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4" s="26">
        <f>입력란!$C$47+입력란!$C$41+IF(입력란!$C$18=1,10,IF(입력란!$C$18=2,25,IF(입력란!$C$18=3,50,0)))+IF(입력란!$C$23&lt;&gt;0,-12)</f>
        <v>378.9445412</v>
      </c>
      <c r="AM164" s="30">
        <f t="shared" si="28"/>
        <v>27338.569097429252</v>
      </c>
      <c r="AN164" s="30">
        <f>(VLOOKUP(C164,$B$4:$AJ$7,12,FALSE)+VLOOKUP(C164,$B$8:$AJ$11,12,FALSE)*입력란!$C$29)*입력란!$C$48/100</f>
        <v>27338.569097429252</v>
      </c>
      <c r="AO164" s="26"/>
      <c r="AP164" s="30"/>
      <c r="AQ164" s="29">
        <v>6</v>
      </c>
    </row>
    <row r="165" spans="2:43" ht="13.5" customHeight="1" x14ac:dyDescent="0.3">
      <c r="B165" s="31">
        <v>150</v>
      </c>
      <c r="C165" s="36">
        <v>4</v>
      </c>
      <c r="D165" s="37" t="s">
        <v>169</v>
      </c>
      <c r="E165" s="38" t="s">
        <v>97</v>
      </c>
      <c r="F165" s="40"/>
      <c r="G165" s="40"/>
      <c r="H165" s="52">
        <f t="shared" si="23"/>
        <v>18579.692686150811</v>
      </c>
      <c r="I165" s="53">
        <f>SUM(J165:Q165)*IF(입력란!$C$16=1,1.04,IF(입력란!$C$16=2,1.1,IF(입력란!$C$16=3,1.2,1)))*IF(입력란!$C$21=1,1+입력란!$C$38*0.001,IF(입력란!$C$21=2,1+입력란!$C$38*0.0022,IF(입력란!$C$21=3,1+입력란!$C$38*0.0045,1)))*IF(입력란!$C$18&lt;&gt;0,0.98,1)</f>
        <v>110185.79439912079</v>
      </c>
      <c r="J165" s="30">
        <f>S165*(1+IF($AK165+IF(입력란!$C$9=1,10,0)+IF(입력란!$C$26=1,10,0)+IF(MID(E165,1,1)="3",트라이포드!$H$13,0)&gt;100,100,$AK165+IF(입력란!$C$9=1,10,0)+IF(입력란!$C$26=1,10,0)+IF(MID(E165,1,1)="3",트라이포드!$H$13,0))/100*($AL165/100-1))</f>
        <v>55092.897199560393</v>
      </c>
      <c r="K165" s="30">
        <f>T165*(1+IF($AK165+IF(입력란!$C$9=1,10,0)+IF(입력란!$C$26=1,10,0)+IF(MID(E165,1,1)="3",트라이포드!H$13,0)&gt;100,100,$AK165+IF(입력란!$C$9=1,10,0)+IF(입력란!$C$26=1,10,0)+IF(MID(E165,1,1)="3",트라이포드!H$13,0))/100*($AL165/100-1))</f>
        <v>55092.897199560393</v>
      </c>
      <c r="L165" s="30">
        <f>U165*(1+IF($AK165+IF(입력란!$C$9=1,10,0)+IF(입력란!$C$26=1,10,0)+IF(MID(E165,1,1)="3",트라이포드!H$13,0)&gt;100,100,$AK165+IF(입력란!$C$9=1,10,0)+IF(입력란!$C$26=1,10,0)+IF(MID(E165,1,1)="3",트라이포드!H$13,0))/100*($AL165/100-1))</f>
        <v>0</v>
      </c>
      <c r="M165" s="30"/>
      <c r="N165" s="39"/>
      <c r="O165" s="39"/>
      <c r="P165" s="39"/>
      <c r="Q165" s="27"/>
      <c r="R165" s="24">
        <f t="shared" si="24"/>
        <v>54677.138194858504</v>
      </c>
      <c r="S165" s="30">
        <f>AN165*IF(입력란!$C$12=0,1,IF(입력란!$C$12=1,1.3,IF(입력란!$C$12=2,1.45,IF(입력란!$C$12=3,1.6,1))))*IF(MID(E165,3,1)="1",트라이포드!$J$13,트라이포드!$I$13)*IF(MID(E165,5,1)="2",트라이포드!$R$13,트라이포드!$Q$13)*IF(입력란!$C$9=1,IF(입력란!$C$15=0,1.05,IF(입력란!$C$15=1,1.05*1.05,IF(입력란!$C$15=2,1.05*1.12,IF(입력란!$C$15=3,1.05*1.25)))),1)</f>
        <v>27338.569097429252</v>
      </c>
      <c r="T165" s="30">
        <f>AN165*IF(입력란!$C$12=0,1,IF(입력란!$C$12=1,1.3,IF(입력란!$C$12=2,1.45,IF(입력란!$C$12=3,1.6,1))))*IF(MID(E165,3,1)="1",트라이포드!$J$13,트라이포드!$I$13)*IF(MID(E165,5,1)="2",트라이포드!$R$13,트라이포드!$Q$13)*IF(입력란!$C$9=1,IF(입력란!$C$15=0,1.05,IF(입력란!$C$15=1,1.05*1.05,IF(입력란!$C$15=2,1.05*1.12,IF(입력란!$C$15=3,1.05*1.25)))),1)</f>
        <v>27338.569097429252</v>
      </c>
      <c r="U165" s="30">
        <f>AN165*IF(입력란!$C$12=0,1,IF(입력란!$C$12=1,1.3,IF(입력란!$C$12=2,1.45,IF(입력란!$C$12=3,1.6,1))))*IF(MID(E165,3,1)="1",트라이포드!$J$13,트라이포드!$I$13)*IF(MID(E165,5,1)="1",1,0)*IF(입력란!$C$9=1,IF(입력란!$C$15=0,1.05,IF(입력란!$C$15=1,1.05*1.05,IF(입력란!$C$15=2,1.05*1.12,IF(입력란!$C$15=3,1.05*1.25)))),1)</f>
        <v>0</v>
      </c>
      <c r="V165" s="30"/>
      <c r="W165" s="39"/>
      <c r="X165" s="39"/>
      <c r="Y165" s="39"/>
      <c r="Z165" s="25"/>
      <c r="AA165" s="30">
        <f t="shared" si="25"/>
        <v>109354.27638971701</v>
      </c>
      <c r="AB165" s="30">
        <f t="shared" si="26"/>
        <v>54677.138194858504</v>
      </c>
      <c r="AC165" s="30">
        <f t="shared" si="27"/>
        <v>54677.138194858504</v>
      </c>
      <c r="AD165" s="30">
        <f t="shared" si="29"/>
        <v>0</v>
      </c>
      <c r="AE165" s="30"/>
      <c r="AF165" s="39"/>
      <c r="AG165" s="39"/>
      <c r="AH165" s="39"/>
      <c r="AI165" s="25"/>
      <c r="AJ165" s="26">
        <f>AQ165*(1-입력란!$C$35/100)</f>
        <v>5.93044224468</v>
      </c>
      <c r="AK1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5" s="26">
        <f>입력란!$C$47+입력란!$C$41+IF(입력란!$C$18=1,10,IF(입력란!$C$18=2,25,IF(입력란!$C$18=3,50,0)))+IF(입력란!$C$23&lt;&gt;0,-12)</f>
        <v>378.9445412</v>
      </c>
      <c r="AM165" s="30">
        <f t="shared" si="28"/>
        <v>27338.569097429252</v>
      </c>
      <c r="AN165" s="30">
        <f>(VLOOKUP(C165,$B$4:$AJ$7,12,FALSE)+VLOOKUP(C165,$B$8:$AJ$11,12,FALSE)*입력란!$C$29)*입력란!$C$48/100</f>
        <v>27338.569097429252</v>
      </c>
      <c r="AO165" s="26"/>
      <c r="AP165" s="30"/>
      <c r="AQ165" s="29">
        <v>6</v>
      </c>
    </row>
    <row r="166" spans="2:43" ht="13.5" customHeight="1" x14ac:dyDescent="0.3">
      <c r="B166" s="31">
        <v>151</v>
      </c>
      <c r="C166" s="36">
        <v>7</v>
      </c>
      <c r="D166" s="37" t="s">
        <v>169</v>
      </c>
      <c r="E166" s="38" t="s">
        <v>96</v>
      </c>
      <c r="F166" s="40"/>
      <c r="G166" s="40"/>
      <c r="H166" s="52">
        <f t="shared" si="23"/>
        <v>14737.291871074474</v>
      </c>
      <c r="I166" s="53">
        <f>SUM(J166:Q166)*IF(입력란!$C$16=1,1.04,IF(입력란!$C$16=2,1.1,IF(입력란!$C$16=3,1.2,1)))*IF(입력란!$C$21=1,1+입력란!$C$38*0.001,IF(입력란!$C$21=2,1+입력란!$C$38*0.0022,IF(입력란!$C$21=3,1+입력란!$C$38*0.0045,1)))*IF(입력란!$C$18&lt;&gt;0,0.98,1)</f>
        <v>87398.658284399222</v>
      </c>
      <c r="J166" s="30">
        <f>S166*(1+IF($AK166+IF(입력란!$C$9=1,10,0)+IF(입력란!$C$26=1,10,0)+IF(MID(E166,1,1)="3",트라이포드!$H$13,0)&gt;100,100,$AK166+IF(입력란!$C$9=1,10,0)+IF(입력란!$C$26=1,10,0)+IF(MID(E166,1,1)="3",트라이포드!$H$13,0))/100*($AL166/100-1))</f>
        <v>43699.329142199611</v>
      </c>
      <c r="K166" s="30">
        <f>T166*(1+IF($AK166+IF(입력란!$C$9=1,10,0)+IF(입력란!$C$26=1,10,0)+IF(MID(E166,1,1)="3",트라이포드!H$13,0)&gt;100,100,$AK166+IF(입력란!$C$9=1,10,0)+IF(입력란!$C$26=1,10,0)+IF(MID(E166,1,1)="3",트라이포드!H$13,0))/100*($AL166/100-1))</f>
        <v>43699.329142199611</v>
      </c>
      <c r="L166" s="30">
        <f>U166*(1+IF($AK166+IF(입력란!$C$9=1,10,0)+IF(입력란!$C$26=1,10,0)+IF(MID(E166,1,1)="3",트라이포드!H$13,0)&gt;100,100,$AK166+IF(입력란!$C$9=1,10,0)+IF(입력란!$C$26=1,10,0)+IF(MID(E166,1,1)="3",트라이포드!H$13,0))/100*($AL166/100-1))</f>
        <v>0</v>
      </c>
      <c r="M166" s="30"/>
      <c r="N166" s="39"/>
      <c r="O166" s="39"/>
      <c r="P166" s="39"/>
      <c r="Q166" s="27"/>
      <c r="R166" s="24">
        <f t="shared" si="24"/>
        <v>54733.938194858507</v>
      </c>
      <c r="S166" s="30">
        <f>AN166*IF(입력란!$C$12=0,1,IF(입력란!$C$12=1,1.3,IF(입력란!$C$12=2,1.45,IF(입력란!$C$12=3,1.6,1))))*IF(MID(E166,3,1)="1",트라이포드!$J$13,트라이포드!$I$13)*IF(MID(E166,5,1)="2",트라이포드!$R$13,트라이포드!$Q$13)*IF(입력란!$C$9=1,IF(입력란!$C$15=0,1.05,IF(입력란!$C$15=1,1.05*1.05,IF(입력란!$C$15=2,1.05*1.12,IF(입력란!$C$15=3,1.05*1.25)))),1)</f>
        <v>27366.969097429253</v>
      </c>
      <c r="T166" s="30">
        <f>AN166*IF(입력란!$C$12=0,1,IF(입력란!$C$12=1,1.3,IF(입력란!$C$12=2,1.45,IF(입력란!$C$12=3,1.6,1))))*IF(MID(E166,3,1)="1",트라이포드!$J$13,트라이포드!$I$13)*IF(MID(E166,5,1)="2",트라이포드!$R$13,트라이포드!$Q$13)*IF(입력란!$C$9=1,IF(입력란!$C$15=0,1.05,IF(입력란!$C$15=1,1.05*1.05,IF(입력란!$C$15=2,1.05*1.12,IF(입력란!$C$15=3,1.05*1.25)))),1)</f>
        <v>27366.969097429253</v>
      </c>
      <c r="U166" s="30">
        <f>AN166*IF(입력란!$C$12=0,1,IF(입력란!$C$12=1,1.3,IF(입력란!$C$12=2,1.45,IF(입력란!$C$12=3,1.6,1))))*IF(MID(E166,3,1)="1",트라이포드!$J$13,트라이포드!$I$13)*IF(MID(E166,5,1)="1",1,0)*IF(입력란!$C$9=1,IF(입력란!$C$15=0,1.05,IF(입력란!$C$15=1,1.05*1.05,IF(입력란!$C$15=2,1.05*1.12,IF(입력란!$C$15=3,1.05*1.25)))),1)</f>
        <v>0</v>
      </c>
      <c r="V166" s="30"/>
      <c r="W166" s="39"/>
      <c r="X166" s="39"/>
      <c r="Y166" s="39"/>
      <c r="Z166" s="25"/>
      <c r="AA166" s="30">
        <f t="shared" si="25"/>
        <v>109467.87638971701</v>
      </c>
      <c r="AB166" s="30">
        <f t="shared" si="26"/>
        <v>54733.938194858507</v>
      </c>
      <c r="AC166" s="30">
        <f t="shared" si="27"/>
        <v>54733.938194858507</v>
      </c>
      <c r="AD166" s="30">
        <f t="shared" si="29"/>
        <v>0</v>
      </c>
      <c r="AE166" s="30"/>
      <c r="AF166" s="39"/>
      <c r="AG166" s="39"/>
      <c r="AH166" s="39"/>
      <c r="AI166" s="25"/>
      <c r="AJ166" s="26">
        <f>AQ166*(1-입력란!$C$35/100)</f>
        <v>5.93044224468</v>
      </c>
      <c r="AK1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6" s="26">
        <f>입력란!$C$47+입력란!$C$41+IF(입력란!$C$18=1,10,IF(입력란!$C$18=2,25,IF(입력란!$C$18=3,50,0)))+IF(입력란!$C$23&lt;&gt;0,-12)</f>
        <v>378.9445412</v>
      </c>
      <c r="AM166" s="30">
        <f t="shared" si="28"/>
        <v>27366.969097429253</v>
      </c>
      <c r="AN166" s="30">
        <f>(VLOOKUP(C166,$B$4:$AJ$7,12,FALSE)+VLOOKUP(C166,$B$8:$AJ$11,12,FALSE)*입력란!$C$29)*입력란!$C$48/100</f>
        <v>27366.969097429253</v>
      </c>
      <c r="AO166" s="26"/>
      <c r="AP166" s="30"/>
      <c r="AQ166" s="29">
        <v>6</v>
      </c>
    </row>
    <row r="167" spans="2:43" ht="13.5" customHeight="1" x14ac:dyDescent="0.3">
      <c r="B167" s="31">
        <v>152</v>
      </c>
      <c r="C167" s="36">
        <v>7</v>
      </c>
      <c r="D167" s="37" t="s">
        <v>169</v>
      </c>
      <c r="E167" s="38" t="s">
        <v>98</v>
      </c>
      <c r="F167" s="40"/>
      <c r="G167" s="40"/>
      <c r="H167" s="52">
        <f t="shared" si="23"/>
        <v>20632.208619504261</v>
      </c>
      <c r="I167" s="53">
        <f>SUM(J167:Q167)*IF(입력란!$C$16=1,1.04,IF(입력란!$C$16=2,1.1,IF(입력란!$C$16=3,1.2,1)))*IF(입력란!$C$21=1,1+입력란!$C$38*0.001,IF(입력란!$C$21=2,1+입력란!$C$38*0.0022,IF(입력란!$C$21=3,1+입력란!$C$38*0.0045,1)))*IF(입력란!$C$18&lt;&gt;0,0.98,1)</f>
        <v>122358.1215981589</v>
      </c>
      <c r="J167" s="30">
        <f>S167*(1+IF($AK167+IF(입력란!$C$9=1,10,0)+IF(입력란!$C$26=1,10,0)+IF(MID(E167,1,1)="3",트라이포드!$H$13,0)&gt;100,100,$AK167+IF(입력란!$C$9=1,10,0)+IF(입력란!$C$26=1,10,0)+IF(MID(E167,1,1)="3",트라이포드!$H$13,0))/100*($AL167/100-1))</f>
        <v>61179.060799079452</v>
      </c>
      <c r="K167" s="30">
        <f>T167*(1+IF($AK167+IF(입력란!$C$9=1,10,0)+IF(입력란!$C$26=1,10,0)+IF(MID(E167,1,1)="3",트라이포드!H$13,0)&gt;100,100,$AK167+IF(입력란!$C$9=1,10,0)+IF(입력란!$C$26=1,10,0)+IF(MID(E167,1,1)="3",트라이포드!H$13,0))/100*($AL167/100-1))</f>
        <v>61179.060799079452</v>
      </c>
      <c r="L167" s="30">
        <f>U167*(1+IF($AK167+IF(입력란!$C$9=1,10,0)+IF(입력란!$C$26=1,10,0)+IF(MID(E167,1,1)="3",트라이포드!H$13,0)&gt;100,100,$AK167+IF(입력란!$C$9=1,10,0)+IF(입력란!$C$26=1,10,0)+IF(MID(E167,1,1)="3",트라이포드!H$13,0))/100*($AL167/100-1))</f>
        <v>0</v>
      </c>
      <c r="M167" s="30"/>
      <c r="N167" s="39"/>
      <c r="O167" s="39"/>
      <c r="P167" s="39"/>
      <c r="Q167" s="27"/>
      <c r="R167" s="24">
        <f t="shared" si="24"/>
        <v>76627.513472801904</v>
      </c>
      <c r="S167" s="30">
        <f>AN167*IF(입력란!$C$12=0,1,IF(입력란!$C$12=1,1.3,IF(입력란!$C$12=2,1.45,IF(입력란!$C$12=3,1.6,1))))*IF(MID(E167,3,1)="1",트라이포드!$J$13,트라이포드!$I$13)*IF(MID(E167,5,1)="2",트라이포드!$R$13,트라이포드!$Q$13)*IF(입력란!$C$9=1,IF(입력란!$C$15=0,1.05,IF(입력란!$C$15=1,1.05*1.05,IF(입력란!$C$15=2,1.05*1.12,IF(입력란!$C$15=3,1.05*1.25)))),1)</f>
        <v>38313.756736400952</v>
      </c>
      <c r="T167" s="30">
        <f>AN167*IF(입력란!$C$12=0,1,IF(입력란!$C$12=1,1.3,IF(입력란!$C$12=2,1.45,IF(입력란!$C$12=3,1.6,1))))*IF(MID(E167,3,1)="1",트라이포드!$J$13,트라이포드!$I$13)*IF(MID(E167,5,1)="2",트라이포드!$R$13,트라이포드!$Q$13)*IF(입력란!$C$9=1,IF(입력란!$C$15=0,1.05,IF(입력란!$C$15=1,1.05*1.05,IF(입력란!$C$15=2,1.05*1.12,IF(입력란!$C$15=3,1.05*1.25)))),1)</f>
        <v>38313.756736400952</v>
      </c>
      <c r="U167" s="30">
        <f>AN167*IF(입력란!$C$12=0,1,IF(입력란!$C$12=1,1.3,IF(입력란!$C$12=2,1.45,IF(입력란!$C$12=3,1.6,1))))*IF(MID(E167,3,1)="1",트라이포드!$J$13,트라이포드!$I$13)*IF(MID(E167,5,1)="1",1,0)*IF(입력란!$C$9=1,IF(입력란!$C$15=0,1.05,IF(입력란!$C$15=1,1.05*1.05,IF(입력란!$C$15=2,1.05*1.12,IF(입력란!$C$15=3,1.05*1.25)))),1)</f>
        <v>0</v>
      </c>
      <c r="V167" s="30"/>
      <c r="W167" s="39"/>
      <c r="X167" s="39"/>
      <c r="Y167" s="39"/>
      <c r="Z167" s="25"/>
      <c r="AA167" s="30">
        <f t="shared" si="25"/>
        <v>153255.02694560381</v>
      </c>
      <c r="AB167" s="30">
        <f t="shared" si="26"/>
        <v>76627.513472801904</v>
      </c>
      <c r="AC167" s="30">
        <f t="shared" si="27"/>
        <v>76627.513472801904</v>
      </c>
      <c r="AD167" s="30">
        <f t="shared" si="29"/>
        <v>0</v>
      </c>
      <c r="AE167" s="30"/>
      <c r="AF167" s="39"/>
      <c r="AG167" s="39"/>
      <c r="AH167" s="39"/>
      <c r="AI167" s="25"/>
      <c r="AJ167" s="26">
        <f>AQ167*(1-입력란!$C$35/100)</f>
        <v>5.93044224468</v>
      </c>
      <c r="AK1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7" s="26">
        <f>입력란!$C$47+입력란!$C$41+IF(입력란!$C$18=1,10,IF(입력란!$C$18=2,25,IF(입력란!$C$18=3,50,0)))+IF(입력란!$C$23&lt;&gt;0,-12)</f>
        <v>378.9445412</v>
      </c>
      <c r="AM167" s="30">
        <f t="shared" si="28"/>
        <v>27366.969097429253</v>
      </c>
      <c r="AN167" s="30">
        <f>(VLOOKUP(C167,$B$4:$AJ$7,12,FALSE)+VLOOKUP(C167,$B$8:$AJ$11,12,FALSE)*입력란!$C$29)*입력란!$C$48/100</f>
        <v>27366.969097429253</v>
      </c>
      <c r="AO167" s="26"/>
      <c r="AP167" s="30"/>
      <c r="AQ167" s="29">
        <v>6</v>
      </c>
    </row>
    <row r="168" spans="2:43" ht="13.5" customHeight="1" x14ac:dyDescent="0.3">
      <c r="B168" s="31">
        <v>153</v>
      </c>
      <c r="C168" s="36">
        <v>7</v>
      </c>
      <c r="D168" s="37" t="s">
        <v>169</v>
      </c>
      <c r="E168" s="38" t="s">
        <v>97</v>
      </c>
      <c r="F168" s="40"/>
      <c r="G168" s="40"/>
      <c r="H168" s="52">
        <f t="shared" si="23"/>
        <v>18598.993742852286</v>
      </c>
      <c r="I168" s="53">
        <f>SUM(J168:Q168)*IF(입력란!$C$16=1,1.04,IF(입력란!$C$16=2,1.1,IF(입력란!$C$16=3,1.2,1)))*IF(입력란!$C$21=1,1+입력란!$C$38*0.001,IF(입력란!$C$21=2,1+입력란!$C$38*0.0022,IF(입력란!$C$21=3,1+입력란!$C$38*0.0045,1)))*IF(입력란!$C$18&lt;&gt;0,0.98,1)</f>
        <v>110300.25820115018</v>
      </c>
      <c r="J168" s="30">
        <f>S168*(1+IF($AK168+IF(입력란!$C$9=1,10,0)+IF(입력란!$C$26=1,10,0)+IF(MID(E168,1,1)="3",트라이포드!$H$13,0)&gt;100,100,$AK168+IF(입력란!$C$9=1,10,0)+IF(입력란!$C$26=1,10,0)+IF(MID(E168,1,1)="3",트라이포드!$H$13,0))/100*($AL168/100-1))</f>
        <v>55150.12910057509</v>
      </c>
      <c r="K168" s="30">
        <f>T168*(1+IF($AK168+IF(입력란!$C$9=1,10,0)+IF(입력란!$C$26=1,10,0)+IF(MID(E168,1,1)="3",트라이포드!H$13,0)&gt;100,100,$AK168+IF(입력란!$C$9=1,10,0)+IF(입력란!$C$26=1,10,0)+IF(MID(E168,1,1)="3",트라이포드!H$13,0))/100*($AL168/100-1))</f>
        <v>55150.12910057509</v>
      </c>
      <c r="L168" s="30">
        <f>U168*(1+IF($AK168+IF(입력란!$C$9=1,10,0)+IF(입력란!$C$26=1,10,0)+IF(MID(E168,1,1)="3",트라이포드!H$13,0)&gt;100,100,$AK168+IF(입력란!$C$9=1,10,0)+IF(입력란!$C$26=1,10,0)+IF(MID(E168,1,1)="3",트라이포드!H$13,0))/100*($AL168/100-1))</f>
        <v>0</v>
      </c>
      <c r="M168" s="30"/>
      <c r="N168" s="39"/>
      <c r="O168" s="39"/>
      <c r="P168" s="39"/>
      <c r="Q168" s="27"/>
      <c r="R168" s="24">
        <f t="shared" si="24"/>
        <v>54733.938194858507</v>
      </c>
      <c r="S168" s="30">
        <f>AN168*IF(입력란!$C$12=0,1,IF(입력란!$C$12=1,1.3,IF(입력란!$C$12=2,1.45,IF(입력란!$C$12=3,1.6,1))))*IF(MID(E168,3,1)="1",트라이포드!$J$13,트라이포드!$I$13)*IF(MID(E168,5,1)="2",트라이포드!$R$13,트라이포드!$Q$13)*IF(입력란!$C$9=1,IF(입력란!$C$15=0,1.05,IF(입력란!$C$15=1,1.05*1.05,IF(입력란!$C$15=2,1.05*1.12,IF(입력란!$C$15=3,1.05*1.25)))),1)</f>
        <v>27366.969097429253</v>
      </c>
      <c r="T168" s="30">
        <f>AN168*IF(입력란!$C$12=0,1,IF(입력란!$C$12=1,1.3,IF(입력란!$C$12=2,1.45,IF(입력란!$C$12=3,1.6,1))))*IF(MID(E168,3,1)="1",트라이포드!$J$13,트라이포드!$I$13)*IF(MID(E168,5,1)="2",트라이포드!$R$13,트라이포드!$Q$13)*IF(입력란!$C$9=1,IF(입력란!$C$15=0,1.05,IF(입력란!$C$15=1,1.05*1.05,IF(입력란!$C$15=2,1.05*1.12,IF(입력란!$C$15=3,1.05*1.25)))),1)</f>
        <v>27366.969097429253</v>
      </c>
      <c r="U168" s="30">
        <f>AN168*IF(입력란!$C$12=0,1,IF(입력란!$C$12=1,1.3,IF(입력란!$C$12=2,1.45,IF(입력란!$C$12=3,1.6,1))))*IF(MID(E168,3,1)="1",트라이포드!$J$13,트라이포드!$I$13)*IF(MID(E168,5,1)="1",1,0)*IF(입력란!$C$9=1,IF(입력란!$C$15=0,1.05,IF(입력란!$C$15=1,1.05*1.05,IF(입력란!$C$15=2,1.05*1.12,IF(입력란!$C$15=3,1.05*1.25)))),1)</f>
        <v>0</v>
      </c>
      <c r="V168" s="30"/>
      <c r="W168" s="39"/>
      <c r="X168" s="39"/>
      <c r="Y168" s="39"/>
      <c r="Z168" s="25"/>
      <c r="AA168" s="30">
        <f t="shared" si="25"/>
        <v>109467.87638971701</v>
      </c>
      <c r="AB168" s="30">
        <f t="shared" si="26"/>
        <v>54733.938194858507</v>
      </c>
      <c r="AC168" s="30">
        <f t="shared" si="27"/>
        <v>54733.938194858507</v>
      </c>
      <c r="AD168" s="30">
        <f t="shared" si="29"/>
        <v>0</v>
      </c>
      <c r="AE168" s="30"/>
      <c r="AF168" s="39"/>
      <c r="AG168" s="39"/>
      <c r="AH168" s="39"/>
      <c r="AI168" s="25"/>
      <c r="AJ168" s="26">
        <f>AQ168*(1-입력란!$C$35/100)</f>
        <v>5.93044224468</v>
      </c>
      <c r="AK1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8" s="26">
        <f>입력란!$C$47+입력란!$C$41+IF(입력란!$C$18=1,10,IF(입력란!$C$18=2,25,IF(입력란!$C$18=3,50,0)))+IF(입력란!$C$23&lt;&gt;0,-12)</f>
        <v>378.9445412</v>
      </c>
      <c r="AM168" s="30">
        <f t="shared" si="28"/>
        <v>27366.969097429253</v>
      </c>
      <c r="AN168" s="30">
        <f>(VLOOKUP(C168,$B$4:$AJ$7,12,FALSE)+VLOOKUP(C168,$B$8:$AJ$11,12,FALSE)*입력란!$C$29)*입력란!$C$48/100</f>
        <v>27366.969097429253</v>
      </c>
      <c r="AO168" s="26"/>
      <c r="AP168" s="30"/>
      <c r="AQ168" s="29">
        <v>6</v>
      </c>
    </row>
    <row r="169" spans="2:43" ht="13.5" customHeight="1" x14ac:dyDescent="0.3">
      <c r="B169" s="31">
        <v>154</v>
      </c>
      <c r="C169" s="36">
        <v>7</v>
      </c>
      <c r="D169" s="37" t="s">
        <v>169</v>
      </c>
      <c r="E169" s="38" t="s">
        <v>101</v>
      </c>
      <c r="F169" s="40"/>
      <c r="G169" s="40"/>
      <c r="H169" s="52">
        <f t="shared" si="23"/>
        <v>26038.591239993199</v>
      </c>
      <c r="I169" s="53">
        <f>SUM(J169:Q169)*IF(입력란!$C$16=1,1.04,IF(입력란!$C$16=2,1.1,IF(입력란!$C$16=3,1.2,1)))*IF(입력란!$C$21=1,1+입력란!$C$38*0.001,IF(입력란!$C$21=2,1+입력란!$C$38*0.0022,IF(입력란!$C$21=3,1+입력란!$C$38*0.0045,1)))*IF(입력란!$C$18&lt;&gt;0,0.98,1)</f>
        <v>154420.36148161025</v>
      </c>
      <c r="J169" s="30">
        <f>S169*(1+IF($AK169+IF(입력란!$C$9=1,10,0)+IF(입력란!$C$26=1,10,0)+IF(MID(E169,1,1)="3",트라이포드!$H$13,0)&gt;100,100,$AK169+IF(입력란!$C$9=1,10,0)+IF(입력란!$C$26=1,10,0)+IF(MID(E169,1,1)="3",트라이포드!$H$13,0))/100*($AL169/100-1))</f>
        <v>77210.180740805125</v>
      </c>
      <c r="K169" s="30">
        <f>T169*(1+IF($AK169+IF(입력란!$C$9=1,10,0)+IF(입력란!$C$26=1,10,0)+IF(MID(E169,1,1)="3",트라이포드!H$13,0)&gt;100,100,$AK169+IF(입력란!$C$9=1,10,0)+IF(입력란!$C$26=1,10,0)+IF(MID(E169,1,1)="3",트라이포드!H$13,0))/100*($AL169/100-1))</f>
        <v>77210.180740805125</v>
      </c>
      <c r="L169" s="30">
        <f>U169*(1+IF($AK169+IF(입력란!$C$9=1,10,0)+IF(입력란!$C$26=1,10,0)+IF(MID(E169,1,1)="3",트라이포드!H$13,0)&gt;100,100,$AK169+IF(입력란!$C$9=1,10,0)+IF(입력란!$C$26=1,10,0)+IF(MID(E169,1,1)="3",트라이포드!H$13,0))/100*($AL169/100-1))</f>
        <v>0</v>
      </c>
      <c r="M169" s="30"/>
      <c r="N169" s="39"/>
      <c r="O169" s="39"/>
      <c r="P169" s="39"/>
      <c r="Q169" s="27"/>
      <c r="R169" s="24">
        <f t="shared" si="24"/>
        <v>76627.513472801904</v>
      </c>
      <c r="S169" s="30">
        <f>AN169*IF(입력란!$C$12=0,1,IF(입력란!$C$12=1,1.3,IF(입력란!$C$12=2,1.45,IF(입력란!$C$12=3,1.6,1))))*IF(MID(E169,3,1)="1",트라이포드!$J$13,트라이포드!$I$13)*IF(MID(E169,5,1)="2",트라이포드!$R$13,트라이포드!$Q$13)*IF(입력란!$C$9=1,IF(입력란!$C$15=0,1.05,IF(입력란!$C$15=1,1.05*1.05,IF(입력란!$C$15=2,1.05*1.12,IF(입력란!$C$15=3,1.05*1.25)))),1)</f>
        <v>38313.756736400952</v>
      </c>
      <c r="T169" s="30">
        <f>AN169*IF(입력란!$C$12=0,1,IF(입력란!$C$12=1,1.3,IF(입력란!$C$12=2,1.45,IF(입력란!$C$12=3,1.6,1))))*IF(MID(E169,3,1)="1",트라이포드!$J$13,트라이포드!$I$13)*IF(MID(E169,5,1)="2",트라이포드!$R$13,트라이포드!$Q$13)*IF(입력란!$C$9=1,IF(입력란!$C$15=0,1.05,IF(입력란!$C$15=1,1.05*1.05,IF(입력란!$C$15=2,1.05*1.12,IF(입력란!$C$15=3,1.05*1.25)))),1)</f>
        <v>38313.756736400952</v>
      </c>
      <c r="U169" s="30">
        <f>AN169*IF(입력란!$C$12=0,1,IF(입력란!$C$12=1,1.3,IF(입력란!$C$12=2,1.45,IF(입력란!$C$12=3,1.6,1))))*IF(MID(E169,3,1)="1",트라이포드!$J$13,트라이포드!$I$13)*IF(MID(E169,5,1)="1",1,0)*IF(입력란!$C$9=1,IF(입력란!$C$15=0,1.05,IF(입력란!$C$15=1,1.05*1.05,IF(입력란!$C$15=2,1.05*1.12,IF(입력란!$C$15=3,1.05*1.25)))),1)</f>
        <v>0</v>
      </c>
      <c r="V169" s="30"/>
      <c r="W169" s="39"/>
      <c r="X169" s="39"/>
      <c r="Y169" s="39"/>
      <c r="Z169" s="25"/>
      <c r="AA169" s="30">
        <f t="shared" si="25"/>
        <v>153255.02694560381</v>
      </c>
      <c r="AB169" s="30">
        <f t="shared" si="26"/>
        <v>76627.513472801904</v>
      </c>
      <c r="AC169" s="30">
        <f t="shared" si="27"/>
        <v>76627.513472801904</v>
      </c>
      <c r="AD169" s="30">
        <f t="shared" si="29"/>
        <v>0</v>
      </c>
      <c r="AE169" s="30"/>
      <c r="AF169" s="39"/>
      <c r="AG169" s="39"/>
      <c r="AH169" s="39"/>
      <c r="AI169" s="25"/>
      <c r="AJ169" s="26">
        <f>AQ169*(1-입력란!$C$35/100)</f>
        <v>5.93044224468</v>
      </c>
      <c r="AK1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69" s="26">
        <f>입력란!$C$47+입력란!$C$41+IF(입력란!$C$18=1,10,IF(입력란!$C$18=2,25,IF(입력란!$C$18=3,50,0)))+IF(입력란!$C$23&lt;&gt;0,-12)</f>
        <v>378.9445412</v>
      </c>
      <c r="AM169" s="30">
        <f t="shared" si="28"/>
        <v>27366.969097429253</v>
      </c>
      <c r="AN169" s="30">
        <f>(VLOOKUP(C169,$B$4:$AJ$7,12,FALSE)+VLOOKUP(C169,$B$8:$AJ$11,12,FALSE)*입력란!$C$29)*입력란!$C$48/100</f>
        <v>27366.969097429253</v>
      </c>
      <c r="AO169" s="26"/>
      <c r="AP169" s="30"/>
      <c r="AQ169" s="29">
        <v>6</v>
      </c>
    </row>
    <row r="170" spans="2:43" ht="13.5" customHeight="1" x14ac:dyDescent="0.3">
      <c r="B170" s="31">
        <v>155</v>
      </c>
      <c r="C170" s="36">
        <v>10</v>
      </c>
      <c r="D170" s="37" t="s">
        <v>169</v>
      </c>
      <c r="E170" s="38" t="s">
        <v>96</v>
      </c>
      <c r="F170" s="40"/>
      <c r="G170" s="40"/>
      <c r="H170" s="52">
        <f t="shared" si="23"/>
        <v>14746.769586199138</v>
      </c>
      <c r="I170" s="53">
        <f>SUM(J170:Q170)*IF(입력란!$C$16=1,1.04,IF(입력란!$C$16=2,1.1,IF(입력란!$C$16=3,1.2,1)))*IF(입력란!$C$21=1,1+입력란!$C$38*0.001,IF(입력란!$C$21=2,1+입력란!$C$38*0.0022,IF(입력란!$C$21=3,1+입력란!$C$38*0.0045,1)))*IF(입력란!$C$18&lt;&gt;0,0.98,1)</f>
        <v>87454.86532655757</v>
      </c>
      <c r="J170" s="30">
        <f>S170*(1+IF($AK170+IF(입력란!$C$9=1,10,0)+IF(입력란!$C$26=1,10,0)+IF(MID(E170,1,1)="3",트라이포드!$H$13,0)&gt;100,100,$AK170+IF(입력란!$C$9=1,10,0)+IF(입력란!$C$26=1,10,0)+IF(MID(E170,1,1)="3",트라이포드!$H$13,0))/100*($AL170/100-1))</f>
        <v>43727.432663278785</v>
      </c>
      <c r="K170" s="30">
        <f>T170*(1+IF($AK170+IF(입력란!$C$9=1,10,0)+IF(입력란!$C$26=1,10,0)+IF(MID(E170,1,1)="3",트라이포드!H$13,0)&gt;100,100,$AK170+IF(입력란!$C$9=1,10,0)+IF(입력란!$C$26=1,10,0)+IF(MID(E170,1,1)="3",트라이포드!H$13,0))/100*($AL170/100-1))</f>
        <v>43727.432663278785</v>
      </c>
      <c r="L170" s="30">
        <f>U170*(1+IF($AK170+IF(입력란!$C$9=1,10,0)+IF(입력란!$C$26=1,10,0)+IF(MID(E170,1,1)="3",트라이포드!H$13,0)&gt;100,100,$AK170+IF(입력란!$C$9=1,10,0)+IF(입력란!$C$26=1,10,0)+IF(MID(E170,1,1)="3",트라이포드!H$13,0))/100*($AL170/100-1))</f>
        <v>0</v>
      </c>
      <c r="M170" s="30"/>
      <c r="N170" s="39"/>
      <c r="O170" s="39"/>
      <c r="P170" s="39"/>
      <c r="Q170" s="27"/>
      <c r="R170" s="24">
        <f t="shared" si="24"/>
        <v>54769.138194858504</v>
      </c>
      <c r="S170" s="30">
        <f>AN170*IF(입력란!$C$12=0,1,IF(입력란!$C$12=1,1.3,IF(입력란!$C$12=2,1.45,IF(입력란!$C$12=3,1.6,1))))*IF(MID(E170,3,1)="1",트라이포드!$J$13,트라이포드!$I$13)*IF(MID(E170,5,1)="2",트라이포드!$R$13,트라이포드!$Q$13)*IF(입력란!$C$9=1,IF(입력란!$C$15=0,1.05,IF(입력란!$C$15=1,1.05*1.05,IF(입력란!$C$15=2,1.05*1.12,IF(입력란!$C$15=3,1.05*1.25)))),1)</f>
        <v>27384.569097429252</v>
      </c>
      <c r="T170" s="30">
        <f>AN170*IF(입력란!$C$12=0,1,IF(입력란!$C$12=1,1.3,IF(입력란!$C$12=2,1.45,IF(입력란!$C$12=3,1.6,1))))*IF(MID(E170,3,1)="1",트라이포드!$J$13,트라이포드!$I$13)*IF(MID(E170,5,1)="2",트라이포드!$R$13,트라이포드!$Q$13)*IF(입력란!$C$9=1,IF(입력란!$C$15=0,1.05,IF(입력란!$C$15=1,1.05*1.05,IF(입력란!$C$15=2,1.05*1.12,IF(입력란!$C$15=3,1.05*1.25)))),1)</f>
        <v>27384.569097429252</v>
      </c>
      <c r="U170" s="30">
        <f>AN170*IF(입력란!$C$12=0,1,IF(입력란!$C$12=1,1.3,IF(입력란!$C$12=2,1.45,IF(입력란!$C$12=3,1.6,1))))*IF(MID(E170,3,1)="1",트라이포드!$J$13,트라이포드!$I$13)*IF(MID(E170,5,1)="1",1,0)*IF(입력란!$C$9=1,IF(입력란!$C$15=0,1.05,IF(입력란!$C$15=1,1.05*1.05,IF(입력란!$C$15=2,1.05*1.12,IF(입력란!$C$15=3,1.05*1.25)))),1)</f>
        <v>0</v>
      </c>
      <c r="V170" s="30"/>
      <c r="W170" s="39"/>
      <c r="X170" s="39"/>
      <c r="Y170" s="39"/>
      <c r="Z170" s="25"/>
      <c r="AA170" s="30">
        <f t="shared" si="25"/>
        <v>109538.27638971701</v>
      </c>
      <c r="AB170" s="30">
        <f t="shared" si="26"/>
        <v>54769.138194858504</v>
      </c>
      <c r="AC170" s="30">
        <f t="shared" si="27"/>
        <v>54769.138194858504</v>
      </c>
      <c r="AD170" s="30">
        <f t="shared" si="29"/>
        <v>0</v>
      </c>
      <c r="AE170" s="30"/>
      <c r="AF170" s="39"/>
      <c r="AG170" s="39"/>
      <c r="AH170" s="39"/>
      <c r="AI170" s="25"/>
      <c r="AJ170" s="26">
        <f>AQ170*(1-입력란!$C$35/100)</f>
        <v>5.93044224468</v>
      </c>
      <c r="AK1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0" s="26">
        <f>입력란!$C$47+입력란!$C$41+IF(입력란!$C$18=1,10,IF(입력란!$C$18=2,25,IF(입력란!$C$18=3,50,0)))+IF(입력란!$C$23&lt;&gt;0,-12)</f>
        <v>378.9445412</v>
      </c>
      <c r="AM170" s="30">
        <f t="shared" si="28"/>
        <v>27384.569097429252</v>
      </c>
      <c r="AN170" s="30">
        <f>(VLOOKUP(C170,$B$4:$AJ$7,12,FALSE)+VLOOKUP(C170,$B$8:$AJ$11,12,FALSE)*입력란!$C$29)*입력란!$C$48/100</f>
        <v>27384.569097429252</v>
      </c>
      <c r="AO170" s="26"/>
      <c r="AP170" s="30"/>
      <c r="AQ170" s="29">
        <v>6</v>
      </c>
    </row>
    <row r="171" spans="2:43" ht="13.5" customHeight="1" x14ac:dyDescent="0.3">
      <c r="B171" s="31">
        <v>156</v>
      </c>
      <c r="C171" s="36">
        <v>10</v>
      </c>
      <c r="D171" s="37" t="s">
        <v>169</v>
      </c>
      <c r="E171" s="38" t="s">
        <v>123</v>
      </c>
      <c r="F171" s="40"/>
      <c r="G171" s="40"/>
      <c r="H171" s="52">
        <f t="shared" si="23"/>
        <v>22120.15437929871</v>
      </c>
      <c r="I171" s="53">
        <f>SUM(J171:Q171)*IF(입력란!$C$16=1,1.04,IF(입력란!$C$16=2,1.1,IF(입력란!$C$16=3,1.2,1)))*IF(입력란!$C$21=1,1+입력란!$C$38*0.001,IF(입력란!$C$21=2,1+입력란!$C$38*0.0022,IF(입력란!$C$21=3,1+입력란!$C$38*0.0045,1)))*IF(입력란!$C$18&lt;&gt;0,0.98,1)</f>
        <v>131182.29798983637</v>
      </c>
      <c r="J171" s="30">
        <f>S171*(1+IF($AK171+IF(입력란!$C$9=1,10,0)+IF(입력란!$C$26=1,10,0)+IF(MID(E171,1,1)="3",트라이포드!$H$13,0)&gt;100,100,$AK171+IF(입력란!$C$9=1,10,0)+IF(입력란!$C$26=1,10,0)+IF(MID(E171,1,1)="3",트라이포드!$H$13,0))/100*($AL171/100-1))</f>
        <v>43727.432663278785</v>
      </c>
      <c r="K171" s="30">
        <f>T171*(1+IF($AK171+IF(입력란!$C$9=1,10,0)+IF(입력란!$C$26=1,10,0)+IF(MID(E171,1,1)="3",트라이포드!H$13,0)&gt;100,100,$AK171+IF(입력란!$C$9=1,10,0)+IF(입력란!$C$26=1,10,0)+IF(MID(E171,1,1)="3",트라이포드!H$13,0))/100*($AL171/100-1))</f>
        <v>43727.432663278785</v>
      </c>
      <c r="L171" s="30">
        <f>U171*(1+IF($AK171+IF(입력란!$C$9=1,10,0)+IF(입력란!$C$26=1,10,0)+IF(MID(E171,1,1)="3",트라이포드!H$13,0)&gt;100,100,$AK171+IF(입력란!$C$9=1,10,0)+IF(입력란!$C$26=1,10,0)+IF(MID(E171,1,1)="3",트라이포드!H$13,0))/100*($AL171/100-1))</f>
        <v>43727.432663278785</v>
      </c>
      <c r="M171" s="30"/>
      <c r="N171" s="39"/>
      <c r="O171" s="39"/>
      <c r="P171" s="39"/>
      <c r="Q171" s="27"/>
      <c r="R171" s="24">
        <f t="shared" si="24"/>
        <v>82153.707292287756</v>
      </c>
      <c r="S171" s="30">
        <f>AN171*IF(입력란!$C$12=0,1,IF(입력란!$C$12=1,1.3,IF(입력란!$C$12=2,1.45,IF(입력란!$C$12=3,1.6,1))))*IF(MID(E171,3,1)="1",트라이포드!$J$13,트라이포드!$I$13)*IF(MID(E171,5,1)="2",트라이포드!$R$13,트라이포드!$Q$13)*IF(입력란!$C$9=1,IF(입력란!$C$15=0,1.05,IF(입력란!$C$15=1,1.05*1.05,IF(입력란!$C$15=2,1.05*1.12,IF(입력란!$C$15=3,1.05*1.25)))),1)</f>
        <v>27384.569097429252</v>
      </c>
      <c r="T171" s="30">
        <f>AN171*IF(입력란!$C$12=0,1,IF(입력란!$C$12=1,1.3,IF(입력란!$C$12=2,1.45,IF(입력란!$C$12=3,1.6,1))))*IF(MID(E171,3,1)="1",트라이포드!$J$13,트라이포드!$I$13)*IF(MID(E171,5,1)="2",트라이포드!$R$13,트라이포드!$Q$13)*IF(입력란!$C$9=1,IF(입력란!$C$15=0,1.05,IF(입력란!$C$15=1,1.05*1.05,IF(입력란!$C$15=2,1.05*1.12,IF(입력란!$C$15=3,1.05*1.25)))),1)</f>
        <v>27384.569097429252</v>
      </c>
      <c r="U171" s="30">
        <f>AN171*IF(입력란!$C$12=0,1,IF(입력란!$C$12=1,1.3,IF(입력란!$C$12=2,1.45,IF(입력란!$C$12=3,1.6,1))))*IF(MID(E171,3,1)="1",트라이포드!$J$13,트라이포드!$I$13)*IF(MID(E171,5,1)="1",1,0)*IF(입력란!$C$9=1,IF(입력란!$C$15=0,1.05,IF(입력란!$C$15=1,1.05*1.05,IF(입력란!$C$15=2,1.05*1.12,IF(입력란!$C$15=3,1.05*1.25)))),1)</f>
        <v>27384.569097429252</v>
      </c>
      <c r="V171" s="30"/>
      <c r="W171" s="39"/>
      <c r="X171" s="39"/>
      <c r="Y171" s="39"/>
      <c r="Z171" s="25"/>
      <c r="AA171" s="30">
        <f t="shared" si="25"/>
        <v>164307.41458457551</v>
      </c>
      <c r="AB171" s="30">
        <f t="shared" si="26"/>
        <v>54769.138194858504</v>
      </c>
      <c r="AC171" s="30">
        <f t="shared" si="27"/>
        <v>54769.138194858504</v>
      </c>
      <c r="AD171" s="30">
        <f t="shared" si="29"/>
        <v>54769.138194858504</v>
      </c>
      <c r="AE171" s="30"/>
      <c r="AF171" s="39"/>
      <c r="AG171" s="39"/>
      <c r="AH171" s="39"/>
      <c r="AI171" s="25"/>
      <c r="AJ171" s="26">
        <f>AQ171*(1-입력란!$C$35/100)</f>
        <v>5.93044224468</v>
      </c>
      <c r="AK1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1" s="26">
        <f>입력란!$C$47+입력란!$C$41+IF(입력란!$C$18=1,10,IF(입력란!$C$18=2,25,IF(입력란!$C$18=3,50,0)))+IF(입력란!$C$23&lt;&gt;0,-12)</f>
        <v>378.9445412</v>
      </c>
      <c r="AM171" s="30">
        <f t="shared" si="28"/>
        <v>27384.569097429252</v>
      </c>
      <c r="AN171" s="30">
        <f>(VLOOKUP(C171,$B$4:$AJ$7,12,FALSE)+VLOOKUP(C171,$B$8:$AJ$11,12,FALSE)*입력란!$C$29)*입력란!$C$48/100</f>
        <v>27384.569097429252</v>
      </c>
      <c r="AO171" s="26"/>
      <c r="AP171" s="30"/>
      <c r="AQ171" s="29">
        <v>6</v>
      </c>
    </row>
    <row r="172" spans="2:43" ht="13.5" customHeight="1" x14ac:dyDescent="0.3">
      <c r="B172" s="31">
        <v>157</v>
      </c>
      <c r="C172" s="36">
        <v>10</v>
      </c>
      <c r="D172" s="37" t="s">
        <v>169</v>
      </c>
      <c r="E172" s="38" t="s">
        <v>124</v>
      </c>
      <c r="F172" s="40"/>
      <c r="G172" s="40"/>
      <c r="H172" s="52">
        <f t="shared" si="23"/>
        <v>22120.154379298703</v>
      </c>
      <c r="I172" s="53">
        <f>SUM(J172:Q172)*IF(입력란!$C$16=1,1.04,IF(입력란!$C$16=2,1.1,IF(입력란!$C$16=3,1.2,1)))*IF(입력란!$C$21=1,1+입력란!$C$38*0.001,IF(입력란!$C$21=2,1+입력란!$C$38*0.0022,IF(입력란!$C$21=3,1+입력란!$C$38*0.0045,1)))*IF(입력란!$C$18&lt;&gt;0,0.98,1)</f>
        <v>131182.29798983634</v>
      </c>
      <c r="J172" s="30">
        <f>S172*(1+IF($AK172+IF(입력란!$C$9=1,10,0)+IF(입력란!$C$26=1,10,0)+IF(MID(E172,1,1)="3",트라이포드!$H$13,0)&gt;100,100,$AK172+IF(입력란!$C$9=1,10,0)+IF(입력란!$C$26=1,10,0)+IF(MID(E172,1,1)="3",트라이포드!$H$13,0))/100*($AL172/100-1))</f>
        <v>65591.148994918171</v>
      </c>
      <c r="K172" s="30">
        <f>T172*(1+IF($AK172+IF(입력란!$C$9=1,10,0)+IF(입력란!$C$26=1,10,0)+IF(MID(E172,1,1)="3",트라이포드!H$13,0)&gt;100,100,$AK172+IF(입력란!$C$9=1,10,0)+IF(입력란!$C$26=1,10,0)+IF(MID(E172,1,1)="3",트라이포드!H$13,0))/100*($AL172/100-1))</f>
        <v>65591.148994918171</v>
      </c>
      <c r="L172" s="30">
        <f>U172*(1+IF($AK172+IF(입력란!$C$9=1,10,0)+IF(입력란!$C$26=1,10,0)+IF(MID(E172,1,1)="3",트라이포드!H$13,0)&gt;100,100,$AK172+IF(입력란!$C$9=1,10,0)+IF(입력란!$C$26=1,10,0)+IF(MID(E172,1,1)="3",트라이포드!H$13,0))/100*($AL172/100-1))</f>
        <v>0</v>
      </c>
      <c r="M172" s="30"/>
      <c r="N172" s="39"/>
      <c r="O172" s="39"/>
      <c r="P172" s="39"/>
      <c r="Q172" s="27"/>
      <c r="R172" s="24">
        <f t="shared" si="24"/>
        <v>82153.707292287756</v>
      </c>
      <c r="S172" s="30">
        <f>AN172*IF(입력란!$C$12=0,1,IF(입력란!$C$12=1,1.3,IF(입력란!$C$12=2,1.45,IF(입력란!$C$12=3,1.6,1))))*IF(MID(E172,3,1)="1",트라이포드!$J$13,트라이포드!$I$13)*IF(MID(E172,5,1)="2",트라이포드!$R$13,트라이포드!$Q$13)*IF(입력란!$C$9=1,IF(입력란!$C$15=0,1.05,IF(입력란!$C$15=1,1.05*1.05,IF(입력란!$C$15=2,1.05*1.12,IF(입력란!$C$15=3,1.05*1.25)))),1)</f>
        <v>41076.853646143878</v>
      </c>
      <c r="T172" s="30">
        <f>AN172*IF(입력란!$C$12=0,1,IF(입력란!$C$12=1,1.3,IF(입력란!$C$12=2,1.45,IF(입력란!$C$12=3,1.6,1))))*IF(MID(E172,3,1)="1",트라이포드!$J$13,트라이포드!$I$13)*IF(MID(E172,5,1)="2",트라이포드!$R$13,트라이포드!$Q$13)*IF(입력란!$C$9=1,IF(입력란!$C$15=0,1.05,IF(입력란!$C$15=1,1.05*1.05,IF(입력란!$C$15=2,1.05*1.12,IF(입력란!$C$15=3,1.05*1.25)))),1)</f>
        <v>41076.853646143878</v>
      </c>
      <c r="U172" s="30">
        <f>AN172*IF(입력란!$C$12=0,1,IF(입력란!$C$12=1,1.3,IF(입력란!$C$12=2,1.45,IF(입력란!$C$12=3,1.6,1))))*IF(MID(E172,3,1)="1",트라이포드!$J$13,트라이포드!$I$13)*IF(MID(E172,5,1)="1",1,0)*IF(입력란!$C$9=1,IF(입력란!$C$15=0,1.05,IF(입력란!$C$15=1,1.05*1.05,IF(입력란!$C$15=2,1.05*1.12,IF(입력란!$C$15=3,1.05*1.25)))),1)</f>
        <v>0</v>
      </c>
      <c r="V172" s="30"/>
      <c r="W172" s="39"/>
      <c r="X172" s="39"/>
      <c r="Y172" s="39"/>
      <c r="Z172" s="25"/>
      <c r="AA172" s="30">
        <f t="shared" si="25"/>
        <v>164307.41458457551</v>
      </c>
      <c r="AB172" s="30">
        <f t="shared" si="26"/>
        <v>82153.707292287756</v>
      </c>
      <c r="AC172" s="30">
        <f t="shared" si="27"/>
        <v>82153.707292287756</v>
      </c>
      <c r="AD172" s="30">
        <f t="shared" si="29"/>
        <v>0</v>
      </c>
      <c r="AE172" s="30"/>
      <c r="AF172" s="39"/>
      <c r="AG172" s="39"/>
      <c r="AH172" s="39"/>
      <c r="AI172" s="25"/>
      <c r="AJ172" s="26">
        <f>AQ172*(1-입력란!$C$35/100)</f>
        <v>5.93044224468</v>
      </c>
      <c r="AK1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2" s="26">
        <f>입력란!$C$47+입력란!$C$41+IF(입력란!$C$18=1,10,IF(입력란!$C$18=2,25,IF(입력란!$C$18=3,50,0)))+IF(입력란!$C$23&lt;&gt;0,-12)</f>
        <v>378.9445412</v>
      </c>
      <c r="AM172" s="30">
        <f t="shared" si="28"/>
        <v>27384.569097429252</v>
      </c>
      <c r="AN172" s="30">
        <f>(VLOOKUP(C172,$B$4:$AJ$7,12,FALSE)+VLOOKUP(C172,$B$8:$AJ$11,12,FALSE)*입력란!$C$29)*입력란!$C$48/100</f>
        <v>27384.569097429252</v>
      </c>
      <c r="AO172" s="26"/>
      <c r="AP172" s="30"/>
      <c r="AQ172" s="29">
        <v>6</v>
      </c>
    </row>
    <row r="173" spans="2:43" ht="13.5" customHeight="1" x14ac:dyDescent="0.3">
      <c r="B173" s="31">
        <v>158</v>
      </c>
      <c r="C173" s="36">
        <v>10</v>
      </c>
      <c r="D173" s="37" t="s">
        <v>169</v>
      </c>
      <c r="E173" s="38" t="s">
        <v>98</v>
      </c>
      <c r="F173" s="40"/>
      <c r="G173" s="40"/>
      <c r="H173" s="52">
        <f t="shared" si="23"/>
        <v>20645.477420678792</v>
      </c>
      <c r="I173" s="53">
        <f>SUM(J173:Q173)*IF(입력란!$C$16=1,1.04,IF(입력란!$C$16=2,1.1,IF(입력란!$C$16=3,1.2,1)))*IF(입력란!$C$21=1,1+입력란!$C$38*0.001,IF(입력란!$C$21=2,1+입력란!$C$38*0.0022,IF(입력란!$C$21=3,1+입력란!$C$38*0.0045,1)))*IF(입력란!$C$18&lt;&gt;0,0.98,1)</f>
        <v>122436.81145718059</v>
      </c>
      <c r="J173" s="30">
        <f>S173*(1+IF($AK173+IF(입력란!$C$9=1,10,0)+IF(입력란!$C$26=1,10,0)+IF(MID(E173,1,1)="3",트라이포드!$H$13,0)&gt;100,100,$AK173+IF(입력란!$C$9=1,10,0)+IF(입력란!$C$26=1,10,0)+IF(MID(E173,1,1)="3",트라이포드!$H$13,0))/100*($AL173/100-1))</f>
        <v>61218.405728590296</v>
      </c>
      <c r="K173" s="30">
        <f>T173*(1+IF($AK173+IF(입력란!$C$9=1,10,0)+IF(입력란!$C$26=1,10,0)+IF(MID(E173,1,1)="3",트라이포드!H$13,0)&gt;100,100,$AK173+IF(입력란!$C$9=1,10,0)+IF(입력란!$C$26=1,10,0)+IF(MID(E173,1,1)="3",트라이포드!H$13,0))/100*($AL173/100-1))</f>
        <v>61218.405728590296</v>
      </c>
      <c r="L173" s="30">
        <f>U173*(1+IF($AK173+IF(입력란!$C$9=1,10,0)+IF(입력란!$C$26=1,10,0)+IF(MID(E173,1,1)="3",트라이포드!H$13,0)&gt;100,100,$AK173+IF(입력란!$C$9=1,10,0)+IF(입력란!$C$26=1,10,0)+IF(MID(E173,1,1)="3",트라이포드!H$13,0))/100*($AL173/100-1))</f>
        <v>0</v>
      </c>
      <c r="M173" s="30"/>
      <c r="N173" s="39"/>
      <c r="O173" s="39"/>
      <c r="P173" s="39"/>
      <c r="Q173" s="27"/>
      <c r="R173" s="24">
        <f t="shared" si="24"/>
        <v>76676.793472801903</v>
      </c>
      <c r="S173" s="30">
        <f>AN173*IF(입력란!$C$12=0,1,IF(입력란!$C$12=1,1.3,IF(입력란!$C$12=2,1.45,IF(입력란!$C$12=3,1.6,1))))*IF(MID(E173,3,1)="1",트라이포드!$J$13,트라이포드!$I$13)*IF(MID(E173,5,1)="2",트라이포드!$R$13,트라이포드!$Q$13)*IF(입력란!$C$9=1,IF(입력란!$C$15=0,1.05,IF(입력란!$C$15=1,1.05*1.05,IF(입력란!$C$15=2,1.05*1.12,IF(입력란!$C$15=3,1.05*1.25)))),1)</f>
        <v>38338.396736400951</v>
      </c>
      <c r="T173" s="30">
        <f>AN173*IF(입력란!$C$12=0,1,IF(입력란!$C$12=1,1.3,IF(입력란!$C$12=2,1.45,IF(입력란!$C$12=3,1.6,1))))*IF(MID(E173,3,1)="1",트라이포드!$J$13,트라이포드!$I$13)*IF(MID(E173,5,1)="2",트라이포드!$R$13,트라이포드!$Q$13)*IF(입력란!$C$9=1,IF(입력란!$C$15=0,1.05,IF(입력란!$C$15=1,1.05*1.05,IF(입력란!$C$15=2,1.05*1.12,IF(입력란!$C$15=3,1.05*1.25)))),1)</f>
        <v>38338.396736400951</v>
      </c>
      <c r="U173" s="30">
        <f>AN173*IF(입력란!$C$12=0,1,IF(입력란!$C$12=1,1.3,IF(입력란!$C$12=2,1.45,IF(입력란!$C$12=3,1.6,1))))*IF(MID(E173,3,1)="1",트라이포드!$J$13,트라이포드!$I$13)*IF(MID(E173,5,1)="1",1,0)*IF(입력란!$C$9=1,IF(입력란!$C$15=0,1.05,IF(입력란!$C$15=1,1.05*1.05,IF(입력란!$C$15=2,1.05*1.12,IF(입력란!$C$15=3,1.05*1.25)))),1)</f>
        <v>0</v>
      </c>
      <c r="V173" s="30"/>
      <c r="W173" s="39"/>
      <c r="X173" s="39"/>
      <c r="Y173" s="39"/>
      <c r="Z173" s="25"/>
      <c r="AA173" s="30">
        <f t="shared" si="25"/>
        <v>153353.58694560381</v>
      </c>
      <c r="AB173" s="30">
        <f t="shared" si="26"/>
        <v>76676.793472801903</v>
      </c>
      <c r="AC173" s="30">
        <f t="shared" si="27"/>
        <v>76676.793472801903</v>
      </c>
      <c r="AD173" s="30">
        <f t="shared" si="29"/>
        <v>0</v>
      </c>
      <c r="AE173" s="30"/>
      <c r="AF173" s="39"/>
      <c r="AG173" s="39"/>
      <c r="AH173" s="39"/>
      <c r="AI173" s="25"/>
      <c r="AJ173" s="26">
        <f>AQ173*(1-입력란!$C$35/100)</f>
        <v>5.93044224468</v>
      </c>
      <c r="AK1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3" s="26">
        <f>입력란!$C$47+입력란!$C$41+IF(입력란!$C$18=1,10,IF(입력란!$C$18=2,25,IF(입력란!$C$18=3,50,0)))+IF(입력란!$C$23&lt;&gt;0,-12)</f>
        <v>378.9445412</v>
      </c>
      <c r="AM173" s="30">
        <f t="shared" si="28"/>
        <v>27384.569097429252</v>
      </c>
      <c r="AN173" s="30">
        <f>(VLOOKUP(C173,$B$4:$AJ$7,12,FALSE)+VLOOKUP(C173,$B$8:$AJ$11,12,FALSE)*입력란!$C$29)*입력란!$C$48/100</f>
        <v>27384.569097429252</v>
      </c>
      <c r="AO173" s="26"/>
      <c r="AP173" s="30"/>
      <c r="AQ173" s="29">
        <v>6</v>
      </c>
    </row>
    <row r="174" spans="2:43" ht="13.5" customHeight="1" x14ac:dyDescent="0.3">
      <c r="B174" s="31">
        <v>159</v>
      </c>
      <c r="C174" s="36">
        <v>10</v>
      </c>
      <c r="D174" s="37" t="s">
        <v>169</v>
      </c>
      <c r="E174" s="38" t="s">
        <v>147</v>
      </c>
      <c r="F174" s="40"/>
      <c r="G174" s="40"/>
      <c r="H174" s="52">
        <f t="shared" si="23"/>
        <v>30968.216131018187</v>
      </c>
      <c r="I174" s="53">
        <f>SUM(J174:Q174)*IF(입력란!$C$16=1,1.04,IF(입력란!$C$16=2,1.1,IF(입력란!$C$16=3,1.2,1)))*IF(입력란!$C$21=1,1+입력란!$C$38*0.001,IF(입력란!$C$21=2,1+입력란!$C$38*0.0022,IF(입력란!$C$21=3,1+입력란!$C$38*0.0045,1)))*IF(입력란!$C$18&lt;&gt;0,0.98,1)</f>
        <v>183655.21718577089</v>
      </c>
      <c r="J174" s="30">
        <f>S174*(1+IF($AK174+IF(입력란!$C$9=1,10,0)+IF(입력란!$C$26=1,10,0)+IF(MID(E174,1,1)="3",트라이포드!$H$13,0)&gt;100,100,$AK174+IF(입력란!$C$9=1,10,0)+IF(입력란!$C$26=1,10,0)+IF(MID(E174,1,1)="3",트라이포드!$H$13,0))/100*($AL174/100-1))</f>
        <v>61218.405728590296</v>
      </c>
      <c r="K174" s="30">
        <f>T174*(1+IF($AK174+IF(입력란!$C$9=1,10,0)+IF(입력란!$C$26=1,10,0)+IF(MID(E174,1,1)="3",트라이포드!H$13,0)&gt;100,100,$AK174+IF(입력란!$C$9=1,10,0)+IF(입력란!$C$26=1,10,0)+IF(MID(E174,1,1)="3",트라이포드!H$13,0))/100*($AL174/100-1))</f>
        <v>61218.405728590296</v>
      </c>
      <c r="L174" s="30">
        <f>U174*(1+IF($AK174+IF(입력란!$C$9=1,10,0)+IF(입력란!$C$26=1,10,0)+IF(MID(E174,1,1)="3",트라이포드!H$13,0)&gt;100,100,$AK174+IF(입력란!$C$9=1,10,0)+IF(입력란!$C$26=1,10,0)+IF(MID(E174,1,1)="3",트라이포드!H$13,0))/100*($AL174/100-1))</f>
        <v>61218.405728590296</v>
      </c>
      <c r="M174" s="30"/>
      <c r="N174" s="39"/>
      <c r="O174" s="39"/>
      <c r="P174" s="39"/>
      <c r="Q174" s="27"/>
      <c r="R174" s="24">
        <f t="shared" si="24"/>
        <v>115015.19020920285</v>
      </c>
      <c r="S174" s="30">
        <f>AN174*IF(입력란!$C$12=0,1,IF(입력란!$C$12=1,1.3,IF(입력란!$C$12=2,1.45,IF(입력란!$C$12=3,1.6,1))))*IF(MID(E174,3,1)="1",트라이포드!$J$13,트라이포드!$I$13)*IF(MID(E174,5,1)="2",트라이포드!$R$13,트라이포드!$Q$13)*IF(입력란!$C$9=1,IF(입력란!$C$15=0,1.05,IF(입력란!$C$15=1,1.05*1.05,IF(입력란!$C$15=2,1.05*1.12,IF(입력란!$C$15=3,1.05*1.25)))),1)</f>
        <v>38338.396736400951</v>
      </c>
      <c r="T174" s="30">
        <f>AN174*IF(입력란!$C$12=0,1,IF(입력란!$C$12=1,1.3,IF(입력란!$C$12=2,1.45,IF(입력란!$C$12=3,1.6,1))))*IF(MID(E174,3,1)="1",트라이포드!$J$13,트라이포드!$I$13)*IF(MID(E174,5,1)="2",트라이포드!$R$13,트라이포드!$Q$13)*IF(입력란!$C$9=1,IF(입력란!$C$15=0,1.05,IF(입력란!$C$15=1,1.05*1.05,IF(입력란!$C$15=2,1.05*1.12,IF(입력란!$C$15=3,1.05*1.25)))),1)</f>
        <v>38338.396736400951</v>
      </c>
      <c r="U174" s="30">
        <f>AN174*IF(입력란!$C$12=0,1,IF(입력란!$C$12=1,1.3,IF(입력란!$C$12=2,1.45,IF(입력란!$C$12=3,1.6,1))))*IF(MID(E174,3,1)="1",트라이포드!$J$13,트라이포드!$I$13)*IF(MID(E174,5,1)="1",1,0)*IF(입력란!$C$9=1,IF(입력란!$C$15=0,1.05,IF(입력란!$C$15=1,1.05*1.05,IF(입력란!$C$15=2,1.05*1.12,IF(입력란!$C$15=3,1.05*1.25)))),1)</f>
        <v>38338.396736400951</v>
      </c>
      <c r="V174" s="30"/>
      <c r="W174" s="39"/>
      <c r="X174" s="39"/>
      <c r="Y174" s="39"/>
      <c r="Z174" s="25"/>
      <c r="AA174" s="30">
        <f t="shared" si="25"/>
        <v>230030.38041840569</v>
      </c>
      <c r="AB174" s="30">
        <f t="shared" si="26"/>
        <v>76676.793472801903</v>
      </c>
      <c r="AC174" s="30">
        <f t="shared" si="27"/>
        <v>76676.793472801903</v>
      </c>
      <c r="AD174" s="30">
        <f t="shared" si="29"/>
        <v>76676.793472801903</v>
      </c>
      <c r="AE174" s="30"/>
      <c r="AF174" s="39"/>
      <c r="AG174" s="39"/>
      <c r="AH174" s="39"/>
      <c r="AI174" s="25"/>
      <c r="AJ174" s="26">
        <f>AQ174*(1-입력란!$C$35/100)</f>
        <v>5.93044224468</v>
      </c>
      <c r="AK1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4" s="26">
        <f>입력란!$C$47+입력란!$C$41+IF(입력란!$C$18=1,10,IF(입력란!$C$18=2,25,IF(입력란!$C$18=3,50,0)))+IF(입력란!$C$23&lt;&gt;0,-12)</f>
        <v>378.9445412</v>
      </c>
      <c r="AM174" s="30">
        <f t="shared" si="28"/>
        <v>27384.569097429252</v>
      </c>
      <c r="AN174" s="30">
        <f>(VLOOKUP(C174,$B$4:$AJ$7,12,FALSE)+VLOOKUP(C174,$B$8:$AJ$11,12,FALSE)*입력란!$C$29)*입력란!$C$48/100</f>
        <v>27384.569097429252</v>
      </c>
      <c r="AO174" s="26"/>
      <c r="AP174" s="30"/>
      <c r="AQ174" s="29">
        <v>6</v>
      </c>
    </row>
    <row r="175" spans="2:43" ht="13.5" customHeight="1" x14ac:dyDescent="0.3">
      <c r="B175" s="31">
        <v>160</v>
      </c>
      <c r="C175" s="36">
        <v>10</v>
      </c>
      <c r="D175" s="37" t="s">
        <v>169</v>
      </c>
      <c r="E175" s="38" t="s">
        <v>148</v>
      </c>
      <c r="F175" s="40"/>
      <c r="G175" s="40"/>
      <c r="H175" s="52">
        <f t="shared" si="23"/>
        <v>30968.216131018184</v>
      </c>
      <c r="I175" s="53">
        <f>SUM(J175:Q175)*IF(입력란!$C$16=1,1.04,IF(입력란!$C$16=2,1.1,IF(입력란!$C$16=3,1.2,1)))*IF(입력란!$C$21=1,1+입력란!$C$38*0.001,IF(입력란!$C$21=2,1+입력란!$C$38*0.0022,IF(입력란!$C$21=3,1+입력란!$C$38*0.0045,1)))*IF(입력란!$C$18&lt;&gt;0,0.98,1)</f>
        <v>183655.21718577086</v>
      </c>
      <c r="J175" s="30">
        <f>S175*(1+IF($AK175+IF(입력란!$C$9=1,10,0)+IF(입력란!$C$26=1,10,0)+IF(MID(E175,1,1)="3",트라이포드!$H$13,0)&gt;100,100,$AK175+IF(입력란!$C$9=1,10,0)+IF(입력란!$C$26=1,10,0)+IF(MID(E175,1,1)="3",트라이포드!$H$13,0))/100*($AL175/100-1))</f>
        <v>91827.60859288543</v>
      </c>
      <c r="K175" s="30">
        <f>T175*(1+IF($AK175+IF(입력란!$C$9=1,10,0)+IF(입력란!$C$26=1,10,0)+IF(MID(E175,1,1)="3",트라이포드!H$13,0)&gt;100,100,$AK175+IF(입력란!$C$9=1,10,0)+IF(입력란!$C$26=1,10,0)+IF(MID(E175,1,1)="3",트라이포드!H$13,0))/100*($AL175/100-1))</f>
        <v>91827.60859288543</v>
      </c>
      <c r="L175" s="30">
        <f>U175*(1+IF($AK175+IF(입력란!$C$9=1,10,0)+IF(입력란!$C$26=1,10,0)+IF(MID(E175,1,1)="3",트라이포드!H$13,0)&gt;100,100,$AK175+IF(입력란!$C$9=1,10,0)+IF(입력란!$C$26=1,10,0)+IF(MID(E175,1,1)="3",트라이포드!H$13,0))/100*($AL175/100-1))</f>
        <v>0</v>
      </c>
      <c r="M175" s="30"/>
      <c r="N175" s="39"/>
      <c r="O175" s="39"/>
      <c r="P175" s="39"/>
      <c r="Q175" s="27"/>
      <c r="R175" s="24">
        <f t="shared" si="24"/>
        <v>115015.19020920285</v>
      </c>
      <c r="S175" s="30">
        <f>AN175*IF(입력란!$C$12=0,1,IF(입력란!$C$12=1,1.3,IF(입력란!$C$12=2,1.45,IF(입력란!$C$12=3,1.6,1))))*IF(MID(E175,3,1)="1",트라이포드!$J$13,트라이포드!$I$13)*IF(MID(E175,5,1)="2",트라이포드!$R$13,트라이포드!$Q$13)*IF(입력란!$C$9=1,IF(입력란!$C$15=0,1.05,IF(입력란!$C$15=1,1.05*1.05,IF(입력란!$C$15=2,1.05*1.12,IF(입력란!$C$15=3,1.05*1.25)))),1)</f>
        <v>57507.595104601423</v>
      </c>
      <c r="T175" s="30">
        <f>AN175*IF(입력란!$C$12=0,1,IF(입력란!$C$12=1,1.3,IF(입력란!$C$12=2,1.45,IF(입력란!$C$12=3,1.6,1))))*IF(MID(E175,3,1)="1",트라이포드!$J$13,트라이포드!$I$13)*IF(MID(E175,5,1)="2",트라이포드!$R$13,트라이포드!$Q$13)*IF(입력란!$C$9=1,IF(입력란!$C$15=0,1.05,IF(입력란!$C$15=1,1.05*1.05,IF(입력란!$C$15=2,1.05*1.12,IF(입력란!$C$15=3,1.05*1.25)))),1)</f>
        <v>57507.595104601423</v>
      </c>
      <c r="U175" s="30">
        <f>AN175*IF(입력란!$C$12=0,1,IF(입력란!$C$12=1,1.3,IF(입력란!$C$12=2,1.45,IF(입력란!$C$12=3,1.6,1))))*IF(MID(E175,3,1)="1",트라이포드!$J$13,트라이포드!$I$13)*IF(MID(E175,5,1)="1",1,0)*IF(입력란!$C$9=1,IF(입력란!$C$15=0,1.05,IF(입력란!$C$15=1,1.05*1.05,IF(입력란!$C$15=2,1.05*1.12,IF(입력란!$C$15=3,1.05*1.25)))),1)</f>
        <v>0</v>
      </c>
      <c r="V175" s="30"/>
      <c r="W175" s="39"/>
      <c r="X175" s="39"/>
      <c r="Y175" s="39"/>
      <c r="Z175" s="25"/>
      <c r="AA175" s="30">
        <f t="shared" si="25"/>
        <v>230030.38041840569</v>
      </c>
      <c r="AB175" s="30">
        <f t="shared" si="26"/>
        <v>115015.19020920285</v>
      </c>
      <c r="AC175" s="30">
        <f t="shared" si="27"/>
        <v>115015.19020920285</v>
      </c>
      <c r="AD175" s="30">
        <f t="shared" si="29"/>
        <v>0</v>
      </c>
      <c r="AE175" s="30"/>
      <c r="AF175" s="39"/>
      <c r="AG175" s="39"/>
      <c r="AH175" s="39"/>
      <c r="AI175" s="25"/>
      <c r="AJ175" s="26">
        <f>AQ175*(1-입력란!$C$35/100)</f>
        <v>5.93044224468</v>
      </c>
      <c r="AK1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5" s="26">
        <f>입력란!$C$47+입력란!$C$41+IF(입력란!$C$18=1,10,IF(입력란!$C$18=2,25,IF(입력란!$C$18=3,50,0)))+IF(입력란!$C$23&lt;&gt;0,-12)</f>
        <v>378.9445412</v>
      </c>
      <c r="AM175" s="30">
        <f t="shared" si="28"/>
        <v>27384.569097429252</v>
      </c>
      <c r="AN175" s="30">
        <f>(VLOOKUP(C175,$B$4:$AJ$7,12,FALSE)+VLOOKUP(C175,$B$8:$AJ$11,12,FALSE)*입력란!$C$29)*입력란!$C$48/100</f>
        <v>27384.569097429252</v>
      </c>
      <c r="AO175" s="26"/>
      <c r="AP175" s="30"/>
      <c r="AQ175" s="29">
        <v>6</v>
      </c>
    </row>
    <row r="176" spans="2:43" ht="13.5" customHeight="1" x14ac:dyDescent="0.3">
      <c r="B176" s="31">
        <v>161</v>
      </c>
      <c r="C176" s="36">
        <v>10</v>
      </c>
      <c r="D176" s="37" t="s">
        <v>169</v>
      </c>
      <c r="E176" s="38" t="s">
        <v>97</v>
      </c>
      <c r="F176" s="40"/>
      <c r="G176" s="40"/>
      <c r="H176" s="52">
        <f t="shared" si="23"/>
        <v>18610.954961089818</v>
      </c>
      <c r="I176" s="53">
        <f>SUM(J176:Q176)*IF(입력란!$C$16=1,1.04,IF(입력란!$C$16=2,1.1,IF(입력란!$C$16=3,1.2,1)))*IF(입력란!$C$21=1,1+입력란!$C$38*0.001,IF(입력란!$C$21=2,1+입력란!$C$38*0.0022,IF(입력란!$C$21=3,1+입력란!$C$38*0.0045,1)))*IF(입력란!$C$18&lt;&gt;0,0.98,1)</f>
        <v>110371.19351508388</v>
      </c>
      <c r="J176" s="30">
        <f>S176*(1+IF($AK176+IF(입력란!$C$9=1,10,0)+IF(입력란!$C$26=1,10,0)+IF(MID(E176,1,1)="3",트라이포드!$H$13,0)&gt;100,100,$AK176+IF(입력란!$C$9=1,10,0)+IF(입력란!$C$26=1,10,0)+IF(MID(E176,1,1)="3",트라이포드!$H$13,0))/100*($AL176/100-1))</f>
        <v>55185.596757541942</v>
      </c>
      <c r="K176" s="30">
        <f>T176*(1+IF($AK176+IF(입력란!$C$9=1,10,0)+IF(입력란!$C$26=1,10,0)+IF(MID(E176,1,1)="3",트라이포드!H$13,0)&gt;100,100,$AK176+IF(입력란!$C$9=1,10,0)+IF(입력란!$C$26=1,10,0)+IF(MID(E176,1,1)="3",트라이포드!H$13,0))/100*($AL176/100-1))</f>
        <v>55185.596757541942</v>
      </c>
      <c r="L176" s="30">
        <f>U176*(1+IF($AK176+IF(입력란!$C$9=1,10,0)+IF(입력란!$C$26=1,10,0)+IF(MID(E176,1,1)="3",트라이포드!H$13,0)&gt;100,100,$AK176+IF(입력란!$C$9=1,10,0)+IF(입력란!$C$26=1,10,0)+IF(MID(E176,1,1)="3",트라이포드!H$13,0))/100*($AL176/100-1))</f>
        <v>0</v>
      </c>
      <c r="M176" s="30"/>
      <c r="N176" s="39"/>
      <c r="O176" s="39"/>
      <c r="P176" s="39"/>
      <c r="Q176" s="27"/>
      <c r="R176" s="24">
        <f t="shared" si="24"/>
        <v>54769.138194858504</v>
      </c>
      <c r="S176" s="30">
        <f>AN176*IF(입력란!$C$12=0,1,IF(입력란!$C$12=1,1.3,IF(입력란!$C$12=2,1.45,IF(입력란!$C$12=3,1.6,1))))*IF(MID(E176,3,1)="1",트라이포드!$J$13,트라이포드!$I$13)*IF(MID(E176,5,1)="2",트라이포드!$R$13,트라이포드!$Q$13)*IF(입력란!$C$9=1,IF(입력란!$C$15=0,1.05,IF(입력란!$C$15=1,1.05*1.05,IF(입력란!$C$15=2,1.05*1.12,IF(입력란!$C$15=3,1.05*1.25)))),1)</f>
        <v>27384.569097429252</v>
      </c>
      <c r="T176" s="30">
        <f>AN176*IF(입력란!$C$12=0,1,IF(입력란!$C$12=1,1.3,IF(입력란!$C$12=2,1.45,IF(입력란!$C$12=3,1.6,1))))*IF(MID(E176,3,1)="1",트라이포드!$J$13,트라이포드!$I$13)*IF(MID(E176,5,1)="2",트라이포드!$R$13,트라이포드!$Q$13)*IF(입력란!$C$9=1,IF(입력란!$C$15=0,1.05,IF(입력란!$C$15=1,1.05*1.05,IF(입력란!$C$15=2,1.05*1.12,IF(입력란!$C$15=3,1.05*1.25)))),1)</f>
        <v>27384.569097429252</v>
      </c>
      <c r="U176" s="30">
        <f>AN176*IF(입력란!$C$12=0,1,IF(입력란!$C$12=1,1.3,IF(입력란!$C$12=2,1.45,IF(입력란!$C$12=3,1.6,1))))*IF(MID(E176,3,1)="1",트라이포드!$J$13,트라이포드!$I$13)*IF(MID(E176,5,1)="1",1,0)*IF(입력란!$C$9=1,IF(입력란!$C$15=0,1.05,IF(입력란!$C$15=1,1.05*1.05,IF(입력란!$C$15=2,1.05*1.12,IF(입력란!$C$15=3,1.05*1.25)))),1)</f>
        <v>0</v>
      </c>
      <c r="V176" s="30"/>
      <c r="W176" s="39"/>
      <c r="X176" s="39"/>
      <c r="Y176" s="39"/>
      <c r="Z176" s="25"/>
      <c r="AA176" s="30">
        <f t="shared" si="25"/>
        <v>109538.27638971701</v>
      </c>
      <c r="AB176" s="30">
        <f t="shared" si="26"/>
        <v>54769.138194858504</v>
      </c>
      <c r="AC176" s="30">
        <f t="shared" si="27"/>
        <v>54769.138194858504</v>
      </c>
      <c r="AD176" s="30">
        <f t="shared" si="29"/>
        <v>0</v>
      </c>
      <c r="AE176" s="30"/>
      <c r="AF176" s="39"/>
      <c r="AG176" s="39"/>
      <c r="AH176" s="39"/>
      <c r="AI176" s="25"/>
      <c r="AJ176" s="26">
        <f>AQ176*(1-입력란!$C$35/100)</f>
        <v>5.93044224468</v>
      </c>
      <c r="AK1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6" s="26">
        <f>입력란!$C$47+입력란!$C$41+IF(입력란!$C$18=1,10,IF(입력란!$C$18=2,25,IF(입력란!$C$18=3,50,0)))+IF(입력란!$C$23&lt;&gt;0,-12)</f>
        <v>378.9445412</v>
      </c>
      <c r="AM176" s="30">
        <f t="shared" si="28"/>
        <v>27384.569097429252</v>
      </c>
      <c r="AN176" s="30">
        <f>(VLOOKUP(C176,$B$4:$AJ$7,12,FALSE)+VLOOKUP(C176,$B$8:$AJ$11,12,FALSE)*입력란!$C$29)*입력란!$C$48/100</f>
        <v>27384.569097429252</v>
      </c>
      <c r="AO176" s="26"/>
      <c r="AP176" s="30"/>
      <c r="AQ176" s="29">
        <v>6</v>
      </c>
    </row>
    <row r="177" spans="2:43" ht="13.5" customHeight="1" x14ac:dyDescent="0.3">
      <c r="B177" s="31">
        <v>162</v>
      </c>
      <c r="C177" s="36">
        <v>10</v>
      </c>
      <c r="D177" s="37" t="s">
        <v>169</v>
      </c>
      <c r="E177" s="38" t="s">
        <v>112</v>
      </c>
      <c r="F177" s="40"/>
      <c r="G177" s="40"/>
      <c r="H177" s="52">
        <f t="shared" si="23"/>
        <v>27916.43244163473</v>
      </c>
      <c r="I177" s="53">
        <f>SUM(J177:Q177)*IF(입력란!$C$16=1,1.04,IF(입력란!$C$16=2,1.1,IF(입력란!$C$16=3,1.2,1)))*IF(입력란!$C$21=1,1+입력란!$C$38*0.001,IF(입력란!$C$21=2,1+입력란!$C$38*0.0022,IF(입력란!$C$21=3,1+입력란!$C$38*0.0045,1)))*IF(입력란!$C$18&lt;&gt;0,0.98,1)</f>
        <v>165556.79027262583</v>
      </c>
      <c r="J177" s="30">
        <f>S177*(1+IF($AK177+IF(입력란!$C$9=1,10,0)+IF(입력란!$C$26=1,10,0)+IF(MID(E177,1,1)="3",트라이포드!$H$13,0)&gt;100,100,$AK177+IF(입력란!$C$9=1,10,0)+IF(입력란!$C$26=1,10,0)+IF(MID(E177,1,1)="3",트라이포드!$H$13,0))/100*($AL177/100-1))</f>
        <v>55185.596757541942</v>
      </c>
      <c r="K177" s="30">
        <f>T177*(1+IF($AK177+IF(입력란!$C$9=1,10,0)+IF(입력란!$C$26=1,10,0)+IF(MID(E177,1,1)="3",트라이포드!H$13,0)&gt;100,100,$AK177+IF(입력란!$C$9=1,10,0)+IF(입력란!$C$26=1,10,0)+IF(MID(E177,1,1)="3",트라이포드!H$13,0))/100*($AL177/100-1))</f>
        <v>55185.596757541942</v>
      </c>
      <c r="L177" s="30">
        <f>U177*(1+IF($AK177+IF(입력란!$C$9=1,10,0)+IF(입력란!$C$26=1,10,0)+IF(MID(E177,1,1)="3",트라이포드!H$13,0)&gt;100,100,$AK177+IF(입력란!$C$9=1,10,0)+IF(입력란!$C$26=1,10,0)+IF(MID(E177,1,1)="3",트라이포드!H$13,0))/100*($AL177/100-1))</f>
        <v>55185.596757541942</v>
      </c>
      <c r="M177" s="30"/>
      <c r="N177" s="39"/>
      <c r="O177" s="39"/>
      <c r="P177" s="39"/>
      <c r="Q177" s="27"/>
      <c r="R177" s="24">
        <f t="shared" si="24"/>
        <v>82153.707292287756</v>
      </c>
      <c r="S177" s="30">
        <f>AN177*IF(입력란!$C$12=0,1,IF(입력란!$C$12=1,1.3,IF(입력란!$C$12=2,1.45,IF(입력란!$C$12=3,1.6,1))))*IF(MID(E177,3,1)="1",트라이포드!$J$13,트라이포드!$I$13)*IF(MID(E177,5,1)="2",트라이포드!$R$13,트라이포드!$Q$13)*IF(입력란!$C$9=1,IF(입력란!$C$15=0,1.05,IF(입력란!$C$15=1,1.05*1.05,IF(입력란!$C$15=2,1.05*1.12,IF(입력란!$C$15=3,1.05*1.25)))),1)</f>
        <v>27384.569097429252</v>
      </c>
      <c r="T177" s="30">
        <f>AN177*IF(입력란!$C$12=0,1,IF(입력란!$C$12=1,1.3,IF(입력란!$C$12=2,1.45,IF(입력란!$C$12=3,1.6,1))))*IF(MID(E177,3,1)="1",트라이포드!$J$13,트라이포드!$I$13)*IF(MID(E177,5,1)="2",트라이포드!$R$13,트라이포드!$Q$13)*IF(입력란!$C$9=1,IF(입력란!$C$15=0,1.05,IF(입력란!$C$15=1,1.05*1.05,IF(입력란!$C$15=2,1.05*1.12,IF(입력란!$C$15=3,1.05*1.25)))),1)</f>
        <v>27384.569097429252</v>
      </c>
      <c r="U177" s="30">
        <f>AN177*IF(입력란!$C$12=0,1,IF(입력란!$C$12=1,1.3,IF(입력란!$C$12=2,1.45,IF(입력란!$C$12=3,1.6,1))))*IF(MID(E177,3,1)="1",트라이포드!$J$13,트라이포드!$I$13)*IF(MID(E177,5,1)="1",1,0)*IF(입력란!$C$9=1,IF(입력란!$C$15=0,1.05,IF(입력란!$C$15=1,1.05*1.05,IF(입력란!$C$15=2,1.05*1.12,IF(입력란!$C$15=3,1.05*1.25)))),1)</f>
        <v>27384.569097429252</v>
      </c>
      <c r="V177" s="30"/>
      <c r="W177" s="39"/>
      <c r="X177" s="39"/>
      <c r="Y177" s="39"/>
      <c r="Z177" s="25"/>
      <c r="AA177" s="30">
        <f t="shared" si="25"/>
        <v>164307.41458457551</v>
      </c>
      <c r="AB177" s="30">
        <f t="shared" si="26"/>
        <v>54769.138194858504</v>
      </c>
      <c r="AC177" s="30">
        <f t="shared" si="27"/>
        <v>54769.138194858504</v>
      </c>
      <c r="AD177" s="30">
        <f t="shared" si="29"/>
        <v>54769.138194858504</v>
      </c>
      <c r="AE177" s="30"/>
      <c r="AF177" s="39"/>
      <c r="AG177" s="39"/>
      <c r="AH177" s="39"/>
      <c r="AI177" s="25"/>
      <c r="AJ177" s="26">
        <f>AQ177*(1-입력란!$C$35/100)</f>
        <v>5.93044224468</v>
      </c>
      <c r="AK1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7" s="26">
        <f>입력란!$C$47+입력란!$C$41+IF(입력란!$C$18=1,10,IF(입력란!$C$18=2,25,IF(입력란!$C$18=3,50,0)))+IF(입력란!$C$23&lt;&gt;0,-12)</f>
        <v>378.9445412</v>
      </c>
      <c r="AM177" s="30">
        <f t="shared" si="28"/>
        <v>27384.569097429252</v>
      </c>
      <c r="AN177" s="30">
        <f>(VLOOKUP(C177,$B$4:$AJ$7,12,FALSE)+VLOOKUP(C177,$B$8:$AJ$11,12,FALSE)*입력란!$C$29)*입력란!$C$48/100</f>
        <v>27384.569097429252</v>
      </c>
      <c r="AO177" s="26"/>
      <c r="AP177" s="30"/>
      <c r="AQ177" s="29">
        <v>6</v>
      </c>
    </row>
    <row r="178" spans="2:43" ht="13.5" customHeight="1" x14ac:dyDescent="0.3">
      <c r="B178" s="31">
        <v>163</v>
      </c>
      <c r="C178" s="36">
        <v>10</v>
      </c>
      <c r="D178" s="37" t="s">
        <v>169</v>
      </c>
      <c r="E178" s="38" t="s">
        <v>113</v>
      </c>
      <c r="F178" s="40"/>
      <c r="G178" s="40"/>
      <c r="H178" s="52">
        <f t="shared" si="23"/>
        <v>27916.43244163473</v>
      </c>
      <c r="I178" s="53">
        <f>SUM(J178:Q178)*IF(입력란!$C$16=1,1.04,IF(입력란!$C$16=2,1.1,IF(입력란!$C$16=3,1.2,1)))*IF(입력란!$C$21=1,1+입력란!$C$38*0.001,IF(입력란!$C$21=2,1+입력란!$C$38*0.0022,IF(입력란!$C$21=3,1+입력란!$C$38*0.0045,1)))*IF(입력란!$C$18&lt;&gt;0,0.98,1)</f>
        <v>165556.79027262583</v>
      </c>
      <c r="J178" s="30">
        <f>S178*(1+IF($AK178+IF(입력란!$C$9=1,10,0)+IF(입력란!$C$26=1,10,0)+IF(MID(E178,1,1)="3",트라이포드!$H$13,0)&gt;100,100,$AK178+IF(입력란!$C$9=1,10,0)+IF(입력란!$C$26=1,10,0)+IF(MID(E178,1,1)="3",트라이포드!$H$13,0))/100*($AL178/100-1))</f>
        <v>82778.395136312916</v>
      </c>
      <c r="K178" s="30">
        <f>T178*(1+IF($AK178+IF(입력란!$C$9=1,10,0)+IF(입력란!$C$26=1,10,0)+IF(MID(E178,1,1)="3",트라이포드!H$13,0)&gt;100,100,$AK178+IF(입력란!$C$9=1,10,0)+IF(입력란!$C$26=1,10,0)+IF(MID(E178,1,1)="3",트라이포드!H$13,0))/100*($AL178/100-1))</f>
        <v>82778.395136312916</v>
      </c>
      <c r="L178" s="30">
        <f>U178*(1+IF($AK178+IF(입력란!$C$9=1,10,0)+IF(입력란!$C$26=1,10,0)+IF(MID(E178,1,1)="3",트라이포드!H$13,0)&gt;100,100,$AK178+IF(입력란!$C$9=1,10,0)+IF(입력란!$C$26=1,10,0)+IF(MID(E178,1,1)="3",트라이포드!H$13,0))/100*($AL178/100-1))</f>
        <v>0</v>
      </c>
      <c r="M178" s="30"/>
      <c r="N178" s="39"/>
      <c r="O178" s="39"/>
      <c r="P178" s="39"/>
      <c r="Q178" s="27"/>
      <c r="R178" s="24">
        <f t="shared" si="24"/>
        <v>82153.707292287756</v>
      </c>
      <c r="S178" s="30">
        <f>AN178*IF(입력란!$C$12=0,1,IF(입력란!$C$12=1,1.3,IF(입력란!$C$12=2,1.45,IF(입력란!$C$12=3,1.6,1))))*IF(MID(E178,3,1)="1",트라이포드!$J$13,트라이포드!$I$13)*IF(MID(E178,5,1)="2",트라이포드!$R$13,트라이포드!$Q$13)*IF(입력란!$C$9=1,IF(입력란!$C$15=0,1.05,IF(입력란!$C$15=1,1.05*1.05,IF(입력란!$C$15=2,1.05*1.12,IF(입력란!$C$15=3,1.05*1.25)))),1)</f>
        <v>41076.853646143878</v>
      </c>
      <c r="T178" s="30">
        <f>AN178*IF(입력란!$C$12=0,1,IF(입력란!$C$12=1,1.3,IF(입력란!$C$12=2,1.45,IF(입력란!$C$12=3,1.6,1))))*IF(MID(E178,3,1)="1",트라이포드!$J$13,트라이포드!$I$13)*IF(MID(E178,5,1)="2",트라이포드!$R$13,트라이포드!$Q$13)*IF(입력란!$C$9=1,IF(입력란!$C$15=0,1.05,IF(입력란!$C$15=1,1.05*1.05,IF(입력란!$C$15=2,1.05*1.12,IF(입력란!$C$15=3,1.05*1.25)))),1)</f>
        <v>41076.853646143878</v>
      </c>
      <c r="U178" s="30">
        <f>AN178*IF(입력란!$C$12=0,1,IF(입력란!$C$12=1,1.3,IF(입력란!$C$12=2,1.45,IF(입력란!$C$12=3,1.6,1))))*IF(MID(E178,3,1)="1",트라이포드!$J$13,트라이포드!$I$13)*IF(MID(E178,5,1)="1",1,0)*IF(입력란!$C$9=1,IF(입력란!$C$15=0,1.05,IF(입력란!$C$15=1,1.05*1.05,IF(입력란!$C$15=2,1.05*1.12,IF(입력란!$C$15=3,1.05*1.25)))),1)</f>
        <v>0</v>
      </c>
      <c r="V178" s="30"/>
      <c r="W178" s="39"/>
      <c r="X178" s="39"/>
      <c r="Y178" s="39"/>
      <c r="Z178" s="25"/>
      <c r="AA178" s="30">
        <f t="shared" si="25"/>
        <v>164307.41458457551</v>
      </c>
      <c r="AB178" s="30">
        <f t="shared" si="26"/>
        <v>82153.707292287756</v>
      </c>
      <c r="AC178" s="30">
        <f t="shared" si="27"/>
        <v>82153.707292287756</v>
      </c>
      <c r="AD178" s="30">
        <f t="shared" si="29"/>
        <v>0</v>
      </c>
      <c r="AE178" s="30"/>
      <c r="AF178" s="39"/>
      <c r="AG178" s="39"/>
      <c r="AH178" s="39"/>
      <c r="AI178" s="25"/>
      <c r="AJ178" s="26">
        <f>AQ178*(1-입력란!$C$35/100)</f>
        <v>5.93044224468</v>
      </c>
      <c r="AK1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8" s="26">
        <f>입력란!$C$47+입력란!$C$41+IF(입력란!$C$18=1,10,IF(입력란!$C$18=2,25,IF(입력란!$C$18=3,50,0)))+IF(입력란!$C$23&lt;&gt;0,-12)</f>
        <v>378.9445412</v>
      </c>
      <c r="AM178" s="30">
        <f t="shared" si="28"/>
        <v>27384.569097429252</v>
      </c>
      <c r="AN178" s="30">
        <f>(VLOOKUP(C178,$B$4:$AJ$7,12,FALSE)+VLOOKUP(C178,$B$8:$AJ$11,12,FALSE)*입력란!$C$29)*입력란!$C$48/100</f>
        <v>27384.569097429252</v>
      </c>
      <c r="AO178" s="26"/>
      <c r="AP178" s="30"/>
      <c r="AQ178" s="29">
        <v>6</v>
      </c>
    </row>
    <row r="179" spans="2:43" ht="13.5" customHeight="1" x14ac:dyDescent="0.3">
      <c r="B179" s="31">
        <v>164</v>
      </c>
      <c r="C179" s="36">
        <v>10</v>
      </c>
      <c r="D179" s="37" t="s">
        <v>169</v>
      </c>
      <c r="E179" s="38" t="s">
        <v>114</v>
      </c>
      <c r="F179" s="40"/>
      <c r="G179" s="40"/>
      <c r="H179" s="52">
        <f t="shared" si="23"/>
        <v>39083.005418288616</v>
      </c>
      <c r="I179" s="53">
        <f>SUM(J179:Q179)*IF(입력란!$C$16=1,1.04,IF(입력란!$C$16=2,1.1,IF(입력란!$C$16=3,1.2,1)))*IF(입력란!$C$21=1,1+입력란!$C$38*0.001,IF(입력란!$C$21=2,1+입력란!$C$38*0.0022,IF(입력란!$C$21=3,1+입력란!$C$38*0.0045,1)))*IF(입력란!$C$18&lt;&gt;0,0.98,1)</f>
        <v>231779.50638167612</v>
      </c>
      <c r="J179" s="30">
        <f>S179*(1+IF($AK179+IF(입력란!$C$9=1,10,0)+IF(입력란!$C$26=1,10,0)+IF(MID(E179,1,1)="3",트라이포드!$H$13,0)&gt;100,100,$AK179+IF(입력란!$C$9=1,10,0)+IF(입력란!$C$26=1,10,0)+IF(MID(E179,1,1)="3",트라이포드!$H$13,0))/100*($AL179/100-1))</f>
        <v>77259.835460558708</v>
      </c>
      <c r="K179" s="30">
        <f>T179*(1+IF($AK179+IF(입력란!$C$9=1,10,0)+IF(입력란!$C$26=1,10,0)+IF(MID(E179,1,1)="3",트라이포드!H$13,0)&gt;100,100,$AK179+IF(입력란!$C$9=1,10,0)+IF(입력란!$C$26=1,10,0)+IF(MID(E179,1,1)="3",트라이포드!H$13,0))/100*($AL179/100-1))</f>
        <v>77259.835460558708</v>
      </c>
      <c r="L179" s="30">
        <f>U179*(1+IF($AK179+IF(입력란!$C$9=1,10,0)+IF(입력란!$C$26=1,10,0)+IF(MID(E179,1,1)="3",트라이포드!H$13,0)&gt;100,100,$AK179+IF(입력란!$C$9=1,10,0)+IF(입력란!$C$26=1,10,0)+IF(MID(E179,1,1)="3",트라이포드!H$13,0))/100*($AL179/100-1))</f>
        <v>77259.835460558708</v>
      </c>
      <c r="M179" s="30"/>
      <c r="N179" s="39"/>
      <c r="O179" s="39"/>
      <c r="P179" s="39"/>
      <c r="Q179" s="27"/>
      <c r="R179" s="24">
        <f t="shared" si="24"/>
        <v>115015.19020920285</v>
      </c>
      <c r="S179" s="30">
        <f>AN179*IF(입력란!$C$12=0,1,IF(입력란!$C$12=1,1.3,IF(입력란!$C$12=2,1.45,IF(입력란!$C$12=3,1.6,1))))*IF(MID(E179,3,1)="1",트라이포드!$J$13,트라이포드!$I$13)*IF(MID(E179,5,1)="2",트라이포드!$R$13,트라이포드!$Q$13)*IF(입력란!$C$9=1,IF(입력란!$C$15=0,1.05,IF(입력란!$C$15=1,1.05*1.05,IF(입력란!$C$15=2,1.05*1.12,IF(입력란!$C$15=3,1.05*1.25)))),1)</f>
        <v>38338.396736400951</v>
      </c>
      <c r="T179" s="30">
        <f>AN179*IF(입력란!$C$12=0,1,IF(입력란!$C$12=1,1.3,IF(입력란!$C$12=2,1.45,IF(입력란!$C$12=3,1.6,1))))*IF(MID(E179,3,1)="1",트라이포드!$J$13,트라이포드!$I$13)*IF(MID(E179,5,1)="2",트라이포드!$R$13,트라이포드!$Q$13)*IF(입력란!$C$9=1,IF(입력란!$C$15=0,1.05,IF(입력란!$C$15=1,1.05*1.05,IF(입력란!$C$15=2,1.05*1.12,IF(입력란!$C$15=3,1.05*1.25)))),1)</f>
        <v>38338.396736400951</v>
      </c>
      <c r="U179" s="30">
        <f>AN179*IF(입력란!$C$12=0,1,IF(입력란!$C$12=1,1.3,IF(입력란!$C$12=2,1.45,IF(입력란!$C$12=3,1.6,1))))*IF(MID(E179,3,1)="1",트라이포드!$J$13,트라이포드!$I$13)*IF(MID(E179,5,1)="1",1,0)*IF(입력란!$C$9=1,IF(입력란!$C$15=0,1.05,IF(입력란!$C$15=1,1.05*1.05,IF(입력란!$C$15=2,1.05*1.12,IF(입력란!$C$15=3,1.05*1.25)))),1)</f>
        <v>38338.396736400951</v>
      </c>
      <c r="V179" s="30"/>
      <c r="W179" s="39"/>
      <c r="X179" s="39"/>
      <c r="Y179" s="39"/>
      <c r="Z179" s="25"/>
      <c r="AA179" s="30">
        <f t="shared" si="25"/>
        <v>230030.38041840569</v>
      </c>
      <c r="AB179" s="30">
        <f t="shared" si="26"/>
        <v>76676.793472801903</v>
      </c>
      <c r="AC179" s="30">
        <f t="shared" si="27"/>
        <v>76676.793472801903</v>
      </c>
      <c r="AD179" s="30">
        <f t="shared" si="29"/>
        <v>76676.793472801903</v>
      </c>
      <c r="AE179" s="30"/>
      <c r="AF179" s="39"/>
      <c r="AG179" s="39"/>
      <c r="AH179" s="39"/>
      <c r="AI179" s="25"/>
      <c r="AJ179" s="26">
        <f>AQ179*(1-입력란!$C$35/100)</f>
        <v>5.93044224468</v>
      </c>
      <c r="AK17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79" s="26">
        <f>입력란!$C$47+입력란!$C$41+IF(입력란!$C$18=1,10,IF(입력란!$C$18=2,25,IF(입력란!$C$18=3,50,0)))+IF(입력란!$C$23&lt;&gt;0,-12)</f>
        <v>378.9445412</v>
      </c>
      <c r="AM179" s="30">
        <f t="shared" si="28"/>
        <v>27384.569097429252</v>
      </c>
      <c r="AN179" s="30">
        <f>(VLOOKUP(C179,$B$4:$AJ$7,12,FALSE)+VLOOKUP(C179,$B$8:$AJ$11,12,FALSE)*입력란!$C$29)*입력란!$C$48/100</f>
        <v>27384.569097429252</v>
      </c>
      <c r="AO179" s="26"/>
      <c r="AP179" s="30"/>
      <c r="AQ179" s="29">
        <v>6</v>
      </c>
    </row>
    <row r="180" spans="2:43" ht="13.5" customHeight="1" x14ac:dyDescent="0.3">
      <c r="B180" s="31">
        <v>165</v>
      </c>
      <c r="C180" s="36">
        <v>10</v>
      </c>
      <c r="D180" s="37" t="s">
        <v>169</v>
      </c>
      <c r="E180" s="38" t="s">
        <v>115</v>
      </c>
      <c r="F180" s="40"/>
      <c r="G180" s="40"/>
      <c r="H180" s="52">
        <f t="shared" si="23"/>
        <v>39083.005418288616</v>
      </c>
      <c r="I180" s="53">
        <f>SUM(J180:Q180)*IF(입력란!$C$16=1,1.04,IF(입력란!$C$16=2,1.1,IF(입력란!$C$16=3,1.2,1)))*IF(입력란!$C$21=1,1+입력란!$C$38*0.001,IF(입력란!$C$21=2,1+입력란!$C$38*0.0022,IF(입력란!$C$21=3,1+입력란!$C$38*0.0045,1)))*IF(입력란!$C$18&lt;&gt;0,0.98,1)</f>
        <v>231779.50638167612</v>
      </c>
      <c r="J180" s="30">
        <f>S180*(1+IF($AK180+IF(입력란!$C$9=1,10,0)+IF(입력란!$C$26=1,10,0)+IF(MID(E180,1,1)="3",트라이포드!$H$13,0)&gt;100,100,$AK180+IF(입력란!$C$9=1,10,0)+IF(입력란!$C$26=1,10,0)+IF(MID(E180,1,1)="3",트라이포드!$H$13,0))/100*($AL180/100-1))</f>
        <v>115889.75319083806</v>
      </c>
      <c r="K180" s="30">
        <f>T180*(1+IF($AK180+IF(입력란!$C$9=1,10,0)+IF(입력란!$C$26=1,10,0)+IF(MID(E180,1,1)="3",트라이포드!H$13,0)&gt;100,100,$AK180+IF(입력란!$C$9=1,10,0)+IF(입력란!$C$26=1,10,0)+IF(MID(E180,1,1)="3",트라이포드!H$13,0))/100*($AL180/100-1))</f>
        <v>115889.75319083806</v>
      </c>
      <c r="L180" s="30">
        <f>U180*(1+IF($AK180+IF(입력란!$C$9=1,10,0)+IF(입력란!$C$26=1,10,0)+IF(MID(E180,1,1)="3",트라이포드!H$13,0)&gt;100,100,$AK180+IF(입력란!$C$9=1,10,0)+IF(입력란!$C$26=1,10,0)+IF(MID(E180,1,1)="3",트라이포드!H$13,0))/100*($AL180/100-1))</f>
        <v>0</v>
      </c>
      <c r="M180" s="30"/>
      <c r="N180" s="39"/>
      <c r="O180" s="39"/>
      <c r="P180" s="39"/>
      <c r="Q180" s="27"/>
      <c r="R180" s="24">
        <f t="shared" si="24"/>
        <v>115015.19020920285</v>
      </c>
      <c r="S180" s="30">
        <f>AN180*IF(입력란!$C$12=0,1,IF(입력란!$C$12=1,1.3,IF(입력란!$C$12=2,1.45,IF(입력란!$C$12=3,1.6,1))))*IF(MID(E180,3,1)="1",트라이포드!$J$13,트라이포드!$I$13)*IF(MID(E180,5,1)="2",트라이포드!$R$13,트라이포드!$Q$13)*IF(입력란!$C$9=1,IF(입력란!$C$15=0,1.05,IF(입력란!$C$15=1,1.05*1.05,IF(입력란!$C$15=2,1.05*1.12,IF(입력란!$C$15=3,1.05*1.25)))),1)</f>
        <v>57507.595104601423</v>
      </c>
      <c r="T180" s="30">
        <f>AN180*IF(입력란!$C$12=0,1,IF(입력란!$C$12=1,1.3,IF(입력란!$C$12=2,1.45,IF(입력란!$C$12=3,1.6,1))))*IF(MID(E180,3,1)="1",트라이포드!$J$13,트라이포드!$I$13)*IF(MID(E180,5,1)="2",트라이포드!$R$13,트라이포드!$Q$13)*IF(입력란!$C$9=1,IF(입력란!$C$15=0,1.05,IF(입력란!$C$15=1,1.05*1.05,IF(입력란!$C$15=2,1.05*1.12,IF(입력란!$C$15=3,1.05*1.25)))),1)</f>
        <v>57507.595104601423</v>
      </c>
      <c r="U180" s="30">
        <f>AN180*IF(입력란!$C$12=0,1,IF(입력란!$C$12=1,1.3,IF(입력란!$C$12=2,1.45,IF(입력란!$C$12=3,1.6,1))))*IF(MID(E180,3,1)="1",트라이포드!$J$13,트라이포드!$I$13)*IF(MID(E180,5,1)="1",1,0)*IF(입력란!$C$9=1,IF(입력란!$C$15=0,1.05,IF(입력란!$C$15=1,1.05*1.05,IF(입력란!$C$15=2,1.05*1.12,IF(입력란!$C$15=3,1.05*1.25)))),1)</f>
        <v>0</v>
      </c>
      <c r="V180" s="30"/>
      <c r="W180" s="39"/>
      <c r="X180" s="39"/>
      <c r="Y180" s="39"/>
      <c r="Z180" s="25"/>
      <c r="AA180" s="30">
        <f t="shared" si="25"/>
        <v>230030.38041840569</v>
      </c>
      <c r="AB180" s="30">
        <f t="shared" si="26"/>
        <v>115015.19020920285</v>
      </c>
      <c r="AC180" s="30">
        <f t="shared" si="27"/>
        <v>115015.19020920285</v>
      </c>
      <c r="AD180" s="30">
        <f t="shared" si="29"/>
        <v>0</v>
      </c>
      <c r="AE180" s="30"/>
      <c r="AF180" s="39"/>
      <c r="AG180" s="39"/>
      <c r="AH180" s="39"/>
      <c r="AI180" s="25"/>
      <c r="AJ180" s="26">
        <f>AQ180*(1-입력란!$C$35/100)</f>
        <v>5.93044224468</v>
      </c>
      <c r="AK18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0" s="26">
        <f>입력란!$C$47+입력란!$C$41+IF(입력란!$C$18=1,10,IF(입력란!$C$18=2,25,IF(입력란!$C$18=3,50,0)))+IF(입력란!$C$23&lt;&gt;0,-12)</f>
        <v>378.9445412</v>
      </c>
      <c r="AM180" s="30">
        <f t="shared" si="28"/>
        <v>27384.569097429252</v>
      </c>
      <c r="AN180" s="30">
        <f>(VLOOKUP(C180,$B$4:$AJ$7,12,FALSE)+VLOOKUP(C180,$B$8:$AJ$11,12,FALSE)*입력란!$C$29)*입력란!$C$48/100</f>
        <v>27384.569097429252</v>
      </c>
      <c r="AO180" s="26"/>
      <c r="AP180" s="30"/>
      <c r="AQ180" s="29">
        <v>6</v>
      </c>
    </row>
    <row r="181" spans="2:43" ht="13.5" customHeight="1" x14ac:dyDescent="0.3">
      <c r="B181" s="31">
        <v>166</v>
      </c>
      <c r="C181" s="36">
        <v>1</v>
      </c>
      <c r="D181" s="37" t="s">
        <v>171</v>
      </c>
      <c r="E181" s="38" t="s">
        <v>96</v>
      </c>
      <c r="F181" s="40"/>
      <c r="G181" s="40"/>
      <c r="H181" s="52">
        <f t="shared" si="23"/>
        <v>10169.771498734603</v>
      </c>
      <c r="I181" s="53">
        <f>SUM(J181:Q181)*IF(입력란!$C$16=1,1.04,IF(입력란!$C$16=2,1.1,IF(입력란!$C$16=3,1.2,1)))*IF(입력란!$C$21=1,1+입력란!$C$38*0.001,IF(입력란!$C$21=2,1+입력란!$C$38*0.0022,IF(입력란!$C$21=3,1+입력란!$C$38*0.0045,1)))*IF(입력란!$C$18&lt;&gt;0,0.98,1)</f>
        <v>80414.990019784425</v>
      </c>
      <c r="J181" s="30">
        <f>S181*(1+IF($AK181+IF(입력란!$C$9=1,10,0)+IF(입력란!$C$26=1,10,0)+IF(MID(E181,5,1)="1",트라이포드!$P$14,0)&gt;100,100,$AK181+IF(입력란!$C$9=1,10,0)+IF(입력란!$C$26=1,10,0)+IF(MID(E181,5,1)="1",트라이포드!$P$14,0))/100*($AL181/100-1))</f>
        <v>40207.495009892213</v>
      </c>
      <c r="K181" s="30">
        <f>T181*(1+IF($AK181+IF(입력란!$C$9=1,10,0)+IF(입력란!$C$26=1,10,0)+IF(MID(E181,5,1)="1",트라이포드!P$14,0)&gt;100,100,$AK181+IF(입력란!$C$9=1,10,0)+IF(입력란!$C$26=1,10,0)+IF(MID(E181,5,1)="1",트라이포드!P$14,0))/100*($AL181/100-1))</f>
        <v>40207.495009892213</v>
      </c>
      <c r="L181" s="30">
        <f>U181*(1+IF($AK181+IF(입력란!$C$9=1,10,0)+IF(입력란!$C$26=1,10,0)+IF(MID(E181,5,1)="1",트라이포드!P$14,0)&gt;100,100,$AK181+IF(입력란!$C$9=1,10,0)+IF(입력란!$C$26=1,10,0)+IF(MID(E181,5,1)="1",트라이포드!P$14,0))/100*($AL181/100-1))</f>
        <v>0</v>
      </c>
      <c r="M181" s="30"/>
      <c r="N181" s="39"/>
      <c r="O181" s="39"/>
      <c r="P181" s="39"/>
      <c r="Q181" s="27"/>
      <c r="R181" s="24">
        <f t="shared" si="24"/>
        <v>50360.373718330928</v>
      </c>
      <c r="S181" s="30">
        <f>AN181*IF(입력란!$C$12=0,1,IF(입력란!$C$12=1,1.3,IF(입력란!$C$12=2,1.45,IF(입력란!$C$12=3,1.6,1))))*IF(입력란!$C$9=1,IF(입력란!$C$15=0,1.05,IF(입력란!$C$15=1,1.05*1.05,IF(입력란!$C$15=2,1.05*1.12,IF(입력란!$C$15=3,1.05*1.25)))),1)</f>
        <v>25180.186859165464</v>
      </c>
      <c r="T181" s="30">
        <f>AN181*IF(입력란!$C$12=0,1,IF(입력란!$C$12=1,1.3,IF(입력란!$C$12=2,1.45,IF(입력란!$C$12=3,1.6,1))))*IF(MID(E181,3,1)="2",트라이포드!$L$14,트라이포드!$K$14)*IF(MID(E181,3,1)="3",트라이포드!$N$14,트라이포드!$M$14)*IF(MID(E181,5,1)="1",트라이포드!$P$14,트라이포드!$O$14)*IF(입력란!$C$9=1,IF(입력란!$C$15=0,1.05,IF(입력란!$C$15=1,1.05*1.05,IF(입력란!$C$15=2,1.05*1.12,IF(입력란!$C$15=3,1.05*1.25)))),1)</f>
        <v>25180.186859165464</v>
      </c>
      <c r="U181" s="30">
        <f>AN181*IF(입력란!$C$12=0,1,IF(입력란!$C$12=1,1.3,IF(입력란!$C$12=2,1.45,IF(입력란!$C$12=3,1.6,1))))*IF(MID(E181,3,1)="3",트라이포드!$N$14,트라이포드!$M$14)*IF(MID(E181,3,1)="3",트라이포드!$N$14,트라이포드!$M$14)*IF(MID(E181,5,1)="2",1,0)*IF(입력란!$C$9=1,IF(입력란!$C$15=0,1.05,IF(입력란!$C$15=1,1.05*1.05,IF(입력란!$C$15=2,1.05*1.12,IF(입력란!$C$15=3,1.05*1.25)))),1)</f>
        <v>0</v>
      </c>
      <c r="V181" s="30"/>
      <c r="W181" s="39"/>
      <c r="X181" s="39"/>
      <c r="Y181" s="39"/>
      <c r="Z181" s="25"/>
      <c r="AA181" s="30">
        <f t="shared" si="25"/>
        <v>100720.74743666186</v>
      </c>
      <c r="AB181" s="30">
        <f t="shared" si="26"/>
        <v>50360.373718330928</v>
      </c>
      <c r="AC181" s="30">
        <f t="shared" si="27"/>
        <v>50360.373718330928</v>
      </c>
      <c r="AD181" s="30">
        <f t="shared" si="29"/>
        <v>0</v>
      </c>
      <c r="AE181" s="30"/>
      <c r="AF181" s="39"/>
      <c r="AG181" s="39"/>
      <c r="AH181" s="39"/>
      <c r="AI181" s="25"/>
      <c r="AJ181" s="26">
        <f>(AQ181+IF(MID(E181,5,1)="1",12,0))*(1-입력란!$C$35/100)</f>
        <v>7.9072563262399997</v>
      </c>
      <c r="AK18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1" s="26">
        <f>입력란!$C$47+입력란!$C$41+IF(입력란!$C$18=1,10,IF(입력란!$C$18=2,25,IF(입력란!$C$18=3,50,0)))+IF(입력란!$C$23&lt;&gt;0,-12)</f>
        <v>378.9445412</v>
      </c>
      <c r="AM181" s="30">
        <f t="shared" si="28"/>
        <v>25180.186859165464</v>
      </c>
      <c r="AN181" s="30">
        <f>(VLOOKUP(C181,$B$4:$AJ$7,13,FALSE)+VLOOKUP(C181,$B$8:$AJ$11,13,FALSE)*입력란!$C$29)*입력란!$C$48/100</f>
        <v>25180.186859165464</v>
      </c>
      <c r="AO181" s="26"/>
      <c r="AP181" s="30"/>
      <c r="AQ181" s="29">
        <v>8</v>
      </c>
    </row>
    <row r="182" spans="2:43" ht="13.5" customHeight="1" x14ac:dyDescent="0.3">
      <c r="B182" s="31">
        <v>167</v>
      </c>
      <c r="C182" s="36">
        <v>4</v>
      </c>
      <c r="D182" s="37" t="s">
        <v>171</v>
      </c>
      <c r="E182" s="38" t="s">
        <v>96</v>
      </c>
      <c r="F182" s="40"/>
      <c r="G182" s="40"/>
      <c r="H182" s="52">
        <f t="shared" si="23"/>
        <v>10191.58101365215</v>
      </c>
      <c r="I182" s="53">
        <f>SUM(J182:Q182)*IF(입력란!$C$16=1,1.04,IF(입력란!$C$16=2,1.1,IF(입력란!$C$16=3,1.2,1)))*IF(입력란!$C$21=1,1+입력란!$C$38*0.001,IF(입력란!$C$21=2,1+입력란!$C$38*0.0022,IF(입력란!$C$21=3,1+입력란!$C$38*0.0045,1)))*IF(입력란!$C$18&lt;&gt;0,0.98,1)</f>
        <v>80587.44344458844</v>
      </c>
      <c r="J182" s="30">
        <f>S182*(1+IF($AK182+IF(입력란!$C$9=1,10,0)+IF(입력란!$C$26=1,10,0)+IF(MID(E182,5,1)="1",트라이포드!$P$14,0)&gt;100,100,$AK182+IF(입력란!$C$9=1,10,0)+IF(입력란!$C$26=1,10,0)+IF(MID(E182,5,1)="1",트라이포드!$P$14,0))/100*($AL182/100-1))</f>
        <v>40293.72172229422</v>
      </c>
      <c r="K182" s="30">
        <f>T182*(1+IF($AK182+IF(입력란!$C$9=1,10,0)+IF(입력란!$C$26=1,10,0)+IF(MID(E182,5,1)="1",트라이포드!P$14,0)&gt;100,100,$AK182+IF(입력란!$C$9=1,10,0)+IF(입력란!$C$26=1,10,0)+IF(MID(E182,5,1)="1",트라이포드!P$14,0))/100*($AL182/100-1))</f>
        <v>40293.72172229422</v>
      </c>
      <c r="L182" s="30">
        <f>U182*(1+IF($AK182+IF(입력란!$C$9=1,10,0)+IF(입력란!$C$26=1,10,0)+IF(MID(E182,5,1)="1",트라이포드!P$14,0)&gt;100,100,$AK182+IF(입력란!$C$9=1,10,0)+IF(입력란!$C$26=1,10,0)+IF(MID(E182,5,1)="1",트라이포드!P$14,0))/100*($AL182/100-1))</f>
        <v>0</v>
      </c>
      <c r="M182" s="30"/>
      <c r="N182" s="39"/>
      <c r="O182" s="39"/>
      <c r="P182" s="39"/>
      <c r="Q182" s="27"/>
      <c r="R182" s="24">
        <f t="shared" si="24"/>
        <v>50468.373718330928</v>
      </c>
      <c r="S182" s="30">
        <f>AN182*IF(입력란!$C$12=0,1,IF(입력란!$C$12=1,1.3,IF(입력란!$C$12=2,1.45,IF(입력란!$C$12=3,1.6,1))))*IF(입력란!$C$9=1,IF(입력란!$C$15=0,1.05,IF(입력란!$C$15=1,1.05*1.05,IF(입력란!$C$15=2,1.05*1.12,IF(입력란!$C$15=3,1.05*1.25)))),1)</f>
        <v>25234.186859165464</v>
      </c>
      <c r="T182" s="30">
        <f>AN182*IF(입력란!$C$12=0,1,IF(입력란!$C$12=1,1.3,IF(입력란!$C$12=2,1.45,IF(입력란!$C$12=3,1.6,1))))*IF(MID(E182,3,1)="2",트라이포드!$L$14,트라이포드!$K$14)*IF(MID(E182,3,1)="3",트라이포드!$N$14,트라이포드!$M$14)*IF(MID(E182,5,1)="1",트라이포드!$P$14,트라이포드!$O$14)*IF(입력란!$C$9=1,IF(입력란!$C$15=0,1.05,IF(입력란!$C$15=1,1.05*1.05,IF(입력란!$C$15=2,1.05*1.12,IF(입력란!$C$15=3,1.05*1.25)))),1)</f>
        <v>25234.186859165464</v>
      </c>
      <c r="U182" s="30">
        <f>AN182*IF(입력란!$C$12=0,1,IF(입력란!$C$12=1,1.3,IF(입력란!$C$12=2,1.45,IF(입력란!$C$12=3,1.6,1))))*IF(MID(E182,3,1)="3",트라이포드!$N$14,트라이포드!$M$14)*IF(MID(E182,3,1)="3",트라이포드!$N$14,트라이포드!$M$14)*IF(MID(E182,5,1)="2",1,0)*IF(입력란!$C$9=1,IF(입력란!$C$15=0,1.05,IF(입력란!$C$15=1,1.05*1.05,IF(입력란!$C$15=2,1.05*1.12,IF(입력란!$C$15=3,1.05*1.25)))),1)</f>
        <v>0</v>
      </c>
      <c r="V182" s="30"/>
      <c r="W182" s="39"/>
      <c r="X182" s="39"/>
      <c r="Y182" s="39"/>
      <c r="Z182" s="25"/>
      <c r="AA182" s="30">
        <f t="shared" si="25"/>
        <v>100936.74743666186</v>
      </c>
      <c r="AB182" s="30">
        <f t="shared" si="26"/>
        <v>50468.373718330928</v>
      </c>
      <c r="AC182" s="30">
        <f t="shared" si="27"/>
        <v>50468.373718330928</v>
      </c>
      <c r="AD182" s="30">
        <f t="shared" si="29"/>
        <v>0</v>
      </c>
      <c r="AE182" s="30"/>
      <c r="AF182" s="39"/>
      <c r="AG182" s="39"/>
      <c r="AH182" s="39"/>
      <c r="AI182" s="25"/>
      <c r="AJ182" s="26">
        <f>(AQ182+IF(MID(E182,5,1)="1",12,0))*(1-입력란!$C$35/100)</f>
        <v>7.9072563262399997</v>
      </c>
      <c r="AK18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2" s="26">
        <f>입력란!$C$47+입력란!$C$41+IF(입력란!$C$18=1,10,IF(입력란!$C$18=2,25,IF(입력란!$C$18=3,50,0)))+IF(입력란!$C$23&lt;&gt;0,-12)</f>
        <v>378.9445412</v>
      </c>
      <c r="AM182" s="30">
        <f t="shared" si="28"/>
        <v>25234.186859165464</v>
      </c>
      <c r="AN182" s="30">
        <f>(VLOOKUP(C182,$B$4:$AJ$7,13,FALSE)+VLOOKUP(C182,$B$8:$AJ$11,13,FALSE)*입력란!$C$29)*입력란!$C$48/100</f>
        <v>25234.186859165464</v>
      </c>
      <c r="AO182" s="26"/>
      <c r="AP182" s="30"/>
      <c r="AQ182" s="29">
        <v>8</v>
      </c>
    </row>
    <row r="183" spans="2:43" ht="13.5" customHeight="1" x14ac:dyDescent="0.3">
      <c r="B183" s="31">
        <v>168</v>
      </c>
      <c r="C183" s="36">
        <v>7</v>
      </c>
      <c r="D183" s="37" t="s">
        <v>171</v>
      </c>
      <c r="E183" s="38" t="s">
        <v>96</v>
      </c>
      <c r="F183" s="40"/>
      <c r="G183" s="40"/>
      <c r="H183" s="52">
        <f t="shared" si="23"/>
        <v>10201.920339242693</v>
      </c>
      <c r="I183" s="53">
        <f>SUM(J183:Q183)*IF(입력란!$C$16=1,1.04,IF(입력란!$C$16=2,1.1,IF(입력란!$C$16=3,1.2,1)))*IF(입력란!$C$21=1,1+입력란!$C$38*0.001,IF(입력란!$C$21=2,1+입력란!$C$38*0.0022,IF(입력란!$C$21=3,1+입력란!$C$38*0.0045,1)))*IF(입력란!$C$18&lt;&gt;0,0.98,1)</f>
        <v>80669.199142273312</v>
      </c>
      <c r="J183" s="30">
        <f>S183*(1+IF($AK183+IF(입력란!$C$9=1,10,0)+IF(입력란!$C$26=1,10,0)+IF(MID(E183,5,1)="1",트라이포드!$P$14,0)&gt;100,100,$AK183+IF(입력란!$C$9=1,10,0)+IF(입력란!$C$26=1,10,0)+IF(MID(E183,5,1)="1",트라이포드!$P$14,0))/100*($AL183/100-1))</f>
        <v>40334.599571136656</v>
      </c>
      <c r="K183" s="30">
        <f>T183*(1+IF($AK183+IF(입력란!$C$9=1,10,0)+IF(입력란!$C$26=1,10,0)+IF(MID(E183,5,1)="1",트라이포드!P$14,0)&gt;100,100,$AK183+IF(입력란!$C$9=1,10,0)+IF(입력란!$C$26=1,10,0)+IF(MID(E183,5,1)="1",트라이포드!P$14,0))/100*($AL183/100-1))</f>
        <v>40334.599571136656</v>
      </c>
      <c r="L183" s="30">
        <f>U183*(1+IF($AK183+IF(입력란!$C$9=1,10,0)+IF(입력란!$C$26=1,10,0)+IF(MID(E183,5,1)="1",트라이포드!P$14,0)&gt;100,100,$AK183+IF(입력란!$C$9=1,10,0)+IF(입력란!$C$26=1,10,0)+IF(MID(E183,5,1)="1",트라이포드!P$14,0))/100*($AL183/100-1))</f>
        <v>0</v>
      </c>
      <c r="M183" s="30"/>
      <c r="N183" s="39"/>
      <c r="O183" s="39"/>
      <c r="P183" s="39"/>
      <c r="Q183" s="27"/>
      <c r="R183" s="24">
        <f t="shared" si="24"/>
        <v>50519.573718330925</v>
      </c>
      <c r="S183" s="30">
        <f>AN183*IF(입력란!$C$12=0,1,IF(입력란!$C$12=1,1.3,IF(입력란!$C$12=2,1.45,IF(입력란!$C$12=3,1.6,1))))*IF(입력란!$C$9=1,IF(입력란!$C$15=0,1.05,IF(입력란!$C$15=1,1.05*1.05,IF(입력란!$C$15=2,1.05*1.12,IF(입력란!$C$15=3,1.05*1.25)))),1)</f>
        <v>25259.786859165462</v>
      </c>
      <c r="T183" s="30">
        <f>AN183*IF(입력란!$C$12=0,1,IF(입력란!$C$12=1,1.3,IF(입력란!$C$12=2,1.45,IF(입력란!$C$12=3,1.6,1))))*IF(MID(E183,3,1)="2",트라이포드!$L$14,트라이포드!$K$14)*IF(MID(E183,3,1)="3",트라이포드!$N$14,트라이포드!$M$14)*IF(MID(E183,5,1)="1",트라이포드!$P$14,트라이포드!$O$14)*IF(입력란!$C$9=1,IF(입력란!$C$15=0,1.05,IF(입력란!$C$15=1,1.05*1.05,IF(입력란!$C$15=2,1.05*1.12,IF(입력란!$C$15=3,1.05*1.25)))),1)</f>
        <v>25259.786859165462</v>
      </c>
      <c r="U183" s="30">
        <f>AN183*IF(입력란!$C$12=0,1,IF(입력란!$C$12=1,1.3,IF(입력란!$C$12=2,1.45,IF(입력란!$C$12=3,1.6,1))))*IF(MID(E183,3,1)="3",트라이포드!$N$14,트라이포드!$M$14)*IF(MID(E183,3,1)="3",트라이포드!$N$14,트라이포드!$M$14)*IF(MID(E183,5,1)="2",1,0)*IF(입력란!$C$9=1,IF(입력란!$C$15=0,1.05,IF(입력란!$C$15=1,1.05*1.05,IF(입력란!$C$15=2,1.05*1.12,IF(입력란!$C$15=3,1.05*1.25)))),1)</f>
        <v>0</v>
      </c>
      <c r="V183" s="30"/>
      <c r="W183" s="39"/>
      <c r="X183" s="39"/>
      <c r="Y183" s="39"/>
      <c r="Z183" s="25"/>
      <c r="AA183" s="30">
        <f t="shared" si="25"/>
        <v>101039.14743666185</v>
      </c>
      <c r="AB183" s="30">
        <f t="shared" si="26"/>
        <v>50519.573718330925</v>
      </c>
      <c r="AC183" s="30">
        <f t="shared" si="27"/>
        <v>50519.573718330925</v>
      </c>
      <c r="AD183" s="30">
        <f t="shared" si="29"/>
        <v>0</v>
      </c>
      <c r="AE183" s="30"/>
      <c r="AF183" s="39"/>
      <c r="AG183" s="39"/>
      <c r="AH183" s="39"/>
      <c r="AI183" s="25"/>
      <c r="AJ183" s="26">
        <f>(AQ183+IF(MID(E183,5,1)="1",12,0))*(1-입력란!$C$35/100)</f>
        <v>7.9072563262399997</v>
      </c>
      <c r="AK18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3" s="26">
        <f>입력란!$C$47+입력란!$C$41+IF(입력란!$C$18=1,10,IF(입력란!$C$18=2,25,IF(입력란!$C$18=3,50,0)))+IF(입력란!$C$23&lt;&gt;0,-12)</f>
        <v>378.9445412</v>
      </c>
      <c r="AM183" s="30">
        <f t="shared" si="28"/>
        <v>25259.786859165462</v>
      </c>
      <c r="AN183" s="30">
        <f>(VLOOKUP(C183,$B$4:$AJ$7,13,FALSE)+VLOOKUP(C183,$B$8:$AJ$11,13,FALSE)*입력란!$C$29)*입력란!$C$48/100</f>
        <v>25259.786859165462</v>
      </c>
      <c r="AO183" s="26"/>
      <c r="AP183" s="30"/>
      <c r="AQ183" s="29">
        <v>8</v>
      </c>
    </row>
    <row r="184" spans="2:43" ht="13.5" customHeight="1" x14ac:dyDescent="0.3">
      <c r="B184" s="31">
        <v>169</v>
      </c>
      <c r="C184" s="36">
        <v>7</v>
      </c>
      <c r="D184" s="37" t="s">
        <v>171</v>
      </c>
      <c r="E184" s="38" t="s">
        <v>99</v>
      </c>
      <c r="F184" s="40"/>
      <c r="G184" s="40"/>
      <c r="H184" s="52">
        <f t="shared" si="23"/>
        <v>15302.88050886404</v>
      </c>
      <c r="I184" s="53">
        <f>SUM(J184:Q184)*IF(입력란!$C$16=1,1.04,IF(입력란!$C$16=2,1.1,IF(입력란!$C$16=3,1.2,1)))*IF(입력란!$C$21=1,1+입력란!$C$38*0.001,IF(입력란!$C$21=2,1+입력란!$C$38*0.0022,IF(입력란!$C$21=3,1+입력란!$C$38*0.0045,1)))*IF(입력란!$C$18&lt;&gt;0,0.98,1)</f>
        <v>121003.79871340997</v>
      </c>
      <c r="J184" s="30">
        <f>S184*(1+IF($AK184+IF(입력란!$C$9=1,10,0)+IF(입력란!$C$26=1,10,0)+IF(MID(E184,5,1)="1",트라이포드!$P$14,0)&gt;100,100,$AK184+IF(입력란!$C$9=1,10,0)+IF(입력란!$C$26=1,10,0)+IF(MID(E184,5,1)="1",트라이포드!$P$14,0))/100*($AL184/100-1))</f>
        <v>40334.599571136656</v>
      </c>
      <c r="K184" s="30">
        <f>T184*(1+IF($AK184+IF(입력란!$C$9=1,10,0)+IF(입력란!$C$26=1,10,0)+IF(MID(E184,5,1)="1",트라이포드!P$14,0)&gt;100,100,$AK184+IF(입력란!$C$9=1,10,0)+IF(입력란!$C$26=1,10,0)+IF(MID(E184,5,1)="1",트라이포드!P$14,0))/100*($AL184/100-1))</f>
        <v>80669.199142273312</v>
      </c>
      <c r="L184" s="30">
        <f>U184*(1+IF($AK184+IF(입력란!$C$9=1,10,0)+IF(입력란!$C$26=1,10,0)+IF(MID(E184,5,1)="1",트라이포드!P$14,0)&gt;100,100,$AK184+IF(입력란!$C$9=1,10,0)+IF(입력란!$C$26=1,10,0)+IF(MID(E184,5,1)="1",트라이포드!P$14,0))/100*($AL184/100-1))</f>
        <v>0</v>
      </c>
      <c r="M184" s="30"/>
      <c r="N184" s="39"/>
      <c r="O184" s="39"/>
      <c r="P184" s="39"/>
      <c r="Q184" s="27"/>
      <c r="R184" s="24">
        <f t="shared" si="24"/>
        <v>75779.36057749638</v>
      </c>
      <c r="S184" s="30">
        <f>AN184*IF(입력란!$C$12=0,1,IF(입력란!$C$12=1,1.3,IF(입력란!$C$12=2,1.45,IF(입력란!$C$12=3,1.6,1))))*IF(입력란!$C$9=1,IF(입력란!$C$15=0,1.05,IF(입력란!$C$15=1,1.05*1.05,IF(입력란!$C$15=2,1.05*1.12,IF(입력란!$C$15=3,1.05*1.25)))),1)</f>
        <v>25259.786859165462</v>
      </c>
      <c r="T184" s="30">
        <f>AN184*IF(입력란!$C$12=0,1,IF(입력란!$C$12=1,1.3,IF(입력란!$C$12=2,1.45,IF(입력란!$C$12=3,1.6,1))))*IF(MID(E184,3,1)="2",트라이포드!$L$14,트라이포드!$K$14)*IF(MID(E184,3,1)="3",트라이포드!$N$14,트라이포드!$M$14)*IF(MID(E184,5,1)="1",트라이포드!$P$14,트라이포드!$O$14)*IF(입력란!$C$9=1,IF(입력란!$C$15=0,1.05,IF(입력란!$C$15=1,1.05*1.05,IF(입력란!$C$15=2,1.05*1.12,IF(입력란!$C$15=3,1.05*1.25)))),1)</f>
        <v>50519.573718330925</v>
      </c>
      <c r="U184" s="30">
        <f>AN184*IF(입력란!$C$12=0,1,IF(입력란!$C$12=1,1.3,IF(입력란!$C$12=2,1.45,IF(입력란!$C$12=3,1.6,1))))*IF(MID(E184,3,1)="3",트라이포드!$N$14,트라이포드!$M$14)*IF(MID(E184,3,1)="3",트라이포드!$N$14,트라이포드!$M$14)*IF(MID(E184,5,1)="2",1,0)*IF(입력란!$C$9=1,IF(입력란!$C$15=0,1.05,IF(입력란!$C$15=1,1.05*1.05,IF(입력란!$C$15=2,1.05*1.12,IF(입력란!$C$15=3,1.05*1.25)))),1)</f>
        <v>0</v>
      </c>
      <c r="V184" s="30"/>
      <c r="W184" s="39"/>
      <c r="X184" s="39"/>
      <c r="Y184" s="39"/>
      <c r="Z184" s="25"/>
      <c r="AA184" s="30">
        <f t="shared" si="25"/>
        <v>151558.72115499276</v>
      </c>
      <c r="AB184" s="30">
        <f t="shared" si="26"/>
        <v>50519.573718330925</v>
      </c>
      <c r="AC184" s="30">
        <f t="shared" si="27"/>
        <v>101039.14743666185</v>
      </c>
      <c r="AD184" s="30">
        <f t="shared" si="29"/>
        <v>0</v>
      </c>
      <c r="AE184" s="30"/>
      <c r="AF184" s="39"/>
      <c r="AG184" s="39"/>
      <c r="AH184" s="39"/>
      <c r="AI184" s="25"/>
      <c r="AJ184" s="26">
        <f>(AQ184+IF(MID(E184,5,1)="1",12,0))*(1-입력란!$C$35/100)</f>
        <v>7.9072563262399997</v>
      </c>
      <c r="AK18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4" s="26">
        <f>입력란!$C$47+입력란!$C$41+IF(입력란!$C$18=1,10,IF(입력란!$C$18=2,25,IF(입력란!$C$18=3,50,0)))+IF(입력란!$C$23&lt;&gt;0,-12)</f>
        <v>378.9445412</v>
      </c>
      <c r="AM184" s="30">
        <f t="shared" si="28"/>
        <v>25259.786859165462</v>
      </c>
      <c r="AN184" s="30">
        <f>(VLOOKUP(C184,$B$4:$AJ$7,13,FALSE)+VLOOKUP(C184,$B$8:$AJ$11,13,FALSE)*입력란!$C$29)*입력란!$C$48/100</f>
        <v>25259.786859165462</v>
      </c>
      <c r="AO184" s="26"/>
      <c r="AP184" s="30"/>
      <c r="AQ184" s="29">
        <v>8</v>
      </c>
    </row>
    <row r="185" spans="2:43" ht="13.5" customHeight="1" x14ac:dyDescent="0.3">
      <c r="B185" s="31">
        <v>170</v>
      </c>
      <c r="C185" s="36">
        <v>7</v>
      </c>
      <c r="D185" s="37" t="s">
        <v>171</v>
      </c>
      <c r="E185" s="38" t="s">
        <v>100</v>
      </c>
      <c r="F185" s="40"/>
      <c r="G185" s="40"/>
      <c r="H185" s="52">
        <f t="shared" si="23"/>
        <v>12242.304407091231</v>
      </c>
      <c r="I185" s="53">
        <f>SUM(J185:Q185)*IF(입력란!$C$16=1,1.04,IF(입력란!$C$16=2,1.1,IF(입력란!$C$16=3,1.2,1)))*IF(입력란!$C$21=1,1+입력란!$C$38*0.001,IF(입력란!$C$21=2,1+입력란!$C$38*0.0022,IF(입력란!$C$21=3,1+입력란!$C$38*0.0045,1)))*IF(입력란!$C$18&lt;&gt;0,0.98,1)</f>
        <v>96803.038970727968</v>
      </c>
      <c r="J185" s="30">
        <f>S185*(1+IF($AK185+IF(입력란!$C$9=1,10,0)+IF(입력란!$C$26=1,10,0)+IF(MID(E185,5,1)="1",트라이포드!$P$14,0)&gt;100,100,$AK185+IF(입력란!$C$9=1,10,0)+IF(입력란!$C$26=1,10,0)+IF(MID(E185,5,1)="1",트라이포드!$P$14,0))/100*($AL185/100-1))</f>
        <v>40334.599571136656</v>
      </c>
      <c r="K185" s="30">
        <f>T185*(1+IF($AK185+IF(입력란!$C$9=1,10,0)+IF(입력란!$C$26=1,10,0)+IF(MID(E185,5,1)="1",트라이포드!P$14,0)&gt;100,100,$AK185+IF(입력란!$C$9=1,10,0)+IF(입력란!$C$26=1,10,0)+IF(MID(E185,5,1)="1",트라이포드!P$14,0))/100*($AL185/100-1))</f>
        <v>56468.439399591312</v>
      </c>
      <c r="L185" s="30">
        <f>U185*(1+IF($AK185+IF(입력란!$C$9=1,10,0)+IF(입력란!$C$26=1,10,0)+IF(MID(E185,5,1)="1",트라이포드!P$14,0)&gt;100,100,$AK185+IF(입력란!$C$9=1,10,0)+IF(입력란!$C$26=1,10,0)+IF(MID(E185,5,1)="1",트라이포드!P$14,0))/100*($AL185/100-1))</f>
        <v>0</v>
      </c>
      <c r="M185" s="30"/>
      <c r="N185" s="39"/>
      <c r="O185" s="39"/>
      <c r="P185" s="39"/>
      <c r="Q185" s="27"/>
      <c r="R185" s="24">
        <f t="shared" si="24"/>
        <v>60623.488461997105</v>
      </c>
      <c r="S185" s="30">
        <f>AN185*IF(입력란!$C$12=0,1,IF(입력란!$C$12=1,1.3,IF(입력란!$C$12=2,1.45,IF(입력란!$C$12=3,1.6,1))))*IF(입력란!$C$9=1,IF(입력란!$C$15=0,1.05,IF(입력란!$C$15=1,1.05*1.05,IF(입력란!$C$15=2,1.05*1.12,IF(입력란!$C$15=3,1.05*1.25)))),1)</f>
        <v>25259.786859165462</v>
      </c>
      <c r="T185" s="30">
        <f>AN185*IF(입력란!$C$12=0,1,IF(입력란!$C$12=1,1.3,IF(입력란!$C$12=2,1.45,IF(입력란!$C$12=3,1.6,1))))*IF(MID(E185,3,1)="2",트라이포드!$L$14,트라이포드!$K$14)*IF(MID(E185,3,1)="3",트라이포드!$N$14,트라이포드!$M$14)*IF(MID(E185,5,1)="1",트라이포드!$P$14,트라이포드!$O$14)*IF(입력란!$C$9=1,IF(입력란!$C$15=0,1.05,IF(입력란!$C$15=1,1.05*1.05,IF(입력란!$C$15=2,1.05*1.12,IF(입력란!$C$15=3,1.05*1.25)))),1)</f>
        <v>35363.701602831643</v>
      </c>
      <c r="U185" s="30">
        <f>AN185*IF(입력란!$C$12=0,1,IF(입력란!$C$12=1,1.3,IF(입력란!$C$12=2,1.45,IF(입력란!$C$12=3,1.6,1))))*IF(MID(E185,3,1)="3",트라이포드!$N$14,트라이포드!$M$14)*IF(MID(E185,3,1)="3",트라이포드!$N$14,트라이포드!$M$14)*IF(MID(E185,5,1)="2",1,0)*IF(입력란!$C$9=1,IF(입력란!$C$15=0,1.05,IF(입력란!$C$15=1,1.05*1.05,IF(입력란!$C$15=2,1.05*1.12,IF(입력란!$C$15=3,1.05*1.25)))),1)</f>
        <v>0</v>
      </c>
      <c r="V185" s="30"/>
      <c r="W185" s="39"/>
      <c r="X185" s="39"/>
      <c r="Y185" s="39"/>
      <c r="Z185" s="25"/>
      <c r="AA185" s="30">
        <f t="shared" si="25"/>
        <v>121246.97692399421</v>
      </c>
      <c r="AB185" s="30">
        <f t="shared" si="26"/>
        <v>50519.573718330925</v>
      </c>
      <c r="AC185" s="30">
        <f t="shared" si="27"/>
        <v>70727.403205663286</v>
      </c>
      <c r="AD185" s="30">
        <f t="shared" si="29"/>
        <v>0</v>
      </c>
      <c r="AE185" s="30"/>
      <c r="AF185" s="39"/>
      <c r="AG185" s="39"/>
      <c r="AH185" s="39"/>
      <c r="AI185" s="25"/>
      <c r="AJ185" s="26">
        <f>(AQ185+IF(MID(E185,5,1)="1",12,0))*(1-입력란!$C$35/100)</f>
        <v>7.9072563262399997</v>
      </c>
      <c r="AK18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5" s="26">
        <f>입력란!$C$47+입력란!$C$41+IF(입력란!$C$18=1,10,IF(입력란!$C$18=2,25,IF(입력란!$C$18=3,50,0)))+IF(입력란!$C$23&lt;&gt;0,-12)</f>
        <v>378.9445412</v>
      </c>
      <c r="AM185" s="30">
        <f t="shared" si="28"/>
        <v>25259.786859165462</v>
      </c>
      <c r="AN185" s="30">
        <f>(VLOOKUP(C185,$B$4:$AJ$7,13,FALSE)+VLOOKUP(C185,$B$8:$AJ$11,13,FALSE)*입력란!$C$29)*입력란!$C$48/100</f>
        <v>25259.786859165462</v>
      </c>
      <c r="AO185" s="26"/>
      <c r="AP185" s="30"/>
      <c r="AQ185" s="29">
        <v>8</v>
      </c>
    </row>
    <row r="186" spans="2:43" ht="13.5" customHeight="1" x14ac:dyDescent="0.3">
      <c r="B186" s="31">
        <v>171</v>
      </c>
      <c r="C186" s="36">
        <v>10</v>
      </c>
      <c r="D186" s="37" t="s">
        <v>171</v>
      </c>
      <c r="E186" s="38" t="s">
        <v>96</v>
      </c>
      <c r="F186" s="40"/>
      <c r="G186" s="40"/>
      <c r="H186" s="52">
        <f t="shared" si="23"/>
        <v>10208.543969699136</v>
      </c>
      <c r="I186" s="53">
        <f>SUM(J186:Q186)*IF(입력란!$C$16=1,1.04,IF(입력란!$C$16=2,1.1,IF(입력란!$C$16=3,1.2,1)))*IF(입력란!$C$21=1,1+입력란!$C$38*0.001,IF(입력란!$C$21=2,1+입력란!$C$38*0.0022,IF(입력란!$C$21=3,1+입력란!$C$38*0.0045,1)))*IF(입력란!$C$18&lt;&gt;0,0.98,1)</f>
        <v>80721.573886102691</v>
      </c>
      <c r="J186" s="30">
        <f>S186*(1+IF($AK186+IF(입력란!$C$9=1,10,0)+IF(입력란!$C$26=1,10,0)+IF(MID(E186,5,1)="1",트라이포드!$P$14,0)&gt;100,100,$AK186+IF(입력란!$C$9=1,10,0)+IF(입력란!$C$26=1,10,0)+IF(MID(E186,5,1)="1",트라이포드!$P$14,0))/100*($AL186/100-1))</f>
        <v>40360.786943051346</v>
      </c>
      <c r="K186" s="30">
        <f>T186*(1+IF($AK186+IF(입력란!$C$9=1,10,0)+IF(입력란!$C$26=1,10,0)+IF(MID(E186,5,1)="1",트라이포드!P$14,0)&gt;100,100,$AK186+IF(입력란!$C$9=1,10,0)+IF(입력란!$C$26=1,10,0)+IF(MID(E186,5,1)="1",트라이포드!P$14,0))/100*($AL186/100-1))</f>
        <v>40360.786943051346</v>
      </c>
      <c r="L186" s="30">
        <f>U186*(1+IF($AK186+IF(입력란!$C$9=1,10,0)+IF(입력란!$C$26=1,10,0)+IF(MID(E186,5,1)="1",트라이포드!P$14,0)&gt;100,100,$AK186+IF(입력란!$C$9=1,10,0)+IF(입력란!$C$26=1,10,0)+IF(MID(E186,5,1)="1",트라이포드!P$14,0))/100*($AL186/100-1))</f>
        <v>0</v>
      </c>
      <c r="M186" s="30"/>
      <c r="N186" s="39"/>
      <c r="O186" s="39"/>
      <c r="P186" s="39"/>
      <c r="Q186" s="27"/>
      <c r="R186" s="24">
        <f t="shared" si="24"/>
        <v>50552.373718330928</v>
      </c>
      <c r="S186" s="30">
        <f>AN186*IF(입력란!$C$12=0,1,IF(입력란!$C$12=1,1.3,IF(입력란!$C$12=2,1.45,IF(입력란!$C$12=3,1.6,1))))*IF(입력란!$C$9=1,IF(입력란!$C$15=0,1.05,IF(입력란!$C$15=1,1.05*1.05,IF(입력란!$C$15=2,1.05*1.12,IF(입력란!$C$15=3,1.05*1.25)))),1)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86" s="30">
        <f>AN186*IF(입력란!$C$12=0,1,IF(입력란!$C$12=1,1.3,IF(입력란!$C$12=2,1.45,IF(입력란!$C$12=3,1.6,1))))*IF(MID(E186,3,1)="2",트라이포드!$L$14,트라이포드!$K$14)*IF(MID(E186,3,1)="3",트라이포드!$N$14,트라이포드!$M$14)*IF(MID(E186,5,1)="1",트라이포드!$P$14,트라이포드!$O$14)*IF(입력란!$C$9=1,IF(입력란!$C$15=0,1.05,IF(입력란!$C$15=1,1.05*1.05,IF(입력란!$C$15=2,1.05*1.12,IF(입력란!$C$15=3,1.05*1.25)))),1)</f>
        <v>25276.186859165464</v>
      </c>
      <c r="U186" s="30">
        <f>AN186*IF(입력란!$C$12=0,1,IF(입력란!$C$12=1,1.3,IF(입력란!$C$12=2,1.45,IF(입력란!$C$12=3,1.6,1))))*IF(MID(E186,3,1)="3",트라이포드!$N$14,트라이포드!$M$14)*IF(MID(E186,3,1)="3",트라이포드!$N$14,트라이포드!$M$14)*IF(MID(E186,5,1)="2",1,0)*IF(입력란!$C$9=1,IF(입력란!$C$15=0,1.05,IF(입력란!$C$15=1,1.05*1.05,IF(입력란!$C$15=2,1.05*1.12,IF(입력란!$C$15=3,1.05*1.25)))),1)</f>
        <v>0</v>
      </c>
      <c r="V186" s="30"/>
      <c r="W186" s="39"/>
      <c r="X186" s="39"/>
      <c r="Y186" s="39"/>
      <c r="Z186" s="25"/>
      <c r="AA186" s="30">
        <f t="shared" si="25"/>
        <v>101104.74743666186</v>
      </c>
      <c r="AB186" s="30">
        <f t="shared" si="26"/>
        <v>50552.373718330928</v>
      </c>
      <c r="AC186" s="30">
        <f t="shared" si="27"/>
        <v>50552.373718330928</v>
      </c>
      <c r="AD186" s="30">
        <f t="shared" si="29"/>
        <v>0</v>
      </c>
      <c r="AE186" s="30"/>
      <c r="AF186" s="39"/>
      <c r="AG186" s="39"/>
      <c r="AH186" s="39"/>
      <c r="AI186" s="25"/>
      <c r="AJ186" s="26">
        <f>(AQ186+IF(MID(E186,5,1)="1",12,0))*(1-입력란!$C$35/100)</f>
        <v>7.9072563262399997</v>
      </c>
      <c r="AK18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6" s="26">
        <f>입력란!$C$47+입력란!$C$41+IF(입력란!$C$18=1,10,IF(입력란!$C$18=2,25,IF(입력란!$C$18=3,50,0)))+IF(입력란!$C$23&lt;&gt;0,-12)</f>
        <v>378.9445412</v>
      </c>
      <c r="AM186" s="30">
        <f t="shared" si="28"/>
        <v>25276.186859165464</v>
      </c>
      <c r="AN186" s="30">
        <f>(VLOOKUP(C186,$B$4:$AJ$7,13,FALSE)+VLOOKUP(C186,$B$8:$AJ$11,13,FALSE)*입력란!$C$29)*입력란!$C$48/100</f>
        <v>25276.186859165464</v>
      </c>
      <c r="AO186" s="26"/>
      <c r="AP186" s="30"/>
      <c r="AQ186" s="29">
        <v>8</v>
      </c>
    </row>
    <row r="187" spans="2:43" ht="13.5" customHeight="1" x14ac:dyDescent="0.3">
      <c r="B187" s="31">
        <v>172</v>
      </c>
      <c r="C187" s="36">
        <v>10</v>
      </c>
      <c r="D187" s="37" t="s">
        <v>171</v>
      </c>
      <c r="E187" s="38" t="s">
        <v>123</v>
      </c>
      <c r="F187" s="40"/>
      <c r="G187" s="40"/>
      <c r="H187" s="52">
        <f t="shared" si="23"/>
        <v>15789.965266295583</v>
      </c>
      <c r="I187" s="53">
        <f>SUM(J187:Q187)*IF(입력란!$C$16=1,1.04,IF(입력란!$C$16=2,1.1,IF(입력란!$C$16=3,1.2,1)))*IF(입력란!$C$21=1,1+입력란!$C$38*0.001,IF(입력란!$C$21=2,1+입력란!$C$38*0.0022,IF(입력란!$C$21=3,1+입력란!$C$38*0.0045,1)))*IF(입력란!$C$18&lt;&gt;0,0.98,1)</f>
        <v>312138.25685756403</v>
      </c>
      <c r="J187" s="30">
        <f>S187*(1+IF($AK187+IF(입력란!$C$9=1,10,0)+IF(입력란!$C$26=1,10,0)+IF(MID(E187,5,1)="1",트라이포드!$P$14,0)&gt;100,100,$AK187+IF(입력란!$C$9=1,10,0)+IF(입력란!$C$26=1,10,0)+IF(MID(E187,5,1)="1",트라이포드!$P$14,0))/100*($AL187/100-1))</f>
        <v>44591.179551080582</v>
      </c>
      <c r="K187" s="30">
        <f>T187*(1+IF($AK187+IF(입력란!$C$9=1,10,0)+IF(입력란!$C$26=1,10,0)+IF(MID(E187,5,1)="1",트라이포드!P$14,0)&gt;100,100,$AK187+IF(입력란!$C$9=1,10,0)+IF(입력란!$C$26=1,10,0)+IF(MID(E187,5,1)="1",트라이포드!P$14,0))/100*($AL187/100-1))</f>
        <v>267547.07730648346</v>
      </c>
      <c r="L187" s="30">
        <f>U187*(1+IF($AK187+IF(입력란!$C$9=1,10,0)+IF(입력란!$C$26=1,10,0)+IF(MID(E187,5,1)="1",트라이포드!P$14,0)&gt;100,100,$AK187+IF(입력란!$C$9=1,10,0)+IF(입력란!$C$26=1,10,0)+IF(MID(E187,5,1)="1",트라이포드!P$14,0))/100*($AL187/100-1))</f>
        <v>0</v>
      </c>
      <c r="M187" s="30"/>
      <c r="N187" s="39"/>
      <c r="O187" s="39"/>
      <c r="P187" s="39"/>
      <c r="Q187" s="27"/>
      <c r="R187" s="24">
        <f t="shared" si="24"/>
        <v>176933.30801415825</v>
      </c>
      <c r="S187" s="30">
        <f>AN187*IF(입력란!$C$12=0,1,IF(입력란!$C$12=1,1.3,IF(입력란!$C$12=2,1.45,IF(입력란!$C$12=3,1.6,1))))*IF(입력란!$C$9=1,IF(입력란!$C$15=0,1.05,IF(입력란!$C$15=1,1.05*1.05,IF(입력란!$C$15=2,1.05*1.12,IF(입력란!$C$15=3,1.05*1.25)))),1)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87" s="30">
        <f>AN187*IF(입력란!$C$12=0,1,IF(입력란!$C$12=1,1.3,IF(입력란!$C$12=2,1.45,IF(입력란!$C$12=3,1.6,1))))*IF(MID(E187,3,1)="2",트라이포드!$L$14,트라이포드!$K$14)*IF(MID(E187,3,1)="3",트라이포드!$N$14,트라이포드!$M$14)*IF(MID(E187,5,1)="1",트라이포드!$P$14,트라이포드!$O$14)*IF(입력란!$C$9=1,IF(입력란!$C$15=0,1.05,IF(입력란!$C$15=1,1.05*1.05,IF(입력란!$C$15=2,1.05*1.12,IF(입력란!$C$15=3,1.05*1.25)))),1)</f>
        <v>151657.12115499278</v>
      </c>
      <c r="U187" s="30">
        <f>AN187*IF(입력란!$C$12=0,1,IF(입력란!$C$12=1,1.3,IF(입력란!$C$12=2,1.45,IF(입력란!$C$12=3,1.6,1))))*IF(MID(E187,3,1)="3",트라이포드!$N$14,트라이포드!$M$14)*IF(MID(E187,3,1)="3",트라이포드!$N$14,트라이포드!$M$14)*IF(MID(E187,5,1)="2",1,0)*IF(입력란!$C$9=1,IF(입력란!$C$15=0,1.05,IF(입력란!$C$15=1,1.05*1.05,IF(입력란!$C$15=2,1.05*1.12,IF(입력란!$C$15=3,1.05*1.25)))),1)</f>
        <v>0</v>
      </c>
      <c r="V187" s="30"/>
      <c r="W187" s="39"/>
      <c r="X187" s="39"/>
      <c r="Y187" s="39"/>
      <c r="Z187" s="25"/>
      <c r="AA187" s="30">
        <f t="shared" si="25"/>
        <v>353866.61602831649</v>
      </c>
      <c r="AB187" s="30">
        <f t="shared" si="26"/>
        <v>50552.373718330928</v>
      </c>
      <c r="AC187" s="30">
        <f t="shared" si="27"/>
        <v>303314.24230998557</v>
      </c>
      <c r="AD187" s="30">
        <f t="shared" si="29"/>
        <v>0</v>
      </c>
      <c r="AE187" s="30"/>
      <c r="AF187" s="39"/>
      <c r="AG187" s="39"/>
      <c r="AH187" s="39"/>
      <c r="AI187" s="25"/>
      <c r="AJ187" s="26">
        <f>(AQ187+IF(MID(E187,5,1)="1",12,0))*(1-입력란!$C$35/100)</f>
        <v>19.768140815599999</v>
      </c>
      <c r="AK18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7" s="26">
        <f>입력란!$C$47+입력란!$C$41+IF(입력란!$C$18=1,10,IF(입력란!$C$18=2,25,IF(입력란!$C$18=3,50,0)))+IF(입력란!$C$23&lt;&gt;0,-12)</f>
        <v>378.9445412</v>
      </c>
      <c r="AM187" s="30">
        <f t="shared" si="28"/>
        <v>25276.186859165464</v>
      </c>
      <c r="AN187" s="30">
        <f>(VLOOKUP(C187,$B$4:$AJ$7,13,FALSE)+VLOOKUP(C187,$B$8:$AJ$11,13,FALSE)*입력란!$C$29)*입력란!$C$48/100</f>
        <v>25276.186859165464</v>
      </c>
      <c r="AO187" s="26"/>
      <c r="AP187" s="30"/>
      <c r="AQ187" s="29">
        <v>8</v>
      </c>
    </row>
    <row r="188" spans="2:43" ht="13.5" customHeight="1" x14ac:dyDescent="0.3">
      <c r="B188" s="31">
        <v>173</v>
      </c>
      <c r="C188" s="36">
        <v>10</v>
      </c>
      <c r="D188" s="37" t="s">
        <v>171</v>
      </c>
      <c r="E188" s="38" t="s">
        <v>124</v>
      </c>
      <c r="F188" s="40"/>
      <c r="G188" s="40"/>
      <c r="H188" s="52">
        <f t="shared" si="23"/>
        <v>15312.815954548703</v>
      </c>
      <c r="I188" s="53">
        <f>SUM(J188:Q188)*IF(입력란!$C$16=1,1.04,IF(입력란!$C$16=2,1.1,IF(입력란!$C$16=3,1.2,1)))*IF(입력란!$C$21=1,1+입력란!$C$38*0.001,IF(입력란!$C$21=2,1+입력란!$C$38*0.0022,IF(입력란!$C$21=3,1+입력란!$C$38*0.0045,1)))*IF(입력란!$C$18&lt;&gt;0,0.98,1)</f>
        <v>121082.36082915403</v>
      </c>
      <c r="J188" s="30">
        <f>S188*(1+IF($AK188+IF(입력란!$C$9=1,10,0)+IF(입력란!$C$26=1,10,0)+IF(MID(E188,5,1)="1",트라이포드!$P$14,0)&gt;100,100,$AK188+IF(입력란!$C$9=1,10,0)+IF(입력란!$C$26=1,10,0)+IF(MID(E188,5,1)="1",트라이포드!$P$14,0))/100*($AL188/100-1))</f>
        <v>40360.786943051346</v>
      </c>
      <c r="K188" s="30">
        <f>T188*(1+IF($AK188+IF(입력란!$C$9=1,10,0)+IF(입력란!$C$26=1,10,0)+IF(MID(E188,5,1)="1",트라이포드!P$14,0)&gt;100,100,$AK188+IF(입력란!$C$9=1,10,0)+IF(입력란!$C$26=1,10,0)+IF(MID(E188,5,1)="1",트라이포드!P$14,0))/100*($AL188/100-1))</f>
        <v>40360.786943051346</v>
      </c>
      <c r="L188" s="30">
        <f>U188*(1+IF($AK188+IF(입력란!$C$9=1,10,0)+IF(입력란!$C$26=1,10,0)+IF(MID(E188,5,1)="1",트라이포드!P$14,0)&gt;100,100,$AK188+IF(입력란!$C$9=1,10,0)+IF(입력란!$C$26=1,10,0)+IF(MID(E188,5,1)="1",트라이포드!P$14,0))/100*($AL188/100-1))</f>
        <v>40360.786943051346</v>
      </c>
      <c r="M188" s="30"/>
      <c r="N188" s="39"/>
      <c r="O188" s="39"/>
      <c r="P188" s="39"/>
      <c r="Q188" s="27"/>
      <c r="R188" s="24">
        <f t="shared" si="24"/>
        <v>75828.560577496391</v>
      </c>
      <c r="S188" s="30">
        <f>AN188*IF(입력란!$C$12=0,1,IF(입력란!$C$12=1,1.3,IF(입력란!$C$12=2,1.45,IF(입력란!$C$12=3,1.6,1))))*IF(입력란!$C$9=1,IF(입력란!$C$15=0,1.05,IF(입력란!$C$15=1,1.05*1.05,IF(입력란!$C$15=2,1.05*1.12,IF(입력란!$C$15=3,1.05*1.25)))),1)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88" s="30">
        <f>AN188*IF(입력란!$C$12=0,1,IF(입력란!$C$12=1,1.3,IF(입력란!$C$12=2,1.45,IF(입력란!$C$12=3,1.6,1))))*IF(MID(E188,3,1)="2",트라이포드!$L$14,트라이포드!$K$14)*IF(MID(E188,3,1)="3",트라이포드!$N$14,트라이포드!$M$14)*IF(MID(E188,5,1)="1",트라이포드!$P$14,트라이포드!$O$14)*IF(입력란!$C$9=1,IF(입력란!$C$15=0,1.05,IF(입력란!$C$15=1,1.05*1.05,IF(입력란!$C$15=2,1.05*1.12,IF(입력란!$C$15=3,1.05*1.25)))),1)</f>
        <v>25276.186859165464</v>
      </c>
      <c r="U188" s="30">
        <f>AN188*IF(입력란!$C$12=0,1,IF(입력란!$C$12=1,1.3,IF(입력란!$C$12=2,1.45,IF(입력란!$C$12=3,1.6,1))))*IF(MID(E188,3,1)="3",트라이포드!$N$14,트라이포드!$M$14)*IF(MID(E188,3,1)="3",트라이포드!$N$14,트라이포드!$M$14)*IF(MID(E188,5,1)="2",1,0)*IF(입력란!$C$9=1,IF(입력란!$C$15=0,1.05,IF(입력란!$C$15=1,1.05*1.05,IF(입력란!$C$15=2,1.05*1.12,IF(입력란!$C$15=3,1.05*1.25)))),1)</f>
        <v>25276.186859165464</v>
      </c>
      <c r="V188" s="30"/>
      <c r="W188" s="39"/>
      <c r="X188" s="39"/>
      <c r="Y188" s="39"/>
      <c r="Z188" s="25"/>
      <c r="AA188" s="30">
        <f t="shared" si="25"/>
        <v>151657.12115499278</v>
      </c>
      <c r="AB188" s="30">
        <f t="shared" si="26"/>
        <v>50552.373718330928</v>
      </c>
      <c r="AC188" s="30">
        <f t="shared" si="27"/>
        <v>50552.373718330928</v>
      </c>
      <c r="AD188" s="30">
        <f t="shared" si="29"/>
        <v>50552.373718330928</v>
      </c>
      <c r="AE188" s="30"/>
      <c r="AF188" s="39"/>
      <c r="AG188" s="39"/>
      <c r="AH188" s="39"/>
      <c r="AI188" s="25"/>
      <c r="AJ188" s="26">
        <f>(AQ188+IF(MID(E188,5,1)="1",12,0))*(1-입력란!$C$35/100)</f>
        <v>7.9072563262399997</v>
      </c>
      <c r="AK18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8" s="26">
        <f>입력란!$C$47+입력란!$C$41+IF(입력란!$C$18=1,10,IF(입력란!$C$18=2,25,IF(입력란!$C$18=3,50,0)))+IF(입력란!$C$23&lt;&gt;0,-12)</f>
        <v>378.9445412</v>
      </c>
      <c r="AM188" s="30">
        <f t="shared" si="28"/>
        <v>25276.186859165464</v>
      </c>
      <c r="AN188" s="30">
        <f>(VLOOKUP(C188,$B$4:$AJ$7,13,FALSE)+VLOOKUP(C188,$B$8:$AJ$11,13,FALSE)*입력란!$C$29)*입력란!$C$48/100</f>
        <v>25276.186859165464</v>
      </c>
      <c r="AO188" s="26"/>
      <c r="AP188" s="30"/>
      <c r="AQ188" s="29">
        <v>8</v>
      </c>
    </row>
    <row r="189" spans="2:43" ht="13.5" customHeight="1" x14ac:dyDescent="0.3">
      <c r="B189" s="31">
        <v>174</v>
      </c>
      <c r="C189" s="36">
        <v>10</v>
      </c>
      <c r="D189" s="37" t="s">
        <v>171</v>
      </c>
      <c r="E189" s="38" t="s">
        <v>142</v>
      </c>
      <c r="F189" s="40"/>
      <c r="G189" s="40"/>
      <c r="H189" s="52">
        <f t="shared" si="23"/>
        <v>29324.221208834657</v>
      </c>
      <c r="I189" s="53">
        <f>SUM(J189:Q189)*IF(입력란!$C$16=1,1.04,IF(입력란!$C$16=2,1.1,IF(입력란!$C$16=3,1.2,1)))*IF(입력란!$C$21=1,1+입력란!$C$38*0.001,IF(입력란!$C$21=2,1+입력란!$C$38*0.0022,IF(입력란!$C$21=3,1+입력란!$C$38*0.0045,1)))*IF(입력란!$C$18&lt;&gt;0,0.98,1)</f>
        <v>579685.3341640475</v>
      </c>
      <c r="J189" s="30">
        <f>S189*(1+IF($AK189+IF(입력란!$C$9=1,10,0)+IF(입력란!$C$26=1,10,0)+IF(MID(E189,5,1)="1",트라이포드!$P$14,0)&gt;100,100,$AK189+IF(입력란!$C$9=1,10,0)+IF(입력란!$C$26=1,10,0)+IF(MID(E189,5,1)="1",트라이포드!$P$14,0))/100*($AL189/100-1))</f>
        <v>44591.179551080582</v>
      </c>
      <c r="K189" s="30">
        <f>T189*(1+IF($AK189+IF(입력란!$C$9=1,10,0)+IF(입력란!$C$26=1,10,0)+IF(MID(E189,5,1)="1",트라이포드!P$14,0)&gt;100,100,$AK189+IF(입력란!$C$9=1,10,0)+IF(입력란!$C$26=1,10,0)+IF(MID(E189,5,1)="1",트라이포드!P$14,0))/100*($AL189/100-1))</f>
        <v>535094.15461296693</v>
      </c>
      <c r="L189" s="30">
        <f>U189*(1+IF($AK189+IF(입력란!$C$9=1,10,0)+IF(입력란!$C$26=1,10,0)+IF(MID(E189,5,1)="1",트라이포드!P$14,0)&gt;100,100,$AK189+IF(입력란!$C$9=1,10,0)+IF(입력란!$C$26=1,10,0)+IF(MID(E189,5,1)="1",트라이포드!P$14,0))/100*($AL189/100-1))</f>
        <v>0</v>
      </c>
      <c r="M189" s="30"/>
      <c r="N189" s="39"/>
      <c r="O189" s="39"/>
      <c r="P189" s="39"/>
      <c r="Q189" s="27"/>
      <c r="R189" s="24">
        <f t="shared" si="24"/>
        <v>328590.429169151</v>
      </c>
      <c r="S189" s="30">
        <f>AN189*IF(입력란!$C$12=0,1,IF(입력란!$C$12=1,1.3,IF(입력란!$C$12=2,1.45,IF(입력란!$C$12=3,1.6,1))))*IF(입력란!$C$9=1,IF(입력란!$C$15=0,1.05,IF(입력란!$C$15=1,1.05*1.05,IF(입력란!$C$15=2,1.05*1.12,IF(입력란!$C$15=3,1.05*1.25)))),1)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89" s="30">
        <f>AN189*IF(입력란!$C$12=0,1,IF(입력란!$C$12=1,1.3,IF(입력란!$C$12=2,1.45,IF(입력란!$C$12=3,1.6,1))))*IF(MID(E189,3,1)="2",트라이포드!$L$14,트라이포드!$K$14)*IF(MID(E189,3,1)="3",트라이포드!$N$14,트라이포드!$M$14)*IF(MID(E189,5,1)="1",트라이포드!$P$14,트라이포드!$O$14)*IF(입력란!$C$9=1,IF(입력란!$C$15=0,1.05,IF(입력란!$C$15=1,1.05*1.05,IF(입력란!$C$15=2,1.05*1.12,IF(입력란!$C$15=3,1.05*1.25)))),1)</f>
        <v>303314.24230998557</v>
      </c>
      <c r="U189" s="30">
        <f>AN189*IF(입력란!$C$12=0,1,IF(입력란!$C$12=1,1.3,IF(입력란!$C$12=2,1.45,IF(입력란!$C$12=3,1.6,1))))*IF(MID(E189,3,1)="3",트라이포드!$N$14,트라이포드!$M$14)*IF(MID(E189,3,1)="3",트라이포드!$N$14,트라이포드!$M$14)*IF(MID(E189,5,1)="2",1,0)*IF(입력란!$C$9=1,IF(입력란!$C$15=0,1.05,IF(입력란!$C$15=1,1.05*1.05,IF(입력란!$C$15=2,1.05*1.12,IF(입력란!$C$15=3,1.05*1.25)))),1)</f>
        <v>0</v>
      </c>
      <c r="V189" s="30"/>
      <c r="W189" s="39"/>
      <c r="X189" s="39"/>
      <c r="Y189" s="39"/>
      <c r="Z189" s="25"/>
      <c r="AA189" s="30">
        <f t="shared" si="25"/>
        <v>657180.858338302</v>
      </c>
      <c r="AB189" s="30">
        <f t="shared" si="26"/>
        <v>50552.373718330928</v>
      </c>
      <c r="AC189" s="30">
        <f t="shared" si="27"/>
        <v>606628.48461997113</v>
      </c>
      <c r="AD189" s="30">
        <f t="shared" si="29"/>
        <v>0</v>
      </c>
      <c r="AE189" s="30"/>
      <c r="AF189" s="39"/>
      <c r="AG189" s="39"/>
      <c r="AH189" s="39"/>
      <c r="AI189" s="25"/>
      <c r="AJ189" s="26">
        <f>(AQ189+IF(MID(E189,5,1)="1",12,0))*(1-입력란!$C$35/100)</f>
        <v>19.768140815599999</v>
      </c>
      <c r="AK18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89" s="26">
        <f>입력란!$C$47+입력란!$C$41+IF(입력란!$C$18=1,10,IF(입력란!$C$18=2,25,IF(입력란!$C$18=3,50,0)))+IF(입력란!$C$23&lt;&gt;0,-12)</f>
        <v>378.9445412</v>
      </c>
      <c r="AM189" s="30">
        <f t="shared" si="28"/>
        <v>25276.186859165464</v>
      </c>
      <c r="AN189" s="30">
        <f>(VLOOKUP(C189,$B$4:$AJ$7,13,FALSE)+VLOOKUP(C189,$B$8:$AJ$11,13,FALSE)*입력란!$C$29)*입력란!$C$48/100</f>
        <v>25276.186859165464</v>
      </c>
      <c r="AO189" s="26"/>
      <c r="AP189" s="30"/>
      <c r="AQ189" s="29">
        <v>8</v>
      </c>
    </row>
    <row r="190" spans="2:43" ht="13.5" customHeight="1" x14ac:dyDescent="0.3">
      <c r="B190" s="31">
        <v>175</v>
      </c>
      <c r="C190" s="36">
        <v>10</v>
      </c>
      <c r="D190" s="37" t="s">
        <v>171</v>
      </c>
      <c r="E190" s="38" t="s">
        <v>149</v>
      </c>
      <c r="F190" s="40"/>
      <c r="G190" s="40"/>
      <c r="H190" s="52">
        <f t="shared" si="23"/>
        <v>20417.087939398272</v>
      </c>
      <c r="I190" s="53">
        <f>SUM(J190:Q190)*IF(입력란!$C$16=1,1.04,IF(입력란!$C$16=2,1.1,IF(입력란!$C$16=3,1.2,1)))*IF(입력란!$C$21=1,1+입력란!$C$38*0.001,IF(입력란!$C$21=2,1+입력란!$C$38*0.0022,IF(입력란!$C$21=3,1+입력란!$C$38*0.0045,1)))*IF(입력란!$C$18&lt;&gt;0,0.98,1)</f>
        <v>161443.14777220538</v>
      </c>
      <c r="J190" s="30">
        <f>S190*(1+IF($AK190+IF(입력란!$C$9=1,10,0)+IF(입력란!$C$26=1,10,0)+IF(MID(E190,5,1)="1",트라이포드!$P$14,0)&gt;100,100,$AK190+IF(입력란!$C$9=1,10,0)+IF(입력란!$C$26=1,10,0)+IF(MID(E190,5,1)="1",트라이포드!$P$14,0))/100*($AL190/100-1))</f>
        <v>40360.786943051346</v>
      </c>
      <c r="K190" s="30">
        <f>T190*(1+IF($AK190+IF(입력란!$C$9=1,10,0)+IF(입력란!$C$26=1,10,0)+IF(MID(E190,5,1)="1",트라이포드!P$14,0)&gt;100,100,$AK190+IF(입력란!$C$9=1,10,0)+IF(입력란!$C$26=1,10,0)+IF(MID(E190,5,1)="1",트라이포드!P$14,0))/100*($AL190/100-1))</f>
        <v>80721.573886102691</v>
      </c>
      <c r="L190" s="30">
        <f>U190*(1+IF($AK190+IF(입력란!$C$9=1,10,0)+IF(입력란!$C$26=1,10,0)+IF(MID(E190,5,1)="1",트라이포드!P$14,0)&gt;100,100,$AK190+IF(입력란!$C$9=1,10,0)+IF(입력란!$C$26=1,10,0)+IF(MID(E190,5,1)="1",트라이포드!P$14,0))/100*($AL190/100-1))</f>
        <v>40360.786943051346</v>
      </c>
      <c r="M190" s="30"/>
      <c r="N190" s="39"/>
      <c r="O190" s="39"/>
      <c r="P190" s="39"/>
      <c r="Q190" s="27"/>
      <c r="R190" s="24">
        <f t="shared" si="24"/>
        <v>101104.74743666186</v>
      </c>
      <c r="S190" s="30">
        <f>AN190*IF(입력란!$C$12=0,1,IF(입력란!$C$12=1,1.3,IF(입력란!$C$12=2,1.45,IF(입력란!$C$12=3,1.6,1))))*IF(입력란!$C$9=1,IF(입력란!$C$15=0,1.05,IF(입력란!$C$15=1,1.05*1.05,IF(입력란!$C$15=2,1.05*1.12,IF(입력란!$C$15=3,1.05*1.25)))),1)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90" s="30">
        <f>AN190*IF(입력란!$C$12=0,1,IF(입력란!$C$12=1,1.3,IF(입력란!$C$12=2,1.45,IF(입력란!$C$12=3,1.6,1))))*IF(MID(E190,3,1)="2",트라이포드!$L$14,트라이포드!$K$14)*IF(MID(E190,3,1)="3",트라이포드!$N$14,트라이포드!$M$14)*IF(MID(E190,5,1)="1",트라이포드!$P$14,트라이포드!$O$14)*IF(입력란!$C$9=1,IF(입력란!$C$15=0,1.05,IF(입력란!$C$15=1,1.05*1.05,IF(입력란!$C$15=2,1.05*1.12,IF(입력란!$C$15=3,1.05*1.25)))),1)</f>
        <v>50552.373718330928</v>
      </c>
      <c r="U190" s="30">
        <f>AN190*IF(입력란!$C$12=0,1,IF(입력란!$C$12=1,1.3,IF(입력란!$C$12=2,1.45,IF(입력란!$C$12=3,1.6,1))))*IF(MID(E190,3,1)="3",트라이포드!$N$14,트라이포드!$M$14)*IF(MID(E190,3,1)="3",트라이포드!$N$14,트라이포드!$M$14)*IF(MID(E190,5,1)="2",1,0)*IF(입력란!$C$9=1,IF(입력란!$C$15=0,1.05,IF(입력란!$C$15=1,1.05*1.05,IF(입력란!$C$15=2,1.05*1.12,IF(입력란!$C$15=3,1.05*1.25)))),1)</f>
        <v>25276.186859165464</v>
      </c>
      <c r="V190" s="30"/>
      <c r="W190" s="39"/>
      <c r="X190" s="39"/>
      <c r="Y190" s="39"/>
      <c r="Z190" s="25"/>
      <c r="AA190" s="30">
        <f t="shared" si="25"/>
        <v>202209.49487332371</v>
      </c>
      <c r="AB190" s="30">
        <f t="shared" si="26"/>
        <v>50552.373718330928</v>
      </c>
      <c r="AC190" s="30">
        <f t="shared" si="27"/>
        <v>101104.74743666186</v>
      </c>
      <c r="AD190" s="30">
        <f t="shared" si="29"/>
        <v>50552.373718330928</v>
      </c>
      <c r="AE190" s="30"/>
      <c r="AF190" s="39"/>
      <c r="AG190" s="39"/>
      <c r="AH190" s="39"/>
      <c r="AI190" s="25"/>
      <c r="AJ190" s="26">
        <f>(AQ190+IF(MID(E190,5,1)="1",12,0))*(1-입력란!$C$35/100)</f>
        <v>7.9072563262399997</v>
      </c>
      <c r="AK19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0" s="26">
        <f>입력란!$C$47+입력란!$C$41+IF(입력란!$C$18=1,10,IF(입력란!$C$18=2,25,IF(입력란!$C$18=3,50,0)))+IF(입력란!$C$23&lt;&gt;0,-12)</f>
        <v>378.9445412</v>
      </c>
      <c r="AM190" s="30">
        <f t="shared" si="28"/>
        <v>25276.186859165464</v>
      </c>
      <c r="AN190" s="30">
        <f>(VLOOKUP(C190,$B$4:$AJ$7,13,FALSE)+VLOOKUP(C190,$B$8:$AJ$11,13,FALSE)*입력란!$C$29)*입력란!$C$48/100</f>
        <v>25276.186859165464</v>
      </c>
      <c r="AO190" s="26"/>
      <c r="AP190" s="30"/>
      <c r="AQ190" s="29">
        <v>8</v>
      </c>
    </row>
    <row r="191" spans="2:43" ht="13.5" customHeight="1" x14ac:dyDescent="0.3">
      <c r="B191" s="31">
        <v>176</v>
      </c>
      <c r="C191" s="36">
        <v>10</v>
      </c>
      <c r="D191" s="37" t="s">
        <v>171</v>
      </c>
      <c r="E191" s="38" t="s">
        <v>128</v>
      </c>
      <c r="F191" s="40"/>
      <c r="G191" s="40"/>
      <c r="H191" s="52">
        <f t="shared" si="23"/>
        <v>21203.667643311215</v>
      </c>
      <c r="I191" s="53">
        <f>SUM(J191:Q191)*IF(입력란!$C$16=1,1.04,IF(입력란!$C$16=2,1.1,IF(입력란!$C$16=3,1.2,1)))*IF(입력란!$C$21=1,1+입력란!$C$38*0.001,IF(입력란!$C$21=2,1+입력란!$C$38*0.0022,IF(입력란!$C$21=3,1+입력란!$C$38*0.0045,1)))*IF(입력란!$C$18&lt;&gt;0,0.98,1)</f>
        <v>419157.08778015745</v>
      </c>
      <c r="J191" s="30">
        <f>S191*(1+IF($AK191+IF(입력란!$C$9=1,10,0)+IF(입력란!$C$26=1,10,0)+IF(MID(E191,5,1)="1",트라이포드!$P$14,0)&gt;100,100,$AK191+IF(입력란!$C$9=1,10,0)+IF(입력란!$C$26=1,10,0)+IF(MID(E191,5,1)="1",트라이포드!$P$14,0))/100*($AL191/100-1))</f>
        <v>44591.179551080582</v>
      </c>
      <c r="K191" s="30">
        <f>T191*(1+IF($AK191+IF(입력란!$C$9=1,10,0)+IF(입력란!$C$26=1,10,0)+IF(MID(E191,5,1)="1",트라이포드!P$14,0)&gt;100,100,$AK191+IF(입력란!$C$9=1,10,0)+IF(입력란!$C$26=1,10,0)+IF(MID(E191,5,1)="1",트라이포드!P$14,0))/100*($AL191/100-1))</f>
        <v>374565.90822907689</v>
      </c>
      <c r="L191" s="30">
        <f>U191*(1+IF($AK191+IF(입력란!$C$9=1,10,0)+IF(입력란!$C$26=1,10,0)+IF(MID(E191,5,1)="1",트라이포드!P$14,0)&gt;100,100,$AK191+IF(입력란!$C$9=1,10,0)+IF(입력란!$C$26=1,10,0)+IF(MID(E191,5,1)="1",트라이포드!P$14,0))/100*($AL191/100-1))</f>
        <v>0</v>
      </c>
      <c r="M191" s="30"/>
      <c r="N191" s="39"/>
      <c r="O191" s="39"/>
      <c r="P191" s="39"/>
      <c r="Q191" s="27"/>
      <c r="R191" s="24">
        <f t="shared" si="24"/>
        <v>237596.15647615536</v>
      </c>
      <c r="S191" s="30">
        <f>AN191*IF(입력란!$C$12=0,1,IF(입력란!$C$12=1,1.3,IF(입력란!$C$12=2,1.45,IF(입력란!$C$12=3,1.6,1))))*IF(입력란!$C$9=1,IF(입력란!$C$15=0,1.05,IF(입력란!$C$15=1,1.05*1.05,IF(입력란!$C$15=2,1.05*1.12,IF(입력란!$C$15=3,1.05*1.25)))),1)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91" s="30">
        <f>AN191*IF(입력란!$C$12=0,1,IF(입력란!$C$12=1,1.3,IF(입력란!$C$12=2,1.45,IF(입력란!$C$12=3,1.6,1))))*IF(MID(E191,3,1)="2",트라이포드!$L$14,트라이포드!$K$14)*IF(MID(E191,3,1)="3",트라이포드!$N$14,트라이포드!$M$14)*IF(MID(E191,5,1)="1",트라이포드!$P$14,트라이포드!$O$14)*IF(입력란!$C$9=1,IF(입력란!$C$15=0,1.05,IF(입력란!$C$15=1,1.05*1.05,IF(입력란!$C$15=2,1.05*1.12,IF(입력란!$C$15=3,1.05*1.25)))),1)</f>
        <v>212319.9696169899</v>
      </c>
      <c r="U191" s="30">
        <f>AN191*IF(입력란!$C$12=0,1,IF(입력란!$C$12=1,1.3,IF(입력란!$C$12=2,1.45,IF(입력란!$C$12=3,1.6,1))))*IF(MID(E191,3,1)="3",트라이포드!$N$14,트라이포드!$M$14)*IF(MID(E191,3,1)="3",트라이포드!$N$14,트라이포드!$M$14)*IF(MID(E191,5,1)="2",1,0)*IF(입력란!$C$9=1,IF(입력란!$C$15=0,1.05,IF(입력란!$C$15=1,1.05*1.05,IF(입력란!$C$15=2,1.05*1.12,IF(입력란!$C$15=3,1.05*1.25)))),1)</f>
        <v>0</v>
      </c>
      <c r="V191" s="30"/>
      <c r="W191" s="39"/>
      <c r="X191" s="39"/>
      <c r="Y191" s="39"/>
      <c r="Z191" s="25"/>
      <c r="AA191" s="30">
        <f t="shared" si="25"/>
        <v>475192.31295231072</v>
      </c>
      <c r="AB191" s="30">
        <f t="shared" si="26"/>
        <v>50552.373718330928</v>
      </c>
      <c r="AC191" s="30">
        <f t="shared" si="27"/>
        <v>424639.93923397979</v>
      </c>
      <c r="AD191" s="30">
        <f t="shared" si="29"/>
        <v>0</v>
      </c>
      <c r="AE191" s="30"/>
      <c r="AF191" s="39"/>
      <c r="AG191" s="39"/>
      <c r="AH191" s="39"/>
      <c r="AI191" s="25"/>
      <c r="AJ191" s="26">
        <f>(AQ191+IF(MID(E191,5,1)="1",12,0))*(1-입력란!$C$35/100)</f>
        <v>19.768140815599999</v>
      </c>
      <c r="AK19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1" s="26">
        <f>입력란!$C$47+입력란!$C$41+IF(입력란!$C$18=1,10,IF(입력란!$C$18=2,25,IF(입력란!$C$18=3,50,0)))+IF(입력란!$C$23&lt;&gt;0,-12)</f>
        <v>378.9445412</v>
      </c>
      <c r="AM191" s="30">
        <f t="shared" si="28"/>
        <v>25276.186859165464</v>
      </c>
      <c r="AN191" s="30">
        <f>(VLOOKUP(C191,$B$4:$AJ$7,13,FALSE)+VLOOKUP(C191,$B$8:$AJ$11,13,FALSE)*입력란!$C$29)*입력란!$C$48/100</f>
        <v>25276.186859165464</v>
      </c>
      <c r="AO191" s="26"/>
      <c r="AP191" s="30"/>
      <c r="AQ191" s="29">
        <v>8</v>
      </c>
    </row>
    <row r="192" spans="2:43" ht="13.5" customHeight="1" x14ac:dyDescent="0.3">
      <c r="B192" s="31">
        <v>177</v>
      </c>
      <c r="C192" s="36">
        <v>10</v>
      </c>
      <c r="D192" s="37" t="s">
        <v>171</v>
      </c>
      <c r="E192" s="38" t="s">
        <v>129</v>
      </c>
      <c r="F192" s="40"/>
      <c r="G192" s="40"/>
      <c r="H192" s="52">
        <f t="shared" si="23"/>
        <v>22254.625853944115</v>
      </c>
      <c r="I192" s="53">
        <f>SUM(J192:Q192)*IF(입력란!$C$16=1,1.04,IF(입력란!$C$16=2,1.1,IF(입력란!$C$16=3,1.2,1)))*IF(입력란!$C$21=1,1+입력란!$C$38*0.001,IF(입력란!$C$21=2,1+입력란!$C$38*0.0022,IF(입력란!$C$21=3,1+입력란!$C$38*0.0045,1)))*IF(입력란!$C$18&lt;&gt;0,0.98,1)</f>
        <v>175973.03107170385</v>
      </c>
      <c r="J192" s="30">
        <f>S192*(1+IF($AK192+IF(입력란!$C$9=1,10,0)+IF(입력란!$C$26=1,10,0)+IF(MID(E192,5,1)="1",트라이포드!$P$14,0)&gt;100,100,$AK192+IF(입력란!$C$9=1,10,0)+IF(입력란!$C$26=1,10,0)+IF(MID(E192,5,1)="1",트라이포드!$P$14,0))/100*($AL192/100-1))</f>
        <v>40360.786943051346</v>
      </c>
      <c r="K192" s="30">
        <f>T192*(1+IF($AK192+IF(입력란!$C$9=1,10,0)+IF(입력란!$C$26=1,10,0)+IF(MID(E192,5,1)="1",트라이포드!P$14,0)&gt;100,100,$AK192+IF(입력란!$C$9=1,10,0)+IF(입력란!$C$26=1,10,0)+IF(MID(E192,5,1)="1",트라이포드!P$14,0))/100*($AL192/100-1))</f>
        <v>56505.101720271879</v>
      </c>
      <c r="L192" s="30">
        <f>U192*(1+IF($AK192+IF(입력란!$C$9=1,10,0)+IF(입력란!$C$26=1,10,0)+IF(MID(E192,5,1)="1",트라이포드!P$14,0)&gt;100,100,$AK192+IF(입력란!$C$9=1,10,0)+IF(입력란!$C$26=1,10,0)+IF(MID(E192,5,1)="1",트라이포드!P$14,0))/100*($AL192/100-1))</f>
        <v>79107.142408380634</v>
      </c>
      <c r="M192" s="30"/>
      <c r="N192" s="39"/>
      <c r="O192" s="39"/>
      <c r="P192" s="39"/>
      <c r="Q192" s="27"/>
      <c r="R192" s="24">
        <f t="shared" si="24"/>
        <v>110204.17470596143</v>
      </c>
      <c r="S192" s="30">
        <f>AN192*IF(입력란!$C$12=0,1,IF(입력란!$C$12=1,1.3,IF(입력란!$C$12=2,1.45,IF(입력란!$C$12=3,1.6,1))))*IF(입력란!$C$9=1,IF(입력란!$C$15=0,1.05,IF(입력란!$C$15=1,1.05*1.05,IF(입력란!$C$15=2,1.05*1.12,IF(입력란!$C$15=3,1.05*1.25)))),1)</f>
        <v>25276.186859165464</v>
      </c>
      <c r="T192" s="30">
        <f>AN192*IF(입력란!$C$12=0,1,IF(입력란!$C$12=1,1.3,IF(입력란!$C$12=2,1.45,IF(입력란!$C$12=3,1.6,1))))*IF(MID(E192,3,1)="2",트라이포드!$L$14,트라이포드!$K$14)*IF(MID(E192,3,1)="3",트라이포드!$N$14,트라이포드!$M$14)*IF(MID(E192,5,1)="1",트라이포드!$P$14,트라이포드!$O$14)*IF(입력란!$C$9=1,IF(입력란!$C$15=0,1.05,IF(입력란!$C$15=1,1.05*1.05,IF(입력란!$C$15=2,1.05*1.12,IF(입력란!$C$15=3,1.05*1.25)))),1)</f>
        <v>35386.661602831649</v>
      </c>
      <c r="U192" s="30">
        <f>AN192*IF(입력란!$C$12=0,1,IF(입력란!$C$12=1,1.3,IF(입력란!$C$12=2,1.45,IF(입력란!$C$12=3,1.6,1))))*IF(MID(E192,3,1)="3",트라이포드!$N$14,트라이포드!$M$14)*IF(MID(E192,3,1)="3",트라이포드!$N$14,트라이포드!$M$14)*IF(MID(E192,5,1)="2",1,0)*IF(입력란!$C$9=1,IF(입력란!$C$15=0,1.05,IF(입력란!$C$15=1,1.05*1.05,IF(입력란!$C$15=2,1.05*1.12,IF(입력란!$C$15=3,1.05*1.25)))),1)</f>
        <v>49541.326243964308</v>
      </c>
      <c r="V192" s="30"/>
      <c r="W192" s="39"/>
      <c r="X192" s="39"/>
      <c r="Y192" s="39"/>
      <c r="Z192" s="25"/>
      <c r="AA192" s="30">
        <f t="shared" si="25"/>
        <v>220408.34941192286</v>
      </c>
      <c r="AB192" s="30">
        <f t="shared" si="26"/>
        <v>50552.373718330928</v>
      </c>
      <c r="AC192" s="30">
        <f t="shared" si="27"/>
        <v>70773.323205663299</v>
      </c>
      <c r="AD192" s="30">
        <f t="shared" si="29"/>
        <v>99082.652487928615</v>
      </c>
      <c r="AE192" s="30"/>
      <c r="AF192" s="39"/>
      <c r="AG192" s="39"/>
      <c r="AH192" s="39"/>
      <c r="AI192" s="25"/>
      <c r="AJ192" s="26">
        <f>(AQ192+IF(MID(E192,5,1)="1",12,0))*(1-입력란!$C$35/100)</f>
        <v>7.9072563262399997</v>
      </c>
      <c r="AK19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2" s="26">
        <f>입력란!$C$47+입력란!$C$41+IF(입력란!$C$18=1,10,IF(입력란!$C$18=2,25,IF(입력란!$C$18=3,50,0)))+IF(입력란!$C$23&lt;&gt;0,-12)</f>
        <v>378.9445412</v>
      </c>
      <c r="AM192" s="30">
        <f t="shared" si="28"/>
        <v>25276.186859165464</v>
      </c>
      <c r="AN192" s="30">
        <f>(VLOOKUP(C192,$B$4:$AJ$7,13,FALSE)+VLOOKUP(C192,$B$8:$AJ$11,13,FALSE)*입력란!$C$29)*입력란!$C$48/100</f>
        <v>25276.186859165464</v>
      </c>
      <c r="AO192" s="26"/>
      <c r="AP192" s="30"/>
      <c r="AQ192" s="29">
        <v>8</v>
      </c>
    </row>
    <row r="193" spans="2:43" ht="13.5" customHeight="1" x14ac:dyDescent="0.3">
      <c r="B193" s="31">
        <v>178</v>
      </c>
      <c r="C193" s="36">
        <v>1</v>
      </c>
      <c r="D193" s="37" t="s">
        <v>172</v>
      </c>
      <c r="E193" s="38" t="s">
        <v>96</v>
      </c>
      <c r="F193" s="40"/>
      <c r="G193" s="40"/>
      <c r="H193" s="52">
        <f t="shared" si="23"/>
        <v>18374.197640254872</v>
      </c>
      <c r="I193" s="53">
        <f>SUM(J193:Q193)*IF(입력란!$C$16=1,1.04,IF(입력란!$C$16=2,1.1,IF(입력란!$C$16=3,1.2,1)))*IF(입력란!$C$21=1,1+입력란!$C$38*0.001,IF(입력란!$C$21=2,1+입력란!$C$38*0.0022,IF(입력란!$C$21=3,1+입력란!$C$38*0.0045,1)))*IF(입력란!$C$18&lt;&gt;0,0.98,1)</f>
        <v>326901.35369360115</v>
      </c>
      <c r="J193" s="30">
        <f>S193*(1+IF($AK193+IF(입력란!$C$9=1,10,0)+IF(입력란!$C$26=1,10,0)+IF(MID(E193,3,1)="1",트라이포드!J$15,0)&gt;100,100,$AK193+IF(입력란!$C$9=1,10,0)+IF(입력란!$C$26=1,10,0)+IF(MID(E193,3,1)="1",트라이포드!J$15,0))/100*($AL193/100-1))</f>
        <v>163450.67684680058</v>
      </c>
      <c r="K193" s="30">
        <f>T193*(1+IF($AK193+IF(입력란!$C$9=1,10,0)+IF(입력란!$C$26=1,10,0)&gt;100,100,$AK193+IF(입력란!$C$9=1,10,0)+IF(입력란!$C$26=1,10,0))/100*($AL193/100-1))</f>
        <v>163450.67684680058</v>
      </c>
      <c r="L193" s="30"/>
      <c r="M193" s="30"/>
      <c r="N193" s="39"/>
      <c r="O193" s="39"/>
      <c r="P193" s="39"/>
      <c r="Q193" s="27"/>
      <c r="R193" s="24">
        <f t="shared" si="24"/>
        <v>204723.94931576424</v>
      </c>
      <c r="S193" s="30">
        <f>AN193*IF(입력란!$C$12=0,1,IF(입력란!$C$12=1,1.3,IF(입력란!$C$12=2,1.45,IF(입력란!$C$12=3,1.6,1))))*IF(MID(E193,3,1)="2",트라이포드!$L$15,트라이포드!$K$15)*IF(입력란!$C$9=1,IF(입력란!$C$15=0,1.05,IF(입력란!$C$15=1,1.05*1.05,IF(입력란!$C$15=2,1.05*1.12,IF(입력란!$C$15=3,1.05*1.25)))),1)</f>
        <v>102361.97465788212</v>
      </c>
      <c r="T193" s="30">
        <f>AN193*IF(입력란!$C$12=0,1,IF(입력란!$C$12=1,1.3,IF(입력란!$C$12=2,1.45,IF(입력란!$C$12=3,1.6,1))))*IF(MID(E193,5,1)="1",트라이포드!$P$15,IF(MID(E193,5,1)="2",트라이포드!$R$15,1))*IF(입력란!$C$9=1,IF(입력란!$C$15=0,1.05,IF(입력란!$C$15=1,1.05*1.05,IF(입력란!$C$15=2,1.05*1.12,IF(입력란!$C$15=3,1.05*1.25)))),1)</f>
        <v>102361.97465788212</v>
      </c>
      <c r="U193" s="30"/>
      <c r="V193" s="30"/>
      <c r="W193" s="39"/>
      <c r="X193" s="39"/>
      <c r="Y193" s="39"/>
      <c r="Z193" s="25"/>
      <c r="AA193" s="30">
        <f t="shared" si="25"/>
        <v>409447.89863152849</v>
      </c>
      <c r="AB193" s="30">
        <f t="shared" si="26"/>
        <v>204723.94931576424</v>
      </c>
      <c r="AC193" s="30">
        <f t="shared" si="27"/>
        <v>204723.94931576424</v>
      </c>
      <c r="AD193" s="30"/>
      <c r="AE193" s="30"/>
      <c r="AF193" s="39"/>
      <c r="AG193" s="39"/>
      <c r="AH193" s="39"/>
      <c r="AI193" s="25"/>
      <c r="AJ193" s="26">
        <f>(AQ193-IF(MID(E193,1,1)="1",트라이포드!$D$15,트라이포드!$C$15))*(1-입력란!$C$35/100)</f>
        <v>17.791326734039998</v>
      </c>
      <c r="AK19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3" s="26">
        <f>입력란!$C$47+입력란!$C$41+IF(입력란!$C$18=1,10,IF(입력란!$C$18=2,25,IF(입력란!$C$18=3,50,0)))+IF(입력란!$C$23&lt;&gt;0,-12)</f>
        <v>378.9445412</v>
      </c>
      <c r="AM193" s="30">
        <f t="shared" si="28"/>
        <v>204735.30183617328</v>
      </c>
      <c r="AN193" s="30">
        <f>(VLOOKUP(C193,$B$4:$AJ$7,14,FALSE)+VLOOKUP(C193,$B$8:$AJ$11,14,FALSE)*입력란!$C$29)*입력란!$C$48/100</f>
        <v>102361.97465788212</v>
      </c>
      <c r="AO193" s="26">
        <f>(VLOOKUP(C193,$B$4:$AJ$7,15,FALSE)+VLOOKUP(C193,$B$8:$AJ$11,15,FALSE)*입력란!$C$29)*입력란!$C$48/100</f>
        <v>102373.32717829116</v>
      </c>
      <c r="AP193" s="30"/>
      <c r="AQ193" s="29">
        <v>18</v>
      </c>
    </row>
    <row r="194" spans="2:43" ht="13.5" customHeight="1" x14ac:dyDescent="0.3">
      <c r="B194" s="31">
        <v>179</v>
      </c>
      <c r="C194" s="36">
        <v>4</v>
      </c>
      <c r="D194" s="37" t="s">
        <v>172</v>
      </c>
      <c r="E194" s="38" t="s">
        <v>96</v>
      </c>
      <c r="F194" s="40"/>
      <c r="G194" s="40"/>
      <c r="H194" s="52">
        <f t="shared" si="23"/>
        <v>18413.903522557441</v>
      </c>
      <c r="I194" s="53">
        <f>SUM(J194:Q194)*IF(입력란!$C$16=1,1.04,IF(입력란!$C$16=2,1.1,IF(입력란!$C$16=3,1.2,1)))*IF(입력란!$C$21=1,1+입력란!$C$38*0.001,IF(입력란!$C$21=2,1+입력란!$C$38*0.0022,IF(입력란!$C$21=3,1+입력란!$C$38*0.0045,1)))*IF(입력란!$C$18&lt;&gt;0,0.98,1)</f>
        <v>327607.77401890949</v>
      </c>
      <c r="J194" s="30">
        <f>S194*(1+IF($AK194+IF(입력란!$C$9=1,10,0)+IF(입력란!$C$26=1,10,0)+IF(MID(E194,3,1)="1",트라이포드!J$15,0)&gt;100,100,$AK194+IF(입력란!$C$9=1,10,0)+IF(입력란!$C$26=1,10,0)+IF(MID(E194,3,1)="1",트라이포드!J$15,0))/100*($AL194/100-1))</f>
        <v>163803.88700945475</v>
      </c>
      <c r="K194" s="30">
        <f>T194*(1+IF($AK194+IF(입력란!$C$9=1,10,0)+IF(입력란!$C$26=1,10,0)&gt;100,100,$AK194+IF(입력란!$C$9=1,10,0)+IF(입력란!$C$26=1,10,0))/100*($AL194/100-1))</f>
        <v>163803.88700945475</v>
      </c>
      <c r="L194" s="30"/>
      <c r="M194" s="30"/>
      <c r="N194" s="39"/>
      <c r="O194" s="39"/>
      <c r="P194" s="39"/>
      <c r="Q194" s="27"/>
      <c r="R194" s="24">
        <f t="shared" si="24"/>
        <v>205166.34931576424</v>
      </c>
      <c r="S194" s="30">
        <f>AN194*IF(입력란!$C$12=0,1,IF(입력란!$C$12=1,1.3,IF(입력란!$C$12=2,1.45,IF(입력란!$C$12=3,1.6,1))))*IF(MID(E194,3,1)="2",트라이포드!$L$15,트라이포드!$K$15)*IF(입력란!$C$9=1,IF(입력란!$C$15=0,1.05,IF(입력란!$C$15=1,1.05*1.05,IF(입력란!$C$15=2,1.05*1.12,IF(입력란!$C$15=3,1.05*1.25)))),1)</f>
        <v>102583.17465788212</v>
      </c>
      <c r="T194" s="30">
        <f>AN194*IF(입력란!$C$12=0,1,IF(입력란!$C$12=1,1.3,IF(입력란!$C$12=2,1.45,IF(입력란!$C$12=3,1.6,1))))*IF(MID(E194,5,1)="1",트라이포드!$P$15,IF(MID(E194,5,1)="2",트라이포드!$R$15,1))*IF(입력란!$C$9=1,IF(입력란!$C$15=0,1.05,IF(입력란!$C$15=1,1.05*1.05,IF(입력란!$C$15=2,1.05*1.12,IF(입력란!$C$15=3,1.05*1.25)))),1)</f>
        <v>102583.17465788212</v>
      </c>
      <c r="U194" s="30"/>
      <c r="V194" s="30"/>
      <c r="W194" s="39"/>
      <c r="X194" s="39"/>
      <c r="Y194" s="39"/>
      <c r="Z194" s="25"/>
      <c r="AA194" s="30">
        <f t="shared" si="25"/>
        <v>410332.69863152847</v>
      </c>
      <c r="AB194" s="30">
        <f t="shared" si="26"/>
        <v>205166.34931576424</v>
      </c>
      <c r="AC194" s="30">
        <f t="shared" si="27"/>
        <v>205166.34931576424</v>
      </c>
      <c r="AD194" s="30"/>
      <c r="AE194" s="30"/>
      <c r="AF194" s="39"/>
      <c r="AG194" s="39"/>
      <c r="AH194" s="39"/>
      <c r="AI194" s="25"/>
      <c r="AJ194" s="26">
        <f>(AQ194-IF(MID(E194,1,1)="1",트라이포드!$D$15,트라이포드!$C$15))*(1-입력란!$C$35/100)</f>
        <v>17.791326734039998</v>
      </c>
      <c r="AK19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4" s="26">
        <f>입력란!$C$47+입력란!$C$41+IF(입력란!$C$18=1,10,IF(입력란!$C$18=2,25,IF(입력란!$C$18=3,50,0)))+IF(입력란!$C$23&lt;&gt;0,-12)</f>
        <v>378.9445412</v>
      </c>
      <c r="AM194" s="30">
        <f t="shared" si="28"/>
        <v>205182.55267630963</v>
      </c>
      <c r="AN194" s="30">
        <f>(VLOOKUP(C194,$B$4:$AJ$7,14,FALSE)+VLOOKUP(C194,$B$8:$AJ$11,14,FALSE)*입력란!$C$29)*입력란!$C$48/100</f>
        <v>102583.17465788212</v>
      </c>
      <c r="AO194" s="26">
        <f>(VLOOKUP(C194,$B$4:$AJ$7,15,FALSE)+VLOOKUP(C194,$B$8:$AJ$11,15,FALSE)*입력란!$C$29)*입력란!$C$48/100</f>
        <v>102599.37801842751</v>
      </c>
      <c r="AP194" s="30"/>
      <c r="AQ194" s="29">
        <v>18</v>
      </c>
    </row>
    <row r="195" spans="2:43" ht="13.5" customHeight="1" x14ac:dyDescent="0.3">
      <c r="B195" s="31">
        <v>180</v>
      </c>
      <c r="C195" s="36">
        <v>4</v>
      </c>
      <c r="D195" s="37" t="s">
        <v>172</v>
      </c>
      <c r="E195" s="38" t="s">
        <v>173</v>
      </c>
      <c r="F195" s="40"/>
      <c r="G195" s="40"/>
      <c r="H195" s="52">
        <f t="shared" si="23"/>
        <v>18413.903522557441</v>
      </c>
      <c r="I195" s="53">
        <f>SUM(J195:Q195)*IF(입력란!$C$16=1,1.04,IF(입력란!$C$16=2,1.1,IF(입력란!$C$16=3,1.2,1)))*IF(입력란!$C$21=1,1+입력란!$C$38*0.001,IF(입력란!$C$21=2,1+입력란!$C$38*0.0022,IF(입력란!$C$21=3,1+입력란!$C$38*0.0045,1)))*IF(입력란!$C$18&lt;&gt;0,0.98,1)</f>
        <v>327607.77401890949</v>
      </c>
      <c r="J195" s="30">
        <f>S195*(1+IF($AK195+IF(입력란!$C$9=1,10,0)+IF(입력란!$C$26=1,10,0)+IF(MID(E195,3,1)="1",트라이포드!J$15,0)&gt;100,100,$AK195+IF(입력란!$C$9=1,10,0)+IF(입력란!$C$26=1,10,0)+IF(MID(E195,3,1)="1",트라이포드!J$15,0))/100*($AL195/100-1))</f>
        <v>163803.88700945475</v>
      </c>
      <c r="K195" s="30">
        <f>T195*(1+IF($AK195+IF(입력란!$C$9=1,10,0)+IF(입력란!$C$26=1,10,0)&gt;100,100,$AK195+IF(입력란!$C$9=1,10,0)+IF(입력란!$C$26=1,10,0))/100*($AL195/100-1))</f>
        <v>163803.88700945475</v>
      </c>
      <c r="L195" s="30"/>
      <c r="M195" s="30"/>
      <c r="N195" s="39"/>
      <c r="O195" s="39"/>
      <c r="P195" s="39"/>
      <c r="Q195" s="27"/>
      <c r="R195" s="24">
        <f t="shared" si="24"/>
        <v>205166.34931576424</v>
      </c>
      <c r="S195" s="30">
        <f>AN195*IF(입력란!$C$12=0,1,IF(입력란!$C$12=1,1.3,IF(입력란!$C$12=2,1.45,IF(입력란!$C$12=3,1.6,1))))*IF(MID(E195,3,1)="2",트라이포드!$L$15,트라이포드!$K$15)*IF(입력란!$C$9=1,IF(입력란!$C$15=0,1.05,IF(입력란!$C$15=1,1.05*1.05,IF(입력란!$C$15=2,1.05*1.12,IF(입력란!$C$15=3,1.05*1.25)))),1)</f>
        <v>102583.17465788212</v>
      </c>
      <c r="T195" s="30">
        <f>AN195*IF(입력란!$C$12=0,1,IF(입력란!$C$12=1,1.3,IF(입력란!$C$12=2,1.45,IF(입력란!$C$12=3,1.6,1))))*IF(MID(E195,5,1)="1",트라이포드!$P$15,IF(MID(E195,5,1)="2",트라이포드!$R$15,1))*IF(입력란!$C$9=1,IF(입력란!$C$15=0,1.05,IF(입력란!$C$15=1,1.05*1.05,IF(입력란!$C$15=2,1.05*1.12,IF(입력란!$C$15=3,1.05*1.25)))),1)</f>
        <v>102583.17465788212</v>
      </c>
      <c r="U195" s="30"/>
      <c r="V195" s="30"/>
      <c r="W195" s="39"/>
      <c r="X195" s="39"/>
      <c r="Y195" s="39"/>
      <c r="Z195" s="25"/>
      <c r="AA195" s="30">
        <f t="shared" si="25"/>
        <v>410332.69863152847</v>
      </c>
      <c r="AB195" s="30">
        <f t="shared" si="26"/>
        <v>205166.34931576424</v>
      </c>
      <c r="AC195" s="30">
        <f t="shared" si="27"/>
        <v>205166.34931576424</v>
      </c>
      <c r="AD195" s="30"/>
      <c r="AE195" s="30"/>
      <c r="AF195" s="39"/>
      <c r="AG195" s="39"/>
      <c r="AH195" s="39"/>
      <c r="AI195" s="25"/>
      <c r="AJ195" s="26">
        <f>(AQ195-IF(MID(E195,1,1)="1",트라이포드!$D$15,트라이포드!$C$15))*(1-입력란!$C$35/100)</f>
        <v>17.791326734039998</v>
      </c>
      <c r="AK19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5" s="26">
        <f>입력란!$C$47+입력란!$C$41+IF(입력란!$C$18=1,10,IF(입력란!$C$18=2,25,IF(입력란!$C$18=3,50,0)))+IF(입력란!$C$23&lt;&gt;0,-12)</f>
        <v>378.9445412</v>
      </c>
      <c r="AM195" s="30">
        <f t="shared" si="28"/>
        <v>205182.55267630963</v>
      </c>
      <c r="AN195" s="30">
        <f>(VLOOKUP(C195,$B$4:$AJ$7,14,FALSE)+VLOOKUP(C195,$B$8:$AJ$11,14,FALSE)*입력란!$C$29)*입력란!$C$48/100</f>
        <v>102583.17465788212</v>
      </c>
      <c r="AO195" s="26">
        <f>(VLOOKUP(C195,$B$4:$AJ$7,15,FALSE)+VLOOKUP(C195,$B$8:$AJ$11,15,FALSE)*입력란!$C$29)*입력란!$C$48/100</f>
        <v>102599.37801842751</v>
      </c>
      <c r="AP195" s="30"/>
      <c r="AQ195" s="29">
        <v>18</v>
      </c>
    </row>
    <row r="196" spans="2:43" ht="13.5" customHeight="1" x14ac:dyDescent="0.3">
      <c r="B196" s="31">
        <v>181</v>
      </c>
      <c r="C196" s="36">
        <v>7</v>
      </c>
      <c r="D196" s="37" t="s">
        <v>172</v>
      </c>
      <c r="E196" s="38" t="s">
        <v>96</v>
      </c>
      <c r="F196" s="40"/>
      <c r="G196" s="40"/>
      <c r="H196" s="52">
        <f t="shared" si="23"/>
        <v>18432.428147573828</v>
      </c>
      <c r="I196" s="53">
        <f>SUM(J196:Q196)*IF(입력란!$C$16=1,1.04,IF(입력란!$C$16=2,1.1,IF(입력란!$C$16=3,1.2,1)))*IF(입력란!$C$21=1,1+입력란!$C$38*0.001,IF(입력란!$C$21=2,1+입력란!$C$38*0.0022,IF(입력란!$C$21=3,1+입력란!$C$38*0.0045,1)))*IF(입력란!$C$18&lt;&gt;0,0.98,1)</f>
        <v>327937.35167520161</v>
      </c>
      <c r="J196" s="30">
        <f>S196*(1+IF($AK196+IF(입력란!$C$9=1,10,0)+IF(입력란!$C$26=1,10,0)+IF(MID(E196,3,1)="1",트라이포드!J$15,0)&gt;100,100,$AK196+IF(입력란!$C$9=1,10,0)+IF(입력란!$C$26=1,10,0)+IF(MID(E196,3,1)="1",트라이포드!J$15,0))/100*($AL196/100-1))</f>
        <v>163968.67583760081</v>
      </c>
      <c r="K196" s="30">
        <f>T196*(1+IF($AK196+IF(입력란!$C$9=1,10,0)+IF(입력란!$C$26=1,10,0)&gt;100,100,$AK196+IF(입력란!$C$9=1,10,0)+IF(입력란!$C$26=1,10,0))/100*($AL196/100-1))</f>
        <v>163968.67583760081</v>
      </c>
      <c r="L196" s="30"/>
      <c r="M196" s="30"/>
      <c r="N196" s="39"/>
      <c r="O196" s="39"/>
      <c r="P196" s="39"/>
      <c r="Q196" s="27"/>
      <c r="R196" s="24">
        <f t="shared" si="24"/>
        <v>205372.74931576423</v>
      </c>
      <c r="S196" s="30">
        <f>AN196*IF(입력란!$C$12=0,1,IF(입력란!$C$12=1,1.3,IF(입력란!$C$12=2,1.45,IF(입력란!$C$12=3,1.6,1))))*IF(MID(E196,3,1)="2",트라이포드!$L$15,트라이포드!$K$15)*IF(입력란!$C$9=1,IF(입력란!$C$15=0,1.05,IF(입력란!$C$15=1,1.05*1.05,IF(입력란!$C$15=2,1.05*1.12,IF(입력란!$C$15=3,1.05*1.25)))),1)</f>
        <v>102686.37465788212</v>
      </c>
      <c r="T196" s="30">
        <f>AN196*IF(입력란!$C$12=0,1,IF(입력란!$C$12=1,1.3,IF(입력란!$C$12=2,1.45,IF(입력란!$C$12=3,1.6,1))))*IF(MID(E196,5,1)="1",트라이포드!$P$15,IF(MID(E196,5,1)="2",트라이포드!$R$15,1))*IF(입력란!$C$9=1,IF(입력란!$C$15=0,1.05,IF(입력란!$C$15=1,1.05*1.05,IF(입력란!$C$15=2,1.05*1.12,IF(입력란!$C$15=3,1.05*1.25)))),1)</f>
        <v>102686.37465788212</v>
      </c>
      <c r="U196" s="30"/>
      <c r="V196" s="30"/>
      <c r="W196" s="39"/>
      <c r="X196" s="39"/>
      <c r="Y196" s="39"/>
      <c r="Z196" s="25"/>
      <c r="AA196" s="30">
        <f t="shared" si="25"/>
        <v>410745.49863152846</v>
      </c>
      <c r="AB196" s="30">
        <f t="shared" si="26"/>
        <v>205372.74931576423</v>
      </c>
      <c r="AC196" s="30">
        <f t="shared" si="27"/>
        <v>205372.74931576423</v>
      </c>
      <c r="AD196" s="30"/>
      <c r="AE196" s="30"/>
      <c r="AF196" s="39"/>
      <c r="AG196" s="39"/>
      <c r="AH196" s="39"/>
      <c r="AI196" s="25"/>
      <c r="AJ196" s="26">
        <f>(AQ196-IF(MID(E196,1,1)="1",트라이포드!$D$15,트라이포드!$C$15))*(1-입력란!$C$35/100)</f>
        <v>17.791326734039998</v>
      </c>
      <c r="AK19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6" s="26">
        <f>입력란!$C$47+입력란!$C$41+IF(입력란!$C$18=1,10,IF(입력란!$C$18=2,25,IF(입력란!$C$18=3,50,0)))+IF(입력란!$C$23&lt;&gt;0,-12)</f>
        <v>378.9445412</v>
      </c>
      <c r="AM196" s="30">
        <f t="shared" si="28"/>
        <v>205388.95267630962</v>
      </c>
      <c r="AN196" s="30">
        <f>(VLOOKUP(C196,$B$4:$AJ$7,14,FALSE)+VLOOKUP(C196,$B$8:$AJ$11,14,FALSE)*입력란!$C$29)*입력란!$C$48/100</f>
        <v>102686.37465788212</v>
      </c>
      <c r="AO196" s="26">
        <f>(VLOOKUP(C196,$B$4:$AJ$7,15,FALSE)+VLOOKUP(C196,$B$8:$AJ$11,15,FALSE)*입력란!$C$29)*입력란!$C$48/100</f>
        <v>102702.57801842751</v>
      </c>
      <c r="AP196" s="30"/>
      <c r="AQ196" s="29">
        <v>18</v>
      </c>
    </row>
    <row r="197" spans="2:43" ht="13.5" customHeight="1" x14ac:dyDescent="0.3">
      <c r="B197" s="31">
        <v>182</v>
      </c>
      <c r="C197" s="36">
        <v>7</v>
      </c>
      <c r="D197" s="37" t="s">
        <v>172</v>
      </c>
      <c r="E197" s="38" t="s">
        <v>98</v>
      </c>
      <c r="F197" s="40"/>
      <c r="G197" s="40"/>
      <c r="H197" s="52">
        <f t="shared" si="23"/>
        <v>28092.34978061212</v>
      </c>
      <c r="I197" s="53">
        <f>SUM(J197:Q197)*IF(입력란!$C$16=1,1.04,IF(입력란!$C$16=2,1.1,IF(입력란!$C$16=3,1.2,1)))*IF(입력란!$C$21=1,1+입력란!$C$38*0.001,IF(입력란!$C$21=2,1+입력란!$C$38*0.0022,IF(입력란!$C$21=3,1+입력란!$C$38*0.0045,1)))*IF(입력란!$C$18&lt;&gt;0,0.98,1)</f>
        <v>499800.17367380706</v>
      </c>
      <c r="J197" s="30">
        <f>S197*(1+IF($AK197+IF(입력란!$C$9=1,10,0)+IF(입력란!$C$26=1,10,0)+IF(MID(E197,3,1)="1",트라이포드!J$15,0)&gt;100,100,$AK197+IF(입력란!$C$9=1,10,0)+IF(입력란!$C$26=1,10,0)+IF(MID(E197,3,1)="1",트라이포드!J$15,0))/100*($AL197/100-1))</f>
        <v>335831.49783620622</v>
      </c>
      <c r="K197" s="30">
        <f>T197*(1+IF($AK197+IF(입력란!$C$9=1,10,0)+IF(입력란!$C$26=1,10,0)&gt;100,100,$AK197+IF(입력란!$C$9=1,10,0)+IF(입력란!$C$26=1,10,0))/100*($AL197/100-1))</f>
        <v>163968.67583760081</v>
      </c>
      <c r="L197" s="30"/>
      <c r="M197" s="30"/>
      <c r="N197" s="39"/>
      <c r="O197" s="39"/>
      <c r="P197" s="39"/>
      <c r="Q197" s="27"/>
      <c r="R197" s="24">
        <f t="shared" si="24"/>
        <v>205372.74931576423</v>
      </c>
      <c r="S197" s="30">
        <f>AN197*IF(입력란!$C$12=0,1,IF(입력란!$C$12=1,1.3,IF(입력란!$C$12=2,1.45,IF(입력란!$C$12=3,1.6,1))))*IF(MID(E197,3,1)="2",트라이포드!$L$15,트라이포드!$K$15)*IF(입력란!$C$9=1,IF(입력란!$C$15=0,1.05,IF(입력란!$C$15=1,1.05*1.05,IF(입력란!$C$15=2,1.05*1.12,IF(입력란!$C$15=3,1.05*1.25)))),1)</f>
        <v>102686.37465788212</v>
      </c>
      <c r="T197" s="30">
        <f>AN197*IF(입력란!$C$12=0,1,IF(입력란!$C$12=1,1.3,IF(입력란!$C$12=2,1.45,IF(입력란!$C$12=3,1.6,1))))*IF(MID(E197,5,1)="1",트라이포드!$P$15,IF(MID(E197,5,1)="2",트라이포드!$R$15,1))*IF(입력란!$C$9=1,IF(입력란!$C$15=0,1.05,IF(입력란!$C$15=1,1.05*1.05,IF(입력란!$C$15=2,1.05*1.12,IF(입력란!$C$15=3,1.05*1.25)))),1)</f>
        <v>102686.37465788212</v>
      </c>
      <c r="U197" s="30"/>
      <c r="V197" s="30"/>
      <c r="W197" s="39"/>
      <c r="X197" s="39"/>
      <c r="Y197" s="39"/>
      <c r="Z197" s="25"/>
      <c r="AA197" s="30">
        <f t="shared" si="25"/>
        <v>410745.49863152846</v>
      </c>
      <c r="AB197" s="30">
        <f t="shared" si="26"/>
        <v>205372.74931576423</v>
      </c>
      <c r="AC197" s="30">
        <f t="shared" si="27"/>
        <v>205372.74931576423</v>
      </c>
      <c r="AD197" s="30"/>
      <c r="AE197" s="30"/>
      <c r="AF197" s="39"/>
      <c r="AG197" s="39"/>
      <c r="AH197" s="39"/>
      <c r="AI197" s="25"/>
      <c r="AJ197" s="26">
        <f>(AQ197-IF(MID(E197,1,1)="1",트라이포드!$D$15,트라이포드!$C$15))*(1-입력란!$C$35/100)</f>
        <v>17.791326734039998</v>
      </c>
      <c r="AK19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7" s="26">
        <f>입력란!$C$47+입력란!$C$41+IF(입력란!$C$18=1,10,IF(입력란!$C$18=2,25,IF(입력란!$C$18=3,50,0)))+IF(입력란!$C$23&lt;&gt;0,-12)</f>
        <v>378.9445412</v>
      </c>
      <c r="AM197" s="30">
        <f t="shared" si="28"/>
        <v>205388.95267630962</v>
      </c>
      <c r="AN197" s="30">
        <f>(VLOOKUP(C197,$B$4:$AJ$7,14,FALSE)+VLOOKUP(C197,$B$8:$AJ$11,14,FALSE)*입력란!$C$29)*입력란!$C$48/100</f>
        <v>102686.37465788212</v>
      </c>
      <c r="AO197" s="26">
        <f>(VLOOKUP(C197,$B$4:$AJ$7,15,FALSE)+VLOOKUP(C197,$B$8:$AJ$11,15,FALSE)*입력란!$C$29)*입력란!$C$48/100</f>
        <v>102702.57801842751</v>
      </c>
      <c r="AP197" s="30"/>
      <c r="AQ197" s="29">
        <v>18</v>
      </c>
    </row>
    <row r="198" spans="2:43" ht="13.5" customHeight="1" x14ac:dyDescent="0.3">
      <c r="B198" s="31">
        <v>183</v>
      </c>
      <c r="C198" s="36">
        <v>7</v>
      </c>
      <c r="D198" s="37" t="s">
        <v>172</v>
      </c>
      <c r="E198" s="38" t="s">
        <v>99</v>
      </c>
      <c r="F198" s="40"/>
      <c r="G198" s="40"/>
      <c r="H198" s="52">
        <f t="shared" si="23"/>
        <v>23040.535184467284</v>
      </c>
      <c r="I198" s="53">
        <f>SUM(J198:Q198)*IF(입력란!$C$16=1,1.04,IF(입력란!$C$16=2,1.1,IF(입력란!$C$16=3,1.2,1)))*IF(입력란!$C$21=1,1+입력란!$C$38*0.001,IF(입력란!$C$21=2,1+입력란!$C$38*0.0022,IF(입력란!$C$21=3,1+입력란!$C$38*0.0045,1)))*IF(입력란!$C$18&lt;&gt;0,0.98,1)</f>
        <v>409921.68959400197</v>
      </c>
      <c r="J198" s="30">
        <f>S198*(1+IF($AK198+IF(입력란!$C$9=1,10,0)+IF(입력란!$C$26=1,10,0)+IF(MID(E198,3,1)="1",트라이포드!J$15,0)&gt;100,100,$AK198+IF(입력란!$C$9=1,10,0)+IF(입력란!$C$26=1,10,0)+IF(MID(E198,3,1)="1",트라이포드!J$15,0))/100*($AL198/100-1))</f>
        <v>245953.01375640117</v>
      </c>
      <c r="K198" s="30">
        <f>T198*(1+IF($AK198+IF(입력란!$C$9=1,10,0)+IF(입력란!$C$26=1,10,0)&gt;100,100,$AK198+IF(입력란!$C$9=1,10,0)+IF(입력란!$C$26=1,10,0))/100*($AL198/100-1))</f>
        <v>163968.67583760081</v>
      </c>
      <c r="L198" s="30"/>
      <c r="M198" s="30"/>
      <c r="N198" s="39"/>
      <c r="O198" s="39"/>
      <c r="P198" s="39"/>
      <c r="Q198" s="27"/>
      <c r="R198" s="24">
        <f t="shared" si="24"/>
        <v>256715.93664470527</v>
      </c>
      <c r="S198" s="30">
        <f>AN198*IF(입력란!$C$12=0,1,IF(입력란!$C$12=1,1.3,IF(입력란!$C$12=2,1.45,IF(입력란!$C$12=3,1.6,1))))*IF(MID(E198,3,1)="2",트라이포드!$L$15,트라이포드!$K$15)*IF(입력란!$C$9=1,IF(입력란!$C$15=0,1.05,IF(입력란!$C$15=1,1.05*1.05,IF(입력란!$C$15=2,1.05*1.12,IF(입력란!$C$15=3,1.05*1.25)))),1)</f>
        <v>154029.56198682316</v>
      </c>
      <c r="T198" s="30">
        <f>AN198*IF(입력란!$C$12=0,1,IF(입력란!$C$12=1,1.3,IF(입력란!$C$12=2,1.45,IF(입력란!$C$12=3,1.6,1))))*IF(MID(E198,5,1)="1",트라이포드!$P$15,IF(MID(E198,5,1)="2",트라이포드!$R$15,1))*IF(입력란!$C$9=1,IF(입력란!$C$15=0,1.05,IF(입력란!$C$15=1,1.05*1.05,IF(입력란!$C$15=2,1.05*1.12,IF(입력란!$C$15=3,1.05*1.25)))),1)</f>
        <v>102686.37465788212</v>
      </c>
      <c r="U198" s="30"/>
      <c r="V198" s="30"/>
      <c r="W198" s="39"/>
      <c r="X198" s="39"/>
      <c r="Y198" s="39"/>
      <c r="Z198" s="25"/>
      <c r="AA198" s="30">
        <f t="shared" si="25"/>
        <v>513431.87328941055</v>
      </c>
      <c r="AB198" s="30">
        <f t="shared" si="26"/>
        <v>308059.12397364632</v>
      </c>
      <c r="AC198" s="30">
        <f t="shared" si="27"/>
        <v>205372.74931576423</v>
      </c>
      <c r="AD198" s="30"/>
      <c r="AE198" s="30"/>
      <c r="AF198" s="39"/>
      <c r="AG198" s="39"/>
      <c r="AH198" s="39"/>
      <c r="AI198" s="25"/>
      <c r="AJ198" s="26">
        <f>(AQ198-IF(MID(E198,1,1)="1",트라이포드!$D$15,트라이포드!$C$15))*(1-입력란!$C$35/100)</f>
        <v>17.791326734039998</v>
      </c>
      <c r="AK19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8" s="26">
        <f>입력란!$C$47+입력란!$C$41+IF(입력란!$C$18=1,10,IF(입력란!$C$18=2,25,IF(입력란!$C$18=3,50,0)))+IF(입력란!$C$23&lt;&gt;0,-12)</f>
        <v>378.9445412</v>
      </c>
      <c r="AM198" s="30">
        <f t="shared" si="28"/>
        <v>205388.95267630962</v>
      </c>
      <c r="AN198" s="30">
        <f>(VLOOKUP(C198,$B$4:$AJ$7,14,FALSE)+VLOOKUP(C198,$B$8:$AJ$11,14,FALSE)*입력란!$C$29)*입력란!$C$48/100</f>
        <v>102686.37465788212</v>
      </c>
      <c r="AO198" s="26">
        <f>(VLOOKUP(C198,$B$4:$AJ$7,15,FALSE)+VLOOKUP(C198,$B$8:$AJ$11,15,FALSE)*입력란!$C$29)*입력란!$C$48/100</f>
        <v>102702.57801842751</v>
      </c>
      <c r="AP198" s="30"/>
      <c r="AQ198" s="29">
        <v>18</v>
      </c>
    </row>
    <row r="199" spans="2:43" ht="13.5" customHeight="1" x14ac:dyDescent="0.3">
      <c r="B199" s="31">
        <v>184</v>
      </c>
      <c r="C199" s="36">
        <v>7</v>
      </c>
      <c r="D199" s="37" t="s">
        <v>172</v>
      </c>
      <c r="E199" s="38" t="s">
        <v>173</v>
      </c>
      <c r="F199" s="40"/>
      <c r="G199" s="40"/>
      <c r="H199" s="52">
        <f t="shared" si="23"/>
        <v>18432.428147573828</v>
      </c>
      <c r="I199" s="53">
        <f>SUM(J199:Q199)*IF(입력란!$C$16=1,1.04,IF(입력란!$C$16=2,1.1,IF(입력란!$C$16=3,1.2,1)))*IF(입력란!$C$21=1,1+입력란!$C$38*0.001,IF(입력란!$C$21=2,1+입력란!$C$38*0.0022,IF(입력란!$C$21=3,1+입력란!$C$38*0.0045,1)))*IF(입력란!$C$18&lt;&gt;0,0.98,1)</f>
        <v>327937.35167520161</v>
      </c>
      <c r="J199" s="30">
        <f>S199*(1+IF($AK199+IF(입력란!$C$9=1,10,0)+IF(입력란!$C$26=1,10,0)+IF(MID(E199,3,1)="1",트라이포드!J$15,0)&gt;100,100,$AK199+IF(입력란!$C$9=1,10,0)+IF(입력란!$C$26=1,10,0)+IF(MID(E199,3,1)="1",트라이포드!J$15,0))/100*($AL199/100-1))</f>
        <v>163968.67583760081</v>
      </c>
      <c r="K199" s="30">
        <f>T199*(1+IF($AK199+IF(입력란!$C$9=1,10,0)+IF(입력란!$C$26=1,10,0)&gt;100,100,$AK199+IF(입력란!$C$9=1,10,0)+IF(입력란!$C$26=1,10,0))/100*($AL199/100-1))</f>
        <v>163968.67583760081</v>
      </c>
      <c r="L199" s="30"/>
      <c r="M199" s="30"/>
      <c r="N199" s="39"/>
      <c r="O199" s="39"/>
      <c r="P199" s="39"/>
      <c r="Q199" s="27"/>
      <c r="R199" s="24">
        <f t="shared" si="24"/>
        <v>205372.74931576423</v>
      </c>
      <c r="S199" s="30">
        <f>AN199*IF(입력란!$C$12=0,1,IF(입력란!$C$12=1,1.3,IF(입력란!$C$12=2,1.45,IF(입력란!$C$12=3,1.6,1))))*IF(MID(E199,3,1)="2",트라이포드!$L$15,트라이포드!$K$15)*IF(입력란!$C$9=1,IF(입력란!$C$15=0,1.05,IF(입력란!$C$15=1,1.05*1.05,IF(입력란!$C$15=2,1.05*1.12,IF(입력란!$C$15=3,1.05*1.25)))),1)</f>
        <v>102686.37465788212</v>
      </c>
      <c r="T199" s="30">
        <f>AN199*IF(입력란!$C$12=0,1,IF(입력란!$C$12=1,1.3,IF(입력란!$C$12=2,1.45,IF(입력란!$C$12=3,1.6,1))))*IF(MID(E199,5,1)="1",트라이포드!$P$15,IF(MID(E199,5,1)="2",트라이포드!$R$15,1))*IF(입력란!$C$9=1,IF(입력란!$C$15=0,1.05,IF(입력란!$C$15=1,1.05*1.05,IF(입력란!$C$15=2,1.05*1.12,IF(입력란!$C$15=3,1.05*1.25)))),1)</f>
        <v>102686.37465788212</v>
      </c>
      <c r="U199" s="30"/>
      <c r="V199" s="30"/>
      <c r="W199" s="39"/>
      <c r="X199" s="39"/>
      <c r="Y199" s="39"/>
      <c r="Z199" s="25"/>
      <c r="AA199" s="30">
        <f t="shared" si="25"/>
        <v>410745.49863152846</v>
      </c>
      <c r="AB199" s="30">
        <f t="shared" si="26"/>
        <v>205372.74931576423</v>
      </c>
      <c r="AC199" s="30">
        <f t="shared" si="27"/>
        <v>205372.74931576423</v>
      </c>
      <c r="AD199" s="30"/>
      <c r="AE199" s="30"/>
      <c r="AF199" s="39"/>
      <c r="AG199" s="39"/>
      <c r="AH199" s="39"/>
      <c r="AI199" s="27"/>
      <c r="AJ199" s="26">
        <f>(AQ199-IF(MID(E199,1,1)="1",트라이포드!$D$15,트라이포드!$C$15))*(1-입력란!$C$35/100)</f>
        <v>17.791326734039998</v>
      </c>
      <c r="AK19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199" s="26">
        <f>입력란!$C$47+입력란!$C$41+IF(입력란!$C$18=1,10,IF(입력란!$C$18=2,25,IF(입력란!$C$18=3,50,0)))+IF(입력란!$C$23&lt;&gt;0,-12)</f>
        <v>378.9445412</v>
      </c>
      <c r="AM199" s="30">
        <f t="shared" si="28"/>
        <v>205388.95267630962</v>
      </c>
      <c r="AN199" s="30">
        <f>(VLOOKUP(C199,$B$4:$AJ$7,14,FALSE)+VLOOKUP(C199,$B$8:$AJ$11,14,FALSE)*입력란!$C$29)*입력란!$C$48/100</f>
        <v>102686.37465788212</v>
      </c>
      <c r="AO199" s="26">
        <f>(VLOOKUP(C199,$B$4:$AJ$7,15,FALSE)+VLOOKUP(C199,$B$8:$AJ$11,15,FALSE)*입력란!$C$29)*입력란!$C$48/100</f>
        <v>102702.57801842751</v>
      </c>
      <c r="AP199" s="30"/>
      <c r="AQ199" s="29">
        <v>18</v>
      </c>
    </row>
    <row r="200" spans="2:43" ht="13.5" customHeight="1" x14ac:dyDescent="0.3">
      <c r="B200" s="31">
        <v>185</v>
      </c>
      <c r="C200" s="36">
        <v>7</v>
      </c>
      <c r="D200" s="37" t="s">
        <v>172</v>
      </c>
      <c r="E200" s="38" t="s">
        <v>174</v>
      </c>
      <c r="F200" s="40"/>
      <c r="G200" s="40"/>
      <c r="H200" s="52">
        <f t="shared" si="23"/>
        <v>28092.34978061212</v>
      </c>
      <c r="I200" s="53">
        <f>SUM(J200:Q200)*IF(입력란!$C$16=1,1.04,IF(입력란!$C$16=2,1.1,IF(입력란!$C$16=3,1.2,1)))*IF(입력란!$C$21=1,1+입력란!$C$38*0.001,IF(입력란!$C$21=2,1+입력란!$C$38*0.0022,IF(입력란!$C$21=3,1+입력란!$C$38*0.0045,1)))*IF(입력란!$C$18&lt;&gt;0,0.98,1)</f>
        <v>499800.17367380706</v>
      </c>
      <c r="J200" s="30">
        <f>S200*(1+IF($AK200+IF(입력란!$C$9=1,10,0)+IF(입력란!$C$26=1,10,0)+IF(MID(E200,3,1)="1",트라이포드!J$15,0)&gt;100,100,$AK200+IF(입력란!$C$9=1,10,0)+IF(입력란!$C$26=1,10,0)+IF(MID(E200,3,1)="1",트라이포드!J$15,0))/100*($AL200/100-1))</f>
        <v>335831.49783620622</v>
      </c>
      <c r="K200" s="30">
        <f>T200*(1+IF($AK200+IF(입력란!$C$9=1,10,0)+IF(입력란!$C$26=1,10,0)&gt;100,100,$AK200+IF(입력란!$C$9=1,10,0)+IF(입력란!$C$26=1,10,0))/100*($AL200/100-1))</f>
        <v>163968.67583760081</v>
      </c>
      <c r="L200" s="30"/>
      <c r="M200" s="30"/>
      <c r="N200" s="39"/>
      <c r="O200" s="39"/>
      <c r="P200" s="39"/>
      <c r="Q200" s="27"/>
      <c r="R200" s="24">
        <f t="shared" si="24"/>
        <v>205372.74931576423</v>
      </c>
      <c r="S200" s="30">
        <f>AN200*IF(입력란!$C$12=0,1,IF(입력란!$C$12=1,1.3,IF(입력란!$C$12=2,1.45,IF(입력란!$C$12=3,1.6,1))))*IF(MID(E200,3,1)="2",트라이포드!$L$15,트라이포드!$K$15)*IF(입력란!$C$9=1,IF(입력란!$C$15=0,1.05,IF(입력란!$C$15=1,1.05*1.05,IF(입력란!$C$15=2,1.05*1.12,IF(입력란!$C$15=3,1.05*1.25)))),1)</f>
        <v>102686.37465788212</v>
      </c>
      <c r="T200" s="30">
        <f>AN200*IF(입력란!$C$12=0,1,IF(입력란!$C$12=1,1.3,IF(입력란!$C$12=2,1.45,IF(입력란!$C$12=3,1.6,1))))*IF(MID(E200,5,1)="1",트라이포드!$P$15,IF(MID(E200,5,1)="2",트라이포드!$R$15,1))*IF(입력란!$C$9=1,IF(입력란!$C$15=0,1.05,IF(입력란!$C$15=1,1.05*1.05,IF(입력란!$C$15=2,1.05*1.12,IF(입력란!$C$15=3,1.05*1.25)))),1)</f>
        <v>102686.37465788212</v>
      </c>
      <c r="U200" s="30"/>
      <c r="V200" s="30"/>
      <c r="W200" s="39"/>
      <c r="X200" s="39"/>
      <c r="Y200" s="39"/>
      <c r="Z200" s="25"/>
      <c r="AA200" s="30">
        <f t="shared" si="25"/>
        <v>410745.49863152846</v>
      </c>
      <c r="AB200" s="30">
        <f t="shared" si="26"/>
        <v>205372.74931576423</v>
      </c>
      <c r="AC200" s="30">
        <f t="shared" si="27"/>
        <v>205372.74931576423</v>
      </c>
      <c r="AD200" s="30"/>
      <c r="AE200" s="30"/>
      <c r="AF200" s="39"/>
      <c r="AG200" s="39"/>
      <c r="AH200" s="39"/>
      <c r="AI200" s="27"/>
      <c r="AJ200" s="26">
        <f>(AQ200-IF(MID(E200,1,1)="1",트라이포드!$D$15,트라이포드!$C$15))*(1-입력란!$C$35/100)</f>
        <v>17.791326734039998</v>
      </c>
      <c r="AK20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0" s="26">
        <f>입력란!$C$47+입력란!$C$41+IF(입력란!$C$18=1,10,IF(입력란!$C$18=2,25,IF(입력란!$C$18=3,50,0)))+IF(입력란!$C$23&lt;&gt;0,-12)</f>
        <v>378.9445412</v>
      </c>
      <c r="AM200" s="30">
        <f t="shared" si="28"/>
        <v>205388.95267630962</v>
      </c>
      <c r="AN200" s="30">
        <f>(VLOOKUP(C200,$B$4:$AJ$7,14,FALSE)+VLOOKUP(C200,$B$8:$AJ$11,14,FALSE)*입력란!$C$29)*입력란!$C$48/100</f>
        <v>102686.37465788212</v>
      </c>
      <c r="AO200" s="26">
        <f>(VLOOKUP(C200,$B$4:$AJ$7,15,FALSE)+VLOOKUP(C200,$B$8:$AJ$11,15,FALSE)*입력란!$C$29)*입력란!$C$48/100</f>
        <v>102702.57801842751</v>
      </c>
      <c r="AP200" s="30"/>
      <c r="AQ200" s="29">
        <v>18</v>
      </c>
    </row>
    <row r="201" spans="2:43" ht="13.5" customHeight="1" x14ac:dyDescent="0.3">
      <c r="B201" s="31">
        <v>186</v>
      </c>
      <c r="C201" s="36">
        <v>7</v>
      </c>
      <c r="D201" s="37" t="s">
        <v>172</v>
      </c>
      <c r="E201" s="38" t="s">
        <v>175</v>
      </c>
      <c r="F201" s="40"/>
      <c r="G201" s="40"/>
      <c r="H201" s="52">
        <f t="shared" si="23"/>
        <v>23040.535184467284</v>
      </c>
      <c r="I201" s="53">
        <f>SUM(J201:Q201)*IF(입력란!$C$16=1,1.04,IF(입력란!$C$16=2,1.1,IF(입력란!$C$16=3,1.2,1)))*IF(입력란!$C$21=1,1+입력란!$C$38*0.001,IF(입력란!$C$21=2,1+입력란!$C$38*0.0022,IF(입력란!$C$21=3,1+입력란!$C$38*0.0045,1)))*IF(입력란!$C$18&lt;&gt;0,0.98,1)</f>
        <v>409921.68959400197</v>
      </c>
      <c r="J201" s="30">
        <f>S201*(1+IF($AK201+IF(입력란!$C$9=1,10,0)+IF(입력란!$C$26=1,10,0)+IF(MID(E201,3,1)="1",트라이포드!J$15,0)&gt;100,100,$AK201+IF(입력란!$C$9=1,10,0)+IF(입력란!$C$26=1,10,0)+IF(MID(E201,3,1)="1",트라이포드!J$15,0))/100*($AL201/100-1))</f>
        <v>245953.01375640117</v>
      </c>
      <c r="K201" s="30">
        <f>T201*(1+IF($AK201+IF(입력란!$C$9=1,10,0)+IF(입력란!$C$26=1,10,0)&gt;100,100,$AK201+IF(입력란!$C$9=1,10,0)+IF(입력란!$C$26=1,10,0))/100*($AL201/100-1))</f>
        <v>163968.67583760081</v>
      </c>
      <c r="L201" s="30"/>
      <c r="M201" s="30"/>
      <c r="N201" s="39"/>
      <c r="O201" s="39"/>
      <c r="P201" s="39"/>
      <c r="Q201" s="27"/>
      <c r="R201" s="24">
        <f t="shared" si="24"/>
        <v>256715.93664470527</v>
      </c>
      <c r="S201" s="30">
        <f>AN201*IF(입력란!$C$12=0,1,IF(입력란!$C$12=1,1.3,IF(입력란!$C$12=2,1.45,IF(입력란!$C$12=3,1.6,1))))*IF(MID(E201,3,1)="2",트라이포드!$L$15,트라이포드!$K$15)*IF(입력란!$C$9=1,IF(입력란!$C$15=0,1.05,IF(입력란!$C$15=1,1.05*1.05,IF(입력란!$C$15=2,1.05*1.12,IF(입력란!$C$15=3,1.05*1.25)))),1)</f>
        <v>154029.56198682316</v>
      </c>
      <c r="T201" s="30">
        <f>AN201*IF(입력란!$C$12=0,1,IF(입력란!$C$12=1,1.3,IF(입력란!$C$12=2,1.45,IF(입력란!$C$12=3,1.6,1))))*IF(MID(E201,5,1)="1",트라이포드!$P$15,IF(MID(E201,5,1)="2",트라이포드!$R$15,1))*IF(입력란!$C$9=1,IF(입력란!$C$15=0,1.05,IF(입력란!$C$15=1,1.05*1.05,IF(입력란!$C$15=2,1.05*1.12,IF(입력란!$C$15=3,1.05*1.25)))),1)</f>
        <v>102686.37465788212</v>
      </c>
      <c r="U201" s="30"/>
      <c r="V201" s="30"/>
      <c r="W201" s="39"/>
      <c r="X201" s="39"/>
      <c r="Y201" s="39"/>
      <c r="Z201" s="25"/>
      <c r="AA201" s="30">
        <f t="shared" si="25"/>
        <v>513431.87328941055</v>
      </c>
      <c r="AB201" s="30">
        <f t="shared" si="26"/>
        <v>308059.12397364632</v>
      </c>
      <c r="AC201" s="30">
        <f t="shared" si="27"/>
        <v>205372.74931576423</v>
      </c>
      <c r="AD201" s="30"/>
      <c r="AE201" s="30"/>
      <c r="AF201" s="39"/>
      <c r="AG201" s="39"/>
      <c r="AH201" s="39"/>
      <c r="AI201" s="27"/>
      <c r="AJ201" s="26">
        <f>(AQ201-IF(MID(E201,1,1)="1",트라이포드!$D$15,트라이포드!$C$15))*(1-입력란!$C$35/100)</f>
        <v>17.791326734039998</v>
      </c>
      <c r="AK20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1" s="26">
        <f>입력란!$C$47+입력란!$C$41+IF(입력란!$C$18=1,10,IF(입력란!$C$18=2,25,IF(입력란!$C$18=3,50,0)))+IF(입력란!$C$23&lt;&gt;0,-12)</f>
        <v>378.9445412</v>
      </c>
      <c r="AM201" s="30">
        <f t="shared" si="28"/>
        <v>205388.95267630962</v>
      </c>
      <c r="AN201" s="30">
        <f>(VLOOKUP(C201,$B$4:$AJ$7,14,FALSE)+VLOOKUP(C201,$B$8:$AJ$11,14,FALSE)*입력란!$C$29)*입력란!$C$48/100</f>
        <v>102686.37465788212</v>
      </c>
      <c r="AO201" s="26">
        <f>(VLOOKUP(C201,$B$4:$AJ$7,15,FALSE)+VLOOKUP(C201,$B$8:$AJ$11,15,FALSE)*입력란!$C$29)*입력란!$C$48/100</f>
        <v>102702.57801842751</v>
      </c>
      <c r="AP201" s="30"/>
      <c r="AQ201" s="29">
        <v>18</v>
      </c>
    </row>
    <row r="202" spans="2:43" ht="13.5" customHeight="1" x14ac:dyDescent="0.3">
      <c r="B202" s="31">
        <v>187</v>
      </c>
      <c r="C202" s="36">
        <v>10</v>
      </c>
      <c r="D202" s="37" t="s">
        <v>172</v>
      </c>
      <c r="E202" s="38" t="s">
        <v>96</v>
      </c>
      <c r="F202" s="40"/>
      <c r="G202" s="40"/>
      <c r="H202" s="52">
        <f t="shared" si="23"/>
        <v>18444.203490607499</v>
      </c>
      <c r="I202" s="53">
        <f>SUM(J202:Q202)*IF(입력란!$C$16=1,1.04,IF(입력란!$C$16=2,1.1,IF(입력란!$C$16=3,1.2,1)))*IF(입력란!$C$21=1,1+입력란!$C$38*0.001,IF(입력란!$C$21=2,1+입력란!$C$38*0.0022,IF(입력란!$C$21=3,1+입력란!$C$38*0.0045,1)))*IF(입력란!$C$18&lt;&gt;0,0.98,1)</f>
        <v>328146.85065051907</v>
      </c>
      <c r="J202" s="30">
        <f>S202*(1+IF($AK202+IF(입력란!$C$9=1,10,0)+IF(입력란!$C$26=1,10,0)+IF(MID(E202,3,1)="1",트라이포드!J$15,0)&gt;100,100,$AK202+IF(입력란!$C$9=1,10,0)+IF(입력란!$C$26=1,10,0)+IF(MID(E202,3,1)="1",트라이포드!J$15,0))/100*($AL202/100-1))</f>
        <v>164073.42532525954</v>
      </c>
      <c r="K202" s="30">
        <f>T202*(1+IF($AK202+IF(입력란!$C$9=1,10,0)+IF(입력란!$C$26=1,10,0)&gt;100,100,$AK202+IF(입력란!$C$9=1,10,0)+IF(입력란!$C$26=1,10,0))/100*($AL202/100-1))</f>
        <v>164073.42532525954</v>
      </c>
      <c r="L202" s="30"/>
      <c r="M202" s="30"/>
      <c r="N202" s="39"/>
      <c r="O202" s="39"/>
      <c r="P202" s="39"/>
      <c r="Q202" s="27"/>
      <c r="R202" s="24">
        <f t="shared" si="24"/>
        <v>205503.94931576424</v>
      </c>
      <c r="S202" s="30">
        <f>AN202*IF(입력란!$C$12=0,1,IF(입력란!$C$12=1,1.3,IF(입력란!$C$12=2,1.45,IF(입력란!$C$12=3,1.6,1))))*IF(MID(E202,3,1)="2",트라이포드!$L$15,트라이포드!$K$15)*IF(입력란!$C$9=1,IF(입력란!$C$15=0,1.05,IF(입력란!$C$15=1,1.05*1.05,IF(입력란!$C$15=2,1.05*1.12,IF(입력란!$C$15=3,1.05*1.25)))),1)</f>
        <v>102751.97465788212</v>
      </c>
      <c r="T202" s="30">
        <f>AN202*IF(입력란!$C$12=0,1,IF(입력란!$C$12=1,1.3,IF(입력란!$C$12=2,1.45,IF(입력란!$C$12=3,1.6,1))))*IF(MID(E202,5,1)="1",트라이포드!$P$15,IF(MID(E202,5,1)="2",트라이포드!$R$15,1))*IF(입력란!$C$9=1,IF(입력란!$C$15=0,1.05,IF(입력란!$C$15=1,1.05*1.05,IF(입력란!$C$15=2,1.05*1.12,IF(입력란!$C$15=3,1.05*1.25)))),1)</f>
        <v>102751.97465788212</v>
      </c>
      <c r="U202" s="30"/>
      <c r="V202" s="30"/>
      <c r="W202" s="39"/>
      <c r="X202" s="39"/>
      <c r="Y202" s="39"/>
      <c r="Z202" s="25"/>
      <c r="AA202" s="30">
        <f t="shared" si="25"/>
        <v>411007.89863152849</v>
      </c>
      <c r="AB202" s="30">
        <f t="shared" si="26"/>
        <v>205503.94931576424</v>
      </c>
      <c r="AC202" s="30">
        <f t="shared" si="27"/>
        <v>205503.94931576424</v>
      </c>
      <c r="AD202" s="30"/>
      <c r="AE202" s="30"/>
      <c r="AF202" s="39"/>
      <c r="AG202" s="39"/>
      <c r="AH202" s="39"/>
      <c r="AI202" s="27"/>
      <c r="AJ202" s="26">
        <f>(AQ202-IF(MID(E202,1,1)="1",트라이포드!$D$15,트라이포드!$C$15))*(1-입력란!$C$35/100)</f>
        <v>17.791326734039998</v>
      </c>
      <c r="AK20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2" s="26">
        <f>입력란!$C$47+입력란!$C$41+IF(입력란!$C$18=1,10,IF(입력란!$C$18=2,25,IF(입력란!$C$18=3,50,0)))+IF(입력란!$C$23&lt;&gt;0,-12)</f>
        <v>378.9445412</v>
      </c>
      <c r="AM202" s="30">
        <f t="shared" si="28"/>
        <v>205517.30183617328</v>
      </c>
      <c r="AN202" s="30">
        <f>(VLOOKUP(C202,$B$4:$AJ$7,14,FALSE)+VLOOKUP(C202,$B$8:$AJ$11,14,FALSE)*입력란!$C$29)*입력란!$C$48/100</f>
        <v>102751.97465788212</v>
      </c>
      <c r="AO202" s="26">
        <f>(VLOOKUP(C202,$B$4:$AJ$7,15,FALSE)+VLOOKUP(C202,$B$8:$AJ$11,15,FALSE)*입력란!$C$29)*입력란!$C$48/100</f>
        <v>102765.32717829116</v>
      </c>
      <c r="AP202" s="30"/>
      <c r="AQ202" s="29">
        <v>18</v>
      </c>
    </row>
    <row r="203" spans="2:43" ht="13.5" customHeight="1" x14ac:dyDescent="0.3">
      <c r="B203" s="31">
        <v>188</v>
      </c>
      <c r="C203" s="36">
        <v>10</v>
      </c>
      <c r="D203" s="37" t="s">
        <v>172</v>
      </c>
      <c r="E203" s="38" t="s">
        <v>123</v>
      </c>
      <c r="F203" s="40"/>
      <c r="G203" s="40"/>
      <c r="H203" s="52">
        <f t="shared" si="23"/>
        <v>35043.98663215425</v>
      </c>
      <c r="I203" s="53">
        <f>SUM(J203:Q203)*IF(입력란!$C$16=1,1.04,IF(입력란!$C$16=2,1.1,IF(입력란!$C$16=3,1.2,1)))*IF(입력란!$C$21=1,1+입력란!$C$38*0.001,IF(입력란!$C$21=2,1+입력란!$C$38*0.0022,IF(입력란!$C$21=3,1+입력란!$C$38*0.0045,1)))*IF(입력란!$C$18&lt;&gt;0,0.98,1)</f>
        <v>623479.01623598626</v>
      </c>
      <c r="J203" s="30">
        <f>S203*(1+IF($AK203+IF(입력란!$C$9=1,10,0)+IF(입력란!$C$26=1,10,0)+IF(MID(E203,3,1)="1",트라이포드!J$15,0)&gt;100,100,$AK203+IF(입력란!$C$9=1,10,0)+IF(입력란!$C$26=1,10,0)+IF(MID(E203,3,1)="1",트라이포드!J$15,0))/100*($AL203/100-1))</f>
        <v>164073.42532525954</v>
      </c>
      <c r="K203" s="30">
        <f>T203*(1+IF($AK203+IF(입력란!$C$9=1,10,0)+IF(입력란!$C$26=1,10,0)&gt;100,100,$AK203+IF(입력란!$C$9=1,10,0)+IF(입력란!$C$26=1,10,0))/100*($AL203/100-1))</f>
        <v>459405.59091072669</v>
      </c>
      <c r="L203" s="30"/>
      <c r="M203" s="30"/>
      <c r="N203" s="39"/>
      <c r="O203" s="39"/>
      <c r="P203" s="39"/>
      <c r="Q203" s="27"/>
      <c r="R203" s="24">
        <f t="shared" si="24"/>
        <v>390457.50369995204</v>
      </c>
      <c r="S203" s="30">
        <f>AN203*IF(입력란!$C$12=0,1,IF(입력란!$C$12=1,1.3,IF(입력란!$C$12=2,1.45,IF(입력란!$C$12=3,1.6,1))))*IF(MID(E203,3,1)="2",트라이포드!$L$15,트라이포드!$K$15)*IF(입력란!$C$9=1,IF(입력란!$C$15=0,1.05,IF(입력란!$C$15=1,1.05*1.05,IF(입력란!$C$15=2,1.05*1.12,IF(입력란!$C$15=3,1.05*1.25)))),1)</f>
        <v>102751.97465788212</v>
      </c>
      <c r="T203" s="30">
        <f>AN203*IF(입력란!$C$12=0,1,IF(입력란!$C$12=1,1.3,IF(입력란!$C$12=2,1.45,IF(입력란!$C$12=3,1.6,1))))*IF(MID(E203,5,1)="1",트라이포드!$P$15,IF(MID(E203,5,1)="2",트라이포드!$R$15,1))*IF(입력란!$C$9=1,IF(입력란!$C$15=0,1.05,IF(입력란!$C$15=1,1.05*1.05,IF(입력란!$C$15=2,1.05*1.12,IF(입력란!$C$15=3,1.05*1.25)))),1)</f>
        <v>287705.52904206992</v>
      </c>
      <c r="U203" s="30"/>
      <c r="V203" s="30"/>
      <c r="W203" s="39"/>
      <c r="X203" s="39"/>
      <c r="Y203" s="39"/>
      <c r="Z203" s="25"/>
      <c r="AA203" s="30">
        <f t="shared" si="25"/>
        <v>780915.00739990408</v>
      </c>
      <c r="AB203" s="30">
        <f t="shared" si="26"/>
        <v>205503.94931576424</v>
      </c>
      <c r="AC203" s="30">
        <f t="shared" si="27"/>
        <v>575411.05808413983</v>
      </c>
      <c r="AD203" s="30"/>
      <c r="AE203" s="30"/>
      <c r="AF203" s="39"/>
      <c r="AG203" s="39"/>
      <c r="AH203" s="39"/>
      <c r="AI203" s="27"/>
      <c r="AJ203" s="26">
        <f>(AQ203-IF(MID(E203,1,1)="1",트라이포드!$D$15,트라이포드!$C$15))*(1-입력란!$C$35/100)</f>
        <v>17.791326734039998</v>
      </c>
      <c r="AK20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3" s="26">
        <f>입력란!$C$47+입력란!$C$41+IF(입력란!$C$18=1,10,IF(입력란!$C$18=2,25,IF(입력란!$C$18=3,50,0)))+IF(입력란!$C$23&lt;&gt;0,-12)</f>
        <v>378.9445412</v>
      </c>
      <c r="AM203" s="30">
        <f t="shared" si="28"/>
        <v>205517.30183617328</v>
      </c>
      <c r="AN203" s="30">
        <f>(VLOOKUP(C203,$B$4:$AJ$7,14,FALSE)+VLOOKUP(C203,$B$8:$AJ$11,14,FALSE)*입력란!$C$29)*입력란!$C$48/100</f>
        <v>102751.97465788212</v>
      </c>
      <c r="AO203" s="26">
        <f>(VLOOKUP(C203,$B$4:$AJ$7,15,FALSE)+VLOOKUP(C203,$B$8:$AJ$11,15,FALSE)*입력란!$C$29)*입력란!$C$48/100</f>
        <v>102765.32717829116</v>
      </c>
      <c r="AP203" s="30"/>
      <c r="AQ203" s="29">
        <v>18</v>
      </c>
    </row>
    <row r="204" spans="2:43" ht="13.5" customHeight="1" x14ac:dyDescent="0.3">
      <c r="B204" s="31">
        <v>189</v>
      </c>
      <c r="C204" s="36">
        <v>10</v>
      </c>
      <c r="D204" s="37" t="s">
        <v>172</v>
      </c>
      <c r="E204" s="38" t="s">
        <v>124</v>
      </c>
      <c r="F204" s="40"/>
      <c r="G204" s="40"/>
      <c r="H204" s="52">
        <f t="shared" si="23"/>
        <v>31355.145934032753</v>
      </c>
      <c r="I204" s="53">
        <f>SUM(J204:Q204)*IF(입력란!$C$16=1,1.04,IF(입력란!$C$16=2,1.1,IF(입력란!$C$16=3,1.2,1)))*IF(입력란!$C$21=1,1+입력란!$C$38*0.001,IF(입력란!$C$21=2,1+입력란!$C$38*0.0022,IF(입력란!$C$21=3,1+입력란!$C$38*0.0045,1)))*IF(입력란!$C$18&lt;&gt;0,0.98,1)</f>
        <v>557849.64610588248</v>
      </c>
      <c r="J204" s="30">
        <f>S204*(1+IF($AK204+IF(입력란!$C$9=1,10,0)+IF(입력란!$C$26=1,10,0)+IF(MID(E204,3,1)="1",트라이포드!J$15,0)&gt;100,100,$AK204+IF(입력란!$C$9=1,10,0)+IF(입력란!$C$26=1,10,0)+IF(MID(E204,3,1)="1",트라이포드!J$15,0))/100*($AL204/100-1))</f>
        <v>164073.42532525954</v>
      </c>
      <c r="K204" s="30">
        <f>T204*(1+IF($AK204+IF(입력란!$C$9=1,10,0)+IF(입력란!$C$26=1,10,0)&gt;100,100,$AK204+IF(입력란!$C$9=1,10,0)+IF(입력란!$C$26=1,10,0))/100*($AL204/100-1))</f>
        <v>393776.22078062291</v>
      </c>
      <c r="L204" s="30"/>
      <c r="M204" s="30"/>
      <c r="N204" s="39"/>
      <c r="O204" s="39"/>
      <c r="P204" s="39"/>
      <c r="Q204" s="27"/>
      <c r="R204" s="24">
        <f t="shared" si="24"/>
        <v>349356.7138367992</v>
      </c>
      <c r="S204" s="30">
        <f>AN204*IF(입력란!$C$12=0,1,IF(입력란!$C$12=1,1.3,IF(입력란!$C$12=2,1.45,IF(입력란!$C$12=3,1.6,1))))*IF(MID(E204,3,1)="2",트라이포드!$L$15,트라이포드!$K$15)*IF(입력란!$C$9=1,IF(입력란!$C$15=0,1.05,IF(입력란!$C$15=1,1.05*1.05,IF(입력란!$C$15=2,1.05*1.12,IF(입력란!$C$15=3,1.05*1.25)))),1)</f>
        <v>102751.97465788212</v>
      </c>
      <c r="T204" s="30">
        <f>AN204*IF(입력란!$C$12=0,1,IF(입력란!$C$12=1,1.3,IF(입력란!$C$12=2,1.45,IF(입력란!$C$12=3,1.6,1))))*IF(MID(E204,5,1)="1",트라이포드!$P$15,IF(MID(E204,5,1)="2",트라이포드!$R$15,1))*IF(입력란!$C$9=1,IF(입력란!$C$15=0,1.05,IF(입력란!$C$15=1,1.05*1.05,IF(입력란!$C$15=2,1.05*1.12,IF(입력란!$C$15=3,1.05*1.25)))),1)</f>
        <v>246604.73917891708</v>
      </c>
      <c r="U204" s="30"/>
      <c r="V204" s="30"/>
      <c r="W204" s="39"/>
      <c r="X204" s="39"/>
      <c r="Y204" s="39"/>
      <c r="Z204" s="25"/>
      <c r="AA204" s="30">
        <f t="shared" si="25"/>
        <v>698713.4276735984</v>
      </c>
      <c r="AB204" s="30">
        <f t="shared" si="26"/>
        <v>205503.94931576424</v>
      </c>
      <c r="AC204" s="30">
        <f t="shared" si="27"/>
        <v>493209.47835783416</v>
      </c>
      <c r="AD204" s="30"/>
      <c r="AE204" s="30"/>
      <c r="AF204" s="39"/>
      <c r="AG204" s="39"/>
      <c r="AH204" s="39"/>
      <c r="AI204" s="27"/>
      <c r="AJ204" s="26">
        <f>(AQ204-IF(MID(E204,1,1)="1",트라이포드!$D$15,트라이포드!$C$15))*(1-입력란!$C$35/100)</f>
        <v>17.791326734039998</v>
      </c>
      <c r="AK20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4" s="26">
        <f>입력란!$C$47+입력란!$C$41+IF(입력란!$C$18=1,10,IF(입력란!$C$18=2,25,IF(입력란!$C$18=3,50,0)))+IF(입력란!$C$23&lt;&gt;0,-12)</f>
        <v>378.9445412</v>
      </c>
      <c r="AM204" s="30">
        <f t="shared" si="28"/>
        <v>205517.30183617328</v>
      </c>
      <c r="AN204" s="30">
        <f>(VLOOKUP(C204,$B$4:$AJ$7,14,FALSE)+VLOOKUP(C204,$B$8:$AJ$11,14,FALSE)*입력란!$C$29)*입력란!$C$48/100</f>
        <v>102751.97465788212</v>
      </c>
      <c r="AO204" s="26">
        <f>(VLOOKUP(C204,$B$4:$AJ$7,15,FALSE)+VLOOKUP(C204,$B$8:$AJ$11,15,FALSE)*입력란!$C$29)*입력란!$C$48/100</f>
        <v>102765.32717829116</v>
      </c>
      <c r="AP204" s="30"/>
      <c r="AQ204" s="29">
        <v>18</v>
      </c>
    </row>
    <row r="205" spans="2:43" ht="13.5" customHeight="1" x14ac:dyDescent="0.3">
      <c r="B205" s="31">
        <v>190</v>
      </c>
      <c r="C205" s="36">
        <v>10</v>
      </c>
      <c r="D205" s="37" t="s">
        <v>172</v>
      </c>
      <c r="E205" s="38" t="s">
        <v>147</v>
      </c>
      <c r="F205" s="40"/>
      <c r="G205" s="40"/>
      <c r="H205" s="52">
        <f t="shared" si="23"/>
        <v>44710.079394139662</v>
      </c>
      <c r="I205" s="53">
        <f>SUM(J205:Q205)*IF(입력란!$C$16=1,1.04,IF(입력란!$C$16=2,1.1,IF(입력란!$C$16=3,1.2,1)))*IF(입력란!$C$21=1,1+입력란!$C$38*0.001,IF(입력란!$C$21=2,1+입력란!$C$38*0.0022,IF(입력란!$C$21=3,1+입력란!$C$38*0.0045,1)))*IF(입력란!$C$18&lt;&gt;0,0.98,1)</f>
        <v>795451.63080600789</v>
      </c>
      <c r="J205" s="30">
        <f>S205*(1+IF($AK205+IF(입력란!$C$9=1,10,0)+IF(입력란!$C$26=1,10,0)+IF(MID(E205,3,1)="1",트라이포드!J$15,0)&gt;100,100,$AK205+IF(입력란!$C$9=1,10,0)+IF(입력란!$C$26=1,10,0)+IF(MID(E205,3,1)="1",트라이포드!J$15,0))/100*($AL205/100-1))</f>
        <v>336046.03989528125</v>
      </c>
      <c r="K205" s="30">
        <f>T205*(1+IF($AK205+IF(입력란!$C$9=1,10,0)+IF(입력란!$C$26=1,10,0)&gt;100,100,$AK205+IF(입력란!$C$9=1,10,0)+IF(입력란!$C$26=1,10,0))/100*($AL205/100-1))</f>
        <v>459405.59091072669</v>
      </c>
      <c r="L205" s="30"/>
      <c r="M205" s="30"/>
      <c r="N205" s="39"/>
      <c r="O205" s="39"/>
      <c r="P205" s="39"/>
      <c r="Q205" s="27"/>
      <c r="R205" s="24">
        <f t="shared" si="24"/>
        <v>390457.50369995204</v>
      </c>
      <c r="S205" s="30">
        <f>AN205*IF(입력란!$C$12=0,1,IF(입력란!$C$12=1,1.3,IF(입력란!$C$12=2,1.45,IF(입력란!$C$12=3,1.6,1))))*IF(MID(E205,3,1)="2",트라이포드!$L$15,트라이포드!$K$15)*IF(입력란!$C$9=1,IF(입력란!$C$15=0,1.05,IF(입력란!$C$15=1,1.05*1.05,IF(입력란!$C$15=2,1.05*1.12,IF(입력란!$C$15=3,1.05*1.25)))),1)</f>
        <v>102751.97465788212</v>
      </c>
      <c r="T205" s="30">
        <f>AN205*IF(입력란!$C$12=0,1,IF(입력란!$C$12=1,1.3,IF(입력란!$C$12=2,1.45,IF(입력란!$C$12=3,1.6,1))))*IF(MID(E205,5,1)="1",트라이포드!$P$15,IF(MID(E205,5,1)="2",트라이포드!$R$15,1))*IF(입력란!$C$9=1,IF(입력란!$C$15=0,1.05,IF(입력란!$C$15=1,1.05*1.05,IF(입력란!$C$15=2,1.05*1.12,IF(입력란!$C$15=3,1.05*1.25)))),1)</f>
        <v>287705.52904206992</v>
      </c>
      <c r="U205" s="30"/>
      <c r="V205" s="30"/>
      <c r="W205" s="39"/>
      <c r="X205" s="39"/>
      <c r="Y205" s="39"/>
      <c r="Z205" s="25"/>
      <c r="AA205" s="30">
        <f t="shared" si="25"/>
        <v>780915.00739990408</v>
      </c>
      <c r="AB205" s="30">
        <f t="shared" si="26"/>
        <v>205503.94931576424</v>
      </c>
      <c r="AC205" s="30">
        <f t="shared" si="27"/>
        <v>575411.05808413983</v>
      </c>
      <c r="AD205" s="30"/>
      <c r="AE205" s="30"/>
      <c r="AF205" s="39"/>
      <c r="AG205" s="39"/>
      <c r="AH205" s="39"/>
      <c r="AI205" s="27"/>
      <c r="AJ205" s="26">
        <f>(AQ205-IF(MID(E205,1,1)="1",트라이포드!$D$15,트라이포드!$C$15))*(1-입력란!$C$35/100)</f>
        <v>17.791326734039998</v>
      </c>
      <c r="AK20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5" s="26">
        <f>입력란!$C$47+입력란!$C$41+IF(입력란!$C$18=1,10,IF(입력란!$C$18=2,25,IF(입력란!$C$18=3,50,0)))+IF(입력란!$C$23&lt;&gt;0,-12)</f>
        <v>378.9445412</v>
      </c>
      <c r="AM205" s="30">
        <f t="shared" si="28"/>
        <v>205517.30183617328</v>
      </c>
      <c r="AN205" s="30">
        <f>(VLOOKUP(C205,$B$4:$AJ$7,14,FALSE)+VLOOKUP(C205,$B$8:$AJ$11,14,FALSE)*입력란!$C$29)*입력란!$C$48/100</f>
        <v>102751.97465788212</v>
      </c>
      <c r="AO205" s="26">
        <f>(VLOOKUP(C205,$B$4:$AJ$7,15,FALSE)+VLOOKUP(C205,$B$8:$AJ$11,15,FALSE)*입력란!$C$29)*입력란!$C$48/100</f>
        <v>102765.32717829116</v>
      </c>
      <c r="AP205" s="30"/>
      <c r="AQ205" s="29">
        <v>18</v>
      </c>
    </row>
    <row r="206" spans="2:43" ht="13.5" customHeight="1" x14ac:dyDescent="0.3">
      <c r="B206" s="31">
        <v>191</v>
      </c>
      <c r="C206" s="36">
        <v>10</v>
      </c>
      <c r="D206" s="37" t="s">
        <v>172</v>
      </c>
      <c r="E206" s="38" t="s">
        <v>176</v>
      </c>
      <c r="F206" s="40"/>
      <c r="G206" s="40"/>
      <c r="H206" s="52">
        <f t="shared" si="23"/>
        <v>41021.238696018168</v>
      </c>
      <c r="I206" s="53">
        <f>SUM(J206:Q206)*IF(입력란!$C$16=1,1.04,IF(입력란!$C$16=2,1.1,IF(입력란!$C$16=3,1.2,1)))*IF(입력란!$C$21=1,1+입력란!$C$38*0.001,IF(입력란!$C$21=2,1+입력란!$C$38*0.0022,IF(입력란!$C$21=3,1+입력란!$C$38*0.0045,1)))*IF(입력란!$C$18&lt;&gt;0,0.98,1)</f>
        <v>729822.26067590411</v>
      </c>
      <c r="J206" s="30">
        <f>S206*(1+IF($AK206+IF(입력란!$C$9=1,10,0)+IF(입력란!$C$26=1,10,0)+IF(MID(E206,3,1)="1",트라이포드!J$15,0)&gt;100,100,$AK206+IF(입력란!$C$9=1,10,0)+IF(입력란!$C$26=1,10,0)+IF(MID(E206,3,1)="1",트라이포드!J$15,0))/100*($AL206/100-1))</f>
        <v>336046.03989528125</v>
      </c>
      <c r="K206" s="30">
        <f>T206*(1+IF($AK206+IF(입력란!$C$9=1,10,0)+IF(입력란!$C$26=1,10,0)&gt;100,100,$AK206+IF(입력란!$C$9=1,10,0)+IF(입력란!$C$26=1,10,0))/100*($AL206/100-1))</f>
        <v>393776.22078062291</v>
      </c>
      <c r="L206" s="30"/>
      <c r="M206" s="30"/>
      <c r="N206" s="39"/>
      <c r="O206" s="39"/>
      <c r="P206" s="39"/>
      <c r="Q206" s="27"/>
      <c r="R206" s="24">
        <f t="shared" si="24"/>
        <v>349356.7138367992</v>
      </c>
      <c r="S206" s="30">
        <f>AN206*IF(입력란!$C$12=0,1,IF(입력란!$C$12=1,1.3,IF(입력란!$C$12=2,1.45,IF(입력란!$C$12=3,1.6,1))))*IF(MID(E206,3,1)="2",트라이포드!$L$15,트라이포드!$K$15)*IF(입력란!$C$9=1,IF(입력란!$C$15=0,1.05,IF(입력란!$C$15=1,1.05*1.05,IF(입력란!$C$15=2,1.05*1.12,IF(입력란!$C$15=3,1.05*1.25)))),1)</f>
        <v>102751.97465788212</v>
      </c>
      <c r="T206" s="30">
        <f>AN206*IF(입력란!$C$12=0,1,IF(입력란!$C$12=1,1.3,IF(입력란!$C$12=2,1.45,IF(입력란!$C$12=3,1.6,1))))*IF(MID(E206,5,1)="1",트라이포드!$P$15,IF(MID(E206,5,1)="2",트라이포드!$R$15,1))*IF(입력란!$C$9=1,IF(입력란!$C$15=0,1.05,IF(입력란!$C$15=1,1.05*1.05,IF(입력란!$C$15=2,1.05*1.12,IF(입력란!$C$15=3,1.05*1.25)))),1)</f>
        <v>246604.73917891708</v>
      </c>
      <c r="U206" s="30"/>
      <c r="V206" s="30"/>
      <c r="W206" s="39"/>
      <c r="X206" s="39"/>
      <c r="Y206" s="39"/>
      <c r="Z206" s="25"/>
      <c r="AA206" s="30">
        <f t="shared" si="25"/>
        <v>698713.4276735984</v>
      </c>
      <c r="AB206" s="30">
        <f t="shared" si="26"/>
        <v>205503.94931576424</v>
      </c>
      <c r="AC206" s="30">
        <f t="shared" si="27"/>
        <v>493209.47835783416</v>
      </c>
      <c r="AD206" s="30"/>
      <c r="AE206" s="30"/>
      <c r="AF206" s="39"/>
      <c r="AG206" s="39"/>
      <c r="AH206" s="39"/>
      <c r="AI206" s="27"/>
      <c r="AJ206" s="26">
        <f>(AQ206-IF(MID(E206,1,1)="1",트라이포드!$D$15,트라이포드!$C$15))*(1-입력란!$C$35/100)</f>
        <v>17.791326734039998</v>
      </c>
      <c r="AK20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6" s="26">
        <f>입력란!$C$47+입력란!$C$41+IF(입력란!$C$18=1,10,IF(입력란!$C$18=2,25,IF(입력란!$C$18=3,50,0)))+IF(입력란!$C$23&lt;&gt;0,-12)</f>
        <v>378.9445412</v>
      </c>
      <c r="AM206" s="30">
        <f t="shared" si="28"/>
        <v>205517.30183617328</v>
      </c>
      <c r="AN206" s="30">
        <f>(VLOOKUP(C206,$B$4:$AJ$7,14,FALSE)+VLOOKUP(C206,$B$8:$AJ$11,14,FALSE)*입력란!$C$29)*입력란!$C$48/100</f>
        <v>102751.97465788212</v>
      </c>
      <c r="AO206" s="26">
        <f>(VLOOKUP(C206,$B$4:$AJ$7,15,FALSE)+VLOOKUP(C206,$B$8:$AJ$11,15,FALSE)*입력란!$C$29)*입력란!$C$48/100</f>
        <v>102765.32717829116</v>
      </c>
      <c r="AP206" s="30"/>
      <c r="AQ206" s="29">
        <v>18</v>
      </c>
    </row>
    <row r="207" spans="2:43" ht="13.5" customHeight="1" x14ac:dyDescent="0.3">
      <c r="B207" s="31">
        <v>192</v>
      </c>
      <c r="C207" s="36">
        <v>10</v>
      </c>
      <c r="D207" s="37" t="s">
        <v>172</v>
      </c>
      <c r="E207" s="38" t="s">
        <v>177</v>
      </c>
      <c r="F207" s="40"/>
      <c r="G207" s="40"/>
      <c r="H207" s="52">
        <f t="shared" si="23"/>
        <v>39655.037504806125</v>
      </c>
      <c r="I207" s="53">
        <f>SUM(J207:Q207)*IF(입력란!$C$16=1,1.04,IF(입력란!$C$16=2,1.1,IF(입력란!$C$16=3,1.2,1)))*IF(입력란!$C$21=1,1+입력란!$C$38*0.001,IF(입력란!$C$21=2,1+입력란!$C$38*0.0022,IF(입력란!$C$21=3,1+입력란!$C$38*0.0045,1)))*IF(입력란!$C$18&lt;&gt;0,0.98,1)</f>
        <v>705515.72889861604</v>
      </c>
      <c r="J207" s="30">
        <f>S207*(1+IF($AK207+IF(입력란!$C$9=1,10,0)+IF(입력란!$C$26=1,10,0)+IF(MID(E207,3,1)="1",트라이포드!J$15,0)&gt;100,100,$AK207+IF(입력란!$C$9=1,10,0)+IF(입력란!$C$26=1,10,0)+IF(MID(E207,3,1)="1",트라이포드!J$15,0))/100*($AL207/100-1))</f>
        <v>246110.13798788932</v>
      </c>
      <c r="K207" s="30">
        <f>T207*(1+IF($AK207+IF(입력란!$C$9=1,10,0)+IF(입력란!$C$26=1,10,0)&gt;100,100,$AK207+IF(입력란!$C$9=1,10,0)+IF(입력란!$C$26=1,10,0))/100*($AL207/100-1))</f>
        <v>459405.59091072669</v>
      </c>
      <c r="L207" s="30"/>
      <c r="M207" s="30"/>
      <c r="N207" s="39"/>
      <c r="O207" s="39"/>
      <c r="P207" s="39"/>
      <c r="Q207" s="27"/>
      <c r="R207" s="24">
        <f t="shared" si="24"/>
        <v>441833.4910288931</v>
      </c>
      <c r="S207" s="30">
        <f>AN207*IF(입력란!$C$12=0,1,IF(입력란!$C$12=1,1.3,IF(입력란!$C$12=2,1.45,IF(입력란!$C$12=3,1.6,1))))*IF(MID(E207,3,1)="2",트라이포드!$L$15,트라이포드!$K$15)*IF(입력란!$C$9=1,IF(입력란!$C$15=0,1.05,IF(입력란!$C$15=1,1.05*1.05,IF(입력란!$C$15=2,1.05*1.12,IF(입력란!$C$15=3,1.05*1.25)))),1)</f>
        <v>154127.96198682318</v>
      </c>
      <c r="T207" s="30">
        <f>AN207*IF(입력란!$C$12=0,1,IF(입력란!$C$12=1,1.3,IF(입력란!$C$12=2,1.45,IF(입력란!$C$12=3,1.6,1))))*IF(MID(E207,5,1)="1",트라이포드!$P$15,IF(MID(E207,5,1)="2",트라이포드!$R$15,1))*IF(입력란!$C$9=1,IF(입력란!$C$15=0,1.05,IF(입력란!$C$15=1,1.05*1.05,IF(입력란!$C$15=2,1.05*1.12,IF(입력란!$C$15=3,1.05*1.25)))),1)</f>
        <v>287705.52904206992</v>
      </c>
      <c r="U207" s="30"/>
      <c r="V207" s="30"/>
      <c r="W207" s="39"/>
      <c r="X207" s="39"/>
      <c r="Y207" s="39"/>
      <c r="Z207" s="25"/>
      <c r="AA207" s="30">
        <f t="shared" si="25"/>
        <v>883666.9820577862</v>
      </c>
      <c r="AB207" s="30">
        <f t="shared" si="26"/>
        <v>308255.92397364636</v>
      </c>
      <c r="AC207" s="30">
        <f t="shared" si="27"/>
        <v>575411.05808413983</v>
      </c>
      <c r="AD207" s="30"/>
      <c r="AE207" s="30"/>
      <c r="AF207" s="39"/>
      <c r="AG207" s="39"/>
      <c r="AH207" s="39"/>
      <c r="AI207" s="27"/>
      <c r="AJ207" s="26">
        <f>(AQ207-IF(MID(E207,1,1)="1",트라이포드!$D$15,트라이포드!$C$15))*(1-입력란!$C$35/100)</f>
        <v>17.791326734039998</v>
      </c>
      <c r="AK20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7" s="26">
        <f>입력란!$C$47+입력란!$C$41+IF(입력란!$C$18=1,10,IF(입력란!$C$18=2,25,IF(입력란!$C$18=3,50,0)))+IF(입력란!$C$23&lt;&gt;0,-12)</f>
        <v>378.9445412</v>
      </c>
      <c r="AM207" s="30">
        <f t="shared" si="28"/>
        <v>205517.30183617328</v>
      </c>
      <c r="AN207" s="30">
        <f>(VLOOKUP(C207,$B$4:$AJ$7,14,FALSE)+VLOOKUP(C207,$B$8:$AJ$11,14,FALSE)*입력란!$C$29)*입력란!$C$48/100</f>
        <v>102751.97465788212</v>
      </c>
      <c r="AO207" s="26">
        <f>(VLOOKUP(C207,$B$4:$AJ$7,15,FALSE)+VLOOKUP(C207,$B$8:$AJ$11,15,FALSE)*입력란!$C$29)*입력란!$C$48/100</f>
        <v>102765.32717829116</v>
      </c>
      <c r="AP207" s="30"/>
      <c r="AQ207" s="29">
        <v>18</v>
      </c>
    </row>
    <row r="208" spans="2:43" ht="13.5" customHeight="1" x14ac:dyDescent="0.3">
      <c r="B208" s="31">
        <v>193</v>
      </c>
      <c r="C208" s="36">
        <v>10</v>
      </c>
      <c r="D208" s="37" t="s">
        <v>172</v>
      </c>
      <c r="E208" s="38" t="s">
        <v>149</v>
      </c>
      <c r="F208" s="40"/>
      <c r="G208" s="40"/>
      <c r="H208" s="52">
        <f t="shared" ref="H208:H271" si="30">I208/AJ208</f>
        <v>35966.196806684631</v>
      </c>
      <c r="I208" s="53">
        <f>SUM(J208:Q208)*IF(입력란!$C$16=1,1.04,IF(입력란!$C$16=2,1.1,IF(입력란!$C$16=3,1.2,1)))*IF(입력란!$C$21=1,1+입력란!$C$38*0.001,IF(입력란!$C$21=2,1+입력란!$C$38*0.0022,IF(입력란!$C$21=3,1+입력란!$C$38*0.0045,1)))*IF(입력란!$C$18&lt;&gt;0,0.98,1)</f>
        <v>639886.35876851226</v>
      </c>
      <c r="J208" s="30">
        <f>S208*(1+IF($AK208+IF(입력란!$C$9=1,10,0)+IF(입력란!$C$26=1,10,0)+IF(MID(E208,3,1)="1",트라이포드!J$15,0)&gt;100,100,$AK208+IF(입력란!$C$9=1,10,0)+IF(입력란!$C$26=1,10,0)+IF(MID(E208,3,1)="1",트라이포드!J$15,0))/100*($AL208/100-1))</f>
        <v>246110.13798788932</v>
      </c>
      <c r="K208" s="30">
        <f>T208*(1+IF($AK208+IF(입력란!$C$9=1,10,0)+IF(입력란!$C$26=1,10,0)&gt;100,100,$AK208+IF(입력란!$C$9=1,10,0)+IF(입력란!$C$26=1,10,0))/100*($AL208/100-1))</f>
        <v>393776.22078062291</v>
      </c>
      <c r="L208" s="30"/>
      <c r="M208" s="30"/>
      <c r="N208" s="39"/>
      <c r="O208" s="39"/>
      <c r="P208" s="39"/>
      <c r="Q208" s="27"/>
      <c r="R208" s="24">
        <f t="shared" ref="R208:R271" si="31">SUM(S208:Z208)</f>
        <v>400732.70116574026</v>
      </c>
      <c r="S208" s="30">
        <f>AN208*IF(입력란!$C$12=0,1,IF(입력란!$C$12=1,1.3,IF(입력란!$C$12=2,1.45,IF(입력란!$C$12=3,1.6,1))))*IF(MID(E208,3,1)="2",트라이포드!$L$15,트라이포드!$K$15)*IF(입력란!$C$9=1,IF(입력란!$C$15=0,1.05,IF(입력란!$C$15=1,1.05*1.05,IF(입력란!$C$15=2,1.05*1.12,IF(입력란!$C$15=3,1.05*1.25)))),1)</f>
        <v>154127.96198682318</v>
      </c>
      <c r="T208" s="30">
        <f>AN208*IF(입력란!$C$12=0,1,IF(입력란!$C$12=1,1.3,IF(입력란!$C$12=2,1.45,IF(입력란!$C$12=3,1.6,1))))*IF(MID(E208,5,1)="1",트라이포드!$P$15,IF(MID(E208,5,1)="2",트라이포드!$R$15,1))*IF(입력란!$C$9=1,IF(입력란!$C$15=0,1.05,IF(입력란!$C$15=1,1.05*1.05,IF(입력란!$C$15=2,1.05*1.12,IF(입력란!$C$15=3,1.05*1.25)))),1)</f>
        <v>246604.73917891708</v>
      </c>
      <c r="U208" s="30"/>
      <c r="V208" s="30"/>
      <c r="W208" s="39"/>
      <c r="X208" s="39"/>
      <c r="Y208" s="39"/>
      <c r="Z208" s="25"/>
      <c r="AA208" s="30">
        <f t="shared" ref="AA208:AA271" si="32">SUM(AB208:AI208)</f>
        <v>801465.40233148052</v>
      </c>
      <c r="AB208" s="30">
        <f t="shared" ref="AB208:AB271" si="33">S208*2</f>
        <v>308255.92397364636</v>
      </c>
      <c r="AC208" s="30">
        <f t="shared" ref="AC208:AC271" si="34">T208*2</f>
        <v>493209.47835783416</v>
      </c>
      <c r="AD208" s="30"/>
      <c r="AE208" s="30"/>
      <c r="AF208" s="39"/>
      <c r="AG208" s="39"/>
      <c r="AH208" s="39"/>
      <c r="AI208" s="27"/>
      <c r="AJ208" s="26">
        <f>(AQ208-IF(MID(E208,1,1)="1",트라이포드!$D$15,트라이포드!$C$15))*(1-입력란!$C$35/100)</f>
        <v>17.791326734039998</v>
      </c>
      <c r="AK20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8" s="26">
        <f>입력란!$C$47+입력란!$C$41+IF(입력란!$C$18=1,10,IF(입력란!$C$18=2,25,IF(입력란!$C$18=3,50,0)))+IF(입력란!$C$23&lt;&gt;0,-12)</f>
        <v>378.9445412</v>
      </c>
      <c r="AM208" s="30">
        <f t="shared" ref="AM208:AM271" si="35">SUM(AN208:AP208)</f>
        <v>205517.30183617328</v>
      </c>
      <c r="AN208" s="30">
        <f>(VLOOKUP(C208,$B$4:$AJ$7,14,FALSE)+VLOOKUP(C208,$B$8:$AJ$11,14,FALSE)*입력란!$C$29)*입력란!$C$48/100</f>
        <v>102751.97465788212</v>
      </c>
      <c r="AO208" s="26">
        <f>(VLOOKUP(C208,$B$4:$AJ$7,15,FALSE)+VLOOKUP(C208,$B$8:$AJ$11,15,FALSE)*입력란!$C$29)*입력란!$C$48/100</f>
        <v>102765.32717829116</v>
      </c>
      <c r="AP208" s="30"/>
      <c r="AQ208" s="29">
        <v>18</v>
      </c>
    </row>
    <row r="209" spans="2:43" ht="13.5" customHeight="1" x14ac:dyDescent="0.3">
      <c r="B209" s="31">
        <v>194</v>
      </c>
      <c r="C209" s="36">
        <v>10</v>
      </c>
      <c r="D209" s="37" t="s">
        <v>172</v>
      </c>
      <c r="E209" s="38" t="s">
        <v>178</v>
      </c>
      <c r="F209" s="40"/>
      <c r="G209" s="40"/>
      <c r="H209" s="52">
        <f t="shared" si="30"/>
        <v>35043.98663215425</v>
      </c>
      <c r="I209" s="53">
        <f>SUM(J209:Q209)*IF(입력란!$C$16=1,1.04,IF(입력란!$C$16=2,1.1,IF(입력란!$C$16=3,1.2,1)))*IF(입력란!$C$21=1,1+입력란!$C$38*0.001,IF(입력란!$C$21=2,1+입력란!$C$38*0.0022,IF(입력란!$C$21=3,1+입력란!$C$38*0.0045,1)))*IF(입력란!$C$18&lt;&gt;0,0.98,1)</f>
        <v>623479.01623598626</v>
      </c>
      <c r="J209" s="30">
        <f>S209*(1+IF($AK209+IF(입력란!$C$9=1,10,0)+IF(입력란!$C$26=1,10,0)+IF(MID(E209,3,1)="1",트라이포드!J$15,0)&gt;100,100,$AK209+IF(입력란!$C$9=1,10,0)+IF(입력란!$C$26=1,10,0)+IF(MID(E209,3,1)="1",트라이포드!J$15,0))/100*($AL209/100-1))</f>
        <v>164073.42532525954</v>
      </c>
      <c r="K209" s="30">
        <f>T209*(1+IF($AK209+IF(입력란!$C$9=1,10,0)+IF(입력란!$C$26=1,10,0)&gt;100,100,$AK209+IF(입력란!$C$9=1,10,0)+IF(입력란!$C$26=1,10,0))/100*($AL209/100-1))</f>
        <v>459405.59091072669</v>
      </c>
      <c r="L209" s="30"/>
      <c r="M209" s="30"/>
      <c r="N209" s="39"/>
      <c r="O209" s="39"/>
      <c r="P209" s="39"/>
      <c r="Q209" s="27"/>
      <c r="R209" s="24">
        <f t="shared" si="31"/>
        <v>390457.50369995204</v>
      </c>
      <c r="S209" s="30">
        <f>AN209*IF(입력란!$C$12=0,1,IF(입력란!$C$12=1,1.3,IF(입력란!$C$12=2,1.45,IF(입력란!$C$12=3,1.6,1))))*IF(MID(E209,3,1)="2",트라이포드!$L$15,트라이포드!$K$15)*IF(입력란!$C$9=1,IF(입력란!$C$15=0,1.05,IF(입력란!$C$15=1,1.05*1.05,IF(입력란!$C$15=2,1.05*1.12,IF(입력란!$C$15=3,1.05*1.25)))),1)</f>
        <v>102751.97465788212</v>
      </c>
      <c r="T209" s="30">
        <f>AN209*IF(입력란!$C$12=0,1,IF(입력란!$C$12=1,1.3,IF(입력란!$C$12=2,1.45,IF(입력란!$C$12=3,1.6,1))))*IF(MID(E209,5,1)="1",트라이포드!$P$15,IF(MID(E209,5,1)="2",트라이포드!$R$15,1))*IF(입력란!$C$9=1,IF(입력란!$C$15=0,1.05,IF(입력란!$C$15=1,1.05*1.05,IF(입력란!$C$15=2,1.05*1.12,IF(입력란!$C$15=3,1.05*1.25)))),1)</f>
        <v>287705.52904206992</v>
      </c>
      <c r="U209" s="30"/>
      <c r="V209" s="30"/>
      <c r="W209" s="39"/>
      <c r="X209" s="39"/>
      <c r="Y209" s="39"/>
      <c r="Z209" s="25"/>
      <c r="AA209" s="30">
        <f t="shared" si="32"/>
        <v>780915.00739990408</v>
      </c>
      <c r="AB209" s="30">
        <f t="shared" si="33"/>
        <v>205503.94931576424</v>
      </c>
      <c r="AC209" s="30">
        <f t="shared" si="34"/>
        <v>575411.05808413983</v>
      </c>
      <c r="AD209" s="30"/>
      <c r="AE209" s="30"/>
      <c r="AF209" s="39"/>
      <c r="AG209" s="39"/>
      <c r="AH209" s="39"/>
      <c r="AI209" s="27"/>
      <c r="AJ209" s="26">
        <f>(AQ209-IF(MID(E209,1,1)="1",트라이포드!$D$15,트라이포드!$C$15))*(1-입력란!$C$35/100)</f>
        <v>17.791326734039998</v>
      </c>
      <c r="AK20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09" s="26">
        <f>입력란!$C$47+입력란!$C$41+IF(입력란!$C$18=1,10,IF(입력란!$C$18=2,25,IF(입력란!$C$18=3,50,0)))+IF(입력란!$C$23&lt;&gt;0,-12)</f>
        <v>378.9445412</v>
      </c>
      <c r="AM209" s="30">
        <f t="shared" si="35"/>
        <v>205517.30183617328</v>
      </c>
      <c r="AN209" s="30">
        <f>(VLOOKUP(C209,$B$4:$AJ$7,14,FALSE)+VLOOKUP(C209,$B$8:$AJ$11,14,FALSE)*입력란!$C$29)*입력란!$C$48/100</f>
        <v>102751.97465788212</v>
      </c>
      <c r="AO209" s="26">
        <f>(VLOOKUP(C209,$B$4:$AJ$7,15,FALSE)+VLOOKUP(C209,$B$8:$AJ$11,15,FALSE)*입력란!$C$29)*입력란!$C$48/100</f>
        <v>102765.32717829116</v>
      </c>
      <c r="AP209" s="30"/>
      <c r="AQ209" s="29">
        <v>18</v>
      </c>
    </row>
    <row r="210" spans="2:43" ht="13.5" customHeight="1" x14ac:dyDescent="0.3">
      <c r="B210" s="31">
        <v>195</v>
      </c>
      <c r="C210" s="36">
        <v>10</v>
      </c>
      <c r="D210" s="37" t="s">
        <v>172</v>
      </c>
      <c r="E210" s="38" t="s">
        <v>179</v>
      </c>
      <c r="F210" s="40"/>
      <c r="G210" s="40"/>
      <c r="H210" s="52">
        <f t="shared" si="30"/>
        <v>31355.145934032753</v>
      </c>
      <c r="I210" s="53">
        <f>SUM(J210:Q210)*IF(입력란!$C$16=1,1.04,IF(입력란!$C$16=2,1.1,IF(입력란!$C$16=3,1.2,1)))*IF(입력란!$C$21=1,1+입력란!$C$38*0.001,IF(입력란!$C$21=2,1+입력란!$C$38*0.0022,IF(입력란!$C$21=3,1+입력란!$C$38*0.0045,1)))*IF(입력란!$C$18&lt;&gt;0,0.98,1)</f>
        <v>557849.64610588248</v>
      </c>
      <c r="J210" s="30">
        <f>S210*(1+IF($AK210+IF(입력란!$C$9=1,10,0)+IF(입력란!$C$26=1,10,0)+IF(MID(E210,3,1)="1",트라이포드!J$15,0)&gt;100,100,$AK210+IF(입력란!$C$9=1,10,0)+IF(입력란!$C$26=1,10,0)+IF(MID(E210,3,1)="1",트라이포드!J$15,0))/100*($AL210/100-1))</f>
        <v>164073.42532525954</v>
      </c>
      <c r="K210" s="30">
        <f>T210*(1+IF($AK210+IF(입력란!$C$9=1,10,0)+IF(입력란!$C$26=1,10,0)&gt;100,100,$AK210+IF(입력란!$C$9=1,10,0)+IF(입력란!$C$26=1,10,0))/100*($AL210/100-1))</f>
        <v>393776.22078062291</v>
      </c>
      <c r="L210" s="30"/>
      <c r="M210" s="30"/>
      <c r="N210" s="39"/>
      <c r="O210" s="39"/>
      <c r="P210" s="39"/>
      <c r="Q210" s="27"/>
      <c r="R210" s="24">
        <f t="shared" si="31"/>
        <v>349356.7138367992</v>
      </c>
      <c r="S210" s="30">
        <f>AN210*IF(입력란!$C$12=0,1,IF(입력란!$C$12=1,1.3,IF(입력란!$C$12=2,1.45,IF(입력란!$C$12=3,1.6,1))))*IF(MID(E210,3,1)="2",트라이포드!$L$15,트라이포드!$K$15)*IF(입력란!$C$9=1,IF(입력란!$C$15=0,1.05,IF(입력란!$C$15=1,1.05*1.05,IF(입력란!$C$15=2,1.05*1.12,IF(입력란!$C$15=3,1.05*1.25)))),1)</f>
        <v>102751.97465788212</v>
      </c>
      <c r="T210" s="30">
        <f>AN210*IF(입력란!$C$12=0,1,IF(입력란!$C$12=1,1.3,IF(입력란!$C$12=2,1.45,IF(입력란!$C$12=3,1.6,1))))*IF(MID(E210,5,1)="1",트라이포드!$P$15,IF(MID(E210,5,1)="2",트라이포드!$R$15,1))*IF(입력란!$C$9=1,IF(입력란!$C$15=0,1.05,IF(입력란!$C$15=1,1.05*1.05,IF(입력란!$C$15=2,1.05*1.12,IF(입력란!$C$15=3,1.05*1.25)))),1)</f>
        <v>246604.73917891708</v>
      </c>
      <c r="U210" s="30"/>
      <c r="V210" s="30"/>
      <c r="W210" s="39"/>
      <c r="X210" s="39"/>
      <c r="Y210" s="39"/>
      <c r="Z210" s="25"/>
      <c r="AA210" s="30">
        <f t="shared" si="32"/>
        <v>698713.4276735984</v>
      </c>
      <c r="AB210" s="30">
        <f t="shared" si="33"/>
        <v>205503.94931576424</v>
      </c>
      <c r="AC210" s="30">
        <f t="shared" si="34"/>
        <v>493209.47835783416</v>
      </c>
      <c r="AD210" s="30"/>
      <c r="AE210" s="30"/>
      <c r="AF210" s="39"/>
      <c r="AG210" s="39"/>
      <c r="AH210" s="39"/>
      <c r="AI210" s="27"/>
      <c r="AJ210" s="26">
        <f>(AQ210-IF(MID(E210,1,1)="1",트라이포드!$D$15,트라이포드!$C$15))*(1-입력란!$C$35/100)</f>
        <v>17.791326734039998</v>
      </c>
      <c r="AK21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0" s="26">
        <f>입력란!$C$47+입력란!$C$41+IF(입력란!$C$18=1,10,IF(입력란!$C$18=2,25,IF(입력란!$C$18=3,50,0)))+IF(입력란!$C$23&lt;&gt;0,-12)</f>
        <v>378.9445412</v>
      </c>
      <c r="AM210" s="30">
        <f t="shared" si="35"/>
        <v>205517.30183617328</v>
      </c>
      <c r="AN210" s="30">
        <f>(VLOOKUP(C210,$B$4:$AJ$7,14,FALSE)+VLOOKUP(C210,$B$8:$AJ$11,14,FALSE)*입력란!$C$29)*입력란!$C$48/100</f>
        <v>102751.97465788212</v>
      </c>
      <c r="AO210" s="26">
        <f>(VLOOKUP(C210,$B$4:$AJ$7,15,FALSE)+VLOOKUP(C210,$B$8:$AJ$11,15,FALSE)*입력란!$C$29)*입력란!$C$48/100</f>
        <v>102765.32717829116</v>
      </c>
      <c r="AP210" s="30"/>
      <c r="AQ210" s="29">
        <v>18</v>
      </c>
    </row>
    <row r="211" spans="2:43" ht="13.5" customHeight="1" x14ac:dyDescent="0.3">
      <c r="B211" s="31">
        <v>196</v>
      </c>
      <c r="C211" s="36">
        <v>10</v>
      </c>
      <c r="D211" s="37" t="s">
        <v>172</v>
      </c>
      <c r="E211" s="38" t="s">
        <v>180</v>
      </c>
      <c r="F211" s="40"/>
      <c r="G211" s="40"/>
      <c r="H211" s="52">
        <f t="shared" si="30"/>
        <v>44710.079394139662</v>
      </c>
      <c r="I211" s="53">
        <f>SUM(J211:Q211)*IF(입력란!$C$16=1,1.04,IF(입력란!$C$16=2,1.1,IF(입력란!$C$16=3,1.2,1)))*IF(입력란!$C$21=1,1+입력란!$C$38*0.001,IF(입력란!$C$21=2,1+입력란!$C$38*0.0022,IF(입력란!$C$21=3,1+입력란!$C$38*0.0045,1)))*IF(입력란!$C$18&lt;&gt;0,0.98,1)</f>
        <v>795451.63080600789</v>
      </c>
      <c r="J211" s="30">
        <f>S211*(1+IF($AK211+IF(입력란!$C$9=1,10,0)+IF(입력란!$C$26=1,10,0)+IF(MID(E211,3,1)="1",트라이포드!J$15,0)&gt;100,100,$AK211+IF(입력란!$C$9=1,10,0)+IF(입력란!$C$26=1,10,0)+IF(MID(E211,3,1)="1",트라이포드!J$15,0))/100*($AL211/100-1))</f>
        <v>336046.03989528125</v>
      </c>
      <c r="K211" s="30">
        <f>T211*(1+IF($AK211+IF(입력란!$C$9=1,10,0)+IF(입력란!$C$26=1,10,0)&gt;100,100,$AK211+IF(입력란!$C$9=1,10,0)+IF(입력란!$C$26=1,10,0))/100*($AL211/100-1))</f>
        <v>459405.59091072669</v>
      </c>
      <c r="L211" s="30"/>
      <c r="M211" s="30"/>
      <c r="N211" s="39"/>
      <c r="O211" s="39"/>
      <c r="P211" s="39"/>
      <c r="Q211" s="27"/>
      <c r="R211" s="24">
        <f t="shared" si="31"/>
        <v>390457.50369995204</v>
      </c>
      <c r="S211" s="30">
        <f>AN211*IF(입력란!$C$12=0,1,IF(입력란!$C$12=1,1.3,IF(입력란!$C$12=2,1.45,IF(입력란!$C$12=3,1.6,1))))*IF(MID(E211,3,1)="2",트라이포드!$L$15,트라이포드!$K$15)*IF(입력란!$C$9=1,IF(입력란!$C$15=0,1.05,IF(입력란!$C$15=1,1.05*1.05,IF(입력란!$C$15=2,1.05*1.12,IF(입력란!$C$15=3,1.05*1.25)))),1)</f>
        <v>102751.97465788212</v>
      </c>
      <c r="T211" s="30">
        <f>AN211*IF(입력란!$C$12=0,1,IF(입력란!$C$12=1,1.3,IF(입력란!$C$12=2,1.45,IF(입력란!$C$12=3,1.6,1))))*IF(MID(E211,5,1)="1",트라이포드!$P$15,IF(MID(E211,5,1)="2",트라이포드!$R$15,1))*IF(입력란!$C$9=1,IF(입력란!$C$15=0,1.05,IF(입력란!$C$15=1,1.05*1.05,IF(입력란!$C$15=2,1.05*1.12,IF(입력란!$C$15=3,1.05*1.25)))),1)</f>
        <v>287705.52904206992</v>
      </c>
      <c r="U211" s="30"/>
      <c r="V211" s="30"/>
      <c r="W211" s="39"/>
      <c r="X211" s="39"/>
      <c r="Y211" s="39"/>
      <c r="Z211" s="25"/>
      <c r="AA211" s="30">
        <f t="shared" si="32"/>
        <v>780915.00739990408</v>
      </c>
      <c r="AB211" s="30">
        <f t="shared" si="33"/>
        <v>205503.94931576424</v>
      </c>
      <c r="AC211" s="30">
        <f t="shared" si="34"/>
        <v>575411.05808413983</v>
      </c>
      <c r="AD211" s="30"/>
      <c r="AE211" s="30"/>
      <c r="AF211" s="39"/>
      <c r="AG211" s="39"/>
      <c r="AH211" s="39"/>
      <c r="AI211" s="27"/>
      <c r="AJ211" s="26">
        <f>(AQ211-IF(MID(E211,1,1)="1",트라이포드!$D$15,트라이포드!$C$15))*(1-입력란!$C$35/100)</f>
        <v>17.791326734039998</v>
      </c>
      <c r="AK21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1" s="26">
        <f>입력란!$C$47+입력란!$C$41+IF(입력란!$C$18=1,10,IF(입력란!$C$18=2,25,IF(입력란!$C$18=3,50,0)))+IF(입력란!$C$23&lt;&gt;0,-12)</f>
        <v>378.9445412</v>
      </c>
      <c r="AM211" s="30">
        <f t="shared" si="35"/>
        <v>205517.30183617328</v>
      </c>
      <c r="AN211" s="30">
        <f>(VLOOKUP(C211,$B$4:$AJ$7,14,FALSE)+VLOOKUP(C211,$B$8:$AJ$11,14,FALSE)*입력란!$C$29)*입력란!$C$48/100</f>
        <v>102751.97465788212</v>
      </c>
      <c r="AO211" s="26">
        <f>(VLOOKUP(C211,$B$4:$AJ$7,15,FALSE)+VLOOKUP(C211,$B$8:$AJ$11,15,FALSE)*입력란!$C$29)*입력란!$C$48/100</f>
        <v>102765.32717829116</v>
      </c>
      <c r="AP211" s="30"/>
      <c r="AQ211" s="29">
        <v>18</v>
      </c>
    </row>
    <row r="212" spans="2:43" ht="13.5" customHeight="1" x14ac:dyDescent="0.3">
      <c r="B212" s="31">
        <v>197</v>
      </c>
      <c r="C212" s="36">
        <v>10</v>
      </c>
      <c r="D212" s="37" t="s">
        <v>172</v>
      </c>
      <c r="E212" s="38" t="s">
        <v>181</v>
      </c>
      <c r="F212" s="40"/>
      <c r="G212" s="40"/>
      <c r="H212" s="52">
        <f t="shared" si="30"/>
        <v>41021.238696018168</v>
      </c>
      <c r="I212" s="53">
        <f>SUM(J212:Q212)*IF(입력란!$C$16=1,1.04,IF(입력란!$C$16=2,1.1,IF(입력란!$C$16=3,1.2,1)))*IF(입력란!$C$21=1,1+입력란!$C$38*0.001,IF(입력란!$C$21=2,1+입력란!$C$38*0.0022,IF(입력란!$C$21=3,1+입력란!$C$38*0.0045,1)))*IF(입력란!$C$18&lt;&gt;0,0.98,1)</f>
        <v>729822.26067590411</v>
      </c>
      <c r="J212" s="30">
        <f>S212*(1+IF($AK212+IF(입력란!$C$9=1,10,0)+IF(입력란!$C$26=1,10,0)+IF(MID(E212,3,1)="1",트라이포드!J$15,0)&gt;100,100,$AK212+IF(입력란!$C$9=1,10,0)+IF(입력란!$C$26=1,10,0)+IF(MID(E212,3,1)="1",트라이포드!J$15,0))/100*($AL212/100-1))</f>
        <v>336046.03989528125</v>
      </c>
      <c r="K212" s="30">
        <f>T212*(1+IF($AK212+IF(입력란!$C$9=1,10,0)+IF(입력란!$C$26=1,10,0)&gt;100,100,$AK212+IF(입력란!$C$9=1,10,0)+IF(입력란!$C$26=1,10,0))/100*($AL212/100-1))</f>
        <v>393776.22078062291</v>
      </c>
      <c r="L212" s="30"/>
      <c r="M212" s="30"/>
      <c r="N212" s="39"/>
      <c r="O212" s="39"/>
      <c r="P212" s="39"/>
      <c r="Q212" s="27"/>
      <c r="R212" s="24">
        <f t="shared" si="31"/>
        <v>349356.7138367992</v>
      </c>
      <c r="S212" s="30">
        <f>AN212*IF(입력란!$C$12=0,1,IF(입력란!$C$12=1,1.3,IF(입력란!$C$12=2,1.45,IF(입력란!$C$12=3,1.6,1))))*IF(MID(E212,3,1)="2",트라이포드!$L$15,트라이포드!$K$15)*IF(입력란!$C$9=1,IF(입력란!$C$15=0,1.05,IF(입력란!$C$15=1,1.05*1.05,IF(입력란!$C$15=2,1.05*1.12,IF(입력란!$C$15=3,1.05*1.25)))),1)</f>
        <v>102751.97465788212</v>
      </c>
      <c r="T212" s="30">
        <f>AN212*IF(입력란!$C$12=0,1,IF(입력란!$C$12=1,1.3,IF(입력란!$C$12=2,1.45,IF(입력란!$C$12=3,1.6,1))))*IF(MID(E212,5,1)="1",트라이포드!$P$15,IF(MID(E212,5,1)="2",트라이포드!$R$15,1))*IF(입력란!$C$9=1,IF(입력란!$C$15=0,1.05,IF(입력란!$C$15=1,1.05*1.05,IF(입력란!$C$15=2,1.05*1.12,IF(입력란!$C$15=3,1.05*1.25)))),1)</f>
        <v>246604.73917891708</v>
      </c>
      <c r="U212" s="30"/>
      <c r="V212" s="30"/>
      <c r="W212" s="39"/>
      <c r="X212" s="39"/>
      <c r="Y212" s="39"/>
      <c r="Z212" s="25"/>
      <c r="AA212" s="30">
        <f t="shared" si="32"/>
        <v>698713.4276735984</v>
      </c>
      <c r="AB212" s="30">
        <f t="shared" si="33"/>
        <v>205503.94931576424</v>
      </c>
      <c r="AC212" s="30">
        <f t="shared" si="34"/>
        <v>493209.47835783416</v>
      </c>
      <c r="AD212" s="30"/>
      <c r="AE212" s="30"/>
      <c r="AF212" s="39"/>
      <c r="AG212" s="39"/>
      <c r="AH212" s="39"/>
      <c r="AI212" s="27"/>
      <c r="AJ212" s="26">
        <f>(AQ212-IF(MID(E212,1,1)="1",트라이포드!$D$15,트라이포드!$C$15))*(1-입력란!$C$35/100)</f>
        <v>17.791326734039998</v>
      </c>
      <c r="AK21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2" s="26">
        <f>입력란!$C$47+입력란!$C$41+IF(입력란!$C$18=1,10,IF(입력란!$C$18=2,25,IF(입력란!$C$18=3,50,0)))+IF(입력란!$C$23&lt;&gt;0,-12)</f>
        <v>378.9445412</v>
      </c>
      <c r="AM212" s="30">
        <f t="shared" si="35"/>
        <v>205517.30183617328</v>
      </c>
      <c r="AN212" s="30">
        <f>(VLOOKUP(C212,$B$4:$AJ$7,14,FALSE)+VLOOKUP(C212,$B$8:$AJ$11,14,FALSE)*입력란!$C$29)*입력란!$C$48/100</f>
        <v>102751.97465788212</v>
      </c>
      <c r="AO212" s="26">
        <f>(VLOOKUP(C212,$B$4:$AJ$7,15,FALSE)+VLOOKUP(C212,$B$8:$AJ$11,15,FALSE)*입력란!$C$29)*입력란!$C$48/100</f>
        <v>102765.32717829116</v>
      </c>
      <c r="AP212" s="30"/>
      <c r="AQ212" s="29">
        <v>18</v>
      </c>
    </row>
    <row r="213" spans="2:43" ht="13.5" customHeight="1" x14ac:dyDescent="0.3">
      <c r="B213" s="31">
        <v>198</v>
      </c>
      <c r="C213" s="36">
        <v>10</v>
      </c>
      <c r="D213" s="37" t="s">
        <v>172</v>
      </c>
      <c r="E213" s="38" t="s">
        <v>182</v>
      </c>
      <c r="F213" s="40"/>
      <c r="G213" s="40"/>
      <c r="H213" s="52">
        <f t="shared" si="30"/>
        <v>39655.037504806125</v>
      </c>
      <c r="I213" s="53">
        <f>SUM(J213:Q213)*IF(입력란!$C$16=1,1.04,IF(입력란!$C$16=2,1.1,IF(입력란!$C$16=3,1.2,1)))*IF(입력란!$C$21=1,1+입력란!$C$38*0.001,IF(입력란!$C$21=2,1+입력란!$C$38*0.0022,IF(입력란!$C$21=3,1+입력란!$C$38*0.0045,1)))*IF(입력란!$C$18&lt;&gt;0,0.98,1)</f>
        <v>705515.72889861604</v>
      </c>
      <c r="J213" s="30">
        <f>S213*(1+IF($AK213+IF(입력란!$C$9=1,10,0)+IF(입력란!$C$26=1,10,0)+IF(MID(E213,3,1)="1",트라이포드!J$15,0)&gt;100,100,$AK213+IF(입력란!$C$9=1,10,0)+IF(입력란!$C$26=1,10,0)+IF(MID(E213,3,1)="1",트라이포드!J$15,0))/100*($AL213/100-1))</f>
        <v>246110.13798788932</v>
      </c>
      <c r="K213" s="30">
        <f>T213*(1+IF($AK213+IF(입력란!$C$9=1,10,0)+IF(입력란!$C$26=1,10,0)&gt;100,100,$AK213+IF(입력란!$C$9=1,10,0)+IF(입력란!$C$26=1,10,0))/100*($AL213/100-1))</f>
        <v>459405.59091072669</v>
      </c>
      <c r="L213" s="30"/>
      <c r="M213" s="30"/>
      <c r="N213" s="39"/>
      <c r="O213" s="39"/>
      <c r="P213" s="39"/>
      <c r="Q213" s="27"/>
      <c r="R213" s="24">
        <f t="shared" si="31"/>
        <v>441833.4910288931</v>
      </c>
      <c r="S213" s="30">
        <f>AN213*IF(입력란!$C$12=0,1,IF(입력란!$C$12=1,1.3,IF(입력란!$C$12=2,1.45,IF(입력란!$C$12=3,1.6,1))))*IF(MID(E213,3,1)="2",트라이포드!$L$15,트라이포드!$K$15)*IF(입력란!$C$9=1,IF(입력란!$C$15=0,1.05,IF(입력란!$C$15=1,1.05*1.05,IF(입력란!$C$15=2,1.05*1.12,IF(입력란!$C$15=3,1.05*1.25)))),1)</f>
        <v>154127.96198682318</v>
      </c>
      <c r="T213" s="30">
        <f>AN213*IF(입력란!$C$12=0,1,IF(입력란!$C$12=1,1.3,IF(입력란!$C$12=2,1.45,IF(입력란!$C$12=3,1.6,1))))*IF(MID(E213,5,1)="1",트라이포드!$P$15,IF(MID(E213,5,1)="2",트라이포드!$R$15,1))*IF(입력란!$C$9=1,IF(입력란!$C$15=0,1.05,IF(입력란!$C$15=1,1.05*1.05,IF(입력란!$C$15=2,1.05*1.12,IF(입력란!$C$15=3,1.05*1.25)))),1)</f>
        <v>287705.52904206992</v>
      </c>
      <c r="U213" s="30"/>
      <c r="V213" s="30"/>
      <c r="W213" s="39"/>
      <c r="X213" s="39"/>
      <c r="Y213" s="39"/>
      <c r="Z213" s="25"/>
      <c r="AA213" s="30">
        <f t="shared" si="32"/>
        <v>883666.9820577862</v>
      </c>
      <c r="AB213" s="30">
        <f t="shared" si="33"/>
        <v>308255.92397364636</v>
      </c>
      <c r="AC213" s="30">
        <f t="shared" si="34"/>
        <v>575411.05808413983</v>
      </c>
      <c r="AD213" s="30"/>
      <c r="AE213" s="30"/>
      <c r="AF213" s="39"/>
      <c r="AG213" s="39"/>
      <c r="AH213" s="39"/>
      <c r="AI213" s="27"/>
      <c r="AJ213" s="26">
        <f>(AQ213-IF(MID(E213,1,1)="1",트라이포드!$D$15,트라이포드!$C$15))*(1-입력란!$C$35/100)</f>
        <v>17.791326734039998</v>
      </c>
      <c r="AK21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3" s="26">
        <f>입력란!$C$47+입력란!$C$41+IF(입력란!$C$18=1,10,IF(입력란!$C$18=2,25,IF(입력란!$C$18=3,50,0)))+IF(입력란!$C$23&lt;&gt;0,-12)</f>
        <v>378.9445412</v>
      </c>
      <c r="AM213" s="30">
        <f t="shared" si="35"/>
        <v>205517.30183617328</v>
      </c>
      <c r="AN213" s="30">
        <f>(VLOOKUP(C213,$B$4:$AJ$7,14,FALSE)+VLOOKUP(C213,$B$8:$AJ$11,14,FALSE)*입력란!$C$29)*입력란!$C$48/100</f>
        <v>102751.97465788212</v>
      </c>
      <c r="AO213" s="26">
        <f>(VLOOKUP(C213,$B$4:$AJ$7,15,FALSE)+VLOOKUP(C213,$B$8:$AJ$11,15,FALSE)*입력란!$C$29)*입력란!$C$48/100</f>
        <v>102765.32717829116</v>
      </c>
      <c r="AP213" s="30"/>
      <c r="AQ213" s="29">
        <v>18</v>
      </c>
    </row>
    <row r="214" spans="2:43" ht="13.5" customHeight="1" x14ac:dyDescent="0.3">
      <c r="B214" s="31">
        <v>199</v>
      </c>
      <c r="C214" s="36">
        <v>10</v>
      </c>
      <c r="D214" s="37" t="s">
        <v>172</v>
      </c>
      <c r="E214" s="38" t="s">
        <v>183</v>
      </c>
      <c r="F214" s="40"/>
      <c r="G214" s="40"/>
      <c r="H214" s="52">
        <f t="shared" si="30"/>
        <v>35966.196806684631</v>
      </c>
      <c r="I214" s="53">
        <f>SUM(J214:Q214)*IF(입력란!$C$16=1,1.04,IF(입력란!$C$16=2,1.1,IF(입력란!$C$16=3,1.2,1)))*IF(입력란!$C$21=1,1+입력란!$C$38*0.001,IF(입력란!$C$21=2,1+입력란!$C$38*0.0022,IF(입력란!$C$21=3,1+입력란!$C$38*0.0045,1)))*IF(입력란!$C$18&lt;&gt;0,0.98,1)</f>
        <v>639886.35876851226</v>
      </c>
      <c r="J214" s="30">
        <f>S214*(1+IF($AK214+IF(입력란!$C$9=1,10,0)+IF(입력란!$C$26=1,10,0)+IF(MID(E214,3,1)="1",트라이포드!J$15,0)&gt;100,100,$AK214+IF(입력란!$C$9=1,10,0)+IF(입력란!$C$26=1,10,0)+IF(MID(E214,3,1)="1",트라이포드!J$15,0))/100*($AL214/100-1))</f>
        <v>246110.13798788932</v>
      </c>
      <c r="K214" s="30">
        <f>T214*(1+IF($AK214+IF(입력란!$C$9=1,10,0)+IF(입력란!$C$26=1,10,0)&gt;100,100,$AK214+IF(입력란!$C$9=1,10,0)+IF(입력란!$C$26=1,10,0))/100*($AL214/100-1))</f>
        <v>393776.22078062291</v>
      </c>
      <c r="L214" s="30"/>
      <c r="M214" s="30"/>
      <c r="N214" s="39"/>
      <c r="O214" s="39"/>
      <c r="P214" s="39"/>
      <c r="Q214" s="27"/>
      <c r="R214" s="24">
        <f t="shared" si="31"/>
        <v>400732.70116574026</v>
      </c>
      <c r="S214" s="30">
        <f>AN214*IF(입력란!$C$12=0,1,IF(입력란!$C$12=1,1.3,IF(입력란!$C$12=2,1.45,IF(입력란!$C$12=3,1.6,1))))*IF(MID(E214,3,1)="2",트라이포드!$L$15,트라이포드!$K$15)*IF(입력란!$C$9=1,IF(입력란!$C$15=0,1.05,IF(입력란!$C$15=1,1.05*1.05,IF(입력란!$C$15=2,1.05*1.12,IF(입력란!$C$15=3,1.05*1.25)))),1)</f>
        <v>154127.96198682318</v>
      </c>
      <c r="T214" s="30">
        <f>AN214*IF(입력란!$C$12=0,1,IF(입력란!$C$12=1,1.3,IF(입력란!$C$12=2,1.45,IF(입력란!$C$12=3,1.6,1))))*IF(MID(E214,5,1)="1",트라이포드!$P$15,IF(MID(E214,5,1)="2",트라이포드!$R$15,1))*IF(입력란!$C$9=1,IF(입력란!$C$15=0,1.05,IF(입력란!$C$15=1,1.05*1.05,IF(입력란!$C$15=2,1.05*1.12,IF(입력란!$C$15=3,1.05*1.25)))),1)</f>
        <v>246604.73917891708</v>
      </c>
      <c r="U214" s="30"/>
      <c r="V214" s="30"/>
      <c r="W214" s="39"/>
      <c r="X214" s="39"/>
      <c r="Y214" s="39"/>
      <c r="Z214" s="25"/>
      <c r="AA214" s="30">
        <f t="shared" si="32"/>
        <v>801465.40233148052</v>
      </c>
      <c r="AB214" s="30">
        <f t="shared" si="33"/>
        <v>308255.92397364636</v>
      </c>
      <c r="AC214" s="30">
        <f t="shared" si="34"/>
        <v>493209.47835783416</v>
      </c>
      <c r="AD214" s="30"/>
      <c r="AE214" s="30"/>
      <c r="AF214" s="39"/>
      <c r="AG214" s="39"/>
      <c r="AH214" s="39"/>
      <c r="AI214" s="27"/>
      <c r="AJ214" s="26">
        <f>(AQ214-IF(MID(E214,1,1)="1",트라이포드!$D$15,트라이포드!$C$15))*(1-입력란!$C$35/100)</f>
        <v>17.791326734039998</v>
      </c>
      <c r="AK21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4" s="26">
        <f>입력란!$C$47+입력란!$C$41+IF(입력란!$C$18=1,10,IF(입력란!$C$18=2,25,IF(입력란!$C$18=3,50,0)))+IF(입력란!$C$23&lt;&gt;0,-12)</f>
        <v>378.9445412</v>
      </c>
      <c r="AM214" s="30">
        <f t="shared" si="35"/>
        <v>205517.30183617328</v>
      </c>
      <c r="AN214" s="30">
        <f>(VLOOKUP(C214,$B$4:$AJ$7,14,FALSE)+VLOOKUP(C214,$B$8:$AJ$11,14,FALSE)*입력란!$C$29)*입력란!$C$48/100</f>
        <v>102751.97465788212</v>
      </c>
      <c r="AO214" s="26">
        <f>(VLOOKUP(C214,$B$4:$AJ$7,15,FALSE)+VLOOKUP(C214,$B$8:$AJ$11,15,FALSE)*입력란!$C$29)*입력란!$C$48/100</f>
        <v>102765.32717829116</v>
      </c>
      <c r="AP214" s="30"/>
      <c r="AQ214" s="29">
        <v>18</v>
      </c>
    </row>
    <row r="215" spans="2:43" ht="13.5" customHeight="1" x14ac:dyDescent="0.3">
      <c r="B215" s="31">
        <v>200</v>
      </c>
      <c r="C215" s="36">
        <v>1</v>
      </c>
      <c r="D215" s="43" t="s">
        <v>185</v>
      </c>
      <c r="E215" s="38" t="s">
        <v>186</v>
      </c>
      <c r="F215" s="40"/>
      <c r="G215" s="40" t="s">
        <v>202</v>
      </c>
      <c r="H215" s="52">
        <f t="shared" si="30"/>
        <v>17596.097242899152</v>
      </c>
      <c r="I215" s="53">
        <f>SUM(J215:Q215)*IF(입력란!$C$16=1,1.04,IF(입력란!$C$16=2,1.1,IF(입력란!$C$16=3,1.2,1)))*IF(입력란!$C$21=1,1+입력란!$C$38*0.001,IF(입력란!$C$21=2,1+입력란!$C$38*0.0022,IF(입력란!$C$21=3,1+입력란!$C$38*0.0045,1)))*IF(입력란!$C$18&lt;&gt;0,0.98,1)</f>
        <v>417410.55372314563</v>
      </c>
      <c r="J215" s="30">
        <f>S215*(1+IF($AK215+IF(입력란!$C$9=1,10,0)+IF(입력란!$C$26=1,10,0)&gt;100,100,$AK215+IF(입력란!$C$9=1,10,0)+IF(입력란!$C$26=1,10,0))/100*($AL215/100-1))</f>
        <v>183654.67355558605</v>
      </c>
      <c r="K215" s="30">
        <f>T215*(1+IF($AK215+IF(입력란!$C$9=1,10,0)+IF(입력란!$C$26=1,10,0)&gt;100,100,$AK215+IF(입력란!$C$9=1,10,0)+IF(입력란!$C$26=1,10,0))/100*($AL215/100-1))</f>
        <v>233755.8801675596</v>
      </c>
      <c r="L215" s="30">
        <f>U215*(1+IF($AK215+IF(입력란!$C$9=1,10,0)+IF(입력란!$C$26=1,10,0)&gt;100,100,$AK215+IF(입력란!$C$9=1,10,0)+IF(입력란!$C$26=1,10,0))/100*($AL215/100-1))</f>
        <v>0</v>
      </c>
      <c r="M215" s="30"/>
      <c r="N215" s="39"/>
      <c r="O215" s="39"/>
      <c r="P215" s="39"/>
      <c r="Q215" s="27"/>
      <c r="R215" s="24">
        <f t="shared" si="31"/>
        <v>343846.03510034794</v>
      </c>
      <c r="S215" s="30">
        <f>AN215*IF(G215="근접",IF(MID(E215,1,1)="1",트라이포드!$D$16,트라이포드!$C$16),1)*IF(MID(E215,1,1)="2",트라이포드!$F$16,트라이포드!$E$16)*IF(MID(E215,3,1)="1",트라이포드!$J$16,트라이포드!$I$16)*IF(MID(E215,5,1)="2",트라이포드!$R$16,트라이포드!$Q$16)*(1+입력란!$C$42/100)*IF(입력란!$C$9=1,IF(입력란!$C$15=0,1.05,IF(입력란!$C$15=1,1.05*1.05,IF(입력란!$C$15=2,1.05*1.12,IF(입력란!$C$15=3,1.05*1.25)))),1)</f>
        <v>151287.33753009402</v>
      </c>
      <c r="T215" s="30">
        <f>AO215*IF(G215="근접",IF(MID(E215,1,1)="1",트라이포드!$D$16,트라이포드!$C$16),1)*IF(MID(E215,1,1)="2",트라이포드!$F$16,트라이포드!$E$16)*IF(MID(E215,3,1)="1",트라이포드!$J$16,트라이포드!$I$16)*IF(MID(E215,5,1)="2",트라이포드!$R$16,트라이포드!$Q$16)*(1+입력란!$C$42/100)*IF(입력란!$C$9=1,IF(입력란!$C$15=0,1.05,IF(입력란!$C$15=1,1.05*1.05,IF(입력란!$C$15=2,1.05*1.12,IF(입력란!$C$15=3,1.05*1.25)))),1)</f>
        <v>192558.69757025389</v>
      </c>
      <c r="U215" s="30">
        <f>AO215*IF(G215="근접",IF(MID(E215,1,1)="1",트라이포드!$D$16,트라이포드!$C$16),1)*IF(MID(E215,1,1)="2",트라이포드!$F$16,트라이포드!$E$16)*IF(MID(E215,3,1)="1",트라이포드!$J$16,트라이포드!$I$16)*IF(MID(E215,5,1)="1",트라이포드!P$16,트라이포드!O$16)*(1+입력란!$C$42/100)*IF(입력란!$C$9=1,IF(입력란!$C$15=0,1.05,IF(입력란!$C$15=1,1.05*1.05,IF(입력란!$C$15=2,1.05*1.12,IF(입력란!$C$15=3,1.05*1.25)))),1)</f>
        <v>0</v>
      </c>
      <c r="V215" s="30"/>
      <c r="W215" s="39"/>
      <c r="X215" s="39"/>
      <c r="Y215" s="39"/>
      <c r="Z215" s="25"/>
      <c r="AA215" s="30">
        <f t="shared" si="32"/>
        <v>687692.07020069589</v>
      </c>
      <c r="AB215" s="30">
        <f t="shared" si="33"/>
        <v>302574.67506018805</v>
      </c>
      <c r="AC215" s="30">
        <f t="shared" si="34"/>
        <v>385117.39514050778</v>
      </c>
      <c r="AD215" s="30">
        <f t="shared" ref="AD215:AD246" si="36">U215*2</f>
        <v>0</v>
      </c>
      <c r="AE215" s="30"/>
      <c r="AF215" s="39"/>
      <c r="AG215" s="39"/>
      <c r="AH215" s="39"/>
      <c r="AI215" s="27"/>
      <c r="AJ215" s="26">
        <f>(AQ215-IF(MID(E215,3,1)="3",트라이포드!$N$16,트라이포드!$M$16))*(1-입력란!$C$35/100)</f>
        <v>23.72176897872</v>
      </c>
      <c r="AK21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5" s="26">
        <f>입력란!$C$47+IF(입력란!$C$18=1,10,IF(입력란!$C$18=2,25,IF(입력란!$C$18=3,50,0)))+IF(입력란!$C$23&lt;&gt;0,-12)</f>
        <v>200</v>
      </c>
      <c r="AM215" s="30">
        <f t="shared" si="35"/>
        <v>215391.50083362791</v>
      </c>
      <c r="AN215" s="30">
        <f>(VLOOKUP(C215,$B$4:$AJ$7,16,FALSE)+VLOOKUP(C215,$B$8:$AJ$11,16,FALSE)*입력란!$C$29)*IF(G215="근접",입력란!$C$50,IF(MID(E215,1,1)="2",입력란!$C$50,입력란!$C$49))*입력란!$C$48/100</f>
        <v>94769.179694687205</v>
      </c>
      <c r="AO215" s="30">
        <f>(VLOOKUP(C215,$B$4:$AJ$7,17,FALSE)+VLOOKUP(C215,$B$8:$AJ$11,17,FALSE)*입력란!$C$29)*IF(G215="근접",입력란!$C$50,IF(MID(E215,1,1)="2",입력란!$C$50,입력란!$C$49))*입력란!$C$48/100</f>
        <v>120622.32113894071</v>
      </c>
      <c r="AP215" s="30"/>
      <c r="AQ215" s="29">
        <v>24</v>
      </c>
    </row>
    <row r="216" spans="2:43" ht="13.5" customHeight="1" x14ac:dyDescent="0.3">
      <c r="B216" s="31">
        <v>201</v>
      </c>
      <c r="C216" s="36">
        <v>4</v>
      </c>
      <c r="D216" s="43" t="s">
        <v>185</v>
      </c>
      <c r="E216" s="38" t="s">
        <v>186</v>
      </c>
      <c r="F216" s="40"/>
      <c r="G216" s="40" t="s">
        <v>202</v>
      </c>
      <c r="H216" s="52">
        <f t="shared" si="30"/>
        <v>17633.602616354965</v>
      </c>
      <c r="I216" s="53">
        <f>SUM(J216:Q216)*IF(입력란!$C$16=1,1.04,IF(입력란!$C$16=2,1.1,IF(입력란!$C$16=3,1.2,1)))*IF(입력란!$C$21=1,1+입력란!$C$38*0.001,IF(입력란!$C$21=2,1+입력란!$C$38*0.0022,IF(입력란!$C$21=3,1+입력란!$C$38*0.0045,1)))*IF(입력란!$C$18&lt;&gt;0,0.98,1)</f>
        <v>418300.24752772506</v>
      </c>
      <c r="J216" s="30">
        <f>S216*(1+IF($AK216+IF(입력란!$C$9=1,10,0)+IF(입력란!$C$26=1,10,0)&gt;100,100,$AK216+IF(입력란!$C$9=1,10,0)+IF(입력란!$C$26=1,10,0))/100*($AL216/100-1))</f>
        <v>184051.55867441223</v>
      </c>
      <c r="K216" s="30">
        <f>T216*(1+IF($AK216+IF(입력란!$C$9=1,10,0)+IF(입력란!$C$26=1,10,0)&gt;100,100,$AK216+IF(입력란!$C$9=1,10,0)+IF(입력란!$C$26=1,10,0))/100*($AL216/100-1))</f>
        <v>234248.68885331287</v>
      </c>
      <c r="L216" s="30">
        <f>U216*(1+IF($AK216+IF(입력란!$C$9=1,10,0)+IF(입력란!$C$26=1,10,0)&gt;100,100,$AK216+IF(입력란!$C$9=1,10,0)+IF(입력란!$C$26=1,10,0))/100*($AL216/100-1))</f>
        <v>0</v>
      </c>
      <c r="M216" s="30"/>
      <c r="N216" s="39"/>
      <c r="O216" s="39"/>
      <c r="P216" s="39"/>
      <c r="Q216" s="27"/>
      <c r="R216" s="24">
        <f t="shared" si="31"/>
        <v>344578.92909267591</v>
      </c>
      <c r="S216" s="30">
        <f>AN216*IF(G216="근접",IF(MID(E216,1,1)="1",트라이포드!$D$16,트라이포드!$C$16),1)*IF(MID(E216,1,1)="2",트라이포드!$F$16,트라이포드!$E$16)*IF(MID(E216,3,1)="1",트라이포드!$J$16,트라이포드!$I$16)*IF(MID(E216,5,1)="2",트라이포드!$R$16,트라이포드!$Q$16)*(1+입력란!$C$42/100)*IF(입력란!$C$9=1,IF(입력란!$C$15=0,1.05,IF(입력란!$C$15=1,1.05*1.05,IF(입력란!$C$15=2,1.05*1.12,IF(입력란!$C$15=3,1.05*1.25)))),1)</f>
        <v>151614.27553700705</v>
      </c>
      <c r="T216" s="30">
        <f>AO216*IF(G216="근접",IF(MID(E216,1,1)="1",트라이포드!$D$16,트라이포드!$C$16),1)*IF(MID(E216,1,1)="2",트라이포드!$F$16,트라이포드!$E$16)*IF(MID(E216,3,1)="1",트라이포드!$J$16,트라이포드!$I$16)*IF(MID(E216,5,1)="2",트라이포드!$R$16,트라이포드!$Q$16)*(1+입력란!$C$42/100)*IF(입력란!$C$9=1,IF(입력란!$C$15=0,1.05,IF(입력란!$C$15=1,1.05*1.05,IF(입력란!$C$15=2,1.05*1.12,IF(입력란!$C$15=3,1.05*1.25)))),1)</f>
        <v>192964.65355566883</v>
      </c>
      <c r="U216" s="30">
        <f>AO216*IF(G216="근접",IF(MID(E216,1,1)="1",트라이포드!$D$16,트라이포드!$C$16),1)*IF(MID(E216,1,1)="2",트라이포드!$F$16,트라이포드!$E$16)*IF(MID(E216,3,1)="1",트라이포드!$J$16,트라이포드!$I$16)*IF(MID(E216,5,1)="1",트라이포드!P$16,트라이포드!O$16)*(1+입력란!$C$42/100)*IF(입력란!$C$9=1,IF(입력란!$C$15=0,1.05,IF(입력란!$C$15=1,1.05*1.05,IF(입력란!$C$15=2,1.05*1.12,IF(입력란!$C$15=3,1.05*1.25)))),1)</f>
        <v>0</v>
      </c>
      <c r="V216" s="30"/>
      <c r="W216" s="39"/>
      <c r="X216" s="39"/>
      <c r="Y216" s="39"/>
      <c r="Z216" s="25"/>
      <c r="AA216" s="30">
        <f t="shared" si="32"/>
        <v>689157.85818535183</v>
      </c>
      <c r="AB216" s="30">
        <f t="shared" si="33"/>
        <v>303228.5510740141</v>
      </c>
      <c r="AC216" s="30">
        <f t="shared" si="34"/>
        <v>385929.30711133766</v>
      </c>
      <c r="AD216" s="30">
        <f t="shared" si="36"/>
        <v>0</v>
      </c>
      <c r="AE216" s="30"/>
      <c r="AF216" s="39"/>
      <c r="AG216" s="39"/>
      <c r="AH216" s="39"/>
      <c r="AI216" s="27"/>
      <c r="AJ216" s="26">
        <f>(AQ216-IF(MID(E216,3,1)="3",트라이포드!$N$16,트라이포드!$M$16))*(1-입력란!$C$35/100)</f>
        <v>23.72176897872</v>
      </c>
      <c r="AK2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6" s="26">
        <f>입력란!$C$47+IF(입력란!$C$18=1,10,IF(입력란!$C$18=2,25,IF(입력란!$C$18=3,50,0)))+IF(입력란!$C$23&lt;&gt;0,-12)</f>
        <v>200</v>
      </c>
      <c r="AM216" s="30">
        <f t="shared" si="35"/>
        <v>215850.59915335523</v>
      </c>
      <c r="AN216" s="30">
        <f>(VLOOKUP(C216,$B$4:$AJ$7,16,FALSE)+VLOOKUP(C216,$B$8:$AJ$11,16,FALSE)*입력란!$C$29)*IF(G216="근접",입력란!$C$50,IF(MID(E216,1,1)="2",입력란!$C$50,입력란!$C$49))*입력란!$C$48/100</f>
        <v>94973.979694687208</v>
      </c>
      <c r="AO216" s="30">
        <f>(VLOOKUP(C216,$B$4:$AJ$7,17,FALSE)+VLOOKUP(C216,$B$8:$AJ$11,17,FALSE)*입력란!$C$29)*IF(G216="근접",입력란!$C$50,IF(MID(E216,1,1)="2",입력란!$C$50,입력란!$C$49))*입력란!$C$48/100</f>
        <v>120876.61945866802</v>
      </c>
      <c r="AP216" s="30"/>
      <c r="AQ216" s="29">
        <v>24</v>
      </c>
    </row>
    <row r="217" spans="2:43" ht="13.5" customHeight="1" x14ac:dyDescent="0.3">
      <c r="B217" s="31">
        <v>202</v>
      </c>
      <c r="C217" s="36">
        <v>4</v>
      </c>
      <c r="D217" s="43" t="s">
        <v>185</v>
      </c>
      <c r="E217" s="38" t="s">
        <v>187</v>
      </c>
      <c r="F217" s="40"/>
      <c r="G217" s="40" t="s">
        <v>202</v>
      </c>
      <c r="H217" s="52">
        <f t="shared" si="30"/>
        <v>22042.003270443711</v>
      </c>
      <c r="I217" s="53">
        <f>SUM(J217:Q217)*IF(입력란!$C$16=1,1.04,IF(입력란!$C$16=2,1.1,IF(입력란!$C$16=3,1.2,1)))*IF(입력란!$C$21=1,1+입력란!$C$38*0.001,IF(입력란!$C$21=2,1+입력란!$C$38*0.0022,IF(입력란!$C$21=3,1+입력란!$C$38*0.0045,1)))*IF(입력란!$C$18&lt;&gt;0,0.98,1)</f>
        <v>522875.30940965639</v>
      </c>
      <c r="J217" s="30">
        <f>S217*(1+IF($AK217+IF(입력란!$C$9=1,10,0)+IF(입력란!$C$26=1,10,0)&gt;100,100,$AK217+IF(입력란!$C$9=1,10,0)+IF(입력란!$C$26=1,10,0))/100*($AL217/100-1))</f>
        <v>230064.44834301528</v>
      </c>
      <c r="K217" s="30">
        <f>T217*(1+IF($AK217+IF(입력란!$C$9=1,10,0)+IF(입력란!$C$26=1,10,0)&gt;100,100,$AK217+IF(입력란!$C$9=1,10,0)+IF(입력란!$C$26=1,10,0))/100*($AL217/100-1))</f>
        <v>292810.86106664111</v>
      </c>
      <c r="L217" s="30">
        <f>U217*(1+IF($AK217+IF(입력란!$C$9=1,10,0)+IF(입력란!$C$26=1,10,0)&gt;100,100,$AK217+IF(입력란!$C$9=1,10,0)+IF(입력란!$C$26=1,10,0))/100*($AL217/100-1))</f>
        <v>0</v>
      </c>
      <c r="M217" s="30"/>
      <c r="N217" s="39"/>
      <c r="O217" s="39"/>
      <c r="P217" s="39"/>
      <c r="Q217" s="27"/>
      <c r="R217" s="24">
        <f t="shared" si="31"/>
        <v>430723.66136584489</v>
      </c>
      <c r="S217" s="30">
        <f>AN217*IF(G217="근접",IF(MID(E217,1,1)="1",트라이포드!$D$16,트라이포드!$C$16),1)*IF(MID(E217,1,1)="2",트라이포드!$F$16,트라이포드!$E$16)*IF(MID(E217,3,1)="1",트라이포드!$J$16,트라이포드!$I$16)*IF(MID(E217,5,1)="2",트라이포드!$R$16,트라이포드!$Q$16)*(1+입력란!$C$42/100)*IF(입력란!$C$9=1,IF(입력란!$C$15=0,1.05,IF(입력란!$C$15=1,1.05*1.05,IF(입력란!$C$15=2,1.05*1.12,IF(입력란!$C$15=3,1.05*1.25)))),1)</f>
        <v>189517.84442125881</v>
      </c>
      <c r="T217" s="30">
        <f>AO217*IF(G217="근접",IF(MID(E217,1,1)="1",트라이포드!$D$16,트라이포드!$C$16),1)*IF(MID(E217,1,1)="2",트라이포드!$F$16,트라이포드!$E$16)*IF(MID(E217,3,1)="1",트라이포드!$J$16,트라이포드!$I$16)*IF(MID(E217,5,1)="2",트라이포드!$R$16,트라이포드!$Q$16)*(1+입력란!$C$42/100)*IF(입력란!$C$9=1,IF(입력란!$C$15=0,1.05,IF(입력란!$C$15=1,1.05*1.05,IF(입력란!$C$15=2,1.05*1.12,IF(입력란!$C$15=3,1.05*1.25)))),1)</f>
        <v>241205.81694458605</v>
      </c>
      <c r="U217" s="30">
        <f>AO217*IF(G217="근접",IF(MID(E217,1,1)="1",트라이포드!$D$16,트라이포드!$C$16),1)*IF(MID(E217,1,1)="2",트라이포드!$F$16,트라이포드!$E$16)*IF(MID(E217,3,1)="1",트라이포드!$J$16,트라이포드!$I$16)*IF(MID(E217,5,1)="1",트라이포드!P$16,트라이포드!O$16)*(1+입력란!$C$42/100)*IF(입력란!$C$9=1,IF(입력란!$C$15=0,1.05,IF(입력란!$C$15=1,1.05*1.05,IF(입력란!$C$15=2,1.05*1.12,IF(입력란!$C$15=3,1.05*1.25)))),1)</f>
        <v>0</v>
      </c>
      <c r="V217" s="30"/>
      <c r="W217" s="39"/>
      <c r="X217" s="39"/>
      <c r="Y217" s="39"/>
      <c r="Z217" s="25"/>
      <c r="AA217" s="30">
        <f t="shared" si="32"/>
        <v>861447.32273168978</v>
      </c>
      <c r="AB217" s="30">
        <f t="shared" si="33"/>
        <v>379035.68884251761</v>
      </c>
      <c r="AC217" s="30">
        <f t="shared" si="34"/>
        <v>482411.63388917211</v>
      </c>
      <c r="AD217" s="30">
        <f t="shared" si="36"/>
        <v>0</v>
      </c>
      <c r="AE217" s="30"/>
      <c r="AF217" s="39"/>
      <c r="AG217" s="39"/>
      <c r="AH217" s="39"/>
      <c r="AI217" s="27"/>
      <c r="AJ217" s="26">
        <f>(AQ217-IF(MID(E217,3,1)="3",트라이포드!$N$16,트라이포드!$M$16))*(1-입력란!$C$35/100)</f>
        <v>23.72176897872</v>
      </c>
      <c r="AK2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7" s="26">
        <f>입력란!$C$47+IF(입력란!$C$18=1,10,IF(입력란!$C$18=2,25,IF(입력란!$C$18=3,50,0)))+IF(입력란!$C$23&lt;&gt;0,-12)</f>
        <v>200</v>
      </c>
      <c r="AM217" s="30">
        <f t="shared" si="35"/>
        <v>215850.59915335523</v>
      </c>
      <c r="AN217" s="30">
        <f>(VLOOKUP(C217,$B$4:$AJ$7,16,FALSE)+VLOOKUP(C217,$B$8:$AJ$11,16,FALSE)*입력란!$C$29)*IF(G217="근접",입력란!$C$50,IF(MID(E217,1,1)="2",입력란!$C$50,입력란!$C$49))*입력란!$C$48/100</f>
        <v>94973.979694687208</v>
      </c>
      <c r="AO217" s="30">
        <f>(VLOOKUP(C217,$B$4:$AJ$7,17,FALSE)+VLOOKUP(C217,$B$8:$AJ$11,17,FALSE)*입력란!$C$29)*IF(G217="근접",입력란!$C$50,IF(MID(E217,1,1)="2",입력란!$C$50,입력란!$C$49))*입력란!$C$48/100</f>
        <v>120876.61945866802</v>
      </c>
      <c r="AP217" s="30"/>
      <c r="AQ217" s="29">
        <v>24</v>
      </c>
    </row>
    <row r="218" spans="2:43" ht="13.5" customHeight="1" x14ac:dyDescent="0.3">
      <c r="B218" s="31">
        <v>203</v>
      </c>
      <c r="C218" s="36">
        <v>4</v>
      </c>
      <c r="D218" s="43" t="s">
        <v>48</v>
      </c>
      <c r="E218" s="38" t="s">
        <v>377</v>
      </c>
      <c r="F218" s="40"/>
      <c r="G218" s="40" t="s">
        <v>39</v>
      </c>
      <c r="H218" s="52">
        <f t="shared" si="30"/>
        <v>19396.962877990463</v>
      </c>
      <c r="I218" s="53">
        <f>SUM(J218:Q218)*IF(입력란!$C$16=1,1.04,IF(입력란!$C$16=2,1.1,IF(입력란!$C$16=3,1.2,1)))*IF(입력란!$C$21=1,1+입력란!$C$38*0.001,IF(입력란!$C$21=2,1+입력란!$C$38*0.0022,IF(입력란!$C$21=3,1+입력란!$C$38*0.0045,1)))*IF(입력란!$C$18&lt;&gt;0,0.98,1)</f>
        <v>460130.27228049759</v>
      </c>
      <c r="J218" s="30">
        <f>S218*(1+IF($AK218+IF(입력란!$C$9=1,10,0)+IF(입력란!$C$26=1,10,0)&gt;100,100,$AK218+IF(입력란!$C$9=1,10,0)+IF(입력란!$C$26=1,10,0))/100*($AL218/100-1))</f>
        <v>202456.71454185346</v>
      </c>
      <c r="K218" s="30">
        <f>T218*(1+IF($AK218+IF(입력란!$C$9=1,10,0)+IF(입력란!$C$26=1,10,0)&gt;100,100,$AK218+IF(입력란!$C$9=1,10,0)+IF(입력란!$C$26=1,10,0))/100*($AL218/100-1))</f>
        <v>257673.55773864416</v>
      </c>
      <c r="L218" s="30">
        <f>U218*(1+IF($AK218+IF(입력란!$C$9=1,10,0)+IF(입력란!$C$26=1,10,0)&gt;100,100,$AK218+IF(입력란!$C$9=1,10,0)+IF(입력란!$C$26=1,10,0))/100*($AL218/100-1))</f>
        <v>0</v>
      </c>
      <c r="M218" s="30"/>
      <c r="N218" s="39"/>
      <c r="O218" s="39"/>
      <c r="P218" s="39"/>
      <c r="Q218" s="27"/>
      <c r="R218" s="24">
        <f t="shared" si="31"/>
        <v>379036.82200194348</v>
      </c>
      <c r="S218" s="30">
        <f>AN218*IF(G218="근접",IF(MID(E218,1,1)="1",트라이포드!$D$16,트라이포드!$C$16),1)*IF(MID(E218,1,1)="2",트라이포드!$F$16,트라이포드!$E$16)*IF(MID(E218,3,1)="1",트라이포드!$J$16,트라이포드!$I$16)*IF(MID(E218,5,1)="2",트라이포드!$R$16,트라이포드!$Q$16)*(1+입력란!$C$42/100)*IF(입력란!$C$9=1,IF(입력란!$C$15=0,1.05,IF(입력란!$C$15=1,1.05*1.05,IF(입력란!$C$15=2,1.05*1.12,IF(입력란!$C$15=3,1.05*1.25)))),1)</f>
        <v>166775.70309070777</v>
      </c>
      <c r="T218" s="30">
        <f>AO218*IF(G218="근접",IF(MID(E218,1,1)="1",트라이포드!$D$16,트라이포드!$C$16),1)*IF(MID(E218,1,1)="2",트라이포드!$F$16,트라이포드!$E$16)*IF(MID(E218,3,1)="1",트라이포드!$J$16,트라이포드!$I$16)*IF(MID(E218,5,1)="2",트라이포드!$R$16,트라이포드!$Q$16)*(1+입력란!$C$42/100)*IF(입력란!$C$9=1,IF(입력란!$C$15=0,1.05,IF(입력란!$C$15=1,1.05*1.05,IF(입력란!$C$15=2,1.05*1.12,IF(입력란!$C$15=3,1.05*1.25)))),1)</f>
        <v>212261.11891123571</v>
      </c>
      <c r="U218" s="30">
        <f>AO218*IF(G218="근접",IF(MID(E218,1,1)="1",트라이포드!$D$16,트라이포드!$C$16),1)*IF(MID(E218,1,1)="2",트라이포드!$F$16,트라이포드!$E$16)*IF(MID(E218,3,1)="1",트라이포드!$J$16,트라이포드!$I$16)*IF(MID(E218,5,1)="1",트라이포드!P$16,트라이포드!O$16)*(1+입력란!$C$42/100)*IF(입력란!$C$9=1,IF(입력란!$C$15=0,1.05,IF(입력란!$C$15=1,1.05*1.05,IF(입력란!$C$15=2,1.05*1.12,IF(입력란!$C$15=3,1.05*1.25)))),1)</f>
        <v>0</v>
      </c>
      <c r="V218" s="30"/>
      <c r="W218" s="39"/>
      <c r="X218" s="39"/>
      <c r="Y218" s="39"/>
      <c r="Z218" s="25"/>
      <c r="AA218" s="30">
        <f t="shared" si="32"/>
        <v>758073.64400388696</v>
      </c>
      <c r="AB218" s="30">
        <f t="shared" si="33"/>
        <v>333551.40618141554</v>
      </c>
      <c r="AC218" s="30">
        <f t="shared" si="34"/>
        <v>424522.23782247142</v>
      </c>
      <c r="AD218" s="30">
        <f t="shared" si="36"/>
        <v>0</v>
      </c>
      <c r="AE218" s="30"/>
      <c r="AF218" s="39"/>
      <c r="AG218" s="39"/>
      <c r="AH218" s="39"/>
      <c r="AI218" s="27"/>
      <c r="AJ218" s="26">
        <f>(AQ218-IF(MID(E218,3,1)="3",트라이포드!$N$16,트라이포드!$M$16))*(1-입력란!$C$35/100)</f>
        <v>23.72176897872</v>
      </c>
      <c r="AK2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8" s="26">
        <f>입력란!$C$47+IF(입력란!$C$18=1,10,IF(입력란!$C$18=2,25,IF(입력란!$C$18=3,50,0)))+IF(입력란!$C$23&lt;&gt;0,-12)</f>
        <v>200</v>
      </c>
      <c r="AM218" s="30">
        <f t="shared" si="35"/>
        <v>215850.59915335523</v>
      </c>
      <c r="AN218" s="30">
        <f>(VLOOKUP(C218,$B$4:$AJ$7,16,FALSE)+VLOOKUP(C218,$B$8:$AJ$11,16,FALSE)*입력란!$C$29)*IF(G218="근접",입력란!$C$50,IF(MID(E218,1,1)="2",입력란!$C$50,입력란!$C$49))*입력란!$C$48/100</f>
        <v>94973.979694687208</v>
      </c>
      <c r="AO218" s="30">
        <f>(VLOOKUP(C218,$B$4:$AJ$7,17,FALSE)+VLOOKUP(C218,$B$8:$AJ$11,17,FALSE)*입력란!$C$29)*IF(G218="근접",입력란!$C$50,IF(MID(E218,1,1)="2",입력란!$C$50,입력란!$C$49))*입력란!$C$48/100</f>
        <v>120876.61945866802</v>
      </c>
      <c r="AP218" s="30"/>
      <c r="AQ218" s="29">
        <v>24</v>
      </c>
    </row>
    <row r="219" spans="2:43" ht="13.5" customHeight="1" x14ac:dyDescent="0.3">
      <c r="B219" s="31">
        <v>204</v>
      </c>
      <c r="C219" s="36">
        <v>7</v>
      </c>
      <c r="D219" s="43" t="s">
        <v>185</v>
      </c>
      <c r="E219" s="38" t="s">
        <v>186</v>
      </c>
      <c r="F219" s="40"/>
      <c r="G219" s="40" t="s">
        <v>202</v>
      </c>
      <c r="H219" s="52">
        <f t="shared" si="30"/>
        <v>17652.441424483382</v>
      </c>
      <c r="I219" s="53">
        <f>SUM(J219:Q219)*IF(입력란!$C$16=1,1.04,IF(입력란!$C$16=2,1.1,IF(입력란!$C$16=3,1.2,1)))*IF(입력란!$C$21=1,1+입력란!$C$38*0.001,IF(입력란!$C$21=2,1+입력란!$C$38*0.0022,IF(입력란!$C$21=3,1+입력란!$C$38*0.0045,1)))*IF(입력란!$C$18&lt;&gt;0,0.98,1)</f>
        <v>418747.13738198183</v>
      </c>
      <c r="J219" s="30">
        <f>S219*(1+IF($AK219+IF(입력란!$C$9=1,10,0)+IF(입력란!$C$26=1,10,0)&gt;100,100,$AK219+IF(입력란!$C$9=1,10,0)+IF(입력란!$C$26=1,10,0))/100*($AL219/100-1))</f>
        <v>184248.64794911855</v>
      </c>
      <c r="K219" s="30">
        <f>T219*(1+IF($AK219+IF(입력란!$C$9=1,10,0)+IF(입력란!$C$26=1,10,0)&gt;100,100,$AK219+IF(입력란!$C$9=1,10,0)+IF(입력란!$C$26=1,10,0))/100*($AL219/100-1))</f>
        <v>234498.48943286328</v>
      </c>
      <c r="L219" s="30">
        <f>U219*(1+IF($AK219+IF(입력란!$C$9=1,10,0)+IF(입력란!$C$26=1,10,0)&gt;100,100,$AK219+IF(입력란!$C$9=1,10,0)+IF(입력란!$C$26=1,10,0))/100*($AL219/100-1))</f>
        <v>0</v>
      </c>
      <c r="M219" s="30"/>
      <c r="N219" s="39"/>
      <c r="O219" s="39"/>
      <c r="P219" s="39"/>
      <c r="Q219" s="27"/>
      <c r="R219" s="24">
        <f t="shared" si="31"/>
        <v>344947.05899054778</v>
      </c>
      <c r="S219" s="30">
        <f>AN219*IF(G219="근접",IF(MID(E219,1,1)="1",트라이포드!$D$16,트라이포드!$C$16),1)*IF(MID(E219,1,1)="2",트라이포드!$F$16,트라이포드!$E$16)*IF(MID(E219,3,1)="1",트라이포드!$J$16,트라이포드!$I$16)*IF(MID(E219,5,1)="2",트라이포드!$R$16,트라이포드!$Q$16)*(1+입력란!$C$42/100)*IF(입력란!$C$9=1,IF(입력란!$C$15=0,1.05,IF(입력란!$C$15=1,1.05*1.05,IF(입력란!$C$15=2,1.05*1.12,IF(입력란!$C$15=3,1.05*1.25)))),1)</f>
        <v>151776.62975892142</v>
      </c>
      <c r="T219" s="30">
        <f>AO219*IF(G219="근접",IF(MID(E219,1,1)="1",트라이포드!$D$16,트라이포드!$C$16),1)*IF(MID(E219,1,1)="2",트라이포드!$F$16,트라이포드!$E$16)*IF(MID(E219,3,1)="1",트라이포드!$J$16,트라이포드!$I$16)*IF(MID(E219,5,1)="2",트라이포드!$R$16,트라이포드!$Q$16)*(1+입력란!$C$42/100)*IF(입력란!$C$9=1,IF(입력란!$C$15=0,1.05,IF(입력란!$C$15=1,1.05*1.05,IF(입력란!$C$15=2,1.05*1.12,IF(입력란!$C$15=3,1.05*1.25)))),1)</f>
        <v>193170.42923162633</v>
      </c>
      <c r="U219" s="30">
        <f>AO219*IF(G219="근접",IF(MID(E219,1,1)="1",트라이포드!$D$16,트라이포드!$C$16),1)*IF(MID(E219,1,1)="2",트라이포드!$F$16,트라이포드!$E$16)*IF(MID(E219,3,1)="1",트라이포드!$J$16,트라이포드!$I$16)*IF(MID(E219,5,1)="1",트라이포드!P$16,트라이포드!O$16)*(1+입력란!$C$42/100)*IF(입력란!$C$9=1,IF(입력란!$C$15=0,1.05,IF(입력란!$C$15=1,1.05*1.05,IF(입력란!$C$15=2,1.05*1.12,IF(입력란!$C$15=3,1.05*1.25)))),1)</f>
        <v>0</v>
      </c>
      <c r="V219" s="30"/>
      <c r="W219" s="39"/>
      <c r="X219" s="39"/>
      <c r="Y219" s="39"/>
      <c r="Z219" s="25"/>
      <c r="AA219" s="30">
        <f t="shared" si="32"/>
        <v>689894.11798109557</v>
      </c>
      <c r="AB219" s="30">
        <f t="shared" si="33"/>
        <v>303553.25951784285</v>
      </c>
      <c r="AC219" s="30">
        <f t="shared" si="34"/>
        <v>386340.85846325266</v>
      </c>
      <c r="AD219" s="30">
        <f t="shared" si="36"/>
        <v>0</v>
      </c>
      <c r="AE219" s="30"/>
      <c r="AF219" s="39"/>
      <c r="AG219" s="39"/>
      <c r="AH219" s="39"/>
      <c r="AI219" s="27"/>
      <c r="AJ219" s="26">
        <f>(AQ219-IF(MID(E219,3,1)="3",트라이포드!$N$16,트라이포드!$M$16))*(1-입력란!$C$35/100)</f>
        <v>23.72176897872</v>
      </c>
      <c r="AK2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19" s="26">
        <f>입력란!$C$47+IF(입력란!$C$18=1,10,IF(입력란!$C$18=2,25,IF(입력란!$C$18=3,50,0)))+IF(입력란!$C$23&lt;&gt;0,-12)</f>
        <v>200</v>
      </c>
      <c r="AM219" s="30">
        <f t="shared" si="35"/>
        <v>216081.20251390061</v>
      </c>
      <c r="AN219" s="30">
        <f>(VLOOKUP(C219,$B$4:$AJ$7,16,FALSE)+VLOOKUP(C219,$B$8:$AJ$11,16,FALSE)*입력란!$C$29)*IF(G219="근접",입력란!$C$50,IF(MID(E219,1,1)="2",입력란!$C$50,입력란!$C$49))*입력란!$C$48/100</f>
        <v>95075.681374959895</v>
      </c>
      <c r="AO219" s="30">
        <f>(VLOOKUP(C219,$B$4:$AJ$7,17,FALSE)+VLOOKUP(C219,$B$8:$AJ$11,17,FALSE)*입력란!$C$29)*IF(G219="근접",입력란!$C$50,IF(MID(E219,1,1)="2",입력란!$C$50,입력란!$C$49))*입력란!$C$48/100</f>
        <v>121005.52113894072</v>
      </c>
      <c r="AP219" s="30"/>
      <c r="AQ219" s="29">
        <v>24</v>
      </c>
    </row>
    <row r="220" spans="2:43" ht="13.5" customHeight="1" x14ac:dyDescent="0.3">
      <c r="B220" s="31">
        <v>205</v>
      </c>
      <c r="C220" s="36">
        <v>7</v>
      </c>
      <c r="D220" s="43" t="s">
        <v>185</v>
      </c>
      <c r="E220" s="38" t="s">
        <v>188</v>
      </c>
      <c r="F220" s="40"/>
      <c r="G220" s="40" t="s">
        <v>202</v>
      </c>
      <c r="H220" s="52">
        <f t="shared" si="30"/>
        <v>22065.551780604226</v>
      </c>
      <c r="I220" s="53">
        <f>SUM(J220:Q220)*IF(입력란!$C$16=1,1.04,IF(입력란!$C$16=2,1.1,IF(입력란!$C$16=3,1.2,1)))*IF(입력란!$C$21=1,1+입력란!$C$38*0.001,IF(입력란!$C$21=2,1+입력란!$C$38*0.0022,IF(입력란!$C$21=3,1+입력란!$C$38*0.0045,1)))*IF(입력란!$C$18&lt;&gt;0,0.98,1)</f>
        <v>523433.92172747722</v>
      </c>
      <c r="J220" s="30">
        <f>S220*(1+IF($AK220+IF(입력란!$C$9=1,10,0)+IF(입력란!$C$26=1,10,0)&gt;100,100,$AK220+IF(입력란!$C$9=1,10,0)+IF(입력란!$C$26=1,10,0))/100*($AL220/100-1))</f>
        <v>230310.80993639815</v>
      </c>
      <c r="K220" s="30">
        <f>T220*(1+IF($AK220+IF(입력란!$C$9=1,10,0)+IF(입력란!$C$26=1,10,0)&gt;100,100,$AK220+IF(입력란!$C$9=1,10,0)+IF(입력란!$C$26=1,10,0))/100*($AL220/100-1))</f>
        <v>293123.11179107911</v>
      </c>
      <c r="L220" s="30">
        <f>U220*(1+IF($AK220+IF(입력란!$C$9=1,10,0)+IF(입력란!$C$26=1,10,0)&gt;100,100,$AK220+IF(입력란!$C$9=1,10,0)+IF(입력란!$C$26=1,10,0))/100*($AL220/100-1))</f>
        <v>0</v>
      </c>
      <c r="M220" s="30"/>
      <c r="N220" s="39"/>
      <c r="O220" s="39"/>
      <c r="P220" s="39"/>
      <c r="Q220" s="27"/>
      <c r="R220" s="24">
        <f t="shared" si="31"/>
        <v>431183.82373818464</v>
      </c>
      <c r="S220" s="30">
        <f>AN220*IF(G220="근접",IF(MID(E220,1,1)="1",트라이포드!$D$16,트라이포드!$C$16),1)*IF(MID(E220,1,1)="2",트라이포드!$F$16,트라이포드!$E$16)*IF(MID(E220,3,1)="1",트라이포드!$J$16,트라이포드!$I$16)*IF(MID(E220,5,1)="2",트라이포드!$R$16,트라이포드!$Q$16)*(1+입력란!$C$42/100)*IF(입력란!$C$9=1,IF(입력란!$C$15=0,1.05,IF(입력란!$C$15=1,1.05*1.05,IF(입력란!$C$15=2,1.05*1.12,IF(입력란!$C$15=3,1.05*1.25)))),1)</f>
        <v>189720.78719865176</v>
      </c>
      <c r="T220" s="30">
        <f>AO220*IF(G220="근접",IF(MID(E220,1,1)="1",트라이포드!$D$16,트라이포드!$C$16),1)*IF(MID(E220,1,1)="2",트라이포드!$F$16,트라이포드!$E$16)*IF(MID(E220,3,1)="1",트라이포드!$J$16,트라이포드!$I$16)*IF(MID(E220,5,1)="2",트라이포드!$R$16,트라이포드!$Q$16)*(1+입력란!$C$42/100)*IF(입력란!$C$9=1,IF(입력란!$C$15=0,1.05,IF(입력란!$C$15=1,1.05*1.05,IF(입력란!$C$15=2,1.05*1.12,IF(입력란!$C$15=3,1.05*1.25)))),1)</f>
        <v>241463.03653953291</v>
      </c>
      <c r="U220" s="30">
        <f>AO220*IF(G220="근접",IF(MID(E220,1,1)="1",트라이포드!$D$16,트라이포드!$C$16),1)*IF(MID(E220,1,1)="2",트라이포드!$F$16,트라이포드!$E$16)*IF(MID(E220,3,1)="1",트라이포드!$J$16,트라이포드!$I$16)*IF(MID(E220,5,1)="1",트라이포드!P$16,트라이포드!O$16)*(1+입력란!$C$42/100)*IF(입력란!$C$9=1,IF(입력란!$C$15=0,1.05,IF(입력란!$C$15=1,1.05*1.05,IF(입력란!$C$15=2,1.05*1.12,IF(입력란!$C$15=3,1.05*1.25)))),1)</f>
        <v>0</v>
      </c>
      <c r="V220" s="30"/>
      <c r="W220" s="39"/>
      <c r="X220" s="39"/>
      <c r="Y220" s="39"/>
      <c r="Z220" s="25"/>
      <c r="AA220" s="30">
        <f t="shared" si="32"/>
        <v>862367.64747636928</v>
      </c>
      <c r="AB220" s="30">
        <f t="shared" si="33"/>
        <v>379441.57439730351</v>
      </c>
      <c r="AC220" s="30">
        <f t="shared" si="34"/>
        <v>482926.07307906583</v>
      </c>
      <c r="AD220" s="30">
        <f t="shared" si="36"/>
        <v>0</v>
      </c>
      <c r="AE220" s="30"/>
      <c r="AF220" s="39"/>
      <c r="AG220" s="39"/>
      <c r="AH220" s="39"/>
      <c r="AI220" s="27"/>
      <c r="AJ220" s="26">
        <f>(AQ220-IF(MID(E220,3,1)="3",트라이포드!$N$16,트라이포드!$M$16))*(1-입력란!$C$35/100)</f>
        <v>23.72176897872</v>
      </c>
      <c r="AK2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0" s="26">
        <f>입력란!$C$47+IF(입력란!$C$18=1,10,IF(입력란!$C$18=2,25,IF(입력란!$C$18=3,50,0)))+IF(입력란!$C$23&lt;&gt;0,-12)</f>
        <v>200</v>
      </c>
      <c r="AM220" s="30">
        <f t="shared" si="35"/>
        <v>216081.20251390061</v>
      </c>
      <c r="AN220" s="30">
        <f>(VLOOKUP(C220,$B$4:$AJ$7,16,FALSE)+VLOOKUP(C220,$B$8:$AJ$11,16,FALSE)*입력란!$C$29)*IF(G220="근접",입력란!$C$50,IF(MID(E220,1,1)="2",입력란!$C$50,입력란!$C$49))*입력란!$C$48/100</f>
        <v>95075.681374959895</v>
      </c>
      <c r="AO220" s="30">
        <f>(VLOOKUP(C220,$B$4:$AJ$7,17,FALSE)+VLOOKUP(C220,$B$8:$AJ$11,17,FALSE)*입력란!$C$29)*IF(G220="근접",입력란!$C$50,IF(MID(E220,1,1)="2",입력란!$C$50,입력란!$C$49))*입력란!$C$48/100</f>
        <v>121005.52113894072</v>
      </c>
      <c r="AP220" s="30"/>
      <c r="AQ220" s="29">
        <v>24</v>
      </c>
    </row>
    <row r="221" spans="2:43" ht="13.5" customHeight="1" x14ac:dyDescent="0.3">
      <c r="B221" s="31">
        <v>206</v>
      </c>
      <c r="C221" s="36">
        <v>7</v>
      </c>
      <c r="D221" s="43" t="s">
        <v>185</v>
      </c>
      <c r="E221" s="38" t="s">
        <v>189</v>
      </c>
      <c r="F221" s="40"/>
      <c r="G221" s="40" t="s">
        <v>202</v>
      </c>
      <c r="H221" s="52">
        <f t="shared" si="30"/>
        <v>22297.820746715854</v>
      </c>
      <c r="I221" s="53">
        <f>SUM(J221:Q221)*IF(입력란!$C$16=1,1.04,IF(입력란!$C$16=2,1.1,IF(입력란!$C$16=3,1.2,1)))*IF(입력란!$C$21=1,1+입력란!$C$38*0.001,IF(입력란!$C$21=2,1+입력란!$C$38*0.0022,IF(입력란!$C$21=3,1+입력란!$C$38*0.0045,1)))*IF(입력란!$C$18&lt;&gt;0,0.98,1)</f>
        <v>418747.13738198183</v>
      </c>
      <c r="J221" s="30">
        <f>S221*(1+IF($AK221+IF(입력란!$C$9=1,10,0)+IF(입력란!$C$26=1,10,0)&gt;100,100,$AK221+IF(입력란!$C$9=1,10,0)+IF(입력란!$C$26=1,10,0))/100*($AL221/100-1))</f>
        <v>184248.64794911855</v>
      </c>
      <c r="K221" s="30">
        <f>T221*(1+IF($AK221+IF(입력란!$C$9=1,10,0)+IF(입력란!$C$26=1,10,0)&gt;100,100,$AK221+IF(입력란!$C$9=1,10,0)+IF(입력란!$C$26=1,10,0))/100*($AL221/100-1))</f>
        <v>234498.48943286328</v>
      </c>
      <c r="L221" s="30">
        <f>U221*(1+IF($AK221+IF(입력란!$C$9=1,10,0)+IF(입력란!$C$26=1,10,0)&gt;100,100,$AK221+IF(입력란!$C$9=1,10,0)+IF(입력란!$C$26=1,10,0))/100*($AL221/100-1))</f>
        <v>0</v>
      </c>
      <c r="M221" s="30"/>
      <c r="N221" s="39"/>
      <c r="O221" s="39"/>
      <c r="P221" s="39"/>
      <c r="Q221" s="27"/>
      <c r="R221" s="24">
        <f t="shared" si="31"/>
        <v>344947.05899054778</v>
      </c>
      <c r="S221" s="30">
        <f>AN221*IF(G221="근접",IF(MID(E221,1,1)="1",트라이포드!$D$16,트라이포드!$C$16),1)*IF(MID(E221,1,1)="2",트라이포드!$F$16,트라이포드!$E$16)*IF(MID(E221,3,1)="1",트라이포드!$J$16,트라이포드!$I$16)*IF(MID(E221,5,1)="2",트라이포드!$R$16,트라이포드!$Q$16)*(1+입력란!$C$42/100)*IF(입력란!$C$9=1,IF(입력란!$C$15=0,1.05,IF(입력란!$C$15=1,1.05*1.05,IF(입력란!$C$15=2,1.05*1.12,IF(입력란!$C$15=3,1.05*1.25)))),1)</f>
        <v>151776.62975892142</v>
      </c>
      <c r="T221" s="30">
        <f>AO221*IF(G221="근접",IF(MID(E221,1,1)="1",트라이포드!$D$16,트라이포드!$C$16),1)*IF(MID(E221,1,1)="2",트라이포드!$F$16,트라이포드!$E$16)*IF(MID(E221,3,1)="1",트라이포드!$J$16,트라이포드!$I$16)*IF(MID(E221,5,1)="2",트라이포드!$R$16,트라이포드!$Q$16)*(1+입력란!$C$42/100)*IF(입력란!$C$9=1,IF(입력란!$C$15=0,1.05,IF(입력란!$C$15=1,1.05*1.05,IF(입력란!$C$15=2,1.05*1.12,IF(입력란!$C$15=3,1.05*1.25)))),1)</f>
        <v>193170.42923162633</v>
      </c>
      <c r="U221" s="30">
        <f>AO221*IF(G221="근접",IF(MID(E221,1,1)="1",트라이포드!$D$16,트라이포드!$C$16),1)*IF(MID(E221,1,1)="2",트라이포드!$F$16,트라이포드!$E$16)*IF(MID(E221,3,1)="1",트라이포드!$J$16,트라이포드!$I$16)*IF(MID(E221,5,1)="1",트라이포드!P$16,트라이포드!O$16)*(1+입력란!$C$42/100)*IF(입력란!$C$9=1,IF(입력란!$C$15=0,1.05,IF(입력란!$C$15=1,1.05*1.05,IF(입력란!$C$15=2,1.05*1.12,IF(입력란!$C$15=3,1.05*1.25)))),1)</f>
        <v>0</v>
      </c>
      <c r="V221" s="30"/>
      <c r="W221" s="39"/>
      <c r="X221" s="39"/>
      <c r="Y221" s="39"/>
      <c r="Z221" s="25"/>
      <c r="AA221" s="30">
        <f t="shared" si="32"/>
        <v>689894.11798109557</v>
      </c>
      <c r="AB221" s="30">
        <f t="shared" si="33"/>
        <v>303553.25951784285</v>
      </c>
      <c r="AC221" s="30">
        <f t="shared" si="34"/>
        <v>386340.85846325266</v>
      </c>
      <c r="AD221" s="30">
        <f t="shared" si="36"/>
        <v>0</v>
      </c>
      <c r="AE221" s="30"/>
      <c r="AF221" s="39"/>
      <c r="AG221" s="39"/>
      <c r="AH221" s="39"/>
      <c r="AI221" s="27"/>
      <c r="AJ221" s="26">
        <f>(AQ221-IF(MID(E221,3,1)="3",트라이포드!$N$16,트라이포드!$M$16))*(1-입력란!$C$35/100)</f>
        <v>18.779733774819999</v>
      </c>
      <c r="AK2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1" s="26">
        <f>입력란!$C$47+IF(입력란!$C$18=1,10,IF(입력란!$C$18=2,25,IF(입력란!$C$18=3,50,0)))+IF(입력란!$C$23&lt;&gt;0,-12)</f>
        <v>200</v>
      </c>
      <c r="AM221" s="30">
        <f t="shared" si="35"/>
        <v>216081.20251390061</v>
      </c>
      <c r="AN221" s="30">
        <f>(VLOOKUP(C221,$B$4:$AJ$7,16,FALSE)+VLOOKUP(C221,$B$8:$AJ$11,16,FALSE)*입력란!$C$29)*IF(G221="근접",입력란!$C$50,IF(MID(E221,1,1)="2",입력란!$C$50,입력란!$C$49))*입력란!$C$48/100</f>
        <v>95075.681374959895</v>
      </c>
      <c r="AO221" s="30">
        <f>(VLOOKUP(C221,$B$4:$AJ$7,17,FALSE)+VLOOKUP(C221,$B$8:$AJ$11,17,FALSE)*입력란!$C$29)*IF(G221="근접",입력란!$C$50,IF(MID(E221,1,1)="2",입력란!$C$50,입력란!$C$49))*입력란!$C$48/100</f>
        <v>121005.52113894072</v>
      </c>
      <c r="AP221" s="30"/>
      <c r="AQ221" s="29">
        <v>24</v>
      </c>
    </row>
    <row r="222" spans="2:43" ht="13.5" customHeight="1" x14ac:dyDescent="0.3">
      <c r="B222" s="31">
        <v>207</v>
      </c>
      <c r="C222" s="36">
        <v>7</v>
      </c>
      <c r="D222" s="43" t="s">
        <v>185</v>
      </c>
      <c r="E222" s="38" t="s">
        <v>190</v>
      </c>
      <c r="F222" s="40"/>
      <c r="G222" s="40" t="s">
        <v>202</v>
      </c>
      <c r="H222" s="52">
        <f t="shared" si="30"/>
        <v>27581.939725755285</v>
      </c>
      <c r="I222" s="53">
        <f>SUM(J222:Q222)*IF(입력란!$C$16=1,1.04,IF(입력란!$C$16=2,1.1,IF(입력란!$C$16=3,1.2,1)))*IF(입력란!$C$21=1,1+입력란!$C$38*0.001,IF(입력란!$C$21=2,1+입력란!$C$38*0.0022,IF(입력란!$C$21=3,1+입력란!$C$38*0.0045,1)))*IF(입력란!$C$18&lt;&gt;0,0.98,1)</f>
        <v>654292.4021593465</v>
      </c>
      <c r="J222" s="30">
        <f>S222*(1+IF($AK222+IF(입력란!$C$9=1,10,0)+IF(입력란!$C$26=1,10,0)&gt;100,100,$AK222+IF(입력란!$C$9=1,10,0)+IF(입력란!$C$26=1,10,0))/100*($AL222/100-1))</f>
        <v>287888.51242049766</v>
      </c>
      <c r="K222" s="30">
        <f>T222*(1+IF($AK222+IF(입력란!$C$9=1,10,0)+IF(입력란!$C$26=1,10,0)&gt;100,100,$AK222+IF(입력란!$C$9=1,10,0)+IF(입력란!$C$26=1,10,0))/100*($AL222/100-1))</f>
        <v>366403.8897388489</v>
      </c>
      <c r="L222" s="30">
        <f>U222*(1+IF($AK222+IF(입력란!$C$9=1,10,0)+IF(입력란!$C$26=1,10,0)&gt;100,100,$AK222+IF(입력란!$C$9=1,10,0)+IF(입력란!$C$26=1,10,0))/100*($AL222/100-1))</f>
        <v>0</v>
      </c>
      <c r="M222" s="30"/>
      <c r="N222" s="39"/>
      <c r="O222" s="39"/>
      <c r="P222" s="39"/>
      <c r="Q222" s="27"/>
      <c r="R222" s="24">
        <f t="shared" si="31"/>
        <v>538979.77967273083</v>
      </c>
      <c r="S222" s="30">
        <f>AN222*IF(G222="근접",IF(MID(E222,1,1)="1",트라이포드!$D$16,트라이포드!$C$16),1)*IF(MID(E222,1,1)="2",트라이포드!$F$16,트라이포드!$E$16)*IF(MID(E222,3,1)="1",트라이포드!$J$16,트라이포드!$I$16)*IF(MID(E222,5,1)="2",트라이포드!$R$16,트라이포드!$Q$16)*(1+입력란!$C$42/100)*IF(입력란!$C$9=1,IF(입력란!$C$15=0,1.05,IF(입력란!$C$15=1,1.05*1.05,IF(입력란!$C$15=2,1.05*1.12,IF(입력란!$C$15=3,1.05*1.25)))),1)</f>
        <v>237150.98399831468</v>
      </c>
      <c r="T222" s="30">
        <f>AO222*IF(G222="근접",IF(MID(E222,1,1)="1",트라이포드!$D$16,트라이포드!$C$16),1)*IF(MID(E222,1,1)="2",트라이포드!$F$16,트라이포드!$E$16)*IF(MID(E222,3,1)="1",트라이포드!$J$16,트라이포드!$I$16)*IF(MID(E222,5,1)="2",트라이포드!$R$16,트라이포드!$Q$16)*(1+입력란!$C$42/100)*IF(입력란!$C$9=1,IF(입력란!$C$15=0,1.05,IF(입력란!$C$15=1,1.05*1.05,IF(입력란!$C$15=2,1.05*1.12,IF(입력란!$C$15=3,1.05*1.25)))),1)</f>
        <v>301828.79567441618</v>
      </c>
      <c r="U222" s="30">
        <f>AO222*IF(G222="근접",IF(MID(E222,1,1)="1",트라이포드!$D$16,트라이포드!$C$16),1)*IF(MID(E222,1,1)="2",트라이포드!$F$16,트라이포드!$E$16)*IF(MID(E222,3,1)="1",트라이포드!$J$16,트라이포드!$I$16)*IF(MID(E222,5,1)="1",트라이포드!P$16,트라이포드!O$16)*(1+입력란!$C$42/100)*IF(입력란!$C$9=1,IF(입력란!$C$15=0,1.05,IF(입력란!$C$15=1,1.05*1.05,IF(입력란!$C$15=2,1.05*1.12,IF(입력란!$C$15=3,1.05*1.25)))),1)</f>
        <v>0</v>
      </c>
      <c r="V222" s="30"/>
      <c r="W222" s="39"/>
      <c r="X222" s="39"/>
      <c r="Y222" s="39"/>
      <c r="Z222" s="25"/>
      <c r="AA222" s="30">
        <f t="shared" si="32"/>
        <v>1077959.5593454617</v>
      </c>
      <c r="AB222" s="30">
        <f t="shared" si="33"/>
        <v>474301.96799662936</v>
      </c>
      <c r="AC222" s="30">
        <f t="shared" si="34"/>
        <v>603657.59134883236</v>
      </c>
      <c r="AD222" s="30">
        <f t="shared" si="36"/>
        <v>0</v>
      </c>
      <c r="AE222" s="30"/>
      <c r="AF222" s="39"/>
      <c r="AG222" s="39"/>
      <c r="AH222" s="39"/>
      <c r="AI222" s="27"/>
      <c r="AJ222" s="26">
        <f>(AQ222-IF(MID(E222,3,1)="3",트라이포드!$N$16,트라이포드!$M$16))*(1-입력란!$C$35/100)</f>
        <v>23.72176897872</v>
      </c>
      <c r="AK2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2" s="26">
        <f>입력란!$C$47+IF(입력란!$C$18=1,10,IF(입력란!$C$18=2,25,IF(입력란!$C$18=3,50,0)))+IF(입력란!$C$23&lt;&gt;0,-12)</f>
        <v>200</v>
      </c>
      <c r="AM222" s="30">
        <f t="shared" si="35"/>
        <v>216081.20251390061</v>
      </c>
      <c r="AN222" s="30">
        <f>(VLOOKUP(C222,$B$4:$AJ$7,16,FALSE)+VLOOKUP(C222,$B$8:$AJ$11,16,FALSE)*입력란!$C$29)*IF(G222="근접",입력란!$C$50,IF(MID(E222,1,1)="2",입력란!$C$50,입력란!$C$49))*입력란!$C$48/100</f>
        <v>95075.681374959895</v>
      </c>
      <c r="AO222" s="30">
        <f>(VLOOKUP(C222,$B$4:$AJ$7,17,FALSE)+VLOOKUP(C222,$B$8:$AJ$11,17,FALSE)*입력란!$C$29)*IF(G222="근접",입력란!$C$50,IF(MID(E222,1,1)="2",입력란!$C$50,입력란!$C$49))*입력란!$C$48/100</f>
        <v>121005.52113894072</v>
      </c>
      <c r="AP222" s="30"/>
      <c r="AQ222" s="29">
        <v>24</v>
      </c>
    </row>
    <row r="223" spans="2:43" ht="13.5" customHeight="1" x14ac:dyDescent="0.3">
      <c r="B223" s="31">
        <v>208</v>
      </c>
      <c r="C223" s="36">
        <v>7</v>
      </c>
      <c r="D223" s="43" t="s">
        <v>48</v>
      </c>
      <c r="E223" s="38" t="s">
        <v>378</v>
      </c>
      <c r="F223" s="40"/>
      <c r="G223" s="40" t="s">
        <v>39</v>
      </c>
      <c r="H223" s="52">
        <f t="shared" si="30"/>
        <v>24272.106958664652</v>
      </c>
      <c r="I223" s="53">
        <f>SUM(J223:Q223)*IF(입력란!$C$16=1,1.04,IF(입력란!$C$16=2,1.1,IF(입력란!$C$16=3,1.2,1)))*IF(입력란!$C$21=1,1+입력란!$C$38*0.001,IF(입력란!$C$21=2,1+입력란!$C$38*0.0022,IF(입력란!$C$21=3,1+입력란!$C$38*0.0045,1)))*IF(입력란!$C$18&lt;&gt;0,0.98,1)</f>
        <v>575777.31390022498</v>
      </c>
      <c r="J223" s="30">
        <f>S223*(1+IF($AK223+IF(입력란!$C$9=1,10,0)+IF(입력란!$C$26=1,10,0)&gt;100,100,$AK223+IF(입력란!$C$9=1,10,0)+IF(입력란!$C$26=1,10,0))/100*($AL223/100-1))</f>
        <v>253341.89093003797</v>
      </c>
      <c r="K223" s="30">
        <f>T223*(1+IF($AK223+IF(입력란!$C$9=1,10,0)+IF(입력란!$C$26=1,10,0)&gt;100,100,$AK223+IF(입력란!$C$9=1,10,0)+IF(입력란!$C$26=1,10,0))/100*($AL223/100-1))</f>
        <v>322435.42297018704</v>
      </c>
      <c r="L223" s="30">
        <f>U223*(1+IF($AK223+IF(입력란!$C$9=1,10,0)+IF(입력란!$C$26=1,10,0)&gt;100,100,$AK223+IF(입력란!$C$9=1,10,0)+IF(입력란!$C$26=1,10,0))/100*($AL223/100-1))</f>
        <v>0</v>
      </c>
      <c r="M223" s="30"/>
      <c r="N223" s="39"/>
      <c r="O223" s="39"/>
      <c r="P223" s="39"/>
      <c r="Q223" s="27"/>
      <c r="R223" s="24">
        <f t="shared" si="31"/>
        <v>474302.20611200319</v>
      </c>
      <c r="S223" s="30">
        <f>AN223*IF(G223="근접",IF(MID(E223,1,1)="1",트라이포드!$D$16,트라이포드!$C$16),1)*IF(MID(E223,1,1)="2",트라이포드!$F$16,트라이포드!$E$16)*IF(MID(E223,3,1)="1",트라이포드!$J$16,트라이포드!$I$16)*IF(MID(E223,5,1)="2",트라이포드!$R$16,트라이포드!$Q$16)*(1+입력란!$C$42/100)*IF(입력란!$C$9=1,IF(입력란!$C$15=0,1.05,IF(입력란!$C$15=1,1.05*1.05,IF(입력란!$C$15=2,1.05*1.12,IF(입력란!$C$15=3,1.05*1.25)))),1)</f>
        <v>208692.86591851694</v>
      </c>
      <c r="T223" s="30">
        <f>AO223*IF(G223="근접",IF(MID(E223,1,1)="1",트라이포드!$D$16,트라이포드!$C$16),1)*IF(MID(E223,1,1)="2",트라이포드!$F$16,트라이포드!$E$16)*IF(MID(E223,3,1)="1",트라이포드!$J$16,트라이포드!$I$16)*IF(MID(E223,5,1)="2",트라이포드!$R$16,트라이포드!$Q$16)*(1+입력란!$C$42/100)*IF(입력란!$C$9=1,IF(입력란!$C$15=0,1.05,IF(입력란!$C$15=1,1.05*1.05,IF(입력란!$C$15=2,1.05*1.12,IF(입력란!$C$15=3,1.05*1.25)))),1)</f>
        <v>265609.34019348625</v>
      </c>
      <c r="U223" s="30">
        <f>AO223*IF(G223="근접",IF(MID(E223,1,1)="1",트라이포드!$D$16,트라이포드!$C$16),1)*IF(MID(E223,1,1)="2",트라이포드!$F$16,트라이포드!$E$16)*IF(MID(E223,3,1)="1",트라이포드!$J$16,트라이포드!$I$16)*IF(MID(E223,5,1)="1",트라이포드!P$16,트라이포드!O$16)*(1+입력란!$C$42/100)*IF(입력란!$C$9=1,IF(입력란!$C$15=0,1.05,IF(입력란!$C$15=1,1.05*1.05,IF(입력란!$C$15=2,1.05*1.12,IF(입력란!$C$15=3,1.05*1.25)))),1)</f>
        <v>0</v>
      </c>
      <c r="V223" s="30"/>
      <c r="W223" s="39"/>
      <c r="X223" s="39"/>
      <c r="Y223" s="39"/>
      <c r="Z223" s="25"/>
      <c r="AA223" s="30">
        <f t="shared" si="32"/>
        <v>948604.41222400637</v>
      </c>
      <c r="AB223" s="30">
        <f t="shared" si="33"/>
        <v>417385.73183703388</v>
      </c>
      <c r="AC223" s="30">
        <f t="shared" si="34"/>
        <v>531218.6803869725</v>
      </c>
      <c r="AD223" s="30">
        <f t="shared" si="36"/>
        <v>0</v>
      </c>
      <c r="AE223" s="30"/>
      <c r="AF223" s="39"/>
      <c r="AG223" s="39"/>
      <c r="AH223" s="39"/>
      <c r="AI223" s="27"/>
      <c r="AJ223" s="26">
        <f>(AQ223-IF(MID(E223,3,1)="3",트라이포드!$N$16,트라이포드!$M$16))*(1-입력란!$C$35/100)</f>
        <v>23.72176897872</v>
      </c>
      <c r="AK2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3" s="26">
        <f>입력란!$C$47+IF(입력란!$C$18=1,10,IF(입력란!$C$18=2,25,IF(입력란!$C$18=3,50,0)))+IF(입력란!$C$23&lt;&gt;0,-12)</f>
        <v>200</v>
      </c>
      <c r="AM223" s="30">
        <f t="shared" si="35"/>
        <v>216081.20251390061</v>
      </c>
      <c r="AN223" s="30">
        <f>(VLOOKUP(C223,$B$4:$AJ$7,16,FALSE)+VLOOKUP(C223,$B$8:$AJ$11,16,FALSE)*입력란!$C$29)*IF(G223="근접",입력란!$C$50,IF(MID(E223,1,1)="2",입력란!$C$50,입력란!$C$49))*입력란!$C$48/100</f>
        <v>95075.681374959895</v>
      </c>
      <c r="AO223" s="30">
        <f>(VLOOKUP(C223,$B$4:$AJ$7,17,FALSE)+VLOOKUP(C223,$B$8:$AJ$11,17,FALSE)*입력란!$C$29)*IF(G223="근접",입력란!$C$50,IF(MID(E223,1,1)="2",입력란!$C$50,입력란!$C$49))*입력란!$C$48/100</f>
        <v>121005.52113894072</v>
      </c>
      <c r="AP223" s="30"/>
      <c r="AQ223" s="29">
        <v>24</v>
      </c>
    </row>
    <row r="224" spans="2:43" ht="13.5" customHeight="1" x14ac:dyDescent="0.3">
      <c r="B224" s="31">
        <v>209</v>
      </c>
      <c r="C224" s="36">
        <v>7</v>
      </c>
      <c r="D224" s="43" t="s">
        <v>185</v>
      </c>
      <c r="E224" s="38" t="s">
        <v>191</v>
      </c>
      <c r="F224" s="40"/>
      <c r="G224" s="40" t="s">
        <v>202</v>
      </c>
      <c r="H224" s="52">
        <f t="shared" si="30"/>
        <v>27872.275933394816</v>
      </c>
      <c r="I224" s="53">
        <f>SUM(J224:Q224)*IF(입력란!$C$16=1,1.04,IF(입력란!$C$16=2,1.1,IF(입력란!$C$16=3,1.2,1)))*IF(입력란!$C$21=1,1+입력란!$C$38*0.001,IF(입력란!$C$21=2,1+입력란!$C$38*0.0022,IF(입력란!$C$21=3,1+입력란!$C$38*0.0045,1)))*IF(입력란!$C$18&lt;&gt;0,0.98,1)</f>
        <v>523433.92172747722</v>
      </c>
      <c r="J224" s="30">
        <f>S224*(1+IF($AK224+IF(입력란!$C$9=1,10,0)+IF(입력란!$C$26=1,10,0)&gt;100,100,$AK224+IF(입력란!$C$9=1,10,0)+IF(입력란!$C$26=1,10,0))/100*($AL224/100-1))</f>
        <v>230310.80993639815</v>
      </c>
      <c r="K224" s="30">
        <f>T224*(1+IF($AK224+IF(입력란!$C$9=1,10,0)+IF(입력란!$C$26=1,10,0)&gt;100,100,$AK224+IF(입력란!$C$9=1,10,0)+IF(입력란!$C$26=1,10,0))/100*($AL224/100-1))</f>
        <v>293123.11179107911</v>
      </c>
      <c r="L224" s="30">
        <f>U224*(1+IF($AK224+IF(입력란!$C$9=1,10,0)+IF(입력란!$C$26=1,10,0)&gt;100,100,$AK224+IF(입력란!$C$9=1,10,0)+IF(입력란!$C$26=1,10,0))/100*($AL224/100-1))</f>
        <v>0</v>
      </c>
      <c r="M224" s="30"/>
      <c r="N224" s="39"/>
      <c r="O224" s="39"/>
      <c r="P224" s="39"/>
      <c r="Q224" s="27"/>
      <c r="R224" s="24">
        <f t="shared" si="31"/>
        <v>431183.82373818464</v>
      </c>
      <c r="S224" s="30">
        <f>AN224*IF(G224="근접",IF(MID(E224,1,1)="1",트라이포드!$D$16,트라이포드!$C$16),1)*IF(MID(E224,1,1)="2",트라이포드!$F$16,트라이포드!$E$16)*IF(MID(E224,3,1)="1",트라이포드!$J$16,트라이포드!$I$16)*IF(MID(E224,5,1)="2",트라이포드!$R$16,트라이포드!$Q$16)*(1+입력란!$C$42/100)*IF(입력란!$C$9=1,IF(입력란!$C$15=0,1.05,IF(입력란!$C$15=1,1.05*1.05,IF(입력란!$C$15=2,1.05*1.12,IF(입력란!$C$15=3,1.05*1.25)))),1)</f>
        <v>189720.78719865176</v>
      </c>
      <c r="T224" s="30">
        <f>AO224*IF(G224="근접",IF(MID(E224,1,1)="1",트라이포드!$D$16,트라이포드!$C$16),1)*IF(MID(E224,1,1)="2",트라이포드!$F$16,트라이포드!$E$16)*IF(MID(E224,3,1)="1",트라이포드!$J$16,트라이포드!$I$16)*IF(MID(E224,5,1)="2",트라이포드!$R$16,트라이포드!$Q$16)*(1+입력란!$C$42/100)*IF(입력란!$C$9=1,IF(입력란!$C$15=0,1.05,IF(입력란!$C$15=1,1.05*1.05,IF(입력란!$C$15=2,1.05*1.12,IF(입력란!$C$15=3,1.05*1.25)))),1)</f>
        <v>241463.03653953291</v>
      </c>
      <c r="U224" s="30">
        <f>AO224*IF(G224="근접",IF(MID(E224,1,1)="1",트라이포드!$D$16,트라이포드!$C$16),1)*IF(MID(E224,1,1)="2",트라이포드!$F$16,트라이포드!$E$16)*IF(MID(E224,3,1)="1",트라이포드!$J$16,트라이포드!$I$16)*IF(MID(E224,5,1)="1",트라이포드!P$16,트라이포드!O$16)*(1+입력란!$C$42/100)*IF(입력란!$C$9=1,IF(입력란!$C$15=0,1.05,IF(입력란!$C$15=1,1.05*1.05,IF(입력란!$C$15=2,1.05*1.12,IF(입력란!$C$15=3,1.05*1.25)))),1)</f>
        <v>0</v>
      </c>
      <c r="V224" s="30"/>
      <c r="W224" s="39"/>
      <c r="X224" s="39"/>
      <c r="Y224" s="39"/>
      <c r="Z224" s="25"/>
      <c r="AA224" s="30">
        <f t="shared" si="32"/>
        <v>862367.64747636928</v>
      </c>
      <c r="AB224" s="30">
        <f t="shared" si="33"/>
        <v>379441.57439730351</v>
      </c>
      <c r="AC224" s="30">
        <f t="shared" si="34"/>
        <v>482926.07307906583</v>
      </c>
      <c r="AD224" s="30">
        <f t="shared" si="36"/>
        <v>0</v>
      </c>
      <c r="AE224" s="30"/>
      <c r="AF224" s="39"/>
      <c r="AG224" s="39"/>
      <c r="AH224" s="39"/>
      <c r="AI224" s="27"/>
      <c r="AJ224" s="26">
        <f>(AQ224-IF(MID(E224,3,1)="3",트라이포드!$N$16,트라이포드!$M$16))*(1-입력란!$C$35/100)</f>
        <v>18.779733774819999</v>
      </c>
      <c r="AK22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4" s="26">
        <f>입력란!$C$47+IF(입력란!$C$18=1,10,IF(입력란!$C$18=2,25,IF(입력란!$C$18=3,50,0)))+IF(입력란!$C$23&lt;&gt;0,-12)</f>
        <v>200</v>
      </c>
      <c r="AM224" s="30">
        <f t="shared" si="35"/>
        <v>216081.20251390061</v>
      </c>
      <c r="AN224" s="30">
        <f>(VLOOKUP(C224,$B$4:$AJ$7,16,FALSE)+VLOOKUP(C224,$B$8:$AJ$11,16,FALSE)*입력란!$C$29)*IF(G224="근접",입력란!$C$50,IF(MID(E224,1,1)="2",입력란!$C$50,입력란!$C$49))*입력란!$C$48/100</f>
        <v>95075.681374959895</v>
      </c>
      <c r="AO224" s="30">
        <f>(VLOOKUP(C224,$B$4:$AJ$7,17,FALSE)+VLOOKUP(C224,$B$8:$AJ$11,17,FALSE)*입력란!$C$29)*IF(G224="근접",입력란!$C$50,IF(MID(E224,1,1)="2",입력란!$C$50,입력란!$C$49))*입력란!$C$48/100</f>
        <v>121005.52113894072</v>
      </c>
      <c r="AP224" s="30"/>
      <c r="AQ224" s="29">
        <v>24</v>
      </c>
    </row>
    <row r="225" spans="2:43" ht="13.5" customHeight="1" x14ac:dyDescent="0.3">
      <c r="B225" s="31">
        <v>210</v>
      </c>
      <c r="C225" s="36">
        <v>7</v>
      </c>
      <c r="D225" s="43" t="s">
        <v>48</v>
      </c>
      <c r="E225" s="38" t="s">
        <v>374</v>
      </c>
      <c r="F225" s="40"/>
      <c r="G225" s="40" t="s">
        <v>39</v>
      </c>
      <c r="H225" s="52">
        <f t="shared" si="30"/>
        <v>24527.602821387442</v>
      </c>
      <c r="I225" s="53">
        <f>SUM(J225:Q225)*IF(입력란!$C$16=1,1.04,IF(입력란!$C$16=2,1.1,IF(입력란!$C$16=3,1.2,1)))*IF(입력란!$C$21=1,1+입력란!$C$38*0.001,IF(입력란!$C$21=2,1+입력란!$C$38*0.0022,IF(입력란!$C$21=3,1+입력란!$C$38*0.0045,1)))*IF(입력란!$C$18&lt;&gt;0,0.98,1)</f>
        <v>460621.85112018004</v>
      </c>
      <c r="J225" s="30">
        <f>S225*(1+IF($AK225+IF(입력란!$C$9=1,10,0)+IF(입력란!$C$26=1,10,0)&gt;100,100,$AK225+IF(입력란!$C$9=1,10,0)+IF(입력란!$C$26=1,10,0))/100*($AL225/100-1))</f>
        <v>202673.51274403039</v>
      </c>
      <c r="K225" s="30">
        <f>T225*(1+IF($AK225+IF(입력란!$C$9=1,10,0)+IF(입력란!$C$26=1,10,0)&gt;100,100,$AK225+IF(입력란!$C$9=1,10,0)+IF(입력란!$C$26=1,10,0))/100*($AL225/100-1))</f>
        <v>257948.33837614965</v>
      </c>
      <c r="L225" s="30">
        <f>U225*(1+IF($AK225+IF(입력란!$C$9=1,10,0)+IF(입력란!$C$26=1,10,0)&gt;100,100,$AK225+IF(입력란!$C$9=1,10,0)+IF(입력란!$C$26=1,10,0))/100*($AL225/100-1))</f>
        <v>0</v>
      </c>
      <c r="M225" s="30"/>
      <c r="N225" s="39"/>
      <c r="O225" s="39"/>
      <c r="P225" s="39"/>
      <c r="Q225" s="27"/>
      <c r="R225" s="24">
        <f t="shared" si="31"/>
        <v>379441.76488960255</v>
      </c>
      <c r="S225" s="30">
        <f>AN225*IF(G225="근접",IF(MID(E225,1,1)="1",트라이포드!$D$16,트라이포드!$C$16),1)*IF(MID(E225,1,1)="2",트라이포드!$F$16,트라이포드!$E$16)*IF(MID(E225,3,1)="1",트라이포드!$J$16,트라이포드!$I$16)*IF(MID(E225,5,1)="2",트라이포드!$R$16,트라이포드!$Q$16)*(1+입력란!$C$42/100)*IF(입력란!$C$9=1,IF(입력란!$C$15=0,1.05,IF(입력란!$C$15=1,1.05*1.05,IF(입력란!$C$15=2,1.05*1.12,IF(입력란!$C$15=3,1.05*1.25)))),1)</f>
        <v>166954.29273481356</v>
      </c>
      <c r="T225" s="30">
        <f>AO225*IF(G225="근접",IF(MID(E225,1,1)="1",트라이포드!$D$16,트라이포드!$C$16),1)*IF(MID(E225,1,1)="2",트라이포드!$F$16,트라이포드!$E$16)*IF(MID(E225,3,1)="1",트라이포드!$J$16,트라이포드!$I$16)*IF(MID(E225,5,1)="2",트라이포드!$R$16,트라이포드!$Q$16)*(1+입력란!$C$42/100)*IF(입력란!$C$9=1,IF(입력란!$C$15=0,1.05,IF(입력란!$C$15=1,1.05*1.05,IF(입력란!$C$15=2,1.05*1.12,IF(입력란!$C$15=3,1.05*1.25)))),1)</f>
        <v>212487.47215478899</v>
      </c>
      <c r="U225" s="30">
        <f>AO225*IF(G225="근접",IF(MID(E225,1,1)="1",트라이포드!$D$16,트라이포드!$C$16),1)*IF(MID(E225,1,1)="2",트라이포드!$F$16,트라이포드!$E$16)*IF(MID(E225,3,1)="1",트라이포드!$J$16,트라이포드!$I$16)*IF(MID(E225,5,1)="1",트라이포드!P$16,트라이포드!O$16)*(1+입력란!$C$42/100)*IF(입력란!$C$9=1,IF(입력란!$C$15=0,1.05,IF(입력란!$C$15=1,1.05*1.05,IF(입력란!$C$15=2,1.05*1.12,IF(입력란!$C$15=3,1.05*1.25)))),1)</f>
        <v>0</v>
      </c>
      <c r="V225" s="30"/>
      <c r="W225" s="39"/>
      <c r="X225" s="39"/>
      <c r="Y225" s="39"/>
      <c r="Z225" s="25"/>
      <c r="AA225" s="30">
        <f t="shared" si="32"/>
        <v>758883.5297792051</v>
      </c>
      <c r="AB225" s="30">
        <f t="shared" si="33"/>
        <v>333908.58546962711</v>
      </c>
      <c r="AC225" s="30">
        <f t="shared" si="34"/>
        <v>424974.94430957799</v>
      </c>
      <c r="AD225" s="30">
        <f t="shared" si="36"/>
        <v>0</v>
      </c>
      <c r="AE225" s="30"/>
      <c r="AF225" s="39"/>
      <c r="AG225" s="39"/>
      <c r="AH225" s="39"/>
      <c r="AI225" s="27"/>
      <c r="AJ225" s="26">
        <f>(AQ225-IF(MID(E225,3,1)="3",트라이포드!$N$16,트라이포드!$M$16))*(1-입력란!$C$35/100)</f>
        <v>18.779733774819999</v>
      </c>
      <c r="AK22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5" s="26">
        <f>입력란!$C$47+IF(입력란!$C$18=1,10,IF(입력란!$C$18=2,25,IF(입력란!$C$18=3,50,0)))+IF(입력란!$C$23&lt;&gt;0,-12)</f>
        <v>200</v>
      </c>
      <c r="AM225" s="30">
        <f t="shared" si="35"/>
        <v>216081.20251390061</v>
      </c>
      <c r="AN225" s="30">
        <f>(VLOOKUP(C225,$B$4:$AJ$7,16,FALSE)+VLOOKUP(C225,$B$8:$AJ$11,16,FALSE)*입력란!$C$29)*IF(G225="근접",입력란!$C$50,IF(MID(E225,1,1)="2",입력란!$C$50,입력란!$C$49))*입력란!$C$48/100</f>
        <v>95075.681374959895</v>
      </c>
      <c r="AO225" s="30">
        <f>(VLOOKUP(C225,$B$4:$AJ$7,17,FALSE)+VLOOKUP(C225,$B$8:$AJ$11,17,FALSE)*입력란!$C$29)*IF(G225="근접",입력란!$C$50,IF(MID(E225,1,1)="2",입력란!$C$50,입력란!$C$49))*입력란!$C$48/100</f>
        <v>121005.52113894072</v>
      </c>
      <c r="AP225" s="30"/>
      <c r="AQ225" s="29">
        <v>24</v>
      </c>
    </row>
    <row r="226" spans="2:43" ht="13.5" customHeight="1" x14ac:dyDescent="0.3">
      <c r="B226" s="31">
        <v>211</v>
      </c>
      <c r="C226" s="36">
        <v>10</v>
      </c>
      <c r="D226" s="43" t="s">
        <v>185</v>
      </c>
      <c r="E226" s="38" t="s">
        <v>186</v>
      </c>
      <c r="F226" s="40"/>
      <c r="G226" s="40" t="s">
        <v>202</v>
      </c>
      <c r="H226" s="52">
        <f t="shared" si="30"/>
        <v>17662.48945711242</v>
      </c>
      <c r="I226" s="53">
        <f>SUM(J226:Q226)*IF(입력란!$C$16=1,1.04,IF(입력란!$C$16=2,1.1,IF(입력란!$C$16=3,1.2,1)))*IF(입력란!$C$21=1,1+입력란!$C$38*0.001,IF(입력란!$C$21=2,1+입력란!$C$38*0.0022,IF(입력란!$C$21=3,1+입력란!$C$38*0.0045,1)))*IF(입력란!$C$18&lt;&gt;0,0.98,1)</f>
        <v>418985.49449069845</v>
      </c>
      <c r="J226" s="30">
        <f>S226*(1+IF($AK226+IF(입력란!$C$9=1,10,0)+IF(입력란!$C$26=1,10,0)&gt;100,100,$AK226+IF(입력란!$C$9=1,10,0)+IF(입력란!$C$26=1,10,0))/100*($AL226/100-1))</f>
        <v>184350.77284602728</v>
      </c>
      <c r="K226" s="30">
        <f>T226*(1+IF($AK226+IF(입력란!$C$9=1,10,0)+IF(입력란!$C$26=1,10,0)&gt;100,100,$AK226+IF(입력란!$C$9=1,10,0)+IF(입력란!$C$26=1,10,0))/100*($AL226/100-1))</f>
        <v>234634.72164467114</v>
      </c>
      <c r="L226" s="30">
        <f>U226*(1+IF($AK226+IF(입력란!$C$9=1,10,0)+IF(입력란!$C$26=1,10,0)&gt;100,100,$AK226+IF(입력란!$C$9=1,10,0)+IF(입력란!$C$26=1,10,0))/100*($AL226/100-1))</f>
        <v>0</v>
      </c>
      <c r="M226" s="30"/>
      <c r="N226" s="39"/>
      <c r="O226" s="39"/>
      <c r="P226" s="39"/>
      <c r="Q226" s="27"/>
      <c r="R226" s="24">
        <f t="shared" si="31"/>
        <v>345143.40799523669</v>
      </c>
      <c r="S226" s="30">
        <f>AN226*IF(G226="근접",IF(MID(E226,1,1)="1",트라이포드!$D$16,트라이포드!$C$16),1)*IF(MID(E226,1,1)="2",트라이포드!$F$16,트라이포드!$E$16)*IF(MID(E226,3,1)="1",트라이포드!$J$16,트라이포드!$I$16)*IF(MID(E226,5,1)="2",트라이포드!$R$16,트라이포드!$Q$16)*(1+입력란!$C$42/100)*IF(입력란!$C$9=1,IF(입력란!$C$15=0,1.05,IF(입력란!$C$15=1,1.05*1.05,IF(입력란!$C$15=2,1.05*1.12,IF(입력란!$C$15=3,1.05*1.25)))),1)</f>
        <v>151860.75614378133</v>
      </c>
      <c r="T226" s="30">
        <f>AO226*IF(G226="근접",IF(MID(E226,1,1)="1",트라이포드!$D$16,트라이포드!$C$16),1)*IF(MID(E226,1,1)="2",트라이포드!$F$16,트라이포드!$E$16)*IF(MID(E226,3,1)="1",트라이포드!$J$16,트라이포드!$I$16)*IF(MID(E226,5,1)="2",트라이포드!$R$16,트라이포드!$Q$16)*(1+입력란!$C$42/100)*IF(입력란!$C$9=1,IF(입력란!$C$15=0,1.05,IF(입력란!$C$15=1,1.05*1.05,IF(입력란!$C$15=2,1.05*1.12,IF(입력란!$C$15=3,1.05*1.25)))),1)</f>
        <v>193282.65185145533</v>
      </c>
      <c r="U226" s="30">
        <f>AO226*IF(G226="근접",IF(MID(E226,1,1)="1",트라이포드!$D$16,트라이포드!$C$16),1)*IF(MID(E226,1,1)="2",트라이포드!$F$16,트라이포드!$E$16)*IF(MID(E226,3,1)="1",트라이포드!$J$16,트라이포드!$I$16)*IF(MID(E226,5,1)="1",트라이포드!P$16,트라이포드!O$16)*(1+입력란!$C$42/100)*IF(입력란!$C$9=1,IF(입력란!$C$15=0,1.05,IF(입력란!$C$15=1,1.05*1.05,IF(입력란!$C$15=2,1.05*1.12,IF(입력란!$C$15=3,1.05*1.25)))),1)</f>
        <v>0</v>
      </c>
      <c r="V226" s="30"/>
      <c r="W226" s="39"/>
      <c r="X226" s="39"/>
      <c r="Y226" s="39"/>
      <c r="Z226" s="25"/>
      <c r="AA226" s="30">
        <f t="shared" si="32"/>
        <v>690286.81599047338</v>
      </c>
      <c r="AB226" s="30">
        <f t="shared" si="33"/>
        <v>303721.51228756265</v>
      </c>
      <c r="AC226" s="30">
        <f t="shared" si="34"/>
        <v>386565.30370291066</v>
      </c>
      <c r="AD226" s="30">
        <f t="shared" si="36"/>
        <v>0</v>
      </c>
      <c r="AE226" s="30"/>
      <c r="AF226" s="39"/>
      <c r="AG226" s="39"/>
      <c r="AH226" s="39"/>
      <c r="AI226" s="27"/>
      <c r="AJ226" s="26">
        <f>(AQ226-IF(MID(E226,3,1)="3",트라이포드!$N$16,트라이포드!$M$16))*(1-입력란!$C$35/100)</f>
        <v>23.72176897872</v>
      </c>
      <c r="AK22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6" s="26">
        <f>입력란!$C$47+IF(입력란!$C$18=1,10,IF(입력란!$C$18=2,25,IF(입력란!$C$18=3,50,0)))+IF(입력란!$C$23&lt;&gt;0,-12)</f>
        <v>200</v>
      </c>
      <c r="AM226" s="30">
        <f t="shared" si="35"/>
        <v>216204.19915335524</v>
      </c>
      <c r="AN226" s="30">
        <f>(VLOOKUP(C226,$B$4:$AJ$7,16,FALSE)+VLOOKUP(C226,$B$8:$AJ$11,16,FALSE)*입력란!$C$29)*IF(G226="근접",입력란!$C$50,IF(MID(E226,1,1)="2",입력란!$C$50,입력란!$C$49))*입력란!$C$48/100</f>
        <v>95128.379694687203</v>
      </c>
      <c r="AO226" s="30">
        <f>(VLOOKUP(C226,$B$4:$AJ$7,17,FALSE)+VLOOKUP(C226,$B$8:$AJ$11,17,FALSE)*입력란!$C$29)*IF(G226="근접",입력란!$C$50,IF(MID(E226,1,1)="2",입력란!$C$50,입력란!$C$49))*입력란!$C$48/100</f>
        <v>121075.81945866803</v>
      </c>
      <c r="AP226" s="30"/>
      <c r="AQ226" s="29">
        <v>24</v>
      </c>
    </row>
    <row r="227" spans="2:43" ht="13.5" customHeight="1" x14ac:dyDescent="0.3">
      <c r="B227" s="31">
        <v>212</v>
      </c>
      <c r="C227" s="36">
        <v>10</v>
      </c>
      <c r="D227" s="43" t="s">
        <v>185</v>
      </c>
      <c r="E227" s="38" t="s">
        <v>192</v>
      </c>
      <c r="F227" s="40"/>
      <c r="G227" s="40" t="s">
        <v>202</v>
      </c>
      <c r="H227" s="52">
        <f t="shared" si="30"/>
        <v>27553.603473742212</v>
      </c>
      <c r="I227" s="53">
        <f>SUM(J227:Q227)*IF(입력란!$C$16=1,1.04,IF(입력란!$C$16=2,1.1,IF(입력란!$C$16=3,1.2,1)))*IF(입력란!$C$21=1,1+입력란!$C$38*0.001,IF(입력란!$C$21=2,1+입력란!$C$38*0.0022,IF(입력란!$C$21=3,1+입력란!$C$38*0.0045,1)))*IF(입력란!$C$18&lt;&gt;0,0.98,1)</f>
        <v>653620.21613536961</v>
      </c>
      <c r="J227" s="30">
        <f>S227*(1+IF($AK227+IF(입력란!$C$9=1,10,0)+IF(입력란!$C$26=1,10,0)&gt;100,100,$AK227+IF(입력란!$C$9=1,10,0)+IF(입력란!$C$26=1,10,0))/100*($AL227/100-1))</f>
        <v>184350.77284602728</v>
      </c>
      <c r="K227" s="30">
        <f>T227*(1+IF($AK227+IF(입력란!$C$9=1,10,0)+IF(입력란!$C$26=1,10,0)&gt;100,100,$AK227+IF(입력란!$C$9=1,10,0)+IF(입력란!$C$26=1,10,0))/100*($AL227/100-1))</f>
        <v>234634.72164467114</v>
      </c>
      <c r="L227" s="30">
        <f>U227*(1+IF($AK227+IF(입력란!$C$9=1,10,0)+IF(입력란!$C$26=1,10,0)&gt;100,100,$AK227+IF(입력란!$C$9=1,10,0)+IF(입력란!$C$26=1,10,0))/100*($AL227/100-1))</f>
        <v>234634.72164467114</v>
      </c>
      <c r="M227" s="30"/>
      <c r="N227" s="39"/>
      <c r="O227" s="39"/>
      <c r="P227" s="39"/>
      <c r="Q227" s="27"/>
      <c r="R227" s="24">
        <f t="shared" si="31"/>
        <v>538426.05984669202</v>
      </c>
      <c r="S227" s="30">
        <f>AN227*IF(G227="근접",IF(MID(E227,1,1)="1",트라이포드!$D$16,트라이포드!$C$16),1)*IF(MID(E227,1,1)="2",트라이포드!$F$16,트라이포드!$E$16)*IF(MID(E227,3,1)="1",트라이포드!$J$16,트라이포드!$I$16)*IF(MID(E227,5,1)="2",트라이포드!$R$16,트라이포드!$Q$16)*(1+입력란!$C$42/100)*IF(입력란!$C$9=1,IF(입력란!$C$15=0,1.05,IF(입력란!$C$15=1,1.05*1.05,IF(입력란!$C$15=2,1.05*1.12,IF(입력란!$C$15=3,1.05*1.25)))),1)</f>
        <v>151860.75614378133</v>
      </c>
      <c r="T227" s="30">
        <f>AO227*IF(G227="근접",IF(MID(E227,1,1)="1",트라이포드!$D$16,트라이포드!$C$16),1)*IF(MID(E227,1,1)="2",트라이포드!$F$16,트라이포드!$E$16)*IF(MID(E227,3,1)="1",트라이포드!$J$16,트라이포드!$I$16)*IF(MID(E227,5,1)="2",트라이포드!$R$16,트라이포드!$Q$16)*(1+입력란!$C$42/100)*IF(입력란!$C$9=1,IF(입력란!$C$15=0,1.05,IF(입력란!$C$15=1,1.05*1.05,IF(입력란!$C$15=2,1.05*1.12,IF(입력란!$C$15=3,1.05*1.25)))),1)</f>
        <v>193282.65185145533</v>
      </c>
      <c r="U227" s="30">
        <f>AO227*IF(G227="근접",IF(MID(E227,1,1)="1",트라이포드!$D$16,트라이포드!$C$16),1)*IF(MID(E227,1,1)="2",트라이포드!$F$16,트라이포드!$E$16)*IF(MID(E227,3,1)="1",트라이포드!$J$16,트라이포드!$I$16)*IF(MID(E227,5,1)="1",트라이포드!P$16,트라이포드!O$16)*(1+입력란!$C$42/100)*IF(입력란!$C$9=1,IF(입력란!$C$15=0,1.05,IF(입력란!$C$15=1,1.05*1.05,IF(입력란!$C$15=2,1.05*1.12,IF(입력란!$C$15=3,1.05*1.25)))),1)</f>
        <v>193282.65185145533</v>
      </c>
      <c r="V227" s="30"/>
      <c r="W227" s="39"/>
      <c r="X227" s="39"/>
      <c r="Y227" s="39"/>
      <c r="Z227" s="25"/>
      <c r="AA227" s="30">
        <f t="shared" si="32"/>
        <v>1076852.119693384</v>
      </c>
      <c r="AB227" s="30">
        <f t="shared" si="33"/>
        <v>303721.51228756265</v>
      </c>
      <c r="AC227" s="30">
        <f t="shared" si="34"/>
        <v>386565.30370291066</v>
      </c>
      <c r="AD227" s="30">
        <f t="shared" si="36"/>
        <v>386565.30370291066</v>
      </c>
      <c r="AE227" s="30"/>
      <c r="AF227" s="39"/>
      <c r="AG227" s="39"/>
      <c r="AH227" s="39"/>
      <c r="AI227" s="27"/>
      <c r="AJ227" s="26">
        <f>(AQ227-IF(MID(E227,3,1)="3",트라이포드!$N$16,트라이포드!$M$16))*(1-입력란!$C$35/100)</f>
        <v>23.72176897872</v>
      </c>
      <c r="AK22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7" s="26">
        <f>입력란!$C$47+IF(입력란!$C$18=1,10,IF(입력란!$C$18=2,25,IF(입력란!$C$18=3,50,0)))+IF(입력란!$C$23&lt;&gt;0,-12)</f>
        <v>200</v>
      </c>
      <c r="AM227" s="30">
        <f t="shared" si="35"/>
        <v>216204.19915335524</v>
      </c>
      <c r="AN227" s="30">
        <f>(VLOOKUP(C227,$B$4:$AJ$7,16,FALSE)+VLOOKUP(C227,$B$8:$AJ$11,16,FALSE)*입력란!$C$29)*IF(G227="근접",입력란!$C$50,IF(MID(E227,1,1)="2",입력란!$C$50,입력란!$C$49))*입력란!$C$48/100</f>
        <v>95128.379694687203</v>
      </c>
      <c r="AO227" s="30">
        <f>(VLOOKUP(C227,$B$4:$AJ$7,17,FALSE)+VLOOKUP(C227,$B$8:$AJ$11,17,FALSE)*입력란!$C$29)*IF(G227="근접",입력란!$C$50,IF(MID(E227,1,1)="2",입력란!$C$50,입력란!$C$49))*입력란!$C$48/100</f>
        <v>121075.81945866803</v>
      </c>
      <c r="AP227" s="30"/>
      <c r="AQ227" s="29">
        <v>24</v>
      </c>
    </row>
    <row r="228" spans="2:43" ht="13.5" customHeight="1" x14ac:dyDescent="0.3">
      <c r="B228" s="31">
        <v>213</v>
      </c>
      <c r="C228" s="36">
        <v>10</v>
      </c>
      <c r="D228" s="43" t="s">
        <v>185</v>
      </c>
      <c r="E228" s="38" t="s">
        <v>193</v>
      </c>
      <c r="F228" s="40" t="s">
        <v>223</v>
      </c>
      <c r="G228" s="40" t="s">
        <v>202</v>
      </c>
      <c r="H228" s="52">
        <f t="shared" si="30"/>
        <v>31792.481022802356</v>
      </c>
      <c r="I228" s="53">
        <f>SUM(J228:Q228)*IF(입력란!$C$16=1,1.04,IF(입력란!$C$16=2,1.1,IF(입력란!$C$16=3,1.2,1)))*IF(입력란!$C$21=1,1+입력란!$C$38*0.001,IF(입력란!$C$21=2,1+입력란!$C$38*0.0022,IF(입력란!$C$21=3,1+입력란!$C$38*0.0045,1)))*IF(입력란!$C$18&lt;&gt;0,0.98,1)</f>
        <v>754173.89008325723</v>
      </c>
      <c r="J228" s="30">
        <f>S228*(1+IF($AK228+IF(입력란!$C$9=1,10,0)+IF(입력란!$C$26=1,10,0)&gt;100,100,$AK228+IF(입력란!$C$9=1,10,0)+IF(입력란!$C$26=1,10,0))/100*($AL228/100-1))</f>
        <v>331831.39112284913</v>
      </c>
      <c r="K228" s="30">
        <f>T228*(1+IF($AK228+IF(입력란!$C$9=1,10,0)+IF(입력란!$C$26=1,10,0)&gt;100,100,$AK228+IF(입력란!$C$9=1,10,0)+IF(입력란!$C$26=1,10,0))/100*($AL228/100-1))</f>
        <v>422342.49896040809</v>
      </c>
      <c r="L228" s="30">
        <f>U228*(1+IF($AK228+IF(입력란!$C$9=1,10,0)+IF(입력란!$C$26=1,10,0)&gt;100,100,$AK228+IF(입력란!$C$9=1,10,0)+IF(입력란!$C$26=1,10,0))/100*($AL228/100-1))</f>
        <v>0</v>
      </c>
      <c r="M228" s="30"/>
      <c r="N228" s="39"/>
      <c r="O228" s="39"/>
      <c r="P228" s="39"/>
      <c r="Q228" s="27"/>
      <c r="R228" s="24">
        <f t="shared" si="31"/>
        <v>621258.13439142611</v>
      </c>
      <c r="S228" s="30">
        <f>AN228*IF(G228="근접",IF(MID(E228,1,1)="1",트라이포드!$D$16,트라이포드!$C$16),1)*IF(MID(E228,1,1)="2",트라이포드!$F$16,트라이포드!$E$16)*IF(MID(E228,3,1)="1",트라이포드!$J$16,트라이포드!$I$16)*IF(MID(E228,5,1)="2",트라이포드!$R$16,트라이포드!$Q$16)*(1+입력란!$C$42/100)*IF(입력란!$C$9=1,IF(입력란!$C$15=0,1.05,IF(입력란!$C$15=1,1.05*1.05,IF(입력란!$C$15=2,1.05*1.12,IF(입력란!$C$15=3,1.05*1.25)))),1)</f>
        <v>273349.36105880642</v>
      </c>
      <c r="T228" s="30">
        <f>AO228*IF(G228="근접",IF(MID(E228,1,1)="1",트라이포드!$D$16,트라이포드!$C$16),1)*IF(MID(E228,1,1)="2",트라이포드!$F$16,트라이포드!$E$16)*IF(MID(E228,3,1)="1",트라이포드!$J$16,트라이포드!$I$16)*IF(MID(E228,5,1)="2",트라이포드!$R$16,트라이포드!$Q$16)*(1+입력란!$C$42/100)*IF(입력란!$C$9=1,IF(입력란!$C$15=0,1.05,IF(입력란!$C$15=1,1.05*1.05,IF(입력란!$C$15=2,1.05*1.12,IF(입력란!$C$15=3,1.05*1.25)))),1)</f>
        <v>347908.77333261963</v>
      </c>
      <c r="U228" s="30">
        <f>AO228*IF(G228="근접",IF(MID(E228,1,1)="1",트라이포드!$D$16,트라이포드!$C$16),1)*IF(MID(E228,1,1)="2",트라이포드!$F$16,트라이포드!$E$16)*IF(MID(E228,3,1)="1",트라이포드!$J$16,트라이포드!$I$16)*IF(MID(E228,5,1)="1",트라이포드!P$16,트라이포드!O$16)*(1+입력란!$C$42/100)*IF(입력란!$C$9=1,IF(입력란!$C$15=0,1.05,IF(입력란!$C$15=1,1.05*1.05,IF(입력란!$C$15=2,1.05*1.12,IF(입력란!$C$15=3,1.05*1.25)))),1)</f>
        <v>0</v>
      </c>
      <c r="V228" s="30"/>
      <c r="W228" s="39"/>
      <c r="X228" s="39"/>
      <c r="Y228" s="39"/>
      <c r="Z228" s="25"/>
      <c r="AA228" s="30">
        <f t="shared" si="32"/>
        <v>1242516.2687828522</v>
      </c>
      <c r="AB228" s="30">
        <f t="shared" si="33"/>
        <v>546698.72211761284</v>
      </c>
      <c r="AC228" s="30">
        <f t="shared" si="34"/>
        <v>695817.54666523926</v>
      </c>
      <c r="AD228" s="30">
        <f t="shared" si="36"/>
        <v>0</v>
      </c>
      <c r="AE228" s="30"/>
      <c r="AF228" s="39"/>
      <c r="AG228" s="39"/>
      <c r="AH228" s="39"/>
      <c r="AI228" s="27"/>
      <c r="AJ228" s="26">
        <f>(AQ228-IF(MID(E228,3,1)="3",트라이포드!$N$16,트라이포드!$M$16))*(1-입력란!$C$35/100)</f>
        <v>23.72176897872</v>
      </c>
      <c r="AK22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8" s="26">
        <f>입력란!$C$47+IF(입력란!$C$18=1,10,IF(입력란!$C$18=2,25,IF(입력란!$C$18=3,50,0)))+IF(입력란!$C$23&lt;&gt;0,-12)</f>
        <v>200</v>
      </c>
      <c r="AM228" s="30">
        <f t="shared" si="35"/>
        <v>216204.19915335524</v>
      </c>
      <c r="AN228" s="30">
        <f>(VLOOKUP(C228,$B$4:$AJ$7,16,FALSE)+VLOOKUP(C228,$B$8:$AJ$11,16,FALSE)*입력란!$C$29)*IF(G228="근접",입력란!$C$50,IF(MID(E228,1,1)="2",입력란!$C$50,입력란!$C$49))*입력란!$C$48/100</f>
        <v>95128.379694687203</v>
      </c>
      <c r="AO228" s="30">
        <f>(VLOOKUP(C228,$B$4:$AJ$7,17,FALSE)+VLOOKUP(C228,$B$8:$AJ$11,17,FALSE)*입력란!$C$29)*IF(G228="근접",입력란!$C$50,IF(MID(E228,1,1)="2",입력란!$C$50,입력란!$C$49))*입력란!$C$48/100</f>
        <v>121075.81945866803</v>
      </c>
      <c r="AP228" s="30"/>
      <c r="AQ228" s="29">
        <v>24</v>
      </c>
    </row>
    <row r="229" spans="2:43" ht="13.5" customHeight="1" x14ac:dyDescent="0.3">
      <c r="B229" s="31">
        <v>214</v>
      </c>
      <c r="C229" s="36">
        <v>10</v>
      </c>
      <c r="D229" s="43" t="s">
        <v>185</v>
      </c>
      <c r="E229" s="38" t="s">
        <v>194</v>
      </c>
      <c r="F229" s="40"/>
      <c r="G229" s="40" t="s">
        <v>202</v>
      </c>
      <c r="H229" s="52">
        <f t="shared" si="30"/>
        <v>34442.004342177759</v>
      </c>
      <c r="I229" s="53">
        <f>SUM(J229:Q229)*IF(입력란!$C$16=1,1.04,IF(입력란!$C$16=2,1.1,IF(입력란!$C$16=3,1.2,1)))*IF(입력란!$C$21=1,1+입력란!$C$38*0.001,IF(입력란!$C$21=2,1+입력란!$C$38*0.0022,IF(입력란!$C$21=3,1+입력란!$C$38*0.0045,1)))*IF(입력란!$C$18&lt;&gt;0,0.98,1)</f>
        <v>817025.2701692119</v>
      </c>
      <c r="J229" s="30">
        <f>S229*(1+IF($AK229+IF(입력란!$C$9=1,10,0)+IF(입력란!$C$26=1,10,0)&gt;100,100,$AK229+IF(입력란!$C$9=1,10,0)+IF(입력란!$C$26=1,10,0))/100*($AL229/100-1))</f>
        <v>230438.4660575341</v>
      </c>
      <c r="K229" s="30">
        <f>T229*(1+IF($AK229+IF(입력란!$C$9=1,10,0)+IF(입력란!$C$26=1,10,0)&gt;100,100,$AK229+IF(입력란!$C$9=1,10,0)+IF(입력란!$C$26=1,10,0))/100*($AL229/100-1))</f>
        <v>293293.4020558389</v>
      </c>
      <c r="L229" s="30">
        <f>U229*(1+IF($AK229+IF(입력란!$C$9=1,10,0)+IF(입력란!$C$26=1,10,0)&gt;100,100,$AK229+IF(입력란!$C$9=1,10,0)+IF(입력란!$C$26=1,10,0))/100*($AL229/100-1))</f>
        <v>293293.4020558389</v>
      </c>
      <c r="M229" s="30"/>
      <c r="N229" s="39"/>
      <c r="O229" s="39"/>
      <c r="P229" s="39"/>
      <c r="Q229" s="27"/>
      <c r="R229" s="24">
        <f t="shared" si="31"/>
        <v>673032.57480836497</v>
      </c>
      <c r="S229" s="30">
        <f>AN229*IF(G229="근접",IF(MID(E229,1,1)="1",트라이포드!$D$16,트라이포드!$C$16),1)*IF(MID(E229,1,1)="2",트라이포드!$F$16,트라이포드!$E$16)*IF(MID(E229,3,1)="1",트라이포드!$J$16,트라이포드!$I$16)*IF(MID(E229,5,1)="2",트라이포드!$R$16,트라이포드!$Q$16)*(1+입력란!$C$42/100)*IF(입력란!$C$9=1,IF(입력란!$C$15=0,1.05,IF(입력란!$C$15=1,1.05*1.05,IF(입력란!$C$15=2,1.05*1.12,IF(입력란!$C$15=3,1.05*1.25)))),1)</f>
        <v>189825.94517972667</v>
      </c>
      <c r="T229" s="30">
        <f>AO229*IF(G229="근접",IF(MID(E229,1,1)="1",트라이포드!$D$16,트라이포드!$C$16),1)*IF(MID(E229,1,1)="2",트라이포드!$F$16,트라이포드!$E$16)*IF(MID(E229,3,1)="1",트라이포드!$J$16,트라이포드!$I$16)*IF(MID(E229,5,1)="2",트라이포드!$R$16,트라이포드!$Q$16)*(1+입력란!$C$42/100)*IF(입력란!$C$9=1,IF(입력란!$C$15=0,1.05,IF(입력란!$C$15=1,1.05*1.05,IF(입력란!$C$15=2,1.05*1.12,IF(입력란!$C$15=3,1.05*1.25)))),1)</f>
        <v>241603.31481431916</v>
      </c>
      <c r="U229" s="30">
        <f>AO229*IF(G229="근접",IF(MID(E229,1,1)="1",트라이포드!$D$16,트라이포드!$C$16),1)*IF(MID(E229,1,1)="2",트라이포드!$F$16,트라이포드!$E$16)*IF(MID(E229,3,1)="1",트라이포드!$J$16,트라이포드!$I$16)*IF(MID(E229,5,1)="1",트라이포드!P$16,트라이포드!O$16)*(1+입력란!$C$42/100)*IF(입력란!$C$9=1,IF(입력란!$C$15=0,1.05,IF(입력란!$C$15=1,1.05*1.05,IF(입력란!$C$15=2,1.05*1.12,IF(입력란!$C$15=3,1.05*1.25)))),1)</f>
        <v>241603.31481431916</v>
      </c>
      <c r="V229" s="30"/>
      <c r="W229" s="39"/>
      <c r="X229" s="39"/>
      <c r="Y229" s="39"/>
      <c r="Z229" s="25"/>
      <c r="AA229" s="30">
        <f t="shared" si="32"/>
        <v>1346065.1496167299</v>
      </c>
      <c r="AB229" s="30">
        <f t="shared" si="33"/>
        <v>379651.89035945333</v>
      </c>
      <c r="AC229" s="30">
        <f t="shared" si="34"/>
        <v>483206.62962863833</v>
      </c>
      <c r="AD229" s="30">
        <f t="shared" si="36"/>
        <v>483206.62962863833</v>
      </c>
      <c r="AE229" s="30"/>
      <c r="AF229" s="39"/>
      <c r="AG229" s="39"/>
      <c r="AH229" s="39"/>
      <c r="AI229" s="27"/>
      <c r="AJ229" s="26">
        <f>(AQ229-IF(MID(E229,3,1)="3",트라이포드!$N$16,트라이포드!$M$16))*(1-입력란!$C$35/100)</f>
        <v>23.72176897872</v>
      </c>
      <c r="AK22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29" s="26">
        <f>입력란!$C$47+IF(입력란!$C$18=1,10,IF(입력란!$C$18=2,25,IF(입력란!$C$18=3,50,0)))+IF(입력란!$C$23&lt;&gt;0,-12)</f>
        <v>200</v>
      </c>
      <c r="AM229" s="30">
        <f t="shared" si="35"/>
        <v>216204.19915335524</v>
      </c>
      <c r="AN229" s="30">
        <f>(VLOOKUP(C229,$B$4:$AJ$7,16,FALSE)+VLOOKUP(C229,$B$8:$AJ$11,16,FALSE)*입력란!$C$29)*IF(G229="근접",입력란!$C$50,IF(MID(E229,1,1)="2",입력란!$C$50,입력란!$C$49))*입력란!$C$48/100</f>
        <v>95128.379694687203</v>
      </c>
      <c r="AO229" s="30">
        <f>(VLOOKUP(C229,$B$4:$AJ$7,17,FALSE)+VLOOKUP(C229,$B$8:$AJ$11,17,FALSE)*입력란!$C$29)*IF(G229="근접",입력란!$C$50,IF(MID(E229,1,1)="2",입력란!$C$50,입력란!$C$49))*입력란!$C$48/100</f>
        <v>121075.81945866803</v>
      </c>
      <c r="AP229" s="30"/>
      <c r="AQ229" s="29">
        <v>24</v>
      </c>
    </row>
    <row r="230" spans="2:43" ht="13.5" customHeight="1" x14ac:dyDescent="0.3">
      <c r="B230" s="31">
        <v>215</v>
      </c>
      <c r="C230" s="36">
        <v>10</v>
      </c>
      <c r="D230" s="43" t="s">
        <v>185</v>
      </c>
      <c r="E230" s="38" t="s">
        <v>195</v>
      </c>
      <c r="F230" s="40" t="s">
        <v>223</v>
      </c>
      <c r="G230" s="40" t="s">
        <v>202</v>
      </c>
      <c r="H230" s="52">
        <f t="shared" si="30"/>
        <v>39740.601278502945</v>
      </c>
      <c r="I230" s="53">
        <f>SUM(J230:Q230)*IF(입력란!$C$16=1,1.04,IF(입력란!$C$16=2,1.1,IF(입력란!$C$16=3,1.2,1)))*IF(입력란!$C$21=1,1+입력란!$C$38*0.001,IF(입력란!$C$21=2,1+입력란!$C$38*0.0022,IF(입력란!$C$21=3,1+입력란!$C$38*0.0045,1)))*IF(입력란!$C$18&lt;&gt;0,0.98,1)</f>
        <v>942717.3626040715</v>
      </c>
      <c r="J230" s="30">
        <f>S230*(1+IF($AK230+IF(입력란!$C$9=1,10,0)+IF(입력란!$C$26=1,10,0)&gt;100,100,$AK230+IF(입력란!$C$9=1,10,0)+IF(입력란!$C$26=1,10,0))/100*($AL230/100-1))</f>
        <v>414789.23890356137</v>
      </c>
      <c r="K230" s="30">
        <f>T230*(1+IF($AK230+IF(입력란!$C$9=1,10,0)+IF(입력란!$C$26=1,10,0)&gt;100,100,$AK230+IF(입력란!$C$9=1,10,0)+IF(입력란!$C$26=1,10,0))/100*($AL230/100-1))</f>
        <v>527928.12370051013</v>
      </c>
      <c r="L230" s="30">
        <f>U230*(1+IF($AK230+IF(입력란!$C$9=1,10,0)+IF(입력란!$C$26=1,10,0)&gt;100,100,$AK230+IF(입력란!$C$9=1,10,0)+IF(입력란!$C$26=1,10,0))/100*($AL230/100-1))</f>
        <v>0</v>
      </c>
      <c r="M230" s="30"/>
      <c r="N230" s="39"/>
      <c r="O230" s="39"/>
      <c r="P230" s="39"/>
      <c r="Q230" s="27"/>
      <c r="R230" s="24">
        <f t="shared" si="31"/>
        <v>776572.66798928264</v>
      </c>
      <c r="S230" s="30">
        <f>AN230*IF(G230="근접",IF(MID(E230,1,1)="1",트라이포드!$D$16,트라이포드!$C$16),1)*IF(MID(E230,1,1)="2",트라이포드!$F$16,트라이포드!$E$16)*IF(MID(E230,3,1)="1",트라이포드!$J$16,트라이포드!$I$16)*IF(MID(E230,5,1)="2",트라이포드!$R$16,트라이포드!$Q$16)*(1+입력란!$C$42/100)*IF(입력란!$C$9=1,IF(입력란!$C$15=0,1.05,IF(입력란!$C$15=1,1.05*1.05,IF(입력란!$C$15=2,1.05*1.12,IF(입력란!$C$15=3,1.05*1.25)))),1)</f>
        <v>341686.70132350799</v>
      </c>
      <c r="T230" s="30">
        <f>AO230*IF(G230="근접",IF(MID(E230,1,1)="1",트라이포드!$D$16,트라이포드!$C$16),1)*IF(MID(E230,1,1)="2",트라이포드!$F$16,트라이포드!$E$16)*IF(MID(E230,3,1)="1",트라이포드!$J$16,트라이포드!$I$16)*IF(MID(E230,5,1)="2",트라이포드!$R$16,트라이포드!$Q$16)*(1+입력란!$C$42/100)*IF(입력란!$C$9=1,IF(입력란!$C$15=0,1.05,IF(입력란!$C$15=1,1.05*1.05,IF(입력란!$C$15=2,1.05*1.12,IF(입력란!$C$15=3,1.05*1.25)))),1)</f>
        <v>434885.96666577458</v>
      </c>
      <c r="U230" s="30">
        <f>AO230*IF(G230="근접",IF(MID(E230,1,1)="1",트라이포드!$D$16,트라이포드!$C$16),1)*IF(MID(E230,1,1)="2",트라이포드!$F$16,트라이포드!$E$16)*IF(MID(E230,3,1)="1",트라이포드!$J$16,트라이포드!$I$16)*IF(MID(E230,5,1)="1",트라이포드!P$16,트라이포드!O$16)*(1+입력란!$C$42/100)*IF(입력란!$C$9=1,IF(입력란!$C$15=0,1.05,IF(입력란!$C$15=1,1.05*1.05,IF(입력란!$C$15=2,1.05*1.12,IF(입력란!$C$15=3,1.05*1.25)))),1)</f>
        <v>0</v>
      </c>
      <c r="V230" s="30"/>
      <c r="W230" s="39"/>
      <c r="X230" s="39"/>
      <c r="Y230" s="39"/>
      <c r="Z230" s="25"/>
      <c r="AA230" s="30">
        <f t="shared" si="32"/>
        <v>1553145.3359785653</v>
      </c>
      <c r="AB230" s="30">
        <f t="shared" si="33"/>
        <v>683373.40264701599</v>
      </c>
      <c r="AC230" s="30">
        <f t="shared" si="34"/>
        <v>869771.93333154917</v>
      </c>
      <c r="AD230" s="30">
        <f t="shared" si="36"/>
        <v>0</v>
      </c>
      <c r="AE230" s="30"/>
      <c r="AF230" s="39"/>
      <c r="AG230" s="39"/>
      <c r="AH230" s="39"/>
      <c r="AI230" s="27"/>
      <c r="AJ230" s="26">
        <f>(AQ230-IF(MID(E230,3,1)="3",트라이포드!$N$16,트라이포드!$M$16))*(1-입력란!$C$35/100)</f>
        <v>23.72176897872</v>
      </c>
      <c r="AK23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0" s="26">
        <f>입력란!$C$47+IF(입력란!$C$18=1,10,IF(입력란!$C$18=2,25,IF(입력란!$C$18=3,50,0)))+IF(입력란!$C$23&lt;&gt;0,-12)</f>
        <v>200</v>
      </c>
      <c r="AM230" s="30">
        <f t="shared" si="35"/>
        <v>216204.19915335524</v>
      </c>
      <c r="AN230" s="30">
        <f>(VLOOKUP(C230,$B$4:$AJ$7,16,FALSE)+VLOOKUP(C230,$B$8:$AJ$11,16,FALSE)*입력란!$C$29)*IF(G230="근접",입력란!$C$50,IF(MID(E230,1,1)="2",입력란!$C$50,입력란!$C$49))*입력란!$C$48/100</f>
        <v>95128.379694687203</v>
      </c>
      <c r="AO230" s="30">
        <f>(VLOOKUP(C230,$B$4:$AJ$7,17,FALSE)+VLOOKUP(C230,$B$8:$AJ$11,17,FALSE)*입력란!$C$29)*IF(G230="근접",입력란!$C$50,IF(MID(E230,1,1)="2",입력란!$C$50,입력란!$C$49))*입력란!$C$48/100</f>
        <v>121075.81945866803</v>
      </c>
      <c r="AP230" s="30"/>
      <c r="AQ230" s="29">
        <v>24</v>
      </c>
    </row>
    <row r="231" spans="2:43" ht="13.5" customHeight="1" x14ac:dyDescent="0.3">
      <c r="B231" s="31">
        <v>216</v>
      </c>
      <c r="C231" s="36">
        <v>10</v>
      </c>
      <c r="D231" s="43" t="s">
        <v>185</v>
      </c>
      <c r="E231" s="38" t="s">
        <v>196</v>
      </c>
      <c r="F231" s="40"/>
      <c r="G231" s="40" t="s">
        <v>202</v>
      </c>
      <c r="H231" s="52">
        <f t="shared" si="30"/>
        <v>34804.551756305955</v>
      </c>
      <c r="I231" s="53">
        <f>SUM(J231:Q231)*IF(입력란!$C$16=1,1.04,IF(입력란!$C$16=2,1.1,IF(입력란!$C$16=3,1.2,1)))*IF(입력란!$C$21=1,1+입력란!$C$38*0.001,IF(입력란!$C$21=2,1+입력란!$C$38*0.0022,IF(입력란!$C$21=3,1+입력란!$C$38*0.0045,1)))*IF(입력란!$C$18&lt;&gt;0,0.98,1)</f>
        <v>653620.21613536961</v>
      </c>
      <c r="J231" s="30">
        <f>S231*(1+IF($AK231+IF(입력란!$C$9=1,10,0)+IF(입력란!$C$26=1,10,0)&gt;100,100,$AK231+IF(입력란!$C$9=1,10,0)+IF(입력란!$C$26=1,10,0))/100*($AL231/100-1))</f>
        <v>184350.77284602728</v>
      </c>
      <c r="K231" s="30">
        <f>T231*(1+IF($AK231+IF(입력란!$C$9=1,10,0)+IF(입력란!$C$26=1,10,0)&gt;100,100,$AK231+IF(입력란!$C$9=1,10,0)+IF(입력란!$C$26=1,10,0))/100*($AL231/100-1))</f>
        <v>234634.72164467114</v>
      </c>
      <c r="L231" s="30">
        <f>U231*(1+IF($AK231+IF(입력란!$C$9=1,10,0)+IF(입력란!$C$26=1,10,0)&gt;100,100,$AK231+IF(입력란!$C$9=1,10,0)+IF(입력란!$C$26=1,10,0))/100*($AL231/100-1))</f>
        <v>234634.72164467114</v>
      </c>
      <c r="M231" s="30"/>
      <c r="N231" s="39"/>
      <c r="O231" s="39"/>
      <c r="P231" s="39"/>
      <c r="Q231" s="27"/>
      <c r="R231" s="24">
        <f t="shared" si="31"/>
        <v>538426.05984669202</v>
      </c>
      <c r="S231" s="30">
        <f>AN231*IF(G231="근접",IF(MID(E231,1,1)="1",트라이포드!$D$16,트라이포드!$C$16),1)*IF(MID(E231,1,1)="2",트라이포드!$F$16,트라이포드!$E$16)*IF(MID(E231,3,1)="1",트라이포드!$J$16,트라이포드!$I$16)*IF(MID(E231,5,1)="2",트라이포드!$R$16,트라이포드!$Q$16)*(1+입력란!$C$42/100)*IF(입력란!$C$9=1,IF(입력란!$C$15=0,1.05,IF(입력란!$C$15=1,1.05*1.05,IF(입력란!$C$15=2,1.05*1.12,IF(입력란!$C$15=3,1.05*1.25)))),1)</f>
        <v>151860.75614378133</v>
      </c>
      <c r="T231" s="30">
        <f>AO231*IF(G231="근접",IF(MID(E231,1,1)="1",트라이포드!$D$16,트라이포드!$C$16),1)*IF(MID(E231,1,1)="2",트라이포드!$F$16,트라이포드!$E$16)*IF(MID(E231,3,1)="1",트라이포드!$J$16,트라이포드!$I$16)*IF(MID(E231,5,1)="2",트라이포드!$R$16,트라이포드!$Q$16)*(1+입력란!$C$42/100)*IF(입력란!$C$9=1,IF(입력란!$C$15=0,1.05,IF(입력란!$C$15=1,1.05*1.05,IF(입력란!$C$15=2,1.05*1.12,IF(입력란!$C$15=3,1.05*1.25)))),1)</f>
        <v>193282.65185145533</v>
      </c>
      <c r="U231" s="30">
        <f>AO231*IF(G231="근접",IF(MID(E231,1,1)="1",트라이포드!$D$16,트라이포드!$C$16),1)*IF(MID(E231,1,1)="2",트라이포드!$F$16,트라이포드!$E$16)*IF(MID(E231,3,1)="1",트라이포드!$J$16,트라이포드!$I$16)*IF(MID(E231,5,1)="1",트라이포드!P$16,트라이포드!O$16)*(1+입력란!$C$42/100)*IF(입력란!$C$9=1,IF(입력란!$C$15=0,1.05,IF(입력란!$C$15=1,1.05*1.05,IF(입력란!$C$15=2,1.05*1.12,IF(입력란!$C$15=3,1.05*1.25)))),1)</f>
        <v>193282.65185145533</v>
      </c>
      <c r="V231" s="30"/>
      <c r="W231" s="39"/>
      <c r="X231" s="39"/>
      <c r="Y231" s="39"/>
      <c r="Z231" s="25"/>
      <c r="AA231" s="30">
        <f t="shared" si="32"/>
        <v>1076852.119693384</v>
      </c>
      <c r="AB231" s="30">
        <f t="shared" si="33"/>
        <v>303721.51228756265</v>
      </c>
      <c r="AC231" s="30">
        <f t="shared" si="34"/>
        <v>386565.30370291066</v>
      </c>
      <c r="AD231" s="30">
        <f t="shared" si="36"/>
        <v>386565.30370291066</v>
      </c>
      <c r="AE231" s="30"/>
      <c r="AF231" s="39"/>
      <c r="AG231" s="39"/>
      <c r="AH231" s="39"/>
      <c r="AI231" s="27"/>
      <c r="AJ231" s="26">
        <f>(AQ231-IF(MID(E231,3,1)="3",트라이포드!$N$16,트라이포드!$M$16))*(1-입력란!$C$35/100)</f>
        <v>18.779733774819999</v>
      </c>
      <c r="AK23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1" s="26">
        <f>입력란!$C$47+IF(입력란!$C$18=1,10,IF(입력란!$C$18=2,25,IF(입력란!$C$18=3,50,0)))+IF(입력란!$C$23&lt;&gt;0,-12)</f>
        <v>200</v>
      </c>
      <c r="AM231" s="30">
        <f t="shared" si="35"/>
        <v>216204.19915335524</v>
      </c>
      <c r="AN231" s="30">
        <f>(VLOOKUP(C231,$B$4:$AJ$7,16,FALSE)+VLOOKUP(C231,$B$8:$AJ$11,16,FALSE)*입력란!$C$29)*IF(G231="근접",입력란!$C$50,IF(MID(E231,1,1)="2",입력란!$C$50,입력란!$C$49))*입력란!$C$48/100</f>
        <v>95128.379694687203</v>
      </c>
      <c r="AO231" s="30">
        <f>(VLOOKUP(C231,$B$4:$AJ$7,17,FALSE)+VLOOKUP(C231,$B$8:$AJ$11,17,FALSE)*입력란!$C$29)*IF(G231="근접",입력란!$C$50,IF(MID(E231,1,1)="2",입력란!$C$50,입력란!$C$49))*입력란!$C$48/100</f>
        <v>121075.81945866803</v>
      </c>
      <c r="AP231" s="30"/>
      <c r="AQ231" s="29">
        <v>24</v>
      </c>
    </row>
    <row r="232" spans="2:43" ht="13.5" customHeight="1" x14ac:dyDescent="0.3">
      <c r="B232" s="31">
        <v>217</v>
      </c>
      <c r="C232" s="36">
        <v>10</v>
      </c>
      <c r="D232" s="43" t="s">
        <v>185</v>
      </c>
      <c r="E232" s="38" t="s">
        <v>197</v>
      </c>
      <c r="F232" s="40" t="s">
        <v>223</v>
      </c>
      <c r="G232" s="40" t="s">
        <v>202</v>
      </c>
      <c r="H232" s="52">
        <f t="shared" si="30"/>
        <v>40158.923397224033</v>
      </c>
      <c r="I232" s="53">
        <f>SUM(J232:Q232)*IF(입력란!$C$16=1,1.04,IF(입력란!$C$16=2,1.1,IF(입력란!$C$16=3,1.2,1)))*IF(입력란!$C$21=1,1+입력란!$C$38*0.001,IF(입력란!$C$21=2,1+입력란!$C$38*0.0022,IF(입력란!$C$21=3,1+입력란!$C$38*0.0045,1)))*IF(입력란!$C$18&lt;&gt;0,0.98,1)</f>
        <v>754173.89008325723</v>
      </c>
      <c r="J232" s="30">
        <f>S232*(1+IF($AK232+IF(입력란!$C$9=1,10,0)+IF(입력란!$C$26=1,10,0)&gt;100,100,$AK232+IF(입력란!$C$9=1,10,0)+IF(입력란!$C$26=1,10,0))/100*($AL232/100-1))</f>
        <v>331831.39112284913</v>
      </c>
      <c r="K232" s="30">
        <f>T232*(1+IF($AK232+IF(입력란!$C$9=1,10,0)+IF(입력란!$C$26=1,10,0)&gt;100,100,$AK232+IF(입력란!$C$9=1,10,0)+IF(입력란!$C$26=1,10,0))/100*($AL232/100-1))</f>
        <v>422342.49896040809</v>
      </c>
      <c r="L232" s="30">
        <f>U232*(1+IF($AK232+IF(입력란!$C$9=1,10,0)+IF(입력란!$C$26=1,10,0)&gt;100,100,$AK232+IF(입력란!$C$9=1,10,0)+IF(입력란!$C$26=1,10,0))/100*($AL232/100-1))</f>
        <v>0</v>
      </c>
      <c r="M232" s="30"/>
      <c r="N232" s="39"/>
      <c r="O232" s="39"/>
      <c r="P232" s="39"/>
      <c r="Q232" s="27"/>
      <c r="R232" s="24">
        <f t="shared" si="31"/>
        <v>621258.13439142611</v>
      </c>
      <c r="S232" s="30">
        <f>AN232*IF(G232="근접",IF(MID(E232,1,1)="1",트라이포드!$D$16,트라이포드!$C$16),1)*IF(MID(E232,1,1)="2",트라이포드!$F$16,트라이포드!$E$16)*IF(MID(E232,3,1)="1",트라이포드!$J$16,트라이포드!$I$16)*IF(MID(E232,5,1)="2",트라이포드!$R$16,트라이포드!$Q$16)*(1+입력란!$C$42/100)*IF(입력란!$C$9=1,IF(입력란!$C$15=0,1.05,IF(입력란!$C$15=1,1.05*1.05,IF(입력란!$C$15=2,1.05*1.12,IF(입력란!$C$15=3,1.05*1.25)))),1)</f>
        <v>273349.36105880642</v>
      </c>
      <c r="T232" s="30">
        <f>AO232*IF(G232="근접",IF(MID(E232,1,1)="1",트라이포드!$D$16,트라이포드!$C$16),1)*IF(MID(E232,1,1)="2",트라이포드!$F$16,트라이포드!$E$16)*IF(MID(E232,3,1)="1",트라이포드!$J$16,트라이포드!$I$16)*IF(MID(E232,5,1)="2",트라이포드!$R$16,트라이포드!$Q$16)*(1+입력란!$C$42/100)*IF(입력란!$C$9=1,IF(입력란!$C$15=0,1.05,IF(입력란!$C$15=1,1.05*1.05,IF(입력란!$C$15=2,1.05*1.12,IF(입력란!$C$15=3,1.05*1.25)))),1)</f>
        <v>347908.77333261963</v>
      </c>
      <c r="U232" s="30">
        <f>AO232*IF(G232="근접",IF(MID(E232,1,1)="1",트라이포드!$D$16,트라이포드!$C$16),1)*IF(MID(E232,1,1)="2",트라이포드!$F$16,트라이포드!$E$16)*IF(MID(E232,3,1)="1",트라이포드!$J$16,트라이포드!$I$16)*IF(MID(E232,5,1)="1",트라이포드!P$16,트라이포드!O$16)*(1+입력란!$C$42/100)*IF(입력란!$C$9=1,IF(입력란!$C$15=0,1.05,IF(입력란!$C$15=1,1.05*1.05,IF(입력란!$C$15=2,1.05*1.12,IF(입력란!$C$15=3,1.05*1.25)))),1)</f>
        <v>0</v>
      </c>
      <c r="V232" s="30"/>
      <c r="W232" s="39"/>
      <c r="X232" s="39"/>
      <c r="Y232" s="39"/>
      <c r="Z232" s="25"/>
      <c r="AA232" s="30">
        <f t="shared" si="32"/>
        <v>1242516.2687828522</v>
      </c>
      <c r="AB232" s="30">
        <f t="shared" si="33"/>
        <v>546698.72211761284</v>
      </c>
      <c r="AC232" s="30">
        <f t="shared" si="34"/>
        <v>695817.54666523926</v>
      </c>
      <c r="AD232" s="30">
        <f t="shared" si="36"/>
        <v>0</v>
      </c>
      <c r="AE232" s="30"/>
      <c r="AF232" s="39"/>
      <c r="AG232" s="39"/>
      <c r="AH232" s="39"/>
      <c r="AI232" s="27"/>
      <c r="AJ232" s="26">
        <f>(AQ232-IF(MID(E232,3,1)="3",트라이포드!$N$16,트라이포드!$M$16))*(1-입력란!$C$35/100)</f>
        <v>18.779733774819999</v>
      </c>
      <c r="AK23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2" s="26">
        <f>입력란!$C$47+IF(입력란!$C$18=1,10,IF(입력란!$C$18=2,25,IF(입력란!$C$18=3,50,0)))+IF(입력란!$C$23&lt;&gt;0,-12)</f>
        <v>200</v>
      </c>
      <c r="AM232" s="30">
        <f t="shared" si="35"/>
        <v>216204.19915335524</v>
      </c>
      <c r="AN232" s="30">
        <f>(VLOOKUP(C232,$B$4:$AJ$7,16,FALSE)+VLOOKUP(C232,$B$8:$AJ$11,16,FALSE)*입력란!$C$29)*IF(G232="근접",입력란!$C$50,IF(MID(E232,1,1)="2",입력란!$C$50,입력란!$C$49))*입력란!$C$48/100</f>
        <v>95128.379694687203</v>
      </c>
      <c r="AO232" s="30">
        <f>(VLOOKUP(C232,$B$4:$AJ$7,17,FALSE)+VLOOKUP(C232,$B$8:$AJ$11,17,FALSE)*입력란!$C$29)*IF(G232="근접",입력란!$C$50,IF(MID(E232,1,1)="2",입력란!$C$50,입력란!$C$49))*입력란!$C$48/100</f>
        <v>121075.81945866803</v>
      </c>
      <c r="AP232" s="30"/>
      <c r="AQ232" s="29">
        <v>24</v>
      </c>
    </row>
    <row r="233" spans="2:43" ht="13.5" customHeight="1" x14ac:dyDescent="0.3">
      <c r="B233" s="31">
        <v>218</v>
      </c>
      <c r="C233" s="36">
        <v>10</v>
      </c>
      <c r="D233" s="43" t="s">
        <v>185</v>
      </c>
      <c r="E233" s="38" t="s">
        <v>198</v>
      </c>
      <c r="F233" s="40"/>
      <c r="G233" s="40" t="s">
        <v>202</v>
      </c>
      <c r="H233" s="52">
        <f t="shared" si="30"/>
        <v>43052.505427722201</v>
      </c>
      <c r="I233" s="53">
        <f>SUM(J233:Q233)*IF(입력란!$C$16=1,1.04,IF(입력란!$C$16=2,1.1,IF(입력란!$C$16=3,1.2,1)))*IF(입력란!$C$21=1,1+입력란!$C$38*0.001,IF(입력란!$C$21=2,1+입력란!$C$38*0.0022,IF(입력란!$C$21=3,1+입력란!$C$38*0.0045,1)))*IF(입력란!$C$18&lt;&gt;0,0.98,1)</f>
        <v>1021281.5877115149</v>
      </c>
      <c r="J233" s="30">
        <f>S233*(1+IF($AK233+IF(입력란!$C$9=1,10,0)+IF(입력란!$C$26=1,10,0)&gt;100,100,$AK233+IF(입력란!$C$9=1,10,0)+IF(입력란!$C$26=1,10,0))/100*($AL233/100-1))</f>
        <v>288048.08257191762</v>
      </c>
      <c r="K233" s="30">
        <f>T233*(1+IF($AK233+IF(입력란!$C$9=1,10,0)+IF(입력란!$C$26=1,10,0)&gt;100,100,$AK233+IF(입력란!$C$9=1,10,0)+IF(입력란!$C$26=1,10,0))/100*($AL233/100-1))</f>
        <v>366616.75256979867</v>
      </c>
      <c r="L233" s="30">
        <f>U233*(1+IF($AK233+IF(입력란!$C$9=1,10,0)+IF(입력란!$C$26=1,10,0)&gt;100,100,$AK233+IF(입력란!$C$9=1,10,0)+IF(입력란!$C$26=1,10,0))/100*($AL233/100-1))</f>
        <v>366616.75256979867</v>
      </c>
      <c r="M233" s="30"/>
      <c r="N233" s="39"/>
      <c r="O233" s="39"/>
      <c r="P233" s="39"/>
      <c r="Q233" s="27"/>
      <c r="R233" s="24">
        <f t="shared" si="31"/>
        <v>841290.71851045627</v>
      </c>
      <c r="S233" s="30">
        <f>AN233*IF(G233="근접",IF(MID(E233,1,1)="1",트라이포드!$D$16,트라이포드!$C$16),1)*IF(MID(E233,1,1)="2",트라이포드!$F$16,트라이포드!$E$16)*IF(MID(E233,3,1)="1",트라이포드!$J$16,트라이포드!$I$16)*IF(MID(E233,5,1)="2",트라이포드!$R$16,트라이포드!$Q$16)*(1+입력란!$C$42/100)*IF(입력란!$C$9=1,IF(입력란!$C$15=0,1.05,IF(입력란!$C$15=1,1.05*1.05,IF(입력란!$C$15=2,1.05*1.12,IF(입력란!$C$15=3,1.05*1.25)))),1)</f>
        <v>237282.43147465831</v>
      </c>
      <c r="T233" s="30">
        <f>AO233*IF(G233="근접",IF(MID(E233,1,1)="1",트라이포드!$D$16,트라이포드!$C$16),1)*IF(MID(E233,1,1)="2",트라이포드!$F$16,트라이포드!$E$16)*IF(MID(E233,3,1)="1",트라이포드!$J$16,트라이포드!$I$16)*IF(MID(E233,5,1)="2",트라이포드!$R$16,트라이포드!$Q$16)*(1+입력란!$C$42/100)*IF(입력란!$C$9=1,IF(입력란!$C$15=0,1.05,IF(입력란!$C$15=1,1.05*1.05,IF(입력란!$C$15=2,1.05*1.12,IF(입력란!$C$15=3,1.05*1.25)))),1)</f>
        <v>302004.14351789898</v>
      </c>
      <c r="U233" s="30">
        <f>AO233*IF(G233="근접",IF(MID(E233,1,1)="1",트라이포드!$D$16,트라이포드!$C$16),1)*IF(MID(E233,1,1)="2",트라이포드!$F$16,트라이포드!$E$16)*IF(MID(E233,3,1)="1",트라이포드!$J$16,트라이포드!$I$16)*IF(MID(E233,5,1)="1",트라이포드!P$16,트라이포드!O$16)*(1+입력란!$C$42/100)*IF(입력란!$C$9=1,IF(입력란!$C$15=0,1.05,IF(입력란!$C$15=1,1.05*1.05,IF(입력란!$C$15=2,1.05*1.12,IF(입력란!$C$15=3,1.05*1.25)))),1)</f>
        <v>302004.14351789898</v>
      </c>
      <c r="V233" s="30"/>
      <c r="W233" s="39"/>
      <c r="X233" s="39"/>
      <c r="Y233" s="39"/>
      <c r="Z233" s="25"/>
      <c r="AA233" s="30">
        <f t="shared" si="32"/>
        <v>1682581.4370209125</v>
      </c>
      <c r="AB233" s="30">
        <f t="shared" si="33"/>
        <v>474564.86294931662</v>
      </c>
      <c r="AC233" s="30">
        <f t="shared" si="34"/>
        <v>604008.28703579796</v>
      </c>
      <c r="AD233" s="30">
        <f t="shared" si="36"/>
        <v>604008.28703579796</v>
      </c>
      <c r="AE233" s="30"/>
      <c r="AF233" s="39"/>
      <c r="AG233" s="39"/>
      <c r="AH233" s="39"/>
      <c r="AI233" s="27"/>
      <c r="AJ233" s="26">
        <f>(AQ233-IF(MID(E233,3,1)="3",트라이포드!$N$16,트라이포드!$M$16))*(1-입력란!$C$35/100)</f>
        <v>23.72176897872</v>
      </c>
      <c r="AK23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3" s="26">
        <f>입력란!$C$47+IF(입력란!$C$18=1,10,IF(입력란!$C$18=2,25,IF(입력란!$C$18=3,50,0)))+IF(입력란!$C$23&lt;&gt;0,-12)</f>
        <v>200</v>
      </c>
      <c r="AM233" s="30">
        <f t="shared" si="35"/>
        <v>216204.19915335524</v>
      </c>
      <c r="AN233" s="30">
        <f>(VLOOKUP(C233,$B$4:$AJ$7,16,FALSE)+VLOOKUP(C233,$B$8:$AJ$11,16,FALSE)*입력란!$C$29)*IF(G233="근접",입력란!$C$50,IF(MID(E233,1,1)="2",입력란!$C$50,입력란!$C$49))*입력란!$C$48/100</f>
        <v>95128.379694687203</v>
      </c>
      <c r="AO233" s="30">
        <f>(VLOOKUP(C233,$B$4:$AJ$7,17,FALSE)+VLOOKUP(C233,$B$8:$AJ$11,17,FALSE)*입력란!$C$29)*IF(G233="근접",입력란!$C$50,IF(MID(E233,1,1)="2",입력란!$C$50,입력란!$C$49))*입력란!$C$48/100</f>
        <v>121075.81945866803</v>
      </c>
      <c r="AP233" s="30"/>
      <c r="AQ233" s="29">
        <v>24</v>
      </c>
    </row>
    <row r="234" spans="2:43" ht="13.5" customHeight="1" x14ac:dyDescent="0.3">
      <c r="B234" s="31">
        <v>219</v>
      </c>
      <c r="C234" s="36">
        <v>10</v>
      </c>
      <c r="D234" s="43" t="s">
        <v>48</v>
      </c>
      <c r="E234" s="38" t="s">
        <v>151</v>
      </c>
      <c r="F234" s="40"/>
      <c r="G234" s="40" t="s">
        <v>39</v>
      </c>
      <c r="H234" s="52">
        <f t="shared" si="30"/>
        <v>37886.204776395542</v>
      </c>
      <c r="I234" s="53">
        <f>SUM(J234:Q234)*IF(입력란!$C$16=1,1.04,IF(입력란!$C$16=2,1.1,IF(입력란!$C$16=3,1.2,1)))*IF(입력란!$C$21=1,1+입력란!$C$38*0.001,IF(입력란!$C$21=2,1+입력란!$C$38*0.0022,IF(입력란!$C$21=3,1+입력란!$C$38*0.0045,1)))*IF(입력란!$C$18&lt;&gt;0,0.98,1)</f>
        <v>898727.79718613322</v>
      </c>
      <c r="J234" s="30">
        <f>S234*(1+IF($AK234+IF(입력란!$C$9=1,10,0)+IF(입력란!$C$26=1,10,0)&gt;100,100,$AK234+IF(입력란!$C$9=1,10,0)+IF(입력란!$C$26=1,10,0))/100*($AL234/100-1))</f>
        <v>253482.31266328751</v>
      </c>
      <c r="K234" s="30">
        <f>T234*(1+IF($AK234+IF(입력란!$C$9=1,10,0)+IF(입력란!$C$26=1,10,0)&gt;100,100,$AK234+IF(입력란!$C$9=1,10,0)+IF(입력란!$C$26=1,10,0))/100*($AL234/100-1))</f>
        <v>322622.74226142286</v>
      </c>
      <c r="L234" s="30">
        <f>U234*(1+IF($AK234+IF(입력란!$C$9=1,10,0)+IF(입력란!$C$26=1,10,0)&gt;100,100,$AK234+IF(입력란!$C$9=1,10,0)+IF(입력란!$C$26=1,10,0))/100*($AL234/100-1))</f>
        <v>322622.74226142286</v>
      </c>
      <c r="M234" s="30"/>
      <c r="N234" s="39"/>
      <c r="O234" s="39"/>
      <c r="P234" s="39"/>
      <c r="Q234" s="27"/>
      <c r="R234" s="24">
        <f t="shared" si="31"/>
        <v>740335.83228920156</v>
      </c>
      <c r="S234" s="30">
        <f>AN234*IF(G234="근접",IF(MID(E234,1,1)="1",트라이포드!$D$16,트라이포드!$C$16),1)*IF(MID(E234,1,1)="2",트라이포드!$F$16,트라이포드!$E$16)*IF(MID(E234,3,1)="1",트라이포드!$J$16,트라이포드!$I$16)*IF(MID(E234,5,1)="2",트라이포드!$R$16,트라이포드!$Q$16)*(1+입력란!$C$42/100)*IF(입력란!$C$9=1,IF(입력란!$C$15=0,1.05,IF(입력란!$C$15=1,1.05*1.05,IF(입력란!$C$15=2,1.05*1.12,IF(입력란!$C$15=3,1.05*1.25)))),1)</f>
        <v>208808.53969769934</v>
      </c>
      <c r="T234" s="30">
        <f>AO234*IF(G234="근접",IF(MID(E234,1,1)="1",트라이포드!$D$16,트라이포드!$C$16),1)*IF(MID(E234,1,1)="2",트라이포드!$F$16,트라이포드!$E$16)*IF(MID(E234,3,1)="1",트라이포드!$J$16,트라이포드!$I$16)*IF(MID(E234,5,1)="2",트라이포드!$R$16,트라이포드!$Q$16)*(1+입력란!$C$42/100)*IF(입력란!$C$9=1,IF(입력란!$C$15=0,1.05,IF(입력란!$C$15=1,1.05*1.05,IF(입력란!$C$15=2,1.05*1.12,IF(입력란!$C$15=3,1.05*1.25)))),1)</f>
        <v>265763.6462957511</v>
      </c>
      <c r="U234" s="30">
        <f>AO234*IF(G234="근접",IF(MID(E234,1,1)="1",트라이포드!$D$16,트라이포드!$C$16),1)*IF(MID(E234,1,1)="2",트라이포드!$F$16,트라이포드!$E$16)*IF(MID(E234,3,1)="1",트라이포드!$J$16,트라이포드!$I$16)*IF(MID(E234,5,1)="1",트라이포드!P$16,트라이포드!O$16)*(1+입력란!$C$42/100)*IF(입력란!$C$9=1,IF(입력란!$C$15=0,1.05,IF(입력란!$C$15=1,1.05*1.05,IF(입력란!$C$15=2,1.05*1.12,IF(입력란!$C$15=3,1.05*1.25)))),1)</f>
        <v>265763.6462957511</v>
      </c>
      <c r="V234" s="30"/>
      <c r="W234" s="39"/>
      <c r="X234" s="39"/>
      <c r="Y234" s="39"/>
      <c r="Z234" s="25"/>
      <c r="AA234" s="30">
        <f t="shared" si="32"/>
        <v>1480671.6645784031</v>
      </c>
      <c r="AB234" s="30">
        <f t="shared" si="33"/>
        <v>417617.07939539867</v>
      </c>
      <c r="AC234" s="30">
        <f t="shared" si="34"/>
        <v>531527.29259150219</v>
      </c>
      <c r="AD234" s="30">
        <f t="shared" si="36"/>
        <v>531527.29259150219</v>
      </c>
      <c r="AE234" s="30"/>
      <c r="AF234" s="39"/>
      <c r="AG234" s="39"/>
      <c r="AH234" s="39"/>
      <c r="AI234" s="27"/>
      <c r="AJ234" s="26">
        <f>(AQ234-IF(MID(E234,3,1)="3",트라이포드!$N$16,트라이포드!$M$16))*(1-입력란!$C$35/100)</f>
        <v>23.72176897872</v>
      </c>
      <c r="AK23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4" s="26">
        <f>입력란!$C$47+IF(입력란!$C$18=1,10,IF(입력란!$C$18=2,25,IF(입력란!$C$18=3,50,0)))+IF(입력란!$C$23&lt;&gt;0,-12)</f>
        <v>200</v>
      </c>
      <c r="AM234" s="30">
        <f t="shared" si="35"/>
        <v>216204.19915335524</v>
      </c>
      <c r="AN234" s="30">
        <f>(VLOOKUP(C234,$B$4:$AJ$7,16,FALSE)+VLOOKUP(C234,$B$8:$AJ$11,16,FALSE)*입력란!$C$29)*IF(G234="근접",입력란!$C$50,IF(MID(E234,1,1)="2",입력란!$C$50,입력란!$C$49))*입력란!$C$48/100</f>
        <v>95128.379694687203</v>
      </c>
      <c r="AO234" s="30">
        <f>(VLOOKUP(C234,$B$4:$AJ$7,17,FALSE)+VLOOKUP(C234,$B$8:$AJ$11,17,FALSE)*입력란!$C$29)*IF(G234="근접",입력란!$C$50,IF(MID(E234,1,1)="2",입력란!$C$50,입력란!$C$49))*입력란!$C$48/100</f>
        <v>121075.81945866803</v>
      </c>
      <c r="AP234" s="30"/>
      <c r="AQ234" s="29">
        <v>24</v>
      </c>
    </row>
    <row r="235" spans="2:43" ht="13.5" customHeight="1" x14ac:dyDescent="0.3">
      <c r="B235" s="31">
        <v>220</v>
      </c>
      <c r="C235" s="36">
        <v>10</v>
      </c>
      <c r="D235" s="43" t="s">
        <v>185</v>
      </c>
      <c r="E235" s="38" t="s">
        <v>199</v>
      </c>
      <c r="F235" s="40" t="s">
        <v>223</v>
      </c>
      <c r="G235" s="40" t="s">
        <v>202</v>
      </c>
      <c r="H235" s="52">
        <f t="shared" si="30"/>
        <v>49675.751598128671</v>
      </c>
      <c r="I235" s="53">
        <f>SUM(J235:Q235)*IF(입력란!$C$16=1,1.04,IF(입력란!$C$16=2,1.1,IF(입력란!$C$16=3,1.2,1)))*IF(입력란!$C$21=1,1+입력란!$C$38*0.001,IF(입력란!$C$21=2,1+입력란!$C$38*0.0022,IF(입력란!$C$21=3,1+입력란!$C$38*0.0045,1)))*IF(입력란!$C$18&lt;&gt;0,0.98,1)</f>
        <v>1178396.7032550892</v>
      </c>
      <c r="J235" s="30">
        <f>S235*(1+IF($AK235+IF(입력란!$C$9=1,10,0)+IF(입력란!$C$26=1,10,0)&gt;100,100,$AK235+IF(입력란!$C$9=1,10,0)+IF(입력란!$C$26=1,10,0))/100*($AL235/100-1))</f>
        <v>518486.54862945172</v>
      </c>
      <c r="K235" s="30">
        <f>T235*(1+IF($AK235+IF(입력란!$C$9=1,10,0)+IF(입력란!$C$26=1,10,0)&gt;100,100,$AK235+IF(입력란!$C$9=1,10,0)+IF(입력란!$C$26=1,10,0))/100*($AL235/100-1))</f>
        <v>659910.15462563757</v>
      </c>
      <c r="L235" s="30">
        <f>U235*(1+IF($AK235+IF(입력란!$C$9=1,10,0)+IF(입력란!$C$26=1,10,0)&gt;100,100,$AK235+IF(입력란!$C$9=1,10,0)+IF(입력란!$C$26=1,10,0))/100*($AL235/100-1))</f>
        <v>0</v>
      </c>
      <c r="M235" s="30"/>
      <c r="N235" s="39"/>
      <c r="O235" s="39"/>
      <c r="P235" s="39"/>
      <c r="Q235" s="27"/>
      <c r="R235" s="24">
        <f t="shared" si="31"/>
        <v>970715.83498660312</v>
      </c>
      <c r="S235" s="30">
        <f>AN235*IF(G235="근접",IF(MID(E235,1,1)="1",트라이포드!$D$16,트라이포드!$C$16),1)*IF(MID(E235,1,1)="2",트라이포드!$F$16,트라이포드!$E$16)*IF(MID(E235,3,1)="1",트라이포드!$J$16,트라이포드!$I$16)*IF(MID(E235,5,1)="2",트라이포드!$R$16,트라이포드!$Q$16)*(1+입력란!$C$42/100)*IF(입력란!$C$9=1,IF(입력란!$C$15=0,1.05,IF(입력란!$C$15=1,1.05*1.05,IF(입력란!$C$15=2,1.05*1.12,IF(입력란!$C$15=3,1.05*1.25)))),1)</f>
        <v>427108.37665438501</v>
      </c>
      <c r="T235" s="30">
        <f>AO235*IF(G235="근접",IF(MID(E235,1,1)="1",트라이포드!$D$16,트라이포드!$C$16),1)*IF(MID(E235,1,1)="2",트라이포드!$F$16,트라이포드!$E$16)*IF(MID(E235,3,1)="1",트라이포드!$J$16,트라이포드!$I$16)*IF(MID(E235,5,1)="2",트라이포드!$R$16,트라이포드!$Q$16)*(1+입력란!$C$42/100)*IF(입력란!$C$9=1,IF(입력란!$C$15=0,1.05,IF(입력란!$C$15=1,1.05*1.05,IF(입력란!$C$15=2,1.05*1.12,IF(입력란!$C$15=3,1.05*1.25)))),1)</f>
        <v>543607.45833221811</v>
      </c>
      <c r="U235" s="30">
        <f>AO235*IF(G235="근접",IF(MID(E235,1,1)="1",트라이포드!$D$16,트라이포드!$C$16),1)*IF(MID(E235,1,1)="2",트라이포드!$F$16,트라이포드!$E$16)*IF(MID(E235,3,1)="1",트라이포드!$J$16,트라이포드!$I$16)*IF(MID(E235,5,1)="1",트라이포드!P$16,트라이포드!O$16)*(1+입력란!$C$42/100)*IF(입력란!$C$9=1,IF(입력란!$C$15=0,1.05,IF(입력란!$C$15=1,1.05*1.05,IF(입력란!$C$15=2,1.05*1.12,IF(입력란!$C$15=3,1.05*1.25)))),1)</f>
        <v>0</v>
      </c>
      <c r="V235" s="30"/>
      <c r="W235" s="39"/>
      <c r="X235" s="39"/>
      <c r="Y235" s="39"/>
      <c r="Z235" s="25"/>
      <c r="AA235" s="30">
        <f t="shared" si="32"/>
        <v>1941431.6699732062</v>
      </c>
      <c r="AB235" s="30">
        <f t="shared" si="33"/>
        <v>854216.75330877001</v>
      </c>
      <c r="AC235" s="30">
        <f t="shared" si="34"/>
        <v>1087214.9166644362</v>
      </c>
      <c r="AD235" s="30">
        <f t="shared" si="36"/>
        <v>0</v>
      </c>
      <c r="AE235" s="30"/>
      <c r="AF235" s="39"/>
      <c r="AG235" s="39"/>
      <c r="AH235" s="39"/>
      <c r="AI235" s="27"/>
      <c r="AJ235" s="26">
        <f>(AQ235-IF(MID(E235,3,1)="3",트라이포드!$N$16,트라이포드!$M$16))*(1-입력란!$C$35/100)</f>
        <v>23.72176897872</v>
      </c>
      <c r="AK23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5" s="26">
        <f>입력란!$C$47+IF(입력란!$C$18=1,10,IF(입력란!$C$18=2,25,IF(입력란!$C$18=3,50,0)))+IF(입력란!$C$23&lt;&gt;0,-12)</f>
        <v>200</v>
      </c>
      <c r="AM235" s="30">
        <f t="shared" si="35"/>
        <v>216204.19915335524</v>
      </c>
      <c r="AN235" s="30">
        <f>(VLOOKUP(C235,$B$4:$AJ$7,16,FALSE)+VLOOKUP(C235,$B$8:$AJ$11,16,FALSE)*입력란!$C$29)*IF(G235="근접",입력란!$C$50,IF(MID(E235,1,1)="2",입력란!$C$50,입력란!$C$49))*입력란!$C$48/100</f>
        <v>95128.379694687203</v>
      </c>
      <c r="AO235" s="30">
        <f>(VLOOKUP(C235,$B$4:$AJ$7,17,FALSE)+VLOOKUP(C235,$B$8:$AJ$11,17,FALSE)*입력란!$C$29)*IF(G235="근접",입력란!$C$50,IF(MID(E235,1,1)="2",입력란!$C$50,입력란!$C$49))*입력란!$C$48/100</f>
        <v>121075.81945866803</v>
      </c>
      <c r="AP235" s="30"/>
      <c r="AQ235" s="29">
        <v>24</v>
      </c>
    </row>
    <row r="236" spans="2:43" ht="13.5" customHeight="1" x14ac:dyDescent="0.3">
      <c r="B236" s="31">
        <v>221</v>
      </c>
      <c r="C236" s="36">
        <v>10</v>
      </c>
      <c r="D236" s="43" t="s">
        <v>48</v>
      </c>
      <c r="E236" s="38" t="s">
        <v>152</v>
      </c>
      <c r="F236" s="40" t="s">
        <v>138</v>
      </c>
      <c r="G236" s="40" t="s">
        <v>39</v>
      </c>
      <c r="H236" s="52">
        <f t="shared" si="30"/>
        <v>43714.66140635324</v>
      </c>
      <c r="I236" s="53">
        <f>SUM(J236:Q236)*IF(입력란!$C$16=1,1.04,IF(입력란!$C$16=2,1.1,IF(입력란!$C$16=3,1.2,1)))*IF(입력란!$C$21=1,1+입력란!$C$38*0.001,IF(입력란!$C$21=2,1+입력란!$C$38*0.0022,IF(입력란!$C$21=3,1+입력란!$C$38*0.0045,1)))*IF(입력란!$C$18&lt;&gt;0,0.98,1)</f>
        <v>1036989.0988644788</v>
      </c>
      <c r="J236" s="30">
        <f>S236*(1+IF($AK236+IF(입력란!$C$9=1,10,0)+IF(입력란!$C$26=1,10,0)&gt;100,100,$AK236+IF(입력란!$C$9=1,10,0)+IF(입력란!$C$26=1,10,0))/100*($AL236/100-1))</f>
        <v>456268.16279391758</v>
      </c>
      <c r="K236" s="30">
        <f>T236*(1+IF($AK236+IF(입력란!$C$9=1,10,0)+IF(입력란!$C$26=1,10,0)&gt;100,100,$AK236+IF(입력란!$C$9=1,10,0)+IF(입력란!$C$26=1,10,0))/100*($AL236/100-1))</f>
        <v>580720.93607056118</v>
      </c>
      <c r="L236" s="30">
        <f>U236*(1+IF($AK236+IF(입력란!$C$9=1,10,0)+IF(입력란!$C$26=1,10,0)&gt;100,100,$AK236+IF(입력란!$C$9=1,10,0)+IF(입력란!$C$26=1,10,0))/100*($AL236/100-1))</f>
        <v>0</v>
      </c>
      <c r="M236" s="30"/>
      <c r="N236" s="39"/>
      <c r="O236" s="39"/>
      <c r="P236" s="39"/>
      <c r="Q236" s="27"/>
      <c r="R236" s="24">
        <f t="shared" si="31"/>
        <v>854229.9347882109</v>
      </c>
      <c r="S236" s="30">
        <f>AN236*IF(G236="근접",IF(MID(E236,1,1)="1",트라이포드!$D$16,트라이포드!$C$16),1)*IF(MID(E236,1,1)="2",트라이포드!$F$16,트라이포드!$E$16)*IF(MID(E236,3,1)="1",트라이포드!$J$16,트라이포드!$I$16)*IF(MID(E236,5,1)="2",트라이포드!$R$16,트라이포드!$Q$16)*(1+입력란!$C$42/100)*IF(입력란!$C$9=1,IF(입력란!$C$15=0,1.05,IF(입력란!$C$15=1,1.05*1.05,IF(입력란!$C$15=2,1.05*1.12,IF(입력란!$C$15=3,1.05*1.25)))),1)</f>
        <v>375855.37145585887</v>
      </c>
      <c r="T236" s="30">
        <f>AO236*IF(G236="근접",IF(MID(E236,1,1)="1",트라이포드!$D$16,트라이포드!$C$16),1)*IF(MID(E236,1,1)="2",트라이포드!$F$16,트라이포드!$E$16)*IF(MID(E236,3,1)="1",트라이포드!$J$16,트라이포드!$I$16)*IF(MID(E236,5,1)="2",트라이포드!$R$16,트라이포드!$Q$16)*(1+입력란!$C$42/100)*IF(입력란!$C$9=1,IF(입력란!$C$15=0,1.05,IF(입력란!$C$15=1,1.05*1.05,IF(입력란!$C$15=2,1.05*1.12,IF(입력란!$C$15=3,1.05*1.25)))),1)</f>
        <v>478374.56333235203</v>
      </c>
      <c r="U236" s="30">
        <f>AO236*IF(G236="근접",IF(MID(E236,1,1)="1",트라이포드!$D$16,트라이포드!$C$16),1)*IF(MID(E236,1,1)="2",트라이포드!$F$16,트라이포드!$E$16)*IF(MID(E236,3,1)="1",트라이포드!$J$16,트라이포드!$I$16)*IF(MID(E236,5,1)="1",트라이포드!P$16,트라이포드!O$16)*(1+입력란!$C$42/100)*IF(입력란!$C$9=1,IF(입력란!$C$15=0,1.05,IF(입력란!$C$15=1,1.05*1.05,IF(입력란!$C$15=2,1.05*1.12,IF(입력란!$C$15=3,1.05*1.25)))),1)</f>
        <v>0</v>
      </c>
      <c r="V236" s="30"/>
      <c r="W236" s="39"/>
      <c r="X236" s="39"/>
      <c r="Y236" s="39"/>
      <c r="Z236" s="25"/>
      <c r="AA236" s="30">
        <f t="shared" si="32"/>
        <v>1708459.8695764218</v>
      </c>
      <c r="AB236" s="30">
        <f t="shared" si="33"/>
        <v>751710.74291171774</v>
      </c>
      <c r="AC236" s="30">
        <f t="shared" si="34"/>
        <v>956749.12666470406</v>
      </c>
      <c r="AD236" s="30">
        <f t="shared" si="36"/>
        <v>0</v>
      </c>
      <c r="AE236" s="30"/>
      <c r="AF236" s="39"/>
      <c r="AG236" s="39"/>
      <c r="AH236" s="39"/>
      <c r="AI236" s="27"/>
      <c r="AJ236" s="26">
        <f>(AQ236-IF(MID(E236,3,1)="3",트라이포드!$N$16,트라이포드!$M$16))*(1-입력란!$C$35/100)</f>
        <v>23.72176897872</v>
      </c>
      <c r="AK23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6" s="26">
        <f>입력란!$C$47+IF(입력란!$C$18=1,10,IF(입력란!$C$18=2,25,IF(입력란!$C$18=3,50,0)))+IF(입력란!$C$23&lt;&gt;0,-12)</f>
        <v>200</v>
      </c>
      <c r="AM236" s="30">
        <f t="shared" si="35"/>
        <v>216204.19915335524</v>
      </c>
      <c r="AN236" s="30">
        <f>(VLOOKUP(C236,$B$4:$AJ$7,16,FALSE)+VLOOKUP(C236,$B$8:$AJ$11,16,FALSE)*입력란!$C$29)*IF(G236="근접",입력란!$C$50,IF(MID(E236,1,1)="2",입력란!$C$50,입력란!$C$49))*입력란!$C$48/100</f>
        <v>95128.379694687203</v>
      </c>
      <c r="AO236" s="30">
        <f>(VLOOKUP(C236,$B$4:$AJ$7,17,FALSE)+VLOOKUP(C236,$B$8:$AJ$11,17,FALSE)*입력란!$C$29)*IF(G236="근접",입력란!$C$50,IF(MID(E236,1,1)="2",입력란!$C$50,입력란!$C$49))*입력란!$C$48/100</f>
        <v>121075.81945866803</v>
      </c>
      <c r="AP236" s="30"/>
      <c r="AQ236" s="29">
        <v>24</v>
      </c>
    </row>
    <row r="237" spans="2:43" ht="13.5" customHeight="1" x14ac:dyDescent="0.3">
      <c r="B237" s="31">
        <v>222</v>
      </c>
      <c r="C237" s="36">
        <v>10</v>
      </c>
      <c r="D237" s="43" t="s">
        <v>185</v>
      </c>
      <c r="E237" s="38" t="s">
        <v>200</v>
      </c>
      <c r="F237" s="40"/>
      <c r="G237" s="40" t="s">
        <v>202</v>
      </c>
      <c r="H237" s="52">
        <f t="shared" si="30"/>
        <v>43505.689695382433</v>
      </c>
      <c r="I237" s="53">
        <f>SUM(J237:Q237)*IF(입력란!$C$16=1,1.04,IF(입력란!$C$16=2,1.1,IF(입력란!$C$16=3,1.2,1)))*IF(입력란!$C$21=1,1+입력란!$C$38*0.001,IF(입력란!$C$21=2,1+입력란!$C$38*0.0022,IF(입력란!$C$21=3,1+입력란!$C$38*0.0045,1)))*IF(입력란!$C$18&lt;&gt;0,0.98,1)</f>
        <v>817025.2701692119</v>
      </c>
      <c r="J237" s="30">
        <f>S237*(1+IF($AK237+IF(입력란!$C$9=1,10,0)+IF(입력란!$C$26=1,10,0)&gt;100,100,$AK237+IF(입력란!$C$9=1,10,0)+IF(입력란!$C$26=1,10,0))/100*($AL237/100-1))</f>
        <v>230438.4660575341</v>
      </c>
      <c r="K237" s="30">
        <f>T237*(1+IF($AK237+IF(입력란!$C$9=1,10,0)+IF(입력란!$C$26=1,10,0)&gt;100,100,$AK237+IF(입력란!$C$9=1,10,0)+IF(입력란!$C$26=1,10,0))/100*($AL237/100-1))</f>
        <v>293293.4020558389</v>
      </c>
      <c r="L237" s="30">
        <f>U237*(1+IF($AK237+IF(입력란!$C$9=1,10,0)+IF(입력란!$C$26=1,10,0)&gt;100,100,$AK237+IF(입력란!$C$9=1,10,0)+IF(입력란!$C$26=1,10,0))/100*($AL237/100-1))</f>
        <v>293293.4020558389</v>
      </c>
      <c r="M237" s="30"/>
      <c r="N237" s="39"/>
      <c r="O237" s="39"/>
      <c r="P237" s="39"/>
      <c r="Q237" s="27"/>
      <c r="R237" s="24">
        <f t="shared" si="31"/>
        <v>673032.57480836497</v>
      </c>
      <c r="S237" s="30">
        <f>AN237*IF(G237="근접",IF(MID(E237,1,1)="1",트라이포드!$D$16,트라이포드!$C$16),1)*IF(MID(E237,1,1)="2",트라이포드!$F$16,트라이포드!$E$16)*IF(MID(E237,3,1)="1",트라이포드!$J$16,트라이포드!$I$16)*IF(MID(E237,5,1)="2",트라이포드!$R$16,트라이포드!$Q$16)*(1+입력란!$C$42/100)*IF(입력란!$C$9=1,IF(입력란!$C$15=0,1.05,IF(입력란!$C$15=1,1.05*1.05,IF(입력란!$C$15=2,1.05*1.12,IF(입력란!$C$15=3,1.05*1.25)))),1)</f>
        <v>189825.94517972667</v>
      </c>
      <c r="T237" s="30">
        <f>AO237*IF(G237="근접",IF(MID(E237,1,1)="1",트라이포드!$D$16,트라이포드!$C$16),1)*IF(MID(E237,1,1)="2",트라이포드!$F$16,트라이포드!$E$16)*IF(MID(E237,3,1)="1",트라이포드!$J$16,트라이포드!$I$16)*IF(MID(E237,5,1)="2",트라이포드!$R$16,트라이포드!$Q$16)*(1+입력란!$C$42/100)*IF(입력란!$C$9=1,IF(입력란!$C$15=0,1.05,IF(입력란!$C$15=1,1.05*1.05,IF(입력란!$C$15=2,1.05*1.12,IF(입력란!$C$15=3,1.05*1.25)))),1)</f>
        <v>241603.31481431916</v>
      </c>
      <c r="U237" s="30">
        <f>AO237*IF(G237="근접",IF(MID(E237,1,1)="1",트라이포드!$D$16,트라이포드!$C$16),1)*IF(MID(E237,1,1)="2",트라이포드!$F$16,트라이포드!$E$16)*IF(MID(E237,3,1)="1",트라이포드!$J$16,트라이포드!$I$16)*IF(MID(E237,5,1)="1",트라이포드!P$16,트라이포드!O$16)*(1+입력란!$C$42/100)*IF(입력란!$C$9=1,IF(입력란!$C$15=0,1.05,IF(입력란!$C$15=1,1.05*1.05,IF(입력란!$C$15=2,1.05*1.12,IF(입력란!$C$15=3,1.05*1.25)))),1)</f>
        <v>241603.31481431916</v>
      </c>
      <c r="V237" s="30"/>
      <c r="W237" s="39"/>
      <c r="X237" s="39"/>
      <c r="Y237" s="39"/>
      <c r="Z237" s="25"/>
      <c r="AA237" s="30">
        <f t="shared" si="32"/>
        <v>1346065.1496167299</v>
      </c>
      <c r="AB237" s="30">
        <f t="shared" si="33"/>
        <v>379651.89035945333</v>
      </c>
      <c r="AC237" s="30">
        <f t="shared" si="34"/>
        <v>483206.62962863833</v>
      </c>
      <c r="AD237" s="30">
        <f t="shared" si="36"/>
        <v>483206.62962863833</v>
      </c>
      <c r="AE237" s="30"/>
      <c r="AF237" s="39"/>
      <c r="AG237" s="39"/>
      <c r="AH237" s="39"/>
      <c r="AI237" s="27"/>
      <c r="AJ237" s="26">
        <f>(AQ237-IF(MID(E237,3,1)="3",트라이포드!$N$16,트라이포드!$M$16))*(1-입력란!$C$35/100)</f>
        <v>18.779733774819999</v>
      </c>
      <c r="AK2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7" s="26">
        <f>입력란!$C$47+IF(입력란!$C$18=1,10,IF(입력란!$C$18=2,25,IF(입력란!$C$18=3,50,0)))+IF(입력란!$C$23&lt;&gt;0,-12)</f>
        <v>200</v>
      </c>
      <c r="AM237" s="30">
        <f t="shared" si="35"/>
        <v>216204.19915335524</v>
      </c>
      <c r="AN237" s="30">
        <f>(VLOOKUP(C237,$B$4:$AJ$7,16,FALSE)+VLOOKUP(C237,$B$8:$AJ$11,16,FALSE)*입력란!$C$29)*IF(G237="근접",입력란!$C$50,IF(MID(E237,1,1)="2",입력란!$C$50,입력란!$C$49))*입력란!$C$48/100</f>
        <v>95128.379694687203</v>
      </c>
      <c r="AO237" s="30">
        <f>(VLOOKUP(C237,$B$4:$AJ$7,17,FALSE)+VLOOKUP(C237,$B$8:$AJ$11,17,FALSE)*입력란!$C$29)*IF(G237="근접",입력란!$C$50,IF(MID(E237,1,1)="2",입력란!$C$50,입력란!$C$49))*입력란!$C$48/100</f>
        <v>121075.81945866803</v>
      </c>
      <c r="AP237" s="30"/>
      <c r="AQ237" s="29">
        <v>24</v>
      </c>
    </row>
    <row r="238" spans="2:43" ht="13.5" customHeight="1" x14ac:dyDescent="0.3">
      <c r="B238" s="31">
        <v>223</v>
      </c>
      <c r="C238" s="36">
        <v>10</v>
      </c>
      <c r="D238" s="43" t="s">
        <v>48</v>
      </c>
      <c r="E238" s="38" t="s">
        <v>105</v>
      </c>
      <c r="F238" s="40"/>
      <c r="G238" s="40" t="s">
        <v>39</v>
      </c>
      <c r="H238" s="52">
        <f t="shared" si="30"/>
        <v>38285.006931936543</v>
      </c>
      <c r="I238" s="53">
        <f>SUM(J238:Q238)*IF(입력란!$C$16=1,1.04,IF(입력란!$C$16=2,1.1,IF(입력란!$C$16=3,1.2,1)))*IF(입력란!$C$21=1,1+입력란!$C$38*0.001,IF(입력란!$C$21=2,1+입력란!$C$38*0.0022,IF(입력란!$C$21=3,1+입력란!$C$38*0.0045,1)))*IF(입력란!$C$18&lt;&gt;0,0.98,1)</f>
        <v>718982.23774890648</v>
      </c>
      <c r="J238" s="30">
        <f>S238*(1+IF($AK238+IF(입력란!$C$9=1,10,0)+IF(입력란!$C$26=1,10,0)&gt;100,100,$AK238+IF(입력란!$C$9=1,10,0)+IF(입력란!$C$26=1,10,0))/100*($AL238/100-1))</f>
        <v>202785.85013063002</v>
      </c>
      <c r="K238" s="30">
        <f>T238*(1+IF($AK238+IF(입력란!$C$9=1,10,0)+IF(입력란!$C$26=1,10,0)&gt;100,100,$AK238+IF(입력란!$C$9=1,10,0)+IF(입력란!$C$26=1,10,0))/100*($AL238/100-1))</f>
        <v>258098.19380913826</v>
      </c>
      <c r="L238" s="30">
        <f>U238*(1+IF($AK238+IF(입력란!$C$9=1,10,0)+IF(입력란!$C$26=1,10,0)&gt;100,100,$AK238+IF(입력란!$C$9=1,10,0)+IF(입력란!$C$26=1,10,0))/100*($AL238/100-1))</f>
        <v>258098.19380913826</v>
      </c>
      <c r="M238" s="30"/>
      <c r="N238" s="39"/>
      <c r="O238" s="39"/>
      <c r="P238" s="39"/>
      <c r="Q238" s="27"/>
      <c r="R238" s="24">
        <f t="shared" si="31"/>
        <v>592268.6658313612</v>
      </c>
      <c r="S238" s="30">
        <f>AN238*IF(G238="근접",IF(MID(E238,1,1)="1",트라이포드!$D$16,트라이포드!$C$16),1)*IF(MID(E238,1,1)="2",트라이포드!$F$16,트라이포드!$E$16)*IF(MID(E238,3,1)="1",트라이포드!$J$16,트라이포드!$I$16)*IF(MID(E238,5,1)="2",트라이포드!$R$16,트라이포드!$Q$16)*(1+입력란!$C$42/100)*IF(입력란!$C$9=1,IF(입력란!$C$15=0,1.05,IF(입력란!$C$15=1,1.05*1.05,IF(입력란!$C$15=2,1.05*1.12,IF(입력란!$C$15=3,1.05*1.25)))),1)</f>
        <v>167046.83175815947</v>
      </c>
      <c r="T238" s="30">
        <f>AO238*IF(G238="근접",IF(MID(E238,1,1)="1",트라이포드!$D$16,트라이포드!$C$16),1)*IF(MID(E238,1,1)="2",트라이포드!$F$16,트라이포드!$E$16)*IF(MID(E238,3,1)="1",트라이포드!$J$16,트라이포드!$I$16)*IF(MID(E238,5,1)="2",트라이포드!$R$16,트라이포드!$Q$16)*(1+입력란!$C$42/100)*IF(입력란!$C$9=1,IF(입력란!$C$15=0,1.05,IF(입력란!$C$15=1,1.05*1.05,IF(입력란!$C$15=2,1.05*1.12,IF(입력란!$C$15=3,1.05*1.25)))),1)</f>
        <v>212610.91703660088</v>
      </c>
      <c r="U238" s="30">
        <f>AO238*IF(G238="근접",IF(MID(E238,1,1)="1",트라이포드!$D$16,트라이포드!$C$16),1)*IF(MID(E238,1,1)="2",트라이포드!$F$16,트라이포드!$E$16)*IF(MID(E238,3,1)="1",트라이포드!$J$16,트라이포드!$I$16)*IF(MID(E238,5,1)="1",트라이포드!P$16,트라이포드!O$16)*(1+입력란!$C$42/100)*IF(입력란!$C$9=1,IF(입력란!$C$15=0,1.05,IF(입력란!$C$15=1,1.05*1.05,IF(입력란!$C$15=2,1.05*1.12,IF(입력란!$C$15=3,1.05*1.25)))),1)</f>
        <v>212610.91703660088</v>
      </c>
      <c r="V238" s="30"/>
      <c r="W238" s="39"/>
      <c r="X238" s="39"/>
      <c r="Y238" s="39"/>
      <c r="Z238" s="25"/>
      <c r="AA238" s="30">
        <f t="shared" si="32"/>
        <v>1184537.3316627224</v>
      </c>
      <c r="AB238" s="30">
        <f t="shared" si="33"/>
        <v>334093.66351631895</v>
      </c>
      <c r="AC238" s="30">
        <f t="shared" si="34"/>
        <v>425221.83407320175</v>
      </c>
      <c r="AD238" s="30">
        <f t="shared" si="36"/>
        <v>425221.83407320175</v>
      </c>
      <c r="AE238" s="30"/>
      <c r="AF238" s="39"/>
      <c r="AG238" s="39"/>
      <c r="AH238" s="39"/>
      <c r="AI238" s="27"/>
      <c r="AJ238" s="26">
        <f>(AQ238-IF(MID(E238,3,1)="3",트라이포드!$N$16,트라이포드!$M$16))*(1-입력란!$C$35/100)</f>
        <v>18.779733774819999</v>
      </c>
      <c r="AK2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8" s="26">
        <f>입력란!$C$47+IF(입력란!$C$18=1,10,IF(입력란!$C$18=2,25,IF(입력란!$C$18=3,50,0)))+IF(입력란!$C$23&lt;&gt;0,-12)</f>
        <v>200</v>
      </c>
      <c r="AM238" s="30">
        <f t="shared" si="35"/>
        <v>216204.19915335524</v>
      </c>
      <c r="AN238" s="30">
        <f>(VLOOKUP(C238,$B$4:$AJ$7,16,FALSE)+VLOOKUP(C238,$B$8:$AJ$11,16,FALSE)*입력란!$C$29)*IF(G238="근접",입력란!$C$50,IF(MID(E238,1,1)="2",입력란!$C$50,입력란!$C$49))*입력란!$C$48/100</f>
        <v>95128.379694687203</v>
      </c>
      <c r="AO238" s="30">
        <f>(VLOOKUP(C238,$B$4:$AJ$7,17,FALSE)+VLOOKUP(C238,$B$8:$AJ$11,17,FALSE)*입력란!$C$29)*IF(G238="근접",입력란!$C$50,IF(MID(E238,1,1)="2",입력란!$C$50,입력란!$C$49))*입력란!$C$48/100</f>
        <v>121075.81945866803</v>
      </c>
      <c r="AP238" s="30"/>
      <c r="AQ238" s="29">
        <v>24</v>
      </c>
    </row>
    <row r="239" spans="2:43" ht="13.5" customHeight="1" x14ac:dyDescent="0.3">
      <c r="B239" s="31">
        <v>224</v>
      </c>
      <c r="C239" s="36">
        <v>10</v>
      </c>
      <c r="D239" s="43" t="s">
        <v>185</v>
      </c>
      <c r="E239" s="38" t="s">
        <v>201</v>
      </c>
      <c r="F239" s="40" t="s">
        <v>223</v>
      </c>
      <c r="G239" s="40" t="s">
        <v>202</v>
      </c>
      <c r="H239" s="52">
        <f t="shared" si="30"/>
        <v>50198.654246530037</v>
      </c>
      <c r="I239" s="53">
        <f>SUM(J239:Q239)*IF(입력란!$C$16=1,1.04,IF(입력란!$C$16=2,1.1,IF(입력란!$C$16=3,1.2,1)))*IF(입력란!$C$21=1,1+입력란!$C$38*0.001,IF(입력란!$C$21=2,1+입력란!$C$38*0.0022,IF(입력란!$C$21=3,1+입력란!$C$38*0.0045,1)))*IF(입력란!$C$18&lt;&gt;0,0.98,1)</f>
        <v>942717.3626040715</v>
      </c>
      <c r="J239" s="30">
        <f>S239*(1+IF($AK239+IF(입력란!$C$9=1,10,0)+IF(입력란!$C$26=1,10,0)&gt;100,100,$AK239+IF(입력란!$C$9=1,10,0)+IF(입력란!$C$26=1,10,0))/100*($AL239/100-1))</f>
        <v>414789.23890356137</v>
      </c>
      <c r="K239" s="30">
        <f>T239*(1+IF($AK239+IF(입력란!$C$9=1,10,0)+IF(입력란!$C$26=1,10,0)&gt;100,100,$AK239+IF(입력란!$C$9=1,10,0)+IF(입력란!$C$26=1,10,0))/100*($AL239/100-1))</f>
        <v>527928.12370051013</v>
      </c>
      <c r="L239" s="30">
        <f>U239*(1+IF($AK239+IF(입력란!$C$9=1,10,0)+IF(입력란!$C$26=1,10,0)&gt;100,100,$AK239+IF(입력란!$C$9=1,10,0)+IF(입력란!$C$26=1,10,0))/100*($AL239/100-1))</f>
        <v>0</v>
      </c>
      <c r="M239" s="30"/>
      <c r="N239" s="39"/>
      <c r="O239" s="39"/>
      <c r="P239" s="39"/>
      <c r="Q239" s="27"/>
      <c r="R239" s="24">
        <f t="shared" si="31"/>
        <v>776572.66798928264</v>
      </c>
      <c r="S239" s="30">
        <f>AN239*IF(G239="근접",IF(MID(E239,1,1)="1",트라이포드!$D$16,트라이포드!$C$16),1)*IF(MID(E239,1,1)="2",트라이포드!$F$16,트라이포드!$E$16)*IF(MID(E239,3,1)="1",트라이포드!$J$16,트라이포드!$I$16)*IF(MID(E239,5,1)="2",트라이포드!$R$16,트라이포드!$Q$16)*(1+입력란!$C$42/100)*IF(입력란!$C$9=1,IF(입력란!$C$15=0,1.05,IF(입력란!$C$15=1,1.05*1.05,IF(입력란!$C$15=2,1.05*1.12,IF(입력란!$C$15=3,1.05*1.25)))),1)</f>
        <v>341686.70132350799</v>
      </c>
      <c r="T239" s="30">
        <f>AO239*IF(G239="근접",IF(MID(E239,1,1)="1",트라이포드!$D$16,트라이포드!$C$16),1)*IF(MID(E239,1,1)="2",트라이포드!$F$16,트라이포드!$E$16)*IF(MID(E239,3,1)="1",트라이포드!$J$16,트라이포드!$I$16)*IF(MID(E239,5,1)="2",트라이포드!$R$16,트라이포드!$Q$16)*(1+입력란!$C$42/100)*IF(입력란!$C$9=1,IF(입력란!$C$15=0,1.05,IF(입력란!$C$15=1,1.05*1.05,IF(입력란!$C$15=2,1.05*1.12,IF(입력란!$C$15=3,1.05*1.25)))),1)</f>
        <v>434885.96666577458</v>
      </c>
      <c r="U239" s="30">
        <f>AO239*IF(G239="근접",IF(MID(E239,1,1)="1",트라이포드!$D$16,트라이포드!$C$16),1)*IF(MID(E239,1,1)="2",트라이포드!$F$16,트라이포드!$E$16)*IF(MID(E239,3,1)="1",트라이포드!$J$16,트라이포드!$I$16)*IF(MID(E239,5,1)="1",트라이포드!P$16,트라이포드!O$16)*(1+입력란!$C$42/100)*IF(입력란!$C$9=1,IF(입력란!$C$15=0,1.05,IF(입력란!$C$15=1,1.05*1.05,IF(입력란!$C$15=2,1.05*1.12,IF(입력란!$C$15=3,1.05*1.25)))),1)</f>
        <v>0</v>
      </c>
      <c r="V239" s="30"/>
      <c r="W239" s="39"/>
      <c r="X239" s="39"/>
      <c r="Y239" s="39"/>
      <c r="Z239" s="25"/>
      <c r="AA239" s="30">
        <f t="shared" si="32"/>
        <v>1553145.3359785653</v>
      </c>
      <c r="AB239" s="30">
        <f t="shared" si="33"/>
        <v>683373.40264701599</v>
      </c>
      <c r="AC239" s="30">
        <f t="shared" si="34"/>
        <v>869771.93333154917</v>
      </c>
      <c r="AD239" s="30">
        <f t="shared" si="36"/>
        <v>0</v>
      </c>
      <c r="AE239" s="30"/>
      <c r="AF239" s="39"/>
      <c r="AG239" s="39"/>
      <c r="AH239" s="39"/>
      <c r="AI239" s="27"/>
      <c r="AJ239" s="26">
        <f>(AQ239-IF(MID(E239,3,1)="3",트라이포드!$N$16,트라이포드!$M$16))*(1-입력란!$C$35/100)</f>
        <v>18.779733774819999</v>
      </c>
      <c r="AK2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39" s="26">
        <f>입력란!$C$47+IF(입력란!$C$18=1,10,IF(입력란!$C$18=2,25,IF(입력란!$C$18=3,50,0)))+IF(입력란!$C$23&lt;&gt;0,-12)</f>
        <v>200</v>
      </c>
      <c r="AM239" s="30">
        <f t="shared" si="35"/>
        <v>216204.19915335524</v>
      </c>
      <c r="AN239" s="30">
        <f>(VLOOKUP(C239,$B$4:$AJ$7,16,FALSE)+VLOOKUP(C239,$B$8:$AJ$11,16,FALSE)*입력란!$C$29)*IF(G239="근접",입력란!$C$50,IF(MID(E239,1,1)="2",입력란!$C$50,입력란!$C$49))*입력란!$C$48/100</f>
        <v>95128.379694687203</v>
      </c>
      <c r="AO239" s="30">
        <f>(VLOOKUP(C239,$B$4:$AJ$7,17,FALSE)+VLOOKUP(C239,$B$8:$AJ$11,17,FALSE)*입력란!$C$29)*IF(G239="근접",입력란!$C$50,IF(MID(E239,1,1)="2",입력란!$C$50,입력란!$C$49))*입력란!$C$48/100</f>
        <v>121075.81945866803</v>
      </c>
      <c r="AP239" s="30"/>
      <c r="AQ239" s="29">
        <v>24</v>
      </c>
    </row>
    <row r="240" spans="2:43" ht="13.5" customHeight="1" x14ac:dyDescent="0.3">
      <c r="B240" s="31">
        <v>225</v>
      </c>
      <c r="C240" s="36">
        <v>10</v>
      </c>
      <c r="D240" s="43" t="s">
        <v>48</v>
      </c>
      <c r="E240" s="38" t="s">
        <v>106</v>
      </c>
      <c r="F240" s="40" t="s">
        <v>138</v>
      </c>
      <c r="G240" s="40" t="s">
        <v>39</v>
      </c>
      <c r="H240" s="52">
        <f t="shared" si="30"/>
        <v>44174.815736946446</v>
      </c>
      <c r="I240" s="53">
        <f>SUM(J240:Q240)*IF(입력란!$C$16=1,1.04,IF(입력란!$C$16=2,1.1,IF(입력란!$C$16=3,1.2,1)))*IF(입력란!$C$21=1,1+입력란!$C$38*0.001,IF(입력란!$C$21=2,1+입력란!$C$38*0.0022,IF(입력란!$C$21=3,1+입력란!$C$38*0.0045,1)))*IF(입력란!$C$18&lt;&gt;0,0.98,1)</f>
        <v>829591.2790915831</v>
      </c>
      <c r="J240" s="30">
        <f>S240*(1+IF($AK240+IF(입력란!$C$9=1,10,0)+IF(입력란!$C$26=1,10,0)&gt;100,100,$AK240+IF(입력란!$C$9=1,10,0)+IF(입력란!$C$26=1,10,0))/100*($AL240/100-1))</f>
        <v>365014.53023513407</v>
      </c>
      <c r="K240" s="30">
        <f>T240*(1+IF($AK240+IF(입력란!$C$9=1,10,0)+IF(입력란!$C$26=1,10,0)&gt;100,100,$AK240+IF(입력란!$C$9=1,10,0)+IF(입력란!$C$26=1,10,0))/100*($AL240/100-1))</f>
        <v>464576.74885644898</v>
      </c>
      <c r="L240" s="30">
        <f>U240*(1+IF($AK240+IF(입력란!$C$9=1,10,0)+IF(입력란!$C$26=1,10,0)&gt;100,100,$AK240+IF(입력란!$C$9=1,10,0)+IF(입력란!$C$26=1,10,0))/100*($AL240/100-1))</f>
        <v>0</v>
      </c>
      <c r="M240" s="30"/>
      <c r="N240" s="39"/>
      <c r="O240" s="39"/>
      <c r="P240" s="39"/>
      <c r="Q240" s="27"/>
      <c r="R240" s="24">
        <f t="shared" si="31"/>
        <v>683383.94783056877</v>
      </c>
      <c r="S240" s="30">
        <f>AN240*IF(G240="근접",IF(MID(E240,1,1)="1",트라이포드!$D$16,트라이포드!$C$16),1)*IF(MID(E240,1,1)="2",트라이포드!$F$16,트라이포드!$E$16)*IF(MID(E240,3,1)="1",트라이포드!$J$16,트라이포드!$I$16)*IF(MID(E240,5,1)="2",트라이포드!$R$16,트라이포드!$Q$16)*(1+입력란!$C$42/100)*IF(입력란!$C$9=1,IF(입력란!$C$15=0,1.05,IF(입력란!$C$15=1,1.05*1.05,IF(입력란!$C$15=2,1.05*1.12,IF(입력란!$C$15=3,1.05*1.25)))),1)</f>
        <v>300684.29716468707</v>
      </c>
      <c r="T240" s="30">
        <f>AO240*IF(G240="근접",IF(MID(E240,1,1)="1",트라이포드!$D$16,트라이포드!$C$16),1)*IF(MID(E240,1,1)="2",트라이포드!$F$16,트라이포드!$E$16)*IF(MID(E240,3,1)="1",트라이포드!$J$16,트라이포드!$I$16)*IF(MID(E240,5,1)="2",트라이포드!$R$16,트라이포드!$Q$16)*(1+입력란!$C$42/100)*IF(입력란!$C$9=1,IF(입력란!$C$15=0,1.05,IF(입력란!$C$15=1,1.05*1.05,IF(입력란!$C$15=2,1.05*1.12,IF(입력란!$C$15=3,1.05*1.25)))),1)</f>
        <v>382699.65066588164</v>
      </c>
      <c r="U240" s="30">
        <f>AO240*IF(G240="근접",IF(MID(E240,1,1)="1",트라이포드!$D$16,트라이포드!$C$16),1)*IF(MID(E240,1,1)="2",트라이포드!$F$16,트라이포드!$E$16)*IF(MID(E240,3,1)="1",트라이포드!$J$16,트라이포드!$I$16)*IF(MID(E240,5,1)="1",트라이포드!P$16,트라이포드!O$16)*(1+입력란!$C$42/100)*IF(입력란!$C$9=1,IF(입력란!$C$15=0,1.05,IF(입력란!$C$15=1,1.05*1.05,IF(입력란!$C$15=2,1.05*1.12,IF(입력란!$C$15=3,1.05*1.25)))),1)</f>
        <v>0</v>
      </c>
      <c r="V240" s="30"/>
      <c r="W240" s="39"/>
      <c r="X240" s="39"/>
      <c r="Y240" s="39"/>
      <c r="Z240" s="25"/>
      <c r="AA240" s="30">
        <f t="shared" si="32"/>
        <v>1366767.8956611375</v>
      </c>
      <c r="AB240" s="30">
        <f t="shared" si="33"/>
        <v>601368.59432937414</v>
      </c>
      <c r="AC240" s="30">
        <f t="shared" si="34"/>
        <v>765399.30133176327</v>
      </c>
      <c r="AD240" s="30">
        <f t="shared" si="36"/>
        <v>0</v>
      </c>
      <c r="AE240" s="30"/>
      <c r="AF240" s="39"/>
      <c r="AG240" s="39"/>
      <c r="AH240" s="39"/>
      <c r="AI240" s="27"/>
      <c r="AJ240" s="26">
        <f>(AQ240-IF(MID(E240,3,1)="3",트라이포드!$N$16,트라이포드!$M$16))*(1-입력란!$C$35/100)</f>
        <v>18.779733774819999</v>
      </c>
      <c r="AK2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0" s="26">
        <f>입력란!$C$47+IF(입력란!$C$18=1,10,IF(입력란!$C$18=2,25,IF(입력란!$C$18=3,50,0)))+IF(입력란!$C$23&lt;&gt;0,-12)</f>
        <v>200</v>
      </c>
      <c r="AM240" s="30">
        <f t="shared" si="35"/>
        <v>216204.19915335524</v>
      </c>
      <c r="AN240" s="30">
        <f>(VLOOKUP(C240,$B$4:$AJ$7,16,FALSE)+VLOOKUP(C240,$B$8:$AJ$11,16,FALSE)*입력란!$C$29)*IF(G240="근접",입력란!$C$50,IF(MID(E240,1,1)="2",입력란!$C$50,입력란!$C$49))*입력란!$C$48/100</f>
        <v>95128.379694687203</v>
      </c>
      <c r="AO240" s="30">
        <f>(VLOOKUP(C240,$B$4:$AJ$7,17,FALSE)+VLOOKUP(C240,$B$8:$AJ$11,17,FALSE)*입력란!$C$29)*IF(G240="근접",입력란!$C$50,IF(MID(E240,1,1)="2",입력란!$C$50,입력란!$C$49))*입력란!$C$48/100</f>
        <v>121075.81945866803</v>
      </c>
      <c r="AP240" s="30"/>
      <c r="AQ240" s="29">
        <v>24</v>
      </c>
    </row>
    <row r="241" spans="2:43" ht="13.5" customHeight="1" x14ac:dyDescent="0.3">
      <c r="B241" s="31">
        <v>226</v>
      </c>
      <c r="C241" s="36">
        <v>1</v>
      </c>
      <c r="D241" s="43" t="s">
        <v>185</v>
      </c>
      <c r="E241" s="38" t="s">
        <v>186</v>
      </c>
      <c r="F241" s="40"/>
      <c r="G241" s="40" t="s">
        <v>203</v>
      </c>
      <c r="H241" s="52">
        <f t="shared" si="30"/>
        <v>8798.0486214495759</v>
      </c>
      <c r="I241" s="53">
        <f>SUM(J241:Q241)*IF(입력란!$C$16=1,1.04,IF(입력란!$C$16=2,1.1,IF(입력란!$C$16=3,1.2,1)))*IF(입력란!$C$21=1,1+입력란!$C$38*0.001,IF(입력란!$C$21=2,1+입력란!$C$38*0.0022,IF(입력란!$C$21=3,1+입력란!$C$38*0.0045,1)))*IF(입력란!$C$18&lt;&gt;0,0.98,1)</f>
        <v>208705.27686157281</v>
      </c>
      <c r="J241" s="30">
        <f>S241*(1+IF($AK241+IF(입력란!$C$9=1,10,0)+IF(입력란!$C$26=1,10,0)&gt;100,100,$AK241+IF(입력란!$C$9=1,10,0)+IF(입력란!$C$26=1,10,0))/100*($AL241/100-1))</f>
        <v>91827.336777793025</v>
      </c>
      <c r="K241" s="30">
        <f>T241*(1+IF($AK241+IF(입력란!$C$9=1,10,0)+IF(입력란!$C$26=1,10,0)&gt;100,100,$AK241+IF(입력란!$C$9=1,10,0)+IF(입력란!$C$26=1,10,0))/100*($AL241/100-1))</f>
        <v>116877.9400837798</v>
      </c>
      <c r="L241" s="30">
        <f>U241*(1+IF($AK241+IF(입력란!$C$9=1,10,0)+IF(입력란!$C$26=1,10,0)&gt;100,100,$AK241+IF(입력란!$C$9=1,10,0)+IF(입력란!$C$26=1,10,0))/100*($AL241/100-1))</f>
        <v>0</v>
      </c>
      <c r="M241" s="30"/>
      <c r="N241" s="39"/>
      <c r="O241" s="39"/>
      <c r="P241" s="39"/>
      <c r="Q241" s="27"/>
      <c r="R241" s="24">
        <f t="shared" si="31"/>
        <v>171923.01755017397</v>
      </c>
      <c r="S241" s="30">
        <f>AN241*IF(G241="근접",IF(MID(E241,1,1)="1",트라이포드!$D$16,트라이포드!$C$16),1)*IF(MID(E241,1,1)="2",트라이포드!$F$16,트라이포드!$E$16)*IF(MID(E241,3,1)="1",트라이포드!$J$16,트라이포드!$I$16)*IF(MID(E241,5,1)="2",트라이포드!$R$16,트라이포드!$Q$16)*(1+입력란!$C$42/100)*IF(입력란!$C$9=1,IF(입력란!$C$15=0,1.05,IF(입력란!$C$15=1,1.05*1.05,IF(입력란!$C$15=2,1.05*1.12,IF(입력란!$C$15=3,1.05*1.25)))),1)</f>
        <v>75643.668765047012</v>
      </c>
      <c r="T241" s="30">
        <f>AO241*IF(G241="근접",IF(MID(E241,1,1)="1",트라이포드!$D$16,트라이포드!$C$16),1)*IF(MID(E241,1,1)="2",트라이포드!$F$16,트라이포드!$E$16)*IF(MID(E241,3,1)="1",트라이포드!$J$16,트라이포드!$I$16)*IF(MID(E241,5,1)="2",트라이포드!$R$16,트라이포드!$Q$16)*(1+입력란!$C$42/100)*IF(입력란!$C$9=1,IF(입력란!$C$15=0,1.05,IF(입력란!$C$15=1,1.05*1.05,IF(입력란!$C$15=2,1.05*1.12,IF(입력란!$C$15=3,1.05*1.25)))),1)</f>
        <v>96279.348785126946</v>
      </c>
      <c r="U241" s="30">
        <f>AO241*IF(G241="근접",IF(MID(E241,1,1)="1",트라이포드!$D$16,트라이포드!$C$16),1)*IF(MID(E241,1,1)="2",트라이포드!$F$16,트라이포드!$E$16)*IF(MID(E241,3,1)="1",트라이포드!$J$16,트라이포드!$I$16)*IF(MID(E241,5,1)="1",트라이포드!P$16,트라이포드!O$16)*(1+입력란!$C$42/100)*IF(입력란!$C$9=1,IF(입력란!$C$15=0,1.05,IF(입력란!$C$15=1,1.05*1.05,IF(입력란!$C$15=2,1.05*1.12,IF(입력란!$C$15=3,1.05*1.25)))),1)</f>
        <v>0</v>
      </c>
      <c r="V241" s="30"/>
      <c r="W241" s="39"/>
      <c r="X241" s="39"/>
      <c r="Y241" s="39"/>
      <c r="Z241" s="25"/>
      <c r="AA241" s="30">
        <f t="shared" si="32"/>
        <v>343846.03510034794</v>
      </c>
      <c r="AB241" s="30">
        <f t="shared" si="33"/>
        <v>151287.33753009402</v>
      </c>
      <c r="AC241" s="30">
        <f t="shared" si="34"/>
        <v>192558.69757025389</v>
      </c>
      <c r="AD241" s="30">
        <f t="shared" si="36"/>
        <v>0</v>
      </c>
      <c r="AE241" s="30"/>
      <c r="AF241" s="39"/>
      <c r="AG241" s="39"/>
      <c r="AH241" s="39"/>
      <c r="AI241" s="27"/>
      <c r="AJ241" s="26">
        <f>(AQ241-IF(MID(E241,3,1)="3",트라이포드!$N$16,트라이포드!$M$16))*(1-입력란!$C$35/100)</f>
        <v>23.72176897872</v>
      </c>
      <c r="AK2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1" s="26">
        <f>입력란!$C$47+IF(입력란!$C$18=1,10,IF(입력란!$C$18=2,25,IF(입력란!$C$18=3,50,0)))+IF(입력란!$C$23&lt;&gt;0,-12)</f>
        <v>200</v>
      </c>
      <c r="AM241" s="30">
        <f t="shared" si="35"/>
        <v>107695.75041681396</v>
      </c>
      <c r="AN241" s="30">
        <f>(VLOOKUP(C241,$B$4:$AJ$7,16,FALSE)+VLOOKUP(C241,$B$8:$AJ$11,16,FALSE)*입력란!$C$29)*IF(G241="근접",입력란!$C$50,IF(MID(E241,1,1)="2",입력란!$C$50,입력란!$C$49))*입력란!$C$48/100</f>
        <v>47384.589847343603</v>
      </c>
      <c r="AO241" s="30">
        <f>(VLOOKUP(C241,$B$4:$AJ$7,17,FALSE)+VLOOKUP(C241,$B$8:$AJ$11,17,FALSE)*입력란!$C$29)*IF(G241="근접",입력란!$C$50,IF(MID(E241,1,1)="2",입력란!$C$50,입력란!$C$49))*입력란!$C$48/100</f>
        <v>60311.160569470354</v>
      </c>
      <c r="AP241" s="30"/>
      <c r="AQ241" s="29">
        <v>24</v>
      </c>
    </row>
    <row r="242" spans="2:43" ht="13.5" customHeight="1" x14ac:dyDescent="0.3">
      <c r="B242" s="31">
        <v>227</v>
      </c>
      <c r="C242" s="36">
        <v>4</v>
      </c>
      <c r="D242" s="43" t="s">
        <v>185</v>
      </c>
      <c r="E242" s="38" t="s">
        <v>186</v>
      </c>
      <c r="F242" s="40"/>
      <c r="G242" s="40" t="s">
        <v>203</v>
      </c>
      <c r="H242" s="52">
        <f t="shared" si="30"/>
        <v>8816.8013081774825</v>
      </c>
      <c r="I242" s="53">
        <f>SUM(J242:Q242)*IF(입력란!$C$16=1,1.04,IF(입력란!$C$16=2,1.1,IF(입력란!$C$16=3,1.2,1)))*IF(입력란!$C$21=1,1+입력란!$C$38*0.001,IF(입력란!$C$21=2,1+입력란!$C$38*0.0022,IF(입력란!$C$21=3,1+입력란!$C$38*0.0045,1)))*IF(입력란!$C$18&lt;&gt;0,0.98,1)</f>
        <v>209150.12376386253</v>
      </c>
      <c r="J242" s="30">
        <f>S242*(1+IF($AK242+IF(입력란!$C$9=1,10,0)+IF(입력란!$C$26=1,10,0)&gt;100,100,$AK242+IF(입력란!$C$9=1,10,0)+IF(입력란!$C$26=1,10,0))/100*($AL242/100-1))</f>
        <v>92025.779337206113</v>
      </c>
      <c r="K242" s="30">
        <f>T242*(1+IF($AK242+IF(입력란!$C$9=1,10,0)+IF(입력란!$C$26=1,10,0)&gt;100,100,$AK242+IF(입력란!$C$9=1,10,0)+IF(입력란!$C$26=1,10,0))/100*($AL242/100-1))</f>
        <v>117124.34442665643</v>
      </c>
      <c r="L242" s="30">
        <f>U242*(1+IF($AK242+IF(입력란!$C$9=1,10,0)+IF(입력란!$C$26=1,10,0)&gt;100,100,$AK242+IF(입력란!$C$9=1,10,0)+IF(입력란!$C$26=1,10,0))/100*($AL242/100-1))</f>
        <v>0</v>
      </c>
      <c r="M242" s="30"/>
      <c r="N242" s="39"/>
      <c r="O242" s="39"/>
      <c r="P242" s="39"/>
      <c r="Q242" s="27"/>
      <c r="R242" s="24">
        <f t="shared" si="31"/>
        <v>172289.46454633796</v>
      </c>
      <c r="S242" s="30">
        <f>AN242*IF(G242="근접",IF(MID(E242,1,1)="1",트라이포드!$D$16,트라이포드!$C$16),1)*IF(MID(E242,1,1)="2",트라이포드!$F$16,트라이포드!$E$16)*IF(MID(E242,3,1)="1",트라이포드!$J$16,트라이포드!$I$16)*IF(MID(E242,5,1)="2",트라이포드!$R$16,트라이포드!$Q$16)*(1+입력란!$C$42/100)*IF(입력란!$C$9=1,IF(입력란!$C$15=0,1.05,IF(입력란!$C$15=1,1.05*1.05,IF(입력란!$C$15=2,1.05*1.12,IF(입력란!$C$15=3,1.05*1.25)))),1)</f>
        <v>75807.137768503526</v>
      </c>
      <c r="T242" s="30">
        <f>AO242*IF(G242="근접",IF(MID(E242,1,1)="1",트라이포드!$D$16,트라이포드!$C$16),1)*IF(MID(E242,1,1)="2",트라이포드!$F$16,트라이포드!$E$16)*IF(MID(E242,3,1)="1",트라이포드!$J$16,트라이포드!$I$16)*IF(MID(E242,5,1)="2",트라이포드!$R$16,트라이포드!$Q$16)*(1+입력란!$C$42/100)*IF(입력란!$C$9=1,IF(입력란!$C$15=0,1.05,IF(입력란!$C$15=1,1.05*1.05,IF(입력란!$C$15=2,1.05*1.12,IF(입력란!$C$15=3,1.05*1.25)))),1)</f>
        <v>96482.326777834416</v>
      </c>
      <c r="U242" s="30">
        <f>AO242*IF(G242="근접",IF(MID(E242,1,1)="1",트라이포드!$D$16,트라이포드!$C$16),1)*IF(MID(E242,1,1)="2",트라이포드!$F$16,트라이포드!$E$16)*IF(MID(E242,3,1)="1",트라이포드!$J$16,트라이포드!$I$16)*IF(MID(E242,5,1)="1",트라이포드!P$16,트라이포드!O$16)*(1+입력란!$C$42/100)*IF(입력란!$C$9=1,IF(입력란!$C$15=0,1.05,IF(입력란!$C$15=1,1.05*1.05,IF(입력란!$C$15=2,1.05*1.12,IF(입력란!$C$15=3,1.05*1.25)))),1)</f>
        <v>0</v>
      </c>
      <c r="V242" s="30"/>
      <c r="W242" s="39"/>
      <c r="X242" s="39"/>
      <c r="Y242" s="39"/>
      <c r="Z242" s="25"/>
      <c r="AA242" s="30">
        <f t="shared" si="32"/>
        <v>344578.92909267591</v>
      </c>
      <c r="AB242" s="30">
        <f t="shared" si="33"/>
        <v>151614.27553700705</v>
      </c>
      <c r="AC242" s="30">
        <f t="shared" si="34"/>
        <v>192964.65355566883</v>
      </c>
      <c r="AD242" s="30">
        <f t="shared" si="36"/>
        <v>0</v>
      </c>
      <c r="AE242" s="30"/>
      <c r="AF242" s="39"/>
      <c r="AG242" s="39"/>
      <c r="AH242" s="39"/>
      <c r="AI242" s="27"/>
      <c r="AJ242" s="26">
        <f>(AQ242-IF(MID(E242,3,1)="3",트라이포드!$N$16,트라이포드!$M$16))*(1-입력란!$C$35/100)</f>
        <v>23.72176897872</v>
      </c>
      <c r="AK2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2" s="26">
        <f>입력란!$C$47+IF(입력란!$C$18=1,10,IF(입력란!$C$18=2,25,IF(입력란!$C$18=3,50,0)))+IF(입력란!$C$23&lt;&gt;0,-12)</f>
        <v>200</v>
      </c>
      <c r="AM242" s="30">
        <f t="shared" si="35"/>
        <v>107925.29957667761</v>
      </c>
      <c r="AN242" s="30">
        <f>(VLOOKUP(C242,$B$4:$AJ$7,16,FALSE)+VLOOKUP(C242,$B$8:$AJ$11,16,FALSE)*입력란!$C$29)*IF(G242="근접",입력란!$C$50,IF(MID(E242,1,1)="2",입력란!$C$50,입력란!$C$49))*입력란!$C$48/100</f>
        <v>47486.989847343604</v>
      </c>
      <c r="AO242" s="30">
        <f>(VLOOKUP(C242,$B$4:$AJ$7,17,FALSE)+VLOOKUP(C242,$B$8:$AJ$11,17,FALSE)*입력란!$C$29)*IF(G242="근접",입력란!$C$50,IF(MID(E242,1,1)="2",입력란!$C$50,입력란!$C$49))*입력란!$C$48/100</f>
        <v>60438.309729334011</v>
      </c>
      <c r="AP242" s="30"/>
      <c r="AQ242" s="29">
        <v>24</v>
      </c>
    </row>
    <row r="243" spans="2:43" ht="13.5" customHeight="1" x14ac:dyDescent="0.3">
      <c r="B243" s="31">
        <v>228</v>
      </c>
      <c r="C243" s="36">
        <v>4</v>
      </c>
      <c r="D243" s="43" t="s">
        <v>48</v>
      </c>
      <c r="E243" s="38" t="s">
        <v>377</v>
      </c>
      <c r="F243" s="40"/>
      <c r="G243" s="40" t="s">
        <v>38</v>
      </c>
      <c r="H243" s="52">
        <f t="shared" si="30"/>
        <v>19396.962877990463</v>
      </c>
      <c r="I243" s="53">
        <f>SUM(J243:Q243)*IF(입력란!$C$16=1,1.04,IF(입력란!$C$16=2,1.1,IF(입력란!$C$16=3,1.2,1)))*IF(입력란!$C$21=1,1+입력란!$C$38*0.001,IF(입력란!$C$21=2,1+입력란!$C$38*0.0022,IF(입력란!$C$21=3,1+입력란!$C$38*0.0045,1)))*IF(입력란!$C$18&lt;&gt;0,0.98,1)</f>
        <v>460130.27228049759</v>
      </c>
      <c r="J243" s="30">
        <f>S243*(1+IF($AK243+IF(입력란!$C$9=1,10,0)+IF(입력란!$C$26=1,10,0)&gt;100,100,$AK243+IF(입력란!$C$9=1,10,0)+IF(입력란!$C$26=1,10,0))/100*($AL243/100-1))</f>
        <v>202456.71454185346</v>
      </c>
      <c r="K243" s="30">
        <f>T243*(1+IF($AK243+IF(입력란!$C$9=1,10,0)+IF(입력란!$C$26=1,10,0)&gt;100,100,$AK243+IF(입력란!$C$9=1,10,0)+IF(입력란!$C$26=1,10,0))/100*($AL243/100-1))</f>
        <v>257673.55773864416</v>
      </c>
      <c r="L243" s="30">
        <f>U243*(1+IF($AK243+IF(입력란!$C$9=1,10,0)+IF(입력란!$C$26=1,10,0)&gt;100,100,$AK243+IF(입력란!$C$9=1,10,0)+IF(입력란!$C$26=1,10,0))/100*($AL243/100-1))</f>
        <v>0</v>
      </c>
      <c r="M243" s="30"/>
      <c r="N243" s="39"/>
      <c r="O243" s="39"/>
      <c r="P243" s="39"/>
      <c r="Q243" s="27"/>
      <c r="R243" s="24">
        <f t="shared" si="31"/>
        <v>379036.82200194348</v>
      </c>
      <c r="S243" s="30">
        <f>AN243*IF(G243="근접",IF(MID(E243,1,1)="1",트라이포드!$D$16,트라이포드!$C$16),1)*IF(MID(E243,1,1)="2",트라이포드!$F$16,트라이포드!$E$16)*IF(MID(E243,3,1)="1",트라이포드!$J$16,트라이포드!$I$16)*IF(MID(E243,5,1)="2",트라이포드!$R$16,트라이포드!$Q$16)*(1+입력란!$C$42/100)*IF(입력란!$C$9=1,IF(입력란!$C$15=0,1.05,IF(입력란!$C$15=1,1.05*1.05,IF(입력란!$C$15=2,1.05*1.12,IF(입력란!$C$15=3,1.05*1.25)))),1)</f>
        <v>166775.70309070777</v>
      </c>
      <c r="T243" s="30">
        <f>AO243*IF(G243="근접",IF(MID(E243,1,1)="1",트라이포드!$D$16,트라이포드!$C$16),1)*IF(MID(E243,1,1)="2",트라이포드!$F$16,트라이포드!$E$16)*IF(MID(E243,3,1)="1",트라이포드!$J$16,트라이포드!$I$16)*IF(MID(E243,5,1)="2",트라이포드!$R$16,트라이포드!$Q$16)*(1+입력란!$C$42/100)*IF(입력란!$C$9=1,IF(입력란!$C$15=0,1.05,IF(입력란!$C$15=1,1.05*1.05,IF(입력란!$C$15=2,1.05*1.12,IF(입력란!$C$15=3,1.05*1.25)))),1)</f>
        <v>212261.11891123571</v>
      </c>
      <c r="U243" s="30">
        <f>AO243*IF(G243="근접",IF(MID(E243,1,1)="1",트라이포드!$D$16,트라이포드!$C$16),1)*IF(MID(E243,1,1)="2",트라이포드!$F$16,트라이포드!$E$16)*IF(MID(E243,3,1)="1",트라이포드!$J$16,트라이포드!$I$16)*IF(MID(E243,5,1)="1",트라이포드!P$16,트라이포드!O$16)*(1+입력란!$C$42/100)*IF(입력란!$C$9=1,IF(입력란!$C$15=0,1.05,IF(입력란!$C$15=1,1.05*1.05,IF(입력란!$C$15=2,1.05*1.12,IF(입력란!$C$15=3,1.05*1.25)))),1)</f>
        <v>0</v>
      </c>
      <c r="V243" s="30"/>
      <c r="W243" s="39"/>
      <c r="X243" s="39"/>
      <c r="Y243" s="39"/>
      <c r="Z243" s="25"/>
      <c r="AA243" s="30">
        <f t="shared" si="32"/>
        <v>758073.64400388696</v>
      </c>
      <c r="AB243" s="30">
        <f t="shared" si="33"/>
        <v>333551.40618141554</v>
      </c>
      <c r="AC243" s="30">
        <f t="shared" si="34"/>
        <v>424522.23782247142</v>
      </c>
      <c r="AD243" s="30">
        <f t="shared" si="36"/>
        <v>0</v>
      </c>
      <c r="AE243" s="30"/>
      <c r="AF243" s="39"/>
      <c r="AG243" s="39"/>
      <c r="AH243" s="39"/>
      <c r="AI243" s="27"/>
      <c r="AJ243" s="26">
        <f>(AQ243-IF(MID(E243,3,1)="3",트라이포드!$N$16,트라이포드!$M$16))*(1-입력란!$C$35/100)</f>
        <v>23.72176897872</v>
      </c>
      <c r="AK2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3" s="26">
        <f>입력란!$C$47+IF(입력란!$C$18=1,10,IF(입력란!$C$18=2,25,IF(입력란!$C$18=3,50,0)))+IF(입력란!$C$23&lt;&gt;0,-12)</f>
        <v>200</v>
      </c>
      <c r="AM243" s="30">
        <f t="shared" si="35"/>
        <v>215850.59915335523</v>
      </c>
      <c r="AN243" s="30">
        <f>(VLOOKUP(C243,$B$4:$AJ$7,16,FALSE)+VLOOKUP(C243,$B$8:$AJ$11,16,FALSE)*입력란!$C$29)*IF(G243="근접",입력란!$C$50,IF(MID(E243,1,1)="2",입력란!$C$50,입력란!$C$49))*입력란!$C$48/100</f>
        <v>94973.979694687208</v>
      </c>
      <c r="AO243" s="30">
        <f>(VLOOKUP(C243,$B$4:$AJ$7,17,FALSE)+VLOOKUP(C243,$B$8:$AJ$11,17,FALSE)*입력란!$C$29)*IF(G243="근접",입력란!$C$50,IF(MID(E243,1,1)="2",입력란!$C$50,입력란!$C$49))*입력란!$C$48/100</f>
        <v>120876.61945866802</v>
      </c>
      <c r="AP243" s="30"/>
      <c r="AQ243" s="29">
        <v>24</v>
      </c>
    </row>
    <row r="244" spans="2:43" ht="13.5" customHeight="1" x14ac:dyDescent="0.3">
      <c r="B244" s="31">
        <v>229</v>
      </c>
      <c r="C244" s="36">
        <v>4</v>
      </c>
      <c r="D244" s="43" t="s">
        <v>185</v>
      </c>
      <c r="E244" s="38" t="s">
        <v>187</v>
      </c>
      <c r="F244" s="40"/>
      <c r="G244" s="40" t="s">
        <v>203</v>
      </c>
      <c r="H244" s="52">
        <f t="shared" si="30"/>
        <v>8816.8013081774825</v>
      </c>
      <c r="I244" s="53">
        <f>SUM(J244:Q244)*IF(입력란!$C$16=1,1.04,IF(입력란!$C$16=2,1.1,IF(입력란!$C$16=3,1.2,1)))*IF(입력란!$C$21=1,1+입력란!$C$38*0.001,IF(입력란!$C$21=2,1+입력란!$C$38*0.0022,IF(입력란!$C$21=3,1+입력란!$C$38*0.0045,1)))*IF(입력란!$C$18&lt;&gt;0,0.98,1)</f>
        <v>209150.12376386253</v>
      </c>
      <c r="J244" s="30">
        <f>S244*(1+IF($AK244+IF(입력란!$C$9=1,10,0)+IF(입력란!$C$26=1,10,0)&gt;100,100,$AK244+IF(입력란!$C$9=1,10,0)+IF(입력란!$C$26=1,10,0))/100*($AL244/100-1))</f>
        <v>92025.779337206113</v>
      </c>
      <c r="K244" s="30">
        <f>T244*(1+IF($AK244+IF(입력란!$C$9=1,10,0)+IF(입력란!$C$26=1,10,0)&gt;100,100,$AK244+IF(입력란!$C$9=1,10,0)+IF(입력란!$C$26=1,10,0))/100*($AL244/100-1))</f>
        <v>117124.34442665643</v>
      </c>
      <c r="L244" s="30">
        <f>U244*(1+IF($AK244+IF(입력란!$C$9=1,10,0)+IF(입력란!$C$26=1,10,0)&gt;100,100,$AK244+IF(입력란!$C$9=1,10,0)+IF(입력란!$C$26=1,10,0))/100*($AL244/100-1))</f>
        <v>0</v>
      </c>
      <c r="M244" s="30"/>
      <c r="N244" s="39"/>
      <c r="O244" s="39"/>
      <c r="P244" s="39"/>
      <c r="Q244" s="27"/>
      <c r="R244" s="24">
        <f t="shared" si="31"/>
        <v>172289.46454633796</v>
      </c>
      <c r="S244" s="30">
        <f>AN244*IF(G244="근접",IF(MID(E244,1,1)="1",트라이포드!$D$16,트라이포드!$C$16),1)*IF(MID(E244,1,1)="2",트라이포드!$F$16,트라이포드!$E$16)*IF(MID(E244,3,1)="1",트라이포드!$J$16,트라이포드!$I$16)*IF(MID(E244,5,1)="2",트라이포드!$R$16,트라이포드!$Q$16)*(1+입력란!$C$42/100)*IF(입력란!$C$9=1,IF(입력란!$C$15=0,1.05,IF(입력란!$C$15=1,1.05*1.05,IF(입력란!$C$15=2,1.05*1.12,IF(입력란!$C$15=3,1.05*1.25)))),1)</f>
        <v>75807.137768503526</v>
      </c>
      <c r="T244" s="30">
        <f>AO244*IF(G244="근접",IF(MID(E244,1,1)="1",트라이포드!$D$16,트라이포드!$C$16),1)*IF(MID(E244,1,1)="2",트라이포드!$F$16,트라이포드!$E$16)*IF(MID(E244,3,1)="1",트라이포드!$J$16,트라이포드!$I$16)*IF(MID(E244,5,1)="2",트라이포드!$R$16,트라이포드!$Q$16)*(1+입력란!$C$42/100)*IF(입력란!$C$9=1,IF(입력란!$C$15=0,1.05,IF(입력란!$C$15=1,1.05*1.05,IF(입력란!$C$15=2,1.05*1.12,IF(입력란!$C$15=3,1.05*1.25)))),1)</f>
        <v>96482.326777834416</v>
      </c>
      <c r="U244" s="30">
        <f>AO244*IF(G244="근접",IF(MID(E244,1,1)="1",트라이포드!$D$16,트라이포드!$C$16),1)*IF(MID(E244,1,1)="2",트라이포드!$F$16,트라이포드!$E$16)*IF(MID(E244,3,1)="1",트라이포드!$J$16,트라이포드!$I$16)*IF(MID(E244,5,1)="1",트라이포드!P$16,트라이포드!O$16)*(1+입력란!$C$42/100)*IF(입력란!$C$9=1,IF(입력란!$C$15=0,1.05,IF(입력란!$C$15=1,1.05*1.05,IF(입력란!$C$15=2,1.05*1.12,IF(입력란!$C$15=3,1.05*1.25)))),1)</f>
        <v>0</v>
      </c>
      <c r="V244" s="30"/>
      <c r="W244" s="39"/>
      <c r="X244" s="39"/>
      <c r="Y244" s="39"/>
      <c r="Z244" s="25"/>
      <c r="AA244" s="30">
        <f t="shared" si="32"/>
        <v>344578.92909267591</v>
      </c>
      <c r="AB244" s="30">
        <f t="shared" si="33"/>
        <v>151614.27553700705</v>
      </c>
      <c r="AC244" s="30">
        <f t="shared" si="34"/>
        <v>192964.65355566883</v>
      </c>
      <c r="AD244" s="30">
        <f t="shared" si="36"/>
        <v>0</v>
      </c>
      <c r="AE244" s="30"/>
      <c r="AF244" s="39"/>
      <c r="AG244" s="39"/>
      <c r="AH244" s="39"/>
      <c r="AI244" s="27"/>
      <c r="AJ244" s="26">
        <f>(AQ244-IF(MID(E244,3,1)="3",트라이포드!$N$16,트라이포드!$M$16))*(1-입력란!$C$35/100)</f>
        <v>23.72176897872</v>
      </c>
      <c r="AK2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4" s="26">
        <f>입력란!$C$47+IF(입력란!$C$18=1,10,IF(입력란!$C$18=2,25,IF(입력란!$C$18=3,50,0)))+IF(입력란!$C$23&lt;&gt;0,-12)</f>
        <v>200</v>
      </c>
      <c r="AM244" s="30">
        <f t="shared" si="35"/>
        <v>107925.29957667761</v>
      </c>
      <c r="AN244" s="30">
        <f>(VLOOKUP(C244,$B$4:$AJ$7,16,FALSE)+VLOOKUP(C244,$B$8:$AJ$11,16,FALSE)*입력란!$C$29)*IF(G244="근접",입력란!$C$50,IF(MID(E244,1,1)="2",입력란!$C$50,입력란!$C$49))*입력란!$C$48/100</f>
        <v>47486.989847343604</v>
      </c>
      <c r="AO244" s="30">
        <f>(VLOOKUP(C244,$B$4:$AJ$7,17,FALSE)+VLOOKUP(C244,$B$8:$AJ$11,17,FALSE)*입력란!$C$29)*IF(G244="근접",입력란!$C$50,IF(MID(E244,1,1)="2",입력란!$C$50,입력란!$C$49))*입력란!$C$48/100</f>
        <v>60438.309729334011</v>
      </c>
      <c r="AP244" s="30"/>
      <c r="AQ244" s="29">
        <v>24</v>
      </c>
    </row>
    <row r="245" spans="2:43" ht="13.5" customHeight="1" x14ac:dyDescent="0.3">
      <c r="B245" s="31">
        <v>230</v>
      </c>
      <c r="C245" s="36">
        <v>7</v>
      </c>
      <c r="D245" s="43" t="s">
        <v>185</v>
      </c>
      <c r="E245" s="38" t="s">
        <v>186</v>
      </c>
      <c r="F245" s="40"/>
      <c r="G245" s="40" t="s">
        <v>203</v>
      </c>
      <c r="H245" s="52">
        <f t="shared" si="30"/>
        <v>8826.2207122416912</v>
      </c>
      <c r="I245" s="53">
        <f>SUM(J245:Q245)*IF(입력란!$C$16=1,1.04,IF(입력란!$C$16=2,1.1,IF(입력란!$C$16=3,1.2,1)))*IF(입력란!$C$21=1,1+입력란!$C$38*0.001,IF(입력란!$C$21=2,1+입력란!$C$38*0.0022,IF(입력란!$C$21=3,1+입력란!$C$38*0.0045,1)))*IF(입력란!$C$18&lt;&gt;0,0.98,1)</f>
        <v>209373.56869099091</v>
      </c>
      <c r="J245" s="30">
        <f>S245*(1+IF($AK245+IF(입력란!$C$9=1,10,0)+IF(입력란!$C$26=1,10,0)&gt;100,100,$AK245+IF(입력란!$C$9=1,10,0)+IF(입력란!$C$26=1,10,0))/100*($AL245/100-1))</f>
        <v>92124.323974559273</v>
      </c>
      <c r="K245" s="30">
        <f>T245*(1+IF($AK245+IF(입력란!$C$9=1,10,0)+IF(입력란!$C$26=1,10,0)&gt;100,100,$AK245+IF(입력란!$C$9=1,10,0)+IF(입력란!$C$26=1,10,0))/100*($AL245/100-1))</f>
        <v>117249.24471643164</v>
      </c>
      <c r="L245" s="30">
        <f>U245*(1+IF($AK245+IF(입력란!$C$9=1,10,0)+IF(입력란!$C$26=1,10,0)&gt;100,100,$AK245+IF(입력란!$C$9=1,10,0)+IF(입력란!$C$26=1,10,0))/100*($AL245/100-1))</f>
        <v>0</v>
      </c>
      <c r="M245" s="30"/>
      <c r="N245" s="39"/>
      <c r="O245" s="39"/>
      <c r="P245" s="39"/>
      <c r="Q245" s="27"/>
      <c r="R245" s="24">
        <f t="shared" si="31"/>
        <v>172473.52949527389</v>
      </c>
      <c r="S245" s="30">
        <f>AN245*IF(G245="근접",IF(MID(E245,1,1)="1",트라이포드!$D$16,트라이포드!$C$16),1)*IF(MID(E245,1,1)="2",트라이포드!$F$16,트라이포드!$E$16)*IF(MID(E245,3,1)="1",트라이포드!$J$16,트라이포드!$I$16)*IF(MID(E245,5,1)="2",트라이포드!$R$16,트라이포드!$Q$16)*(1+입력란!$C$42/100)*IF(입력란!$C$9=1,IF(입력란!$C$15=0,1.05,IF(입력란!$C$15=1,1.05*1.05,IF(입력란!$C$15=2,1.05*1.12,IF(입력란!$C$15=3,1.05*1.25)))),1)</f>
        <v>75888.314879460711</v>
      </c>
      <c r="T245" s="30">
        <f>AO245*IF(G245="근접",IF(MID(E245,1,1)="1",트라이포드!$D$16,트라이포드!$C$16),1)*IF(MID(E245,1,1)="2",트라이포드!$F$16,트라이포드!$E$16)*IF(MID(E245,3,1)="1",트라이포드!$J$16,트라이포드!$I$16)*IF(MID(E245,5,1)="2",트라이포드!$R$16,트라이포드!$Q$16)*(1+입력란!$C$42/100)*IF(입력란!$C$9=1,IF(입력란!$C$15=0,1.05,IF(입력란!$C$15=1,1.05*1.05,IF(입력란!$C$15=2,1.05*1.12,IF(입력란!$C$15=3,1.05*1.25)))),1)</f>
        <v>96585.214615813165</v>
      </c>
      <c r="U245" s="30">
        <f>AO245*IF(G245="근접",IF(MID(E245,1,1)="1",트라이포드!$D$16,트라이포드!$C$16),1)*IF(MID(E245,1,1)="2",트라이포드!$F$16,트라이포드!$E$16)*IF(MID(E245,3,1)="1",트라이포드!$J$16,트라이포드!$I$16)*IF(MID(E245,5,1)="1",트라이포드!P$16,트라이포드!O$16)*(1+입력란!$C$42/100)*IF(입력란!$C$9=1,IF(입력란!$C$15=0,1.05,IF(입력란!$C$15=1,1.05*1.05,IF(입력란!$C$15=2,1.05*1.12,IF(입력란!$C$15=3,1.05*1.25)))),1)</f>
        <v>0</v>
      </c>
      <c r="V245" s="30"/>
      <c r="W245" s="39"/>
      <c r="X245" s="39"/>
      <c r="Y245" s="39"/>
      <c r="Z245" s="25"/>
      <c r="AA245" s="30">
        <f t="shared" si="32"/>
        <v>344947.05899054778</v>
      </c>
      <c r="AB245" s="30">
        <f t="shared" si="33"/>
        <v>151776.62975892142</v>
      </c>
      <c r="AC245" s="30">
        <f t="shared" si="34"/>
        <v>193170.42923162633</v>
      </c>
      <c r="AD245" s="30">
        <f t="shared" si="36"/>
        <v>0</v>
      </c>
      <c r="AE245" s="30"/>
      <c r="AF245" s="39"/>
      <c r="AG245" s="39"/>
      <c r="AH245" s="39"/>
      <c r="AI245" s="27"/>
      <c r="AJ245" s="26">
        <f>(AQ245-IF(MID(E245,3,1)="3",트라이포드!$N$16,트라이포드!$M$16))*(1-입력란!$C$35/100)</f>
        <v>23.72176897872</v>
      </c>
      <c r="AK24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5" s="26">
        <f>입력란!$C$47+IF(입력란!$C$18=1,10,IF(입력란!$C$18=2,25,IF(입력란!$C$18=3,50,0)))+IF(입력란!$C$23&lt;&gt;0,-12)</f>
        <v>200</v>
      </c>
      <c r="AM245" s="30">
        <f t="shared" si="35"/>
        <v>108040.60125695031</v>
      </c>
      <c r="AN245" s="30">
        <f>(VLOOKUP(C245,$B$4:$AJ$7,16,FALSE)+VLOOKUP(C245,$B$8:$AJ$11,16,FALSE)*입력란!$C$29)*IF(G245="근접",입력란!$C$50,IF(MID(E245,1,1)="2",입력란!$C$50,입력란!$C$49))*입력란!$C$48/100</f>
        <v>47537.840687479948</v>
      </c>
      <c r="AO245" s="30">
        <f>(VLOOKUP(C245,$B$4:$AJ$7,17,FALSE)+VLOOKUP(C245,$B$8:$AJ$11,17,FALSE)*입력란!$C$29)*IF(G245="근접",입력란!$C$50,IF(MID(E245,1,1)="2",입력란!$C$50,입력란!$C$49))*입력란!$C$48/100</f>
        <v>60502.76056947036</v>
      </c>
      <c r="AP245" s="30"/>
      <c r="AQ245" s="29">
        <v>24</v>
      </c>
    </row>
    <row r="246" spans="2:43" ht="13.5" customHeight="1" x14ac:dyDescent="0.3">
      <c r="B246" s="31">
        <v>231</v>
      </c>
      <c r="C246" s="36">
        <v>7</v>
      </c>
      <c r="D246" s="43" t="s">
        <v>185</v>
      </c>
      <c r="E246" s="38" t="s">
        <v>188</v>
      </c>
      <c r="F246" s="40"/>
      <c r="G246" s="40" t="s">
        <v>203</v>
      </c>
      <c r="H246" s="52">
        <f t="shared" si="30"/>
        <v>11032.775890302113</v>
      </c>
      <c r="I246" s="53">
        <f>SUM(J246:Q246)*IF(입력란!$C$16=1,1.04,IF(입력란!$C$16=2,1.1,IF(입력란!$C$16=3,1.2,1)))*IF(입력란!$C$21=1,1+입력란!$C$38*0.001,IF(입력란!$C$21=2,1+입력란!$C$38*0.0022,IF(입력란!$C$21=3,1+입력란!$C$38*0.0045,1)))*IF(입력란!$C$18&lt;&gt;0,0.98,1)</f>
        <v>261716.96086373861</v>
      </c>
      <c r="J246" s="30">
        <f>S246*(1+IF($AK246+IF(입력란!$C$9=1,10,0)+IF(입력란!$C$26=1,10,0)&gt;100,100,$AK246+IF(입력란!$C$9=1,10,0)+IF(입력란!$C$26=1,10,0))/100*($AL246/100-1))</f>
        <v>115155.40496819907</v>
      </c>
      <c r="K246" s="30">
        <f>T246*(1+IF($AK246+IF(입력란!$C$9=1,10,0)+IF(입력란!$C$26=1,10,0)&gt;100,100,$AK246+IF(입력란!$C$9=1,10,0)+IF(입력란!$C$26=1,10,0))/100*($AL246/100-1))</f>
        <v>146561.55589553955</v>
      </c>
      <c r="L246" s="30">
        <f>U246*(1+IF($AK246+IF(입력란!$C$9=1,10,0)+IF(입력란!$C$26=1,10,0)&gt;100,100,$AK246+IF(입력란!$C$9=1,10,0)+IF(입력란!$C$26=1,10,0))/100*($AL246/100-1))</f>
        <v>0</v>
      </c>
      <c r="M246" s="30"/>
      <c r="N246" s="39"/>
      <c r="O246" s="39"/>
      <c r="P246" s="39"/>
      <c r="Q246" s="27"/>
      <c r="R246" s="24">
        <f t="shared" si="31"/>
        <v>215591.91186909232</v>
      </c>
      <c r="S246" s="30">
        <f>AN246*IF(G246="근접",IF(MID(E246,1,1)="1",트라이포드!$D$16,트라이포드!$C$16),1)*IF(MID(E246,1,1)="2",트라이포드!$F$16,트라이포드!$E$16)*IF(MID(E246,3,1)="1",트라이포드!$J$16,트라이포드!$I$16)*IF(MID(E246,5,1)="2",트라이포드!$R$16,트라이포드!$Q$16)*(1+입력란!$C$42/100)*IF(입력란!$C$9=1,IF(입력란!$C$15=0,1.05,IF(입력란!$C$15=1,1.05*1.05,IF(입력란!$C$15=2,1.05*1.12,IF(입력란!$C$15=3,1.05*1.25)))),1)</f>
        <v>94860.393599325878</v>
      </c>
      <c r="T246" s="30">
        <f>AO246*IF(G246="근접",IF(MID(E246,1,1)="1",트라이포드!$D$16,트라이포드!$C$16),1)*IF(MID(E246,1,1)="2",트라이포드!$F$16,트라이포드!$E$16)*IF(MID(E246,3,1)="1",트라이포드!$J$16,트라이포드!$I$16)*IF(MID(E246,5,1)="2",트라이포드!$R$16,트라이포드!$Q$16)*(1+입력란!$C$42/100)*IF(입력란!$C$9=1,IF(입력란!$C$15=0,1.05,IF(입력란!$C$15=1,1.05*1.05,IF(입력란!$C$15=2,1.05*1.12,IF(입력란!$C$15=3,1.05*1.25)))),1)</f>
        <v>120731.51826976646</v>
      </c>
      <c r="U246" s="30">
        <f>AO246*IF(G246="근접",IF(MID(E246,1,1)="1",트라이포드!$D$16,트라이포드!$C$16),1)*IF(MID(E246,1,1)="2",트라이포드!$F$16,트라이포드!$E$16)*IF(MID(E246,3,1)="1",트라이포드!$J$16,트라이포드!$I$16)*IF(MID(E246,5,1)="1",트라이포드!P$16,트라이포드!O$16)*(1+입력란!$C$42/100)*IF(입력란!$C$9=1,IF(입력란!$C$15=0,1.05,IF(입력란!$C$15=1,1.05*1.05,IF(입력란!$C$15=2,1.05*1.12,IF(입력란!$C$15=3,1.05*1.25)))),1)</f>
        <v>0</v>
      </c>
      <c r="V246" s="30"/>
      <c r="W246" s="39"/>
      <c r="X246" s="39"/>
      <c r="Y246" s="39"/>
      <c r="Z246" s="25"/>
      <c r="AA246" s="30">
        <f t="shared" si="32"/>
        <v>431183.82373818464</v>
      </c>
      <c r="AB246" s="30">
        <f t="shared" si="33"/>
        <v>189720.78719865176</v>
      </c>
      <c r="AC246" s="30">
        <f t="shared" si="34"/>
        <v>241463.03653953291</v>
      </c>
      <c r="AD246" s="30">
        <f t="shared" si="36"/>
        <v>0</v>
      </c>
      <c r="AE246" s="30"/>
      <c r="AF246" s="39"/>
      <c r="AG246" s="39"/>
      <c r="AH246" s="39"/>
      <c r="AI246" s="27"/>
      <c r="AJ246" s="26">
        <f>(AQ246-IF(MID(E246,3,1)="3",트라이포드!$N$16,트라이포드!$M$16))*(1-입력란!$C$35/100)</f>
        <v>23.72176897872</v>
      </c>
      <c r="AK24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6" s="26">
        <f>입력란!$C$47+IF(입력란!$C$18=1,10,IF(입력란!$C$18=2,25,IF(입력란!$C$18=3,50,0)))+IF(입력란!$C$23&lt;&gt;0,-12)</f>
        <v>200</v>
      </c>
      <c r="AM246" s="30">
        <f t="shared" si="35"/>
        <v>108040.60125695031</v>
      </c>
      <c r="AN246" s="30">
        <f>(VLOOKUP(C246,$B$4:$AJ$7,16,FALSE)+VLOOKUP(C246,$B$8:$AJ$11,16,FALSE)*입력란!$C$29)*IF(G246="근접",입력란!$C$50,IF(MID(E246,1,1)="2",입력란!$C$50,입력란!$C$49))*입력란!$C$48/100</f>
        <v>47537.840687479948</v>
      </c>
      <c r="AO246" s="30">
        <f>(VLOOKUP(C246,$B$4:$AJ$7,17,FALSE)+VLOOKUP(C246,$B$8:$AJ$11,17,FALSE)*입력란!$C$29)*IF(G246="근접",입력란!$C$50,IF(MID(E246,1,1)="2",입력란!$C$50,입력란!$C$49))*입력란!$C$48/100</f>
        <v>60502.76056947036</v>
      </c>
      <c r="AP246" s="30"/>
      <c r="AQ246" s="29">
        <v>24</v>
      </c>
    </row>
    <row r="247" spans="2:43" ht="13.5" customHeight="1" x14ac:dyDescent="0.3">
      <c r="B247" s="31">
        <v>232</v>
      </c>
      <c r="C247" s="36">
        <v>7</v>
      </c>
      <c r="D247" s="43" t="s">
        <v>185</v>
      </c>
      <c r="E247" s="38" t="s">
        <v>189</v>
      </c>
      <c r="F247" s="40"/>
      <c r="G247" s="40" t="s">
        <v>203</v>
      </c>
      <c r="H247" s="52">
        <f t="shared" si="30"/>
        <v>11148.910373357927</v>
      </c>
      <c r="I247" s="53">
        <f>SUM(J247:Q247)*IF(입력란!$C$16=1,1.04,IF(입력란!$C$16=2,1.1,IF(입력란!$C$16=3,1.2,1)))*IF(입력란!$C$21=1,1+입력란!$C$38*0.001,IF(입력란!$C$21=2,1+입력란!$C$38*0.0022,IF(입력란!$C$21=3,1+입력란!$C$38*0.0045,1)))*IF(입력란!$C$18&lt;&gt;0,0.98,1)</f>
        <v>209373.56869099091</v>
      </c>
      <c r="J247" s="30">
        <f>S247*(1+IF($AK247+IF(입력란!$C$9=1,10,0)+IF(입력란!$C$26=1,10,0)&gt;100,100,$AK247+IF(입력란!$C$9=1,10,0)+IF(입력란!$C$26=1,10,0))/100*($AL247/100-1))</f>
        <v>92124.323974559273</v>
      </c>
      <c r="K247" s="30">
        <f>T247*(1+IF($AK247+IF(입력란!$C$9=1,10,0)+IF(입력란!$C$26=1,10,0)&gt;100,100,$AK247+IF(입력란!$C$9=1,10,0)+IF(입력란!$C$26=1,10,0))/100*($AL247/100-1))</f>
        <v>117249.24471643164</v>
      </c>
      <c r="L247" s="30">
        <f>U247*(1+IF($AK247+IF(입력란!$C$9=1,10,0)+IF(입력란!$C$26=1,10,0)&gt;100,100,$AK247+IF(입력란!$C$9=1,10,0)+IF(입력란!$C$26=1,10,0))/100*($AL247/100-1))</f>
        <v>0</v>
      </c>
      <c r="M247" s="30"/>
      <c r="N247" s="39"/>
      <c r="O247" s="39"/>
      <c r="P247" s="39"/>
      <c r="Q247" s="27"/>
      <c r="R247" s="24">
        <f t="shared" si="31"/>
        <v>172473.52949527389</v>
      </c>
      <c r="S247" s="30">
        <f>AN247*IF(G247="근접",IF(MID(E247,1,1)="1",트라이포드!$D$16,트라이포드!$C$16),1)*IF(MID(E247,1,1)="2",트라이포드!$F$16,트라이포드!$E$16)*IF(MID(E247,3,1)="1",트라이포드!$J$16,트라이포드!$I$16)*IF(MID(E247,5,1)="2",트라이포드!$R$16,트라이포드!$Q$16)*(1+입력란!$C$42/100)*IF(입력란!$C$9=1,IF(입력란!$C$15=0,1.05,IF(입력란!$C$15=1,1.05*1.05,IF(입력란!$C$15=2,1.05*1.12,IF(입력란!$C$15=3,1.05*1.25)))),1)</f>
        <v>75888.314879460711</v>
      </c>
      <c r="T247" s="30">
        <f>AO247*IF(G247="근접",IF(MID(E247,1,1)="1",트라이포드!$D$16,트라이포드!$C$16),1)*IF(MID(E247,1,1)="2",트라이포드!$F$16,트라이포드!$E$16)*IF(MID(E247,3,1)="1",트라이포드!$J$16,트라이포드!$I$16)*IF(MID(E247,5,1)="2",트라이포드!$R$16,트라이포드!$Q$16)*(1+입력란!$C$42/100)*IF(입력란!$C$9=1,IF(입력란!$C$15=0,1.05,IF(입력란!$C$15=1,1.05*1.05,IF(입력란!$C$15=2,1.05*1.12,IF(입력란!$C$15=3,1.05*1.25)))),1)</f>
        <v>96585.214615813165</v>
      </c>
      <c r="U247" s="30">
        <f>AO247*IF(G247="근접",IF(MID(E247,1,1)="1",트라이포드!$D$16,트라이포드!$C$16),1)*IF(MID(E247,1,1)="2",트라이포드!$F$16,트라이포드!$E$16)*IF(MID(E247,3,1)="1",트라이포드!$J$16,트라이포드!$I$16)*IF(MID(E247,5,1)="1",트라이포드!P$16,트라이포드!O$16)*(1+입력란!$C$42/100)*IF(입력란!$C$9=1,IF(입력란!$C$15=0,1.05,IF(입력란!$C$15=1,1.05*1.05,IF(입력란!$C$15=2,1.05*1.12,IF(입력란!$C$15=3,1.05*1.25)))),1)</f>
        <v>0</v>
      </c>
      <c r="V247" s="30"/>
      <c r="W247" s="39"/>
      <c r="X247" s="39"/>
      <c r="Y247" s="39"/>
      <c r="Z247" s="25"/>
      <c r="AA247" s="30">
        <f t="shared" si="32"/>
        <v>344947.05899054778</v>
      </c>
      <c r="AB247" s="30">
        <f t="shared" si="33"/>
        <v>151776.62975892142</v>
      </c>
      <c r="AC247" s="30">
        <f t="shared" si="34"/>
        <v>193170.42923162633</v>
      </c>
      <c r="AD247" s="30">
        <f t="shared" ref="AD247:AD266" si="37">U247*2</f>
        <v>0</v>
      </c>
      <c r="AE247" s="30"/>
      <c r="AF247" s="39"/>
      <c r="AG247" s="39"/>
      <c r="AH247" s="39"/>
      <c r="AI247" s="27"/>
      <c r="AJ247" s="26">
        <f>(AQ247-IF(MID(E247,3,1)="3",트라이포드!$N$16,트라이포드!$M$16))*(1-입력란!$C$35/100)</f>
        <v>18.779733774819999</v>
      </c>
      <c r="AK24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7" s="26">
        <f>입력란!$C$47+IF(입력란!$C$18=1,10,IF(입력란!$C$18=2,25,IF(입력란!$C$18=3,50,0)))+IF(입력란!$C$23&lt;&gt;0,-12)</f>
        <v>200</v>
      </c>
      <c r="AM247" s="30">
        <f t="shared" si="35"/>
        <v>108040.60125695031</v>
      </c>
      <c r="AN247" s="30">
        <f>(VLOOKUP(C247,$B$4:$AJ$7,16,FALSE)+VLOOKUP(C247,$B$8:$AJ$11,16,FALSE)*입력란!$C$29)*IF(G247="근접",입력란!$C$50,IF(MID(E247,1,1)="2",입력란!$C$50,입력란!$C$49))*입력란!$C$48/100</f>
        <v>47537.840687479948</v>
      </c>
      <c r="AO247" s="30">
        <f>(VLOOKUP(C247,$B$4:$AJ$7,17,FALSE)+VLOOKUP(C247,$B$8:$AJ$11,17,FALSE)*입력란!$C$29)*IF(G247="근접",입력란!$C$50,IF(MID(E247,1,1)="2",입력란!$C$50,입력란!$C$49))*입력란!$C$48/100</f>
        <v>60502.76056947036</v>
      </c>
      <c r="AP247" s="30"/>
      <c r="AQ247" s="29">
        <v>24</v>
      </c>
    </row>
    <row r="248" spans="2:43" ht="13.5" customHeight="1" x14ac:dyDescent="0.3">
      <c r="B248" s="31">
        <v>233</v>
      </c>
      <c r="C248" s="36">
        <v>7</v>
      </c>
      <c r="D248" s="43" t="s">
        <v>48</v>
      </c>
      <c r="E248" s="38" t="s">
        <v>378</v>
      </c>
      <c r="F248" s="40"/>
      <c r="G248" s="40" t="s">
        <v>38</v>
      </c>
      <c r="H248" s="52">
        <f t="shared" si="30"/>
        <v>24272.106958664652</v>
      </c>
      <c r="I248" s="53">
        <f>SUM(J248:Q248)*IF(입력란!$C$16=1,1.04,IF(입력란!$C$16=2,1.1,IF(입력란!$C$16=3,1.2,1)))*IF(입력란!$C$21=1,1+입력란!$C$38*0.001,IF(입력란!$C$21=2,1+입력란!$C$38*0.0022,IF(입력란!$C$21=3,1+입력란!$C$38*0.0045,1)))*IF(입력란!$C$18&lt;&gt;0,0.98,1)</f>
        <v>575777.31390022498</v>
      </c>
      <c r="J248" s="30">
        <f>S248*(1+IF($AK248+IF(입력란!$C$9=1,10,0)+IF(입력란!$C$26=1,10,0)&gt;100,100,$AK248+IF(입력란!$C$9=1,10,0)+IF(입력란!$C$26=1,10,0))/100*($AL248/100-1))</f>
        <v>253341.89093003797</v>
      </c>
      <c r="K248" s="30">
        <f>T248*(1+IF($AK248+IF(입력란!$C$9=1,10,0)+IF(입력란!$C$26=1,10,0)&gt;100,100,$AK248+IF(입력란!$C$9=1,10,0)+IF(입력란!$C$26=1,10,0))/100*($AL248/100-1))</f>
        <v>322435.42297018704</v>
      </c>
      <c r="L248" s="30">
        <f>U248*(1+IF($AK248+IF(입력란!$C$9=1,10,0)+IF(입력란!$C$26=1,10,0)&gt;100,100,$AK248+IF(입력란!$C$9=1,10,0)+IF(입력란!$C$26=1,10,0))/100*($AL248/100-1))</f>
        <v>0</v>
      </c>
      <c r="M248" s="30"/>
      <c r="N248" s="39"/>
      <c r="O248" s="39"/>
      <c r="P248" s="39"/>
      <c r="Q248" s="27"/>
      <c r="R248" s="24">
        <f t="shared" si="31"/>
        <v>474302.20611200319</v>
      </c>
      <c r="S248" s="30">
        <f>AN248*IF(G248="근접",IF(MID(E248,1,1)="1",트라이포드!$D$16,트라이포드!$C$16),1)*IF(MID(E248,1,1)="2",트라이포드!$F$16,트라이포드!$E$16)*IF(MID(E248,3,1)="1",트라이포드!$J$16,트라이포드!$I$16)*IF(MID(E248,5,1)="2",트라이포드!$R$16,트라이포드!$Q$16)*(1+입력란!$C$42/100)*IF(입력란!$C$9=1,IF(입력란!$C$15=0,1.05,IF(입력란!$C$15=1,1.05*1.05,IF(입력란!$C$15=2,1.05*1.12,IF(입력란!$C$15=3,1.05*1.25)))),1)</f>
        <v>208692.86591851694</v>
      </c>
      <c r="T248" s="30">
        <f>AO248*IF(G248="근접",IF(MID(E248,1,1)="1",트라이포드!$D$16,트라이포드!$C$16),1)*IF(MID(E248,1,1)="2",트라이포드!$F$16,트라이포드!$E$16)*IF(MID(E248,3,1)="1",트라이포드!$J$16,트라이포드!$I$16)*IF(MID(E248,5,1)="2",트라이포드!$R$16,트라이포드!$Q$16)*(1+입력란!$C$42/100)*IF(입력란!$C$9=1,IF(입력란!$C$15=0,1.05,IF(입력란!$C$15=1,1.05*1.05,IF(입력란!$C$15=2,1.05*1.12,IF(입력란!$C$15=3,1.05*1.25)))),1)</f>
        <v>265609.34019348625</v>
      </c>
      <c r="U248" s="30">
        <f>AO248*IF(G248="근접",IF(MID(E248,1,1)="1",트라이포드!$D$16,트라이포드!$C$16),1)*IF(MID(E248,1,1)="2",트라이포드!$F$16,트라이포드!$E$16)*IF(MID(E248,3,1)="1",트라이포드!$J$16,트라이포드!$I$16)*IF(MID(E248,5,1)="1",트라이포드!P$16,트라이포드!O$16)*(1+입력란!$C$42/100)*IF(입력란!$C$9=1,IF(입력란!$C$15=0,1.05,IF(입력란!$C$15=1,1.05*1.05,IF(입력란!$C$15=2,1.05*1.12,IF(입력란!$C$15=3,1.05*1.25)))),1)</f>
        <v>0</v>
      </c>
      <c r="V248" s="30"/>
      <c r="W248" s="39"/>
      <c r="X248" s="39"/>
      <c r="Y248" s="39"/>
      <c r="Z248" s="25"/>
      <c r="AA248" s="30">
        <f t="shared" si="32"/>
        <v>948604.41222400637</v>
      </c>
      <c r="AB248" s="30">
        <f t="shared" si="33"/>
        <v>417385.73183703388</v>
      </c>
      <c r="AC248" s="30">
        <f t="shared" si="34"/>
        <v>531218.6803869725</v>
      </c>
      <c r="AD248" s="30">
        <f t="shared" si="37"/>
        <v>0</v>
      </c>
      <c r="AE248" s="30"/>
      <c r="AF248" s="39"/>
      <c r="AG248" s="39"/>
      <c r="AH248" s="39"/>
      <c r="AI248" s="27"/>
      <c r="AJ248" s="26">
        <f>(AQ248-IF(MID(E248,3,1)="3",트라이포드!$N$16,트라이포드!$M$16))*(1-입력란!$C$35/100)</f>
        <v>23.72176897872</v>
      </c>
      <c r="AK24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8" s="26">
        <f>입력란!$C$47+IF(입력란!$C$18=1,10,IF(입력란!$C$18=2,25,IF(입력란!$C$18=3,50,0)))+IF(입력란!$C$23&lt;&gt;0,-12)</f>
        <v>200</v>
      </c>
      <c r="AM248" s="30">
        <f t="shared" si="35"/>
        <v>216081.20251390061</v>
      </c>
      <c r="AN248" s="30">
        <f>(VLOOKUP(C248,$B$4:$AJ$7,16,FALSE)+VLOOKUP(C248,$B$8:$AJ$11,16,FALSE)*입력란!$C$29)*IF(G248="근접",입력란!$C$50,IF(MID(E248,1,1)="2",입력란!$C$50,입력란!$C$49))*입력란!$C$48/100</f>
        <v>95075.681374959895</v>
      </c>
      <c r="AO248" s="30">
        <f>(VLOOKUP(C248,$B$4:$AJ$7,17,FALSE)+VLOOKUP(C248,$B$8:$AJ$11,17,FALSE)*입력란!$C$29)*IF(G248="근접",입력란!$C$50,IF(MID(E248,1,1)="2",입력란!$C$50,입력란!$C$49))*입력란!$C$48/100</f>
        <v>121005.52113894072</v>
      </c>
      <c r="AP248" s="30"/>
      <c r="AQ248" s="29">
        <v>24</v>
      </c>
    </row>
    <row r="249" spans="2:43" ht="13.5" customHeight="1" x14ac:dyDescent="0.3">
      <c r="B249" s="31">
        <v>234</v>
      </c>
      <c r="C249" s="36">
        <v>7</v>
      </c>
      <c r="D249" s="43" t="s">
        <v>185</v>
      </c>
      <c r="E249" s="38" t="s">
        <v>190</v>
      </c>
      <c r="F249" s="40"/>
      <c r="G249" s="40" t="s">
        <v>203</v>
      </c>
      <c r="H249" s="52">
        <f t="shared" si="30"/>
        <v>11032.775890302113</v>
      </c>
      <c r="I249" s="53">
        <f>SUM(J249:Q249)*IF(입력란!$C$16=1,1.04,IF(입력란!$C$16=2,1.1,IF(입력란!$C$16=3,1.2,1)))*IF(입력란!$C$21=1,1+입력란!$C$38*0.001,IF(입력란!$C$21=2,1+입력란!$C$38*0.0022,IF(입력란!$C$21=3,1+입력란!$C$38*0.0045,1)))*IF(입력란!$C$18&lt;&gt;0,0.98,1)</f>
        <v>261716.96086373861</v>
      </c>
      <c r="J249" s="30">
        <f>S249*(1+IF($AK249+IF(입력란!$C$9=1,10,0)+IF(입력란!$C$26=1,10,0)&gt;100,100,$AK249+IF(입력란!$C$9=1,10,0)+IF(입력란!$C$26=1,10,0))/100*($AL249/100-1))</f>
        <v>115155.40496819907</v>
      </c>
      <c r="K249" s="30">
        <f>T249*(1+IF($AK249+IF(입력란!$C$9=1,10,0)+IF(입력란!$C$26=1,10,0)&gt;100,100,$AK249+IF(입력란!$C$9=1,10,0)+IF(입력란!$C$26=1,10,0))/100*($AL249/100-1))</f>
        <v>146561.55589553955</v>
      </c>
      <c r="L249" s="30">
        <f>U249*(1+IF($AK249+IF(입력란!$C$9=1,10,0)+IF(입력란!$C$26=1,10,0)&gt;100,100,$AK249+IF(입력란!$C$9=1,10,0)+IF(입력란!$C$26=1,10,0))/100*($AL249/100-1))</f>
        <v>0</v>
      </c>
      <c r="M249" s="30"/>
      <c r="N249" s="39"/>
      <c r="O249" s="39"/>
      <c r="P249" s="39"/>
      <c r="Q249" s="27"/>
      <c r="R249" s="24">
        <f t="shared" si="31"/>
        <v>215591.91186909232</v>
      </c>
      <c r="S249" s="30">
        <f>AN249*IF(G249="근접",IF(MID(E249,1,1)="1",트라이포드!$D$16,트라이포드!$C$16),1)*IF(MID(E249,1,1)="2",트라이포드!$F$16,트라이포드!$E$16)*IF(MID(E249,3,1)="1",트라이포드!$J$16,트라이포드!$I$16)*IF(MID(E249,5,1)="2",트라이포드!$R$16,트라이포드!$Q$16)*(1+입력란!$C$42/100)*IF(입력란!$C$9=1,IF(입력란!$C$15=0,1.05,IF(입력란!$C$15=1,1.05*1.05,IF(입력란!$C$15=2,1.05*1.12,IF(입력란!$C$15=3,1.05*1.25)))),1)</f>
        <v>94860.393599325878</v>
      </c>
      <c r="T249" s="30">
        <f>AO249*IF(G249="근접",IF(MID(E249,1,1)="1",트라이포드!$D$16,트라이포드!$C$16),1)*IF(MID(E249,1,1)="2",트라이포드!$F$16,트라이포드!$E$16)*IF(MID(E249,3,1)="1",트라이포드!$J$16,트라이포드!$I$16)*IF(MID(E249,5,1)="2",트라이포드!$R$16,트라이포드!$Q$16)*(1+입력란!$C$42/100)*IF(입력란!$C$9=1,IF(입력란!$C$15=0,1.05,IF(입력란!$C$15=1,1.05*1.05,IF(입력란!$C$15=2,1.05*1.12,IF(입력란!$C$15=3,1.05*1.25)))),1)</f>
        <v>120731.51826976646</v>
      </c>
      <c r="U249" s="30">
        <f>AO249*IF(G249="근접",IF(MID(E249,1,1)="1",트라이포드!$D$16,트라이포드!$C$16),1)*IF(MID(E249,1,1)="2",트라이포드!$F$16,트라이포드!$E$16)*IF(MID(E249,3,1)="1",트라이포드!$J$16,트라이포드!$I$16)*IF(MID(E249,5,1)="1",트라이포드!P$16,트라이포드!O$16)*(1+입력란!$C$42/100)*IF(입력란!$C$9=1,IF(입력란!$C$15=0,1.05,IF(입력란!$C$15=1,1.05*1.05,IF(입력란!$C$15=2,1.05*1.12,IF(입력란!$C$15=3,1.05*1.25)))),1)</f>
        <v>0</v>
      </c>
      <c r="V249" s="30"/>
      <c r="W249" s="39"/>
      <c r="X249" s="39"/>
      <c r="Y249" s="39"/>
      <c r="Z249" s="25"/>
      <c r="AA249" s="30">
        <f t="shared" si="32"/>
        <v>431183.82373818464</v>
      </c>
      <c r="AB249" s="30">
        <f t="shared" si="33"/>
        <v>189720.78719865176</v>
      </c>
      <c r="AC249" s="30">
        <f t="shared" si="34"/>
        <v>241463.03653953291</v>
      </c>
      <c r="AD249" s="30">
        <f t="shared" si="37"/>
        <v>0</v>
      </c>
      <c r="AE249" s="30"/>
      <c r="AF249" s="39"/>
      <c r="AG249" s="39"/>
      <c r="AH249" s="39"/>
      <c r="AI249" s="27"/>
      <c r="AJ249" s="26">
        <f>(AQ249-IF(MID(E249,3,1)="3",트라이포드!$N$16,트라이포드!$M$16))*(1-입력란!$C$35/100)</f>
        <v>23.72176897872</v>
      </c>
      <c r="AK24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49" s="26">
        <f>입력란!$C$47+IF(입력란!$C$18=1,10,IF(입력란!$C$18=2,25,IF(입력란!$C$18=3,50,0)))+IF(입력란!$C$23&lt;&gt;0,-12)</f>
        <v>200</v>
      </c>
      <c r="AM249" s="30">
        <f t="shared" si="35"/>
        <v>108040.60125695031</v>
      </c>
      <c r="AN249" s="30">
        <f>(VLOOKUP(C249,$B$4:$AJ$7,16,FALSE)+VLOOKUP(C249,$B$8:$AJ$11,16,FALSE)*입력란!$C$29)*IF(G249="근접",입력란!$C$50,IF(MID(E249,1,1)="2",입력란!$C$50,입력란!$C$49))*입력란!$C$48/100</f>
        <v>47537.840687479948</v>
      </c>
      <c r="AO249" s="30">
        <f>(VLOOKUP(C249,$B$4:$AJ$7,17,FALSE)+VLOOKUP(C249,$B$8:$AJ$11,17,FALSE)*입력란!$C$29)*IF(G249="근접",입력란!$C$50,IF(MID(E249,1,1)="2",입력란!$C$50,입력란!$C$49))*입력란!$C$48/100</f>
        <v>60502.76056947036</v>
      </c>
      <c r="AP249" s="30"/>
      <c r="AQ249" s="29">
        <v>24</v>
      </c>
    </row>
    <row r="250" spans="2:43" ht="13.5" customHeight="1" x14ac:dyDescent="0.3">
      <c r="B250" s="31">
        <v>235</v>
      </c>
      <c r="C250" s="36">
        <v>7</v>
      </c>
      <c r="D250" s="43" t="s">
        <v>48</v>
      </c>
      <c r="E250" s="38" t="s">
        <v>374</v>
      </c>
      <c r="F250" s="40"/>
      <c r="G250" s="40" t="s">
        <v>38</v>
      </c>
      <c r="H250" s="52">
        <f t="shared" si="30"/>
        <v>24527.602821387442</v>
      </c>
      <c r="I250" s="53">
        <f>SUM(J250:Q250)*IF(입력란!$C$16=1,1.04,IF(입력란!$C$16=2,1.1,IF(입력란!$C$16=3,1.2,1)))*IF(입력란!$C$21=1,1+입력란!$C$38*0.001,IF(입력란!$C$21=2,1+입력란!$C$38*0.0022,IF(입력란!$C$21=3,1+입력란!$C$38*0.0045,1)))*IF(입력란!$C$18&lt;&gt;0,0.98,1)</f>
        <v>460621.85112018004</v>
      </c>
      <c r="J250" s="30">
        <f>S250*(1+IF($AK250+IF(입력란!$C$9=1,10,0)+IF(입력란!$C$26=1,10,0)&gt;100,100,$AK250+IF(입력란!$C$9=1,10,0)+IF(입력란!$C$26=1,10,0))/100*($AL250/100-1))</f>
        <v>202673.51274403039</v>
      </c>
      <c r="K250" s="30">
        <f>T250*(1+IF($AK250+IF(입력란!$C$9=1,10,0)+IF(입력란!$C$26=1,10,0)&gt;100,100,$AK250+IF(입력란!$C$9=1,10,0)+IF(입력란!$C$26=1,10,0))/100*($AL250/100-1))</f>
        <v>257948.33837614965</v>
      </c>
      <c r="L250" s="30">
        <f>U250*(1+IF($AK250+IF(입력란!$C$9=1,10,0)+IF(입력란!$C$26=1,10,0)&gt;100,100,$AK250+IF(입력란!$C$9=1,10,0)+IF(입력란!$C$26=1,10,0))/100*($AL250/100-1))</f>
        <v>0</v>
      </c>
      <c r="M250" s="30"/>
      <c r="N250" s="39"/>
      <c r="O250" s="39"/>
      <c r="P250" s="39"/>
      <c r="Q250" s="27"/>
      <c r="R250" s="24">
        <f t="shared" si="31"/>
        <v>379441.76488960255</v>
      </c>
      <c r="S250" s="30">
        <f>AN250*IF(G250="근접",IF(MID(E250,1,1)="1",트라이포드!$D$16,트라이포드!$C$16),1)*IF(MID(E250,1,1)="2",트라이포드!$F$16,트라이포드!$E$16)*IF(MID(E250,3,1)="1",트라이포드!$J$16,트라이포드!$I$16)*IF(MID(E250,5,1)="2",트라이포드!$R$16,트라이포드!$Q$16)*(1+입력란!$C$42/100)*IF(입력란!$C$9=1,IF(입력란!$C$15=0,1.05,IF(입력란!$C$15=1,1.05*1.05,IF(입력란!$C$15=2,1.05*1.12,IF(입력란!$C$15=3,1.05*1.25)))),1)</f>
        <v>166954.29273481356</v>
      </c>
      <c r="T250" s="30">
        <f>AO250*IF(G250="근접",IF(MID(E250,1,1)="1",트라이포드!$D$16,트라이포드!$C$16),1)*IF(MID(E250,1,1)="2",트라이포드!$F$16,트라이포드!$E$16)*IF(MID(E250,3,1)="1",트라이포드!$J$16,트라이포드!$I$16)*IF(MID(E250,5,1)="2",트라이포드!$R$16,트라이포드!$Q$16)*(1+입력란!$C$42/100)*IF(입력란!$C$9=1,IF(입력란!$C$15=0,1.05,IF(입력란!$C$15=1,1.05*1.05,IF(입력란!$C$15=2,1.05*1.12,IF(입력란!$C$15=3,1.05*1.25)))),1)</f>
        <v>212487.47215478899</v>
      </c>
      <c r="U250" s="30">
        <f>AO250*IF(G250="근접",IF(MID(E250,1,1)="1",트라이포드!$D$16,트라이포드!$C$16),1)*IF(MID(E250,1,1)="2",트라이포드!$F$16,트라이포드!$E$16)*IF(MID(E250,3,1)="1",트라이포드!$J$16,트라이포드!$I$16)*IF(MID(E250,5,1)="1",트라이포드!P$16,트라이포드!O$16)*(1+입력란!$C$42/100)*IF(입력란!$C$9=1,IF(입력란!$C$15=0,1.05,IF(입력란!$C$15=1,1.05*1.05,IF(입력란!$C$15=2,1.05*1.12,IF(입력란!$C$15=3,1.05*1.25)))),1)</f>
        <v>0</v>
      </c>
      <c r="V250" s="30"/>
      <c r="W250" s="39"/>
      <c r="X250" s="39"/>
      <c r="Y250" s="39"/>
      <c r="Z250" s="25"/>
      <c r="AA250" s="30">
        <f t="shared" si="32"/>
        <v>758883.5297792051</v>
      </c>
      <c r="AB250" s="30">
        <f t="shared" si="33"/>
        <v>333908.58546962711</v>
      </c>
      <c r="AC250" s="30">
        <f t="shared" si="34"/>
        <v>424974.94430957799</v>
      </c>
      <c r="AD250" s="30">
        <f t="shared" si="37"/>
        <v>0</v>
      </c>
      <c r="AE250" s="30"/>
      <c r="AF250" s="39"/>
      <c r="AG250" s="39"/>
      <c r="AH250" s="39"/>
      <c r="AI250" s="27"/>
      <c r="AJ250" s="26">
        <f>(AQ250-IF(MID(E250,3,1)="3",트라이포드!$N$16,트라이포드!$M$16))*(1-입력란!$C$35/100)</f>
        <v>18.779733774819999</v>
      </c>
      <c r="AK25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0" s="26">
        <f>입력란!$C$47+IF(입력란!$C$18=1,10,IF(입력란!$C$18=2,25,IF(입력란!$C$18=3,50,0)))+IF(입력란!$C$23&lt;&gt;0,-12)</f>
        <v>200</v>
      </c>
      <c r="AM250" s="30">
        <f t="shared" si="35"/>
        <v>216081.20251390061</v>
      </c>
      <c r="AN250" s="30">
        <f>(VLOOKUP(C250,$B$4:$AJ$7,16,FALSE)+VLOOKUP(C250,$B$8:$AJ$11,16,FALSE)*입력란!$C$29)*IF(G250="근접",입력란!$C$50,IF(MID(E250,1,1)="2",입력란!$C$50,입력란!$C$49))*입력란!$C$48/100</f>
        <v>95075.681374959895</v>
      </c>
      <c r="AO250" s="30">
        <f>(VLOOKUP(C250,$B$4:$AJ$7,17,FALSE)+VLOOKUP(C250,$B$8:$AJ$11,17,FALSE)*입력란!$C$29)*IF(G250="근접",입력란!$C$50,IF(MID(E250,1,1)="2",입력란!$C$50,입력란!$C$49))*입력란!$C$48/100</f>
        <v>121005.52113894072</v>
      </c>
      <c r="AP250" s="30"/>
      <c r="AQ250" s="29">
        <v>24</v>
      </c>
    </row>
    <row r="251" spans="2:43" ht="13.5" customHeight="1" x14ac:dyDescent="0.3">
      <c r="B251" s="31">
        <v>236</v>
      </c>
      <c r="C251" s="36">
        <v>7</v>
      </c>
      <c r="D251" s="43" t="s">
        <v>185</v>
      </c>
      <c r="E251" s="38" t="s">
        <v>191</v>
      </c>
      <c r="F251" s="40"/>
      <c r="G251" s="40" t="s">
        <v>203</v>
      </c>
      <c r="H251" s="52">
        <f t="shared" si="30"/>
        <v>11148.910373357927</v>
      </c>
      <c r="I251" s="53">
        <f>SUM(J251:Q251)*IF(입력란!$C$16=1,1.04,IF(입력란!$C$16=2,1.1,IF(입력란!$C$16=3,1.2,1)))*IF(입력란!$C$21=1,1+입력란!$C$38*0.001,IF(입력란!$C$21=2,1+입력란!$C$38*0.0022,IF(입력란!$C$21=3,1+입력란!$C$38*0.0045,1)))*IF(입력란!$C$18&lt;&gt;0,0.98,1)</f>
        <v>209373.56869099091</v>
      </c>
      <c r="J251" s="30">
        <f>S251*(1+IF($AK251+IF(입력란!$C$9=1,10,0)+IF(입력란!$C$26=1,10,0)&gt;100,100,$AK251+IF(입력란!$C$9=1,10,0)+IF(입력란!$C$26=1,10,0))/100*($AL251/100-1))</f>
        <v>92124.323974559273</v>
      </c>
      <c r="K251" s="30">
        <f>T251*(1+IF($AK251+IF(입력란!$C$9=1,10,0)+IF(입력란!$C$26=1,10,0)&gt;100,100,$AK251+IF(입력란!$C$9=1,10,0)+IF(입력란!$C$26=1,10,0))/100*($AL251/100-1))</f>
        <v>117249.24471643164</v>
      </c>
      <c r="L251" s="30">
        <f>U251*(1+IF($AK251+IF(입력란!$C$9=1,10,0)+IF(입력란!$C$26=1,10,0)&gt;100,100,$AK251+IF(입력란!$C$9=1,10,0)+IF(입력란!$C$26=1,10,0))/100*($AL251/100-1))</f>
        <v>0</v>
      </c>
      <c r="M251" s="30"/>
      <c r="N251" s="39"/>
      <c r="O251" s="39"/>
      <c r="P251" s="39"/>
      <c r="Q251" s="27"/>
      <c r="R251" s="24">
        <f t="shared" si="31"/>
        <v>172473.52949527389</v>
      </c>
      <c r="S251" s="30">
        <f>AN251*IF(G251="근접",IF(MID(E251,1,1)="1",트라이포드!$D$16,트라이포드!$C$16),1)*IF(MID(E251,1,1)="2",트라이포드!$F$16,트라이포드!$E$16)*IF(MID(E251,3,1)="1",트라이포드!$J$16,트라이포드!$I$16)*IF(MID(E251,5,1)="2",트라이포드!$R$16,트라이포드!$Q$16)*(1+입력란!$C$42/100)*IF(입력란!$C$9=1,IF(입력란!$C$15=0,1.05,IF(입력란!$C$15=1,1.05*1.05,IF(입력란!$C$15=2,1.05*1.12,IF(입력란!$C$15=3,1.05*1.25)))),1)</f>
        <v>75888.314879460711</v>
      </c>
      <c r="T251" s="30">
        <f>AO251*IF(G251="근접",IF(MID(E251,1,1)="1",트라이포드!$D$16,트라이포드!$C$16),1)*IF(MID(E251,1,1)="2",트라이포드!$F$16,트라이포드!$E$16)*IF(MID(E251,3,1)="1",트라이포드!$J$16,트라이포드!$I$16)*IF(MID(E251,5,1)="2",트라이포드!$R$16,트라이포드!$Q$16)*(1+입력란!$C$42/100)*IF(입력란!$C$9=1,IF(입력란!$C$15=0,1.05,IF(입력란!$C$15=1,1.05*1.05,IF(입력란!$C$15=2,1.05*1.12,IF(입력란!$C$15=3,1.05*1.25)))),1)</f>
        <v>96585.214615813165</v>
      </c>
      <c r="U251" s="30">
        <f>AO251*IF(G251="근접",IF(MID(E251,1,1)="1",트라이포드!$D$16,트라이포드!$C$16),1)*IF(MID(E251,1,1)="2",트라이포드!$F$16,트라이포드!$E$16)*IF(MID(E251,3,1)="1",트라이포드!$J$16,트라이포드!$I$16)*IF(MID(E251,5,1)="1",트라이포드!P$16,트라이포드!O$16)*(1+입력란!$C$42/100)*IF(입력란!$C$9=1,IF(입력란!$C$15=0,1.05,IF(입력란!$C$15=1,1.05*1.05,IF(입력란!$C$15=2,1.05*1.12,IF(입력란!$C$15=3,1.05*1.25)))),1)</f>
        <v>0</v>
      </c>
      <c r="V251" s="30"/>
      <c r="W251" s="39"/>
      <c r="X251" s="39"/>
      <c r="Y251" s="39"/>
      <c r="Z251" s="25"/>
      <c r="AA251" s="30">
        <f t="shared" si="32"/>
        <v>344947.05899054778</v>
      </c>
      <c r="AB251" s="30">
        <f t="shared" si="33"/>
        <v>151776.62975892142</v>
      </c>
      <c r="AC251" s="30">
        <f t="shared" si="34"/>
        <v>193170.42923162633</v>
      </c>
      <c r="AD251" s="30">
        <f t="shared" si="37"/>
        <v>0</v>
      </c>
      <c r="AE251" s="30"/>
      <c r="AF251" s="39"/>
      <c r="AG251" s="39"/>
      <c r="AH251" s="39"/>
      <c r="AI251" s="27"/>
      <c r="AJ251" s="26">
        <f>(AQ251-IF(MID(E251,3,1)="3",트라이포드!$N$16,트라이포드!$M$16))*(1-입력란!$C$35/100)</f>
        <v>18.779733774819999</v>
      </c>
      <c r="AK25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1" s="26">
        <f>입력란!$C$47+IF(입력란!$C$18=1,10,IF(입력란!$C$18=2,25,IF(입력란!$C$18=3,50,0)))+IF(입력란!$C$23&lt;&gt;0,-12)</f>
        <v>200</v>
      </c>
      <c r="AM251" s="30">
        <f t="shared" si="35"/>
        <v>108040.60125695031</v>
      </c>
      <c r="AN251" s="30">
        <f>(VLOOKUP(C251,$B$4:$AJ$7,16,FALSE)+VLOOKUP(C251,$B$8:$AJ$11,16,FALSE)*입력란!$C$29)*IF(G251="근접",입력란!$C$50,IF(MID(E251,1,1)="2",입력란!$C$50,입력란!$C$49))*입력란!$C$48/100</f>
        <v>47537.840687479948</v>
      </c>
      <c r="AO251" s="30">
        <f>(VLOOKUP(C251,$B$4:$AJ$7,17,FALSE)+VLOOKUP(C251,$B$8:$AJ$11,17,FALSE)*입력란!$C$29)*IF(G251="근접",입력란!$C$50,IF(MID(E251,1,1)="2",입력란!$C$50,입력란!$C$49))*입력란!$C$48/100</f>
        <v>60502.76056947036</v>
      </c>
      <c r="AP251" s="30"/>
      <c r="AQ251" s="29">
        <v>24</v>
      </c>
    </row>
    <row r="252" spans="2:43" ht="13.5" customHeight="1" x14ac:dyDescent="0.3">
      <c r="B252" s="31">
        <v>237</v>
      </c>
      <c r="C252" s="36">
        <v>10</v>
      </c>
      <c r="D252" s="43" t="s">
        <v>185</v>
      </c>
      <c r="E252" s="38" t="s">
        <v>186</v>
      </c>
      <c r="F252" s="40"/>
      <c r="G252" s="40" t="s">
        <v>203</v>
      </c>
      <c r="H252" s="52">
        <f t="shared" si="30"/>
        <v>8831.2447285562102</v>
      </c>
      <c r="I252" s="53">
        <f>SUM(J252:Q252)*IF(입력란!$C$16=1,1.04,IF(입력란!$C$16=2,1.1,IF(입력란!$C$16=3,1.2,1)))*IF(입력란!$C$21=1,1+입력란!$C$38*0.001,IF(입력란!$C$21=2,1+입력란!$C$38*0.0022,IF(입력란!$C$21=3,1+입력란!$C$38*0.0045,1)))*IF(입력란!$C$18&lt;&gt;0,0.98,1)</f>
        <v>209492.74724534922</v>
      </c>
      <c r="J252" s="30">
        <f>S252*(1+IF($AK252+IF(입력란!$C$9=1,10,0)+IF(입력란!$C$26=1,10,0)&gt;100,100,$AK252+IF(입력란!$C$9=1,10,0)+IF(입력란!$C$26=1,10,0))/100*($AL252/100-1))</f>
        <v>92175.386423013639</v>
      </c>
      <c r="K252" s="30">
        <f>T252*(1+IF($AK252+IF(입력란!$C$9=1,10,0)+IF(입력란!$C$26=1,10,0)&gt;100,100,$AK252+IF(입력란!$C$9=1,10,0)+IF(입력란!$C$26=1,10,0))/100*($AL252/100-1))</f>
        <v>117317.36082233557</v>
      </c>
      <c r="L252" s="30">
        <f>U252*(1+IF($AK252+IF(입력란!$C$9=1,10,0)+IF(입력란!$C$26=1,10,0)&gt;100,100,$AK252+IF(입력란!$C$9=1,10,0)+IF(입력란!$C$26=1,10,0))/100*($AL252/100-1))</f>
        <v>0</v>
      </c>
      <c r="M252" s="30"/>
      <c r="N252" s="39"/>
      <c r="O252" s="39"/>
      <c r="P252" s="39"/>
      <c r="Q252" s="27"/>
      <c r="R252" s="24">
        <f t="shared" si="31"/>
        <v>172571.70399761834</v>
      </c>
      <c r="S252" s="30">
        <f>AN252*IF(G252="근접",IF(MID(E252,1,1)="1",트라이포드!$D$16,트라이포드!$C$16),1)*IF(MID(E252,1,1)="2",트라이포드!$F$16,트라이포드!$E$16)*IF(MID(E252,3,1)="1",트라이포드!$J$16,트라이포드!$I$16)*IF(MID(E252,5,1)="2",트라이포드!$R$16,트라이포드!$Q$16)*(1+입력란!$C$42/100)*IF(입력란!$C$9=1,IF(입력란!$C$15=0,1.05,IF(입력란!$C$15=1,1.05*1.05,IF(입력란!$C$15=2,1.05*1.12,IF(입력란!$C$15=3,1.05*1.25)))),1)</f>
        <v>75930.378071890664</v>
      </c>
      <c r="T252" s="30">
        <f>AO252*IF(G252="근접",IF(MID(E252,1,1)="1",트라이포드!$D$16,트라이포드!$C$16),1)*IF(MID(E252,1,1)="2",트라이포드!$F$16,트라이포드!$E$16)*IF(MID(E252,3,1)="1",트라이포드!$J$16,트라이포드!$I$16)*IF(MID(E252,5,1)="2",트라이포드!$R$16,트라이포드!$Q$16)*(1+입력란!$C$42/100)*IF(입력란!$C$9=1,IF(입력란!$C$15=0,1.05,IF(입력란!$C$15=1,1.05*1.05,IF(입력란!$C$15=2,1.05*1.12,IF(입력란!$C$15=3,1.05*1.25)))),1)</f>
        <v>96641.325925727666</v>
      </c>
      <c r="U252" s="30">
        <f>AO252*IF(G252="근접",IF(MID(E252,1,1)="1",트라이포드!$D$16,트라이포드!$C$16),1)*IF(MID(E252,1,1)="2",트라이포드!$F$16,트라이포드!$E$16)*IF(MID(E252,3,1)="1",트라이포드!$J$16,트라이포드!$I$16)*IF(MID(E252,5,1)="1",트라이포드!P$16,트라이포드!O$16)*(1+입력란!$C$42/100)*IF(입력란!$C$9=1,IF(입력란!$C$15=0,1.05,IF(입력란!$C$15=1,1.05*1.05,IF(입력란!$C$15=2,1.05*1.12,IF(입력란!$C$15=3,1.05*1.25)))),1)</f>
        <v>0</v>
      </c>
      <c r="V252" s="30"/>
      <c r="W252" s="39"/>
      <c r="X252" s="39"/>
      <c r="Y252" s="39"/>
      <c r="Z252" s="25"/>
      <c r="AA252" s="30">
        <f t="shared" si="32"/>
        <v>345143.40799523669</v>
      </c>
      <c r="AB252" s="30">
        <f t="shared" si="33"/>
        <v>151860.75614378133</v>
      </c>
      <c r="AC252" s="30">
        <f t="shared" si="34"/>
        <v>193282.65185145533</v>
      </c>
      <c r="AD252" s="30">
        <f t="shared" si="37"/>
        <v>0</v>
      </c>
      <c r="AE252" s="30"/>
      <c r="AF252" s="39"/>
      <c r="AG252" s="39"/>
      <c r="AH252" s="39"/>
      <c r="AI252" s="27"/>
      <c r="AJ252" s="26">
        <f>(AQ252-IF(MID(E252,3,1)="3",트라이포드!$N$16,트라이포드!$M$16))*(1-입력란!$C$35/100)</f>
        <v>23.72176897872</v>
      </c>
      <c r="AK25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2" s="26">
        <f>입력란!$C$47+IF(입력란!$C$18=1,10,IF(입력란!$C$18=2,25,IF(입력란!$C$18=3,50,0)))+IF(입력란!$C$23&lt;&gt;0,-12)</f>
        <v>200</v>
      </c>
      <c r="AM252" s="30">
        <f t="shared" si="35"/>
        <v>108102.09957667762</v>
      </c>
      <c r="AN252" s="30">
        <f>(VLOOKUP(C252,$B$4:$AJ$7,16,FALSE)+VLOOKUP(C252,$B$8:$AJ$11,16,FALSE)*입력란!$C$29)*IF(G252="근접",입력란!$C$50,IF(MID(E252,1,1)="2",입력란!$C$50,입력란!$C$49))*입력란!$C$48/100</f>
        <v>47564.189847343601</v>
      </c>
      <c r="AO252" s="30">
        <f>(VLOOKUP(C252,$B$4:$AJ$7,17,FALSE)+VLOOKUP(C252,$B$8:$AJ$11,17,FALSE)*입력란!$C$29)*IF(G252="근접",입력란!$C$50,IF(MID(E252,1,1)="2",입력란!$C$50,입력란!$C$49))*입력란!$C$48/100</f>
        <v>60537.909729334016</v>
      </c>
      <c r="AP252" s="30"/>
      <c r="AQ252" s="29">
        <v>24</v>
      </c>
    </row>
    <row r="253" spans="2:43" ht="13.5" customHeight="1" x14ac:dyDescent="0.3">
      <c r="B253" s="31">
        <v>238</v>
      </c>
      <c r="C253" s="36">
        <v>10</v>
      </c>
      <c r="D253" s="43" t="s">
        <v>185</v>
      </c>
      <c r="E253" s="38" t="s">
        <v>192</v>
      </c>
      <c r="F253" s="40"/>
      <c r="G253" s="40" t="s">
        <v>203</v>
      </c>
      <c r="H253" s="52">
        <f t="shared" si="30"/>
        <v>13776.801736871106</v>
      </c>
      <c r="I253" s="53">
        <f>SUM(J253:Q253)*IF(입력란!$C$16=1,1.04,IF(입력란!$C$16=2,1.1,IF(입력란!$C$16=3,1.2,1)))*IF(입력란!$C$21=1,1+입력란!$C$38*0.001,IF(입력란!$C$21=2,1+입력란!$C$38*0.0022,IF(입력란!$C$21=3,1+입력란!$C$38*0.0045,1)))*IF(입력란!$C$18&lt;&gt;0,0.98,1)</f>
        <v>326810.10806768481</v>
      </c>
      <c r="J253" s="30">
        <f>S253*(1+IF($AK253+IF(입력란!$C$9=1,10,0)+IF(입력란!$C$26=1,10,0)&gt;100,100,$AK253+IF(입력란!$C$9=1,10,0)+IF(입력란!$C$26=1,10,0))/100*($AL253/100-1))</f>
        <v>92175.386423013639</v>
      </c>
      <c r="K253" s="30">
        <f>T253*(1+IF($AK253+IF(입력란!$C$9=1,10,0)+IF(입력란!$C$26=1,10,0)&gt;100,100,$AK253+IF(입력란!$C$9=1,10,0)+IF(입력란!$C$26=1,10,0))/100*($AL253/100-1))</f>
        <v>117317.36082233557</v>
      </c>
      <c r="L253" s="30">
        <f>U253*(1+IF($AK253+IF(입력란!$C$9=1,10,0)+IF(입력란!$C$26=1,10,0)&gt;100,100,$AK253+IF(입력란!$C$9=1,10,0)+IF(입력란!$C$26=1,10,0))/100*($AL253/100-1))</f>
        <v>117317.36082233557</v>
      </c>
      <c r="M253" s="30"/>
      <c r="N253" s="39"/>
      <c r="O253" s="39"/>
      <c r="P253" s="39"/>
      <c r="Q253" s="27"/>
      <c r="R253" s="24">
        <f t="shared" si="31"/>
        <v>269213.02992334601</v>
      </c>
      <c r="S253" s="30">
        <f>AN253*IF(G253="근접",IF(MID(E253,1,1)="1",트라이포드!$D$16,트라이포드!$C$16),1)*IF(MID(E253,1,1)="2",트라이포드!$F$16,트라이포드!$E$16)*IF(MID(E253,3,1)="1",트라이포드!$J$16,트라이포드!$I$16)*IF(MID(E253,5,1)="2",트라이포드!$R$16,트라이포드!$Q$16)*(1+입력란!$C$42/100)*IF(입력란!$C$9=1,IF(입력란!$C$15=0,1.05,IF(입력란!$C$15=1,1.05*1.05,IF(입력란!$C$15=2,1.05*1.12,IF(입력란!$C$15=3,1.05*1.25)))),1)</f>
        <v>75930.378071890664</v>
      </c>
      <c r="T253" s="30">
        <f>AO253*IF(G253="근접",IF(MID(E253,1,1)="1",트라이포드!$D$16,트라이포드!$C$16),1)*IF(MID(E253,1,1)="2",트라이포드!$F$16,트라이포드!$E$16)*IF(MID(E253,3,1)="1",트라이포드!$J$16,트라이포드!$I$16)*IF(MID(E253,5,1)="2",트라이포드!$R$16,트라이포드!$Q$16)*(1+입력란!$C$42/100)*IF(입력란!$C$9=1,IF(입력란!$C$15=0,1.05,IF(입력란!$C$15=1,1.05*1.05,IF(입력란!$C$15=2,1.05*1.12,IF(입력란!$C$15=3,1.05*1.25)))),1)</f>
        <v>96641.325925727666</v>
      </c>
      <c r="U253" s="30">
        <f>AO253*IF(G253="근접",IF(MID(E253,1,1)="1",트라이포드!$D$16,트라이포드!$C$16),1)*IF(MID(E253,1,1)="2",트라이포드!$F$16,트라이포드!$E$16)*IF(MID(E253,3,1)="1",트라이포드!$J$16,트라이포드!$I$16)*IF(MID(E253,5,1)="1",트라이포드!P$16,트라이포드!O$16)*(1+입력란!$C$42/100)*IF(입력란!$C$9=1,IF(입력란!$C$15=0,1.05,IF(입력란!$C$15=1,1.05*1.05,IF(입력란!$C$15=2,1.05*1.12,IF(입력란!$C$15=3,1.05*1.25)))),1)</f>
        <v>96641.325925727666</v>
      </c>
      <c r="V253" s="30"/>
      <c r="W253" s="39"/>
      <c r="X253" s="39"/>
      <c r="Y253" s="39"/>
      <c r="Z253" s="25"/>
      <c r="AA253" s="30">
        <f t="shared" si="32"/>
        <v>538426.05984669202</v>
      </c>
      <c r="AB253" s="30">
        <f t="shared" si="33"/>
        <v>151860.75614378133</v>
      </c>
      <c r="AC253" s="30">
        <f t="shared" si="34"/>
        <v>193282.65185145533</v>
      </c>
      <c r="AD253" s="30">
        <f t="shared" si="37"/>
        <v>193282.65185145533</v>
      </c>
      <c r="AE253" s="30"/>
      <c r="AF253" s="39"/>
      <c r="AG253" s="39"/>
      <c r="AH253" s="39"/>
      <c r="AI253" s="27"/>
      <c r="AJ253" s="26">
        <f>(AQ253-IF(MID(E253,3,1)="3",트라이포드!$N$16,트라이포드!$M$16))*(1-입력란!$C$35/100)</f>
        <v>23.72176897872</v>
      </c>
      <c r="AK25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3" s="26">
        <f>입력란!$C$47+IF(입력란!$C$18=1,10,IF(입력란!$C$18=2,25,IF(입력란!$C$18=3,50,0)))+IF(입력란!$C$23&lt;&gt;0,-12)</f>
        <v>200</v>
      </c>
      <c r="AM253" s="30">
        <f t="shared" si="35"/>
        <v>108102.09957667762</v>
      </c>
      <c r="AN253" s="30">
        <f>(VLOOKUP(C253,$B$4:$AJ$7,16,FALSE)+VLOOKUP(C253,$B$8:$AJ$11,16,FALSE)*입력란!$C$29)*IF(G253="근접",입력란!$C$50,IF(MID(E253,1,1)="2",입력란!$C$50,입력란!$C$49))*입력란!$C$48/100</f>
        <v>47564.189847343601</v>
      </c>
      <c r="AO253" s="30">
        <f>(VLOOKUP(C253,$B$4:$AJ$7,17,FALSE)+VLOOKUP(C253,$B$8:$AJ$11,17,FALSE)*입력란!$C$29)*IF(G253="근접",입력란!$C$50,IF(MID(E253,1,1)="2",입력란!$C$50,입력란!$C$49))*입력란!$C$48/100</f>
        <v>60537.909729334016</v>
      </c>
      <c r="AP253" s="30"/>
      <c r="AQ253" s="29">
        <v>24</v>
      </c>
    </row>
    <row r="254" spans="2:43" ht="13.5" customHeight="1" x14ac:dyDescent="0.3">
      <c r="B254" s="31">
        <v>239</v>
      </c>
      <c r="C254" s="36">
        <v>10</v>
      </c>
      <c r="D254" s="43" t="s">
        <v>185</v>
      </c>
      <c r="E254" s="38" t="s">
        <v>193</v>
      </c>
      <c r="F254" s="40" t="s">
        <v>223</v>
      </c>
      <c r="G254" s="40" t="s">
        <v>203</v>
      </c>
      <c r="H254" s="52">
        <f t="shared" si="30"/>
        <v>15896.240511401178</v>
      </c>
      <c r="I254" s="53">
        <f>SUM(J254:Q254)*IF(입력란!$C$16=1,1.04,IF(입력란!$C$16=2,1.1,IF(입력란!$C$16=3,1.2,1)))*IF(입력란!$C$21=1,1+입력란!$C$38*0.001,IF(입력란!$C$21=2,1+입력란!$C$38*0.0022,IF(입력란!$C$21=3,1+입력란!$C$38*0.0045,1)))*IF(입력란!$C$18&lt;&gt;0,0.98,1)</f>
        <v>377086.94504162861</v>
      </c>
      <c r="J254" s="30">
        <f>S254*(1+IF($AK254+IF(입력란!$C$9=1,10,0)+IF(입력란!$C$26=1,10,0)&gt;100,100,$AK254+IF(입력란!$C$9=1,10,0)+IF(입력란!$C$26=1,10,0))/100*($AL254/100-1))</f>
        <v>165915.69556142457</v>
      </c>
      <c r="K254" s="30">
        <f>T254*(1+IF($AK254+IF(입력란!$C$9=1,10,0)+IF(입력란!$C$26=1,10,0)&gt;100,100,$AK254+IF(입력란!$C$9=1,10,0)+IF(입력란!$C$26=1,10,0))/100*($AL254/100-1))</f>
        <v>211171.24948020405</v>
      </c>
      <c r="L254" s="30">
        <f>U254*(1+IF($AK254+IF(입력란!$C$9=1,10,0)+IF(입력란!$C$26=1,10,0)&gt;100,100,$AK254+IF(입력란!$C$9=1,10,0)+IF(입력란!$C$26=1,10,0))/100*($AL254/100-1))</f>
        <v>0</v>
      </c>
      <c r="M254" s="30"/>
      <c r="N254" s="39"/>
      <c r="O254" s="39"/>
      <c r="P254" s="39"/>
      <c r="Q254" s="27"/>
      <c r="R254" s="24">
        <f t="shared" si="31"/>
        <v>310629.06719571305</v>
      </c>
      <c r="S254" s="30">
        <f>AN254*IF(G254="근접",IF(MID(E254,1,1)="1",트라이포드!$D$16,트라이포드!$C$16),1)*IF(MID(E254,1,1)="2",트라이포드!$F$16,트라이포드!$E$16)*IF(MID(E254,3,1)="1",트라이포드!$J$16,트라이포드!$I$16)*IF(MID(E254,5,1)="2",트라이포드!$R$16,트라이포드!$Q$16)*(1+입력란!$C$42/100)*IF(입력란!$C$9=1,IF(입력란!$C$15=0,1.05,IF(입력란!$C$15=1,1.05*1.05,IF(입력란!$C$15=2,1.05*1.12,IF(입력란!$C$15=3,1.05*1.25)))),1)</f>
        <v>136674.68052940321</v>
      </c>
      <c r="T254" s="30">
        <f>AO254*IF(G254="근접",IF(MID(E254,1,1)="1",트라이포드!$D$16,트라이포드!$C$16),1)*IF(MID(E254,1,1)="2",트라이포드!$F$16,트라이포드!$E$16)*IF(MID(E254,3,1)="1",트라이포드!$J$16,트라이포드!$I$16)*IF(MID(E254,5,1)="2",트라이포드!$R$16,트라이포드!$Q$16)*(1+입력란!$C$42/100)*IF(입력란!$C$9=1,IF(입력란!$C$15=0,1.05,IF(입력란!$C$15=1,1.05*1.05,IF(입력란!$C$15=2,1.05*1.12,IF(입력란!$C$15=3,1.05*1.25)))),1)</f>
        <v>173954.38666630982</v>
      </c>
      <c r="U254" s="30">
        <f>AO254*IF(G254="근접",IF(MID(E254,1,1)="1",트라이포드!$D$16,트라이포드!$C$16),1)*IF(MID(E254,1,1)="2",트라이포드!$F$16,트라이포드!$E$16)*IF(MID(E254,3,1)="1",트라이포드!$J$16,트라이포드!$I$16)*IF(MID(E254,5,1)="1",트라이포드!P$16,트라이포드!O$16)*(1+입력란!$C$42/100)*IF(입력란!$C$9=1,IF(입력란!$C$15=0,1.05,IF(입력란!$C$15=1,1.05*1.05,IF(입력란!$C$15=2,1.05*1.12,IF(입력란!$C$15=3,1.05*1.25)))),1)</f>
        <v>0</v>
      </c>
      <c r="V254" s="30"/>
      <c r="W254" s="39"/>
      <c r="X254" s="39"/>
      <c r="Y254" s="39"/>
      <c r="Z254" s="25"/>
      <c r="AA254" s="30">
        <f t="shared" si="32"/>
        <v>621258.13439142611</v>
      </c>
      <c r="AB254" s="30">
        <f t="shared" si="33"/>
        <v>273349.36105880642</v>
      </c>
      <c r="AC254" s="30">
        <f t="shared" si="34"/>
        <v>347908.77333261963</v>
      </c>
      <c r="AD254" s="30">
        <f t="shared" si="37"/>
        <v>0</v>
      </c>
      <c r="AE254" s="30"/>
      <c r="AF254" s="39"/>
      <c r="AG254" s="39"/>
      <c r="AH254" s="39"/>
      <c r="AI254" s="27"/>
      <c r="AJ254" s="26">
        <f>(AQ254-IF(MID(E254,3,1)="3",트라이포드!$N$16,트라이포드!$M$16))*(1-입력란!$C$35/100)</f>
        <v>23.72176897872</v>
      </c>
      <c r="AK25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4" s="26">
        <f>입력란!$C$47+IF(입력란!$C$18=1,10,IF(입력란!$C$18=2,25,IF(입력란!$C$18=3,50,0)))+IF(입력란!$C$23&lt;&gt;0,-12)</f>
        <v>200</v>
      </c>
      <c r="AM254" s="30">
        <f t="shared" si="35"/>
        <v>108102.09957667762</v>
      </c>
      <c r="AN254" s="30">
        <f>(VLOOKUP(C254,$B$4:$AJ$7,16,FALSE)+VLOOKUP(C254,$B$8:$AJ$11,16,FALSE)*입력란!$C$29)*IF(G254="근접",입력란!$C$50,IF(MID(E254,1,1)="2",입력란!$C$50,입력란!$C$49))*입력란!$C$48/100</f>
        <v>47564.189847343601</v>
      </c>
      <c r="AO254" s="30">
        <f>(VLOOKUP(C254,$B$4:$AJ$7,17,FALSE)+VLOOKUP(C254,$B$8:$AJ$11,17,FALSE)*입력란!$C$29)*IF(G254="근접",입력란!$C$50,IF(MID(E254,1,1)="2",입력란!$C$50,입력란!$C$49))*입력란!$C$48/100</f>
        <v>60537.909729334016</v>
      </c>
      <c r="AP254" s="30"/>
      <c r="AQ254" s="29">
        <v>24</v>
      </c>
    </row>
    <row r="255" spans="2:43" ht="13.5" customHeight="1" x14ac:dyDescent="0.3">
      <c r="B255" s="31">
        <v>240</v>
      </c>
      <c r="C255" s="36">
        <v>10</v>
      </c>
      <c r="D255" s="43" t="s">
        <v>185</v>
      </c>
      <c r="E255" s="38" t="s">
        <v>194</v>
      </c>
      <c r="F255" s="40"/>
      <c r="G255" s="40" t="s">
        <v>203</v>
      </c>
      <c r="H255" s="52">
        <f t="shared" si="30"/>
        <v>17221.00217108888</v>
      </c>
      <c r="I255" s="53">
        <f>SUM(J255:Q255)*IF(입력란!$C$16=1,1.04,IF(입력란!$C$16=2,1.1,IF(입력란!$C$16=3,1.2,1)))*IF(입력란!$C$21=1,1+입력란!$C$38*0.001,IF(입력란!$C$21=2,1+입력란!$C$38*0.0022,IF(입력란!$C$21=3,1+입력란!$C$38*0.0045,1)))*IF(입력란!$C$18&lt;&gt;0,0.98,1)</f>
        <v>408512.63508460595</v>
      </c>
      <c r="J255" s="30">
        <f>S255*(1+IF($AK255+IF(입력란!$C$9=1,10,0)+IF(입력란!$C$26=1,10,0)&gt;100,100,$AK255+IF(입력란!$C$9=1,10,0)+IF(입력란!$C$26=1,10,0))/100*($AL255/100-1))</f>
        <v>115219.23302876705</v>
      </c>
      <c r="K255" s="30">
        <f>T255*(1+IF($AK255+IF(입력란!$C$9=1,10,0)+IF(입력란!$C$26=1,10,0)&gt;100,100,$AK255+IF(입력란!$C$9=1,10,0)+IF(입력란!$C$26=1,10,0))/100*($AL255/100-1))</f>
        <v>146646.70102791945</v>
      </c>
      <c r="L255" s="30">
        <f>U255*(1+IF($AK255+IF(입력란!$C$9=1,10,0)+IF(입력란!$C$26=1,10,0)&gt;100,100,$AK255+IF(입력란!$C$9=1,10,0)+IF(입력란!$C$26=1,10,0))/100*($AL255/100-1))</f>
        <v>146646.70102791945</v>
      </c>
      <c r="M255" s="30"/>
      <c r="N255" s="39"/>
      <c r="O255" s="39"/>
      <c r="P255" s="39"/>
      <c r="Q255" s="27"/>
      <c r="R255" s="24">
        <f t="shared" si="31"/>
        <v>336516.28740418248</v>
      </c>
      <c r="S255" s="30">
        <f>AN255*IF(G255="근접",IF(MID(E255,1,1)="1",트라이포드!$D$16,트라이포드!$C$16),1)*IF(MID(E255,1,1)="2",트라이포드!$F$16,트라이포드!$E$16)*IF(MID(E255,3,1)="1",트라이포드!$J$16,트라이포드!$I$16)*IF(MID(E255,5,1)="2",트라이포드!$R$16,트라이포드!$Q$16)*(1+입력란!$C$42/100)*IF(입력란!$C$9=1,IF(입력란!$C$15=0,1.05,IF(입력란!$C$15=1,1.05*1.05,IF(입력란!$C$15=2,1.05*1.12,IF(입력란!$C$15=3,1.05*1.25)))),1)</f>
        <v>94912.972589863333</v>
      </c>
      <c r="T255" s="30">
        <f>AO255*IF(G255="근접",IF(MID(E255,1,1)="1",트라이포드!$D$16,트라이포드!$C$16),1)*IF(MID(E255,1,1)="2",트라이포드!$F$16,트라이포드!$E$16)*IF(MID(E255,3,1)="1",트라이포드!$J$16,트라이포드!$I$16)*IF(MID(E255,5,1)="2",트라이포드!$R$16,트라이포드!$Q$16)*(1+입력란!$C$42/100)*IF(입력란!$C$9=1,IF(입력란!$C$15=0,1.05,IF(입력란!$C$15=1,1.05*1.05,IF(입력란!$C$15=2,1.05*1.12,IF(입력란!$C$15=3,1.05*1.25)))),1)</f>
        <v>120801.65740715958</v>
      </c>
      <c r="U255" s="30">
        <f>AO255*IF(G255="근접",IF(MID(E255,1,1)="1",트라이포드!$D$16,트라이포드!$C$16),1)*IF(MID(E255,1,1)="2",트라이포드!$F$16,트라이포드!$E$16)*IF(MID(E255,3,1)="1",트라이포드!$J$16,트라이포드!$I$16)*IF(MID(E255,5,1)="1",트라이포드!P$16,트라이포드!O$16)*(1+입력란!$C$42/100)*IF(입력란!$C$9=1,IF(입력란!$C$15=0,1.05,IF(입력란!$C$15=1,1.05*1.05,IF(입력란!$C$15=2,1.05*1.12,IF(입력란!$C$15=3,1.05*1.25)))),1)</f>
        <v>120801.65740715958</v>
      </c>
      <c r="V255" s="30"/>
      <c r="W255" s="39"/>
      <c r="X255" s="39"/>
      <c r="Y255" s="39"/>
      <c r="Z255" s="25"/>
      <c r="AA255" s="30">
        <f t="shared" si="32"/>
        <v>673032.57480836497</v>
      </c>
      <c r="AB255" s="30">
        <f t="shared" si="33"/>
        <v>189825.94517972667</v>
      </c>
      <c r="AC255" s="30">
        <f t="shared" si="34"/>
        <v>241603.31481431916</v>
      </c>
      <c r="AD255" s="30">
        <f t="shared" si="37"/>
        <v>241603.31481431916</v>
      </c>
      <c r="AE255" s="30"/>
      <c r="AF255" s="39"/>
      <c r="AG255" s="39"/>
      <c r="AH255" s="39"/>
      <c r="AI255" s="27"/>
      <c r="AJ255" s="26">
        <f>(AQ255-IF(MID(E255,3,1)="3",트라이포드!$N$16,트라이포드!$M$16))*(1-입력란!$C$35/100)</f>
        <v>23.72176897872</v>
      </c>
      <c r="AK25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5" s="26">
        <f>입력란!$C$47+IF(입력란!$C$18=1,10,IF(입력란!$C$18=2,25,IF(입력란!$C$18=3,50,0)))+IF(입력란!$C$23&lt;&gt;0,-12)</f>
        <v>200</v>
      </c>
      <c r="AM255" s="30">
        <f t="shared" si="35"/>
        <v>108102.09957667762</v>
      </c>
      <c r="AN255" s="30">
        <f>(VLOOKUP(C255,$B$4:$AJ$7,16,FALSE)+VLOOKUP(C255,$B$8:$AJ$11,16,FALSE)*입력란!$C$29)*IF(G255="근접",입력란!$C$50,IF(MID(E255,1,1)="2",입력란!$C$50,입력란!$C$49))*입력란!$C$48/100</f>
        <v>47564.189847343601</v>
      </c>
      <c r="AO255" s="30">
        <f>(VLOOKUP(C255,$B$4:$AJ$7,17,FALSE)+VLOOKUP(C255,$B$8:$AJ$11,17,FALSE)*입력란!$C$29)*IF(G255="근접",입력란!$C$50,IF(MID(E255,1,1)="2",입력란!$C$50,입력란!$C$49))*입력란!$C$48/100</f>
        <v>60537.909729334016</v>
      </c>
      <c r="AP255" s="30"/>
      <c r="AQ255" s="29">
        <v>24</v>
      </c>
    </row>
    <row r="256" spans="2:43" ht="13.5" customHeight="1" x14ac:dyDescent="0.3">
      <c r="B256" s="31">
        <v>241</v>
      </c>
      <c r="C256" s="36">
        <v>10</v>
      </c>
      <c r="D256" s="43" t="s">
        <v>185</v>
      </c>
      <c r="E256" s="38" t="s">
        <v>195</v>
      </c>
      <c r="F256" s="40" t="s">
        <v>223</v>
      </c>
      <c r="G256" s="40" t="s">
        <v>203</v>
      </c>
      <c r="H256" s="52">
        <f t="shared" si="30"/>
        <v>19870.300639251473</v>
      </c>
      <c r="I256" s="53">
        <f>SUM(J256:Q256)*IF(입력란!$C$16=1,1.04,IF(입력란!$C$16=2,1.1,IF(입력란!$C$16=3,1.2,1)))*IF(입력란!$C$21=1,1+입력란!$C$38*0.001,IF(입력란!$C$21=2,1+입력란!$C$38*0.0022,IF(입력란!$C$21=3,1+입력란!$C$38*0.0045,1)))*IF(입력란!$C$18&lt;&gt;0,0.98,1)</f>
        <v>471358.68130203575</v>
      </c>
      <c r="J256" s="30">
        <f>S256*(1+IF($AK256+IF(입력란!$C$9=1,10,0)+IF(입력란!$C$26=1,10,0)&gt;100,100,$AK256+IF(입력란!$C$9=1,10,0)+IF(입력란!$C$26=1,10,0))/100*($AL256/100-1))</f>
        <v>207394.61945178069</v>
      </c>
      <c r="K256" s="30">
        <f>T256*(1+IF($AK256+IF(입력란!$C$9=1,10,0)+IF(입력란!$C$26=1,10,0)&gt;100,100,$AK256+IF(입력란!$C$9=1,10,0)+IF(입력란!$C$26=1,10,0))/100*($AL256/100-1))</f>
        <v>263964.06185025506</v>
      </c>
      <c r="L256" s="30">
        <f>U256*(1+IF($AK256+IF(입력란!$C$9=1,10,0)+IF(입력란!$C$26=1,10,0)&gt;100,100,$AK256+IF(입력란!$C$9=1,10,0)+IF(입력란!$C$26=1,10,0))/100*($AL256/100-1))</f>
        <v>0</v>
      </c>
      <c r="M256" s="30"/>
      <c r="N256" s="39"/>
      <c r="O256" s="39"/>
      <c r="P256" s="39"/>
      <c r="Q256" s="27"/>
      <c r="R256" s="24">
        <f t="shared" si="31"/>
        <v>388286.33399464132</v>
      </c>
      <c r="S256" s="30">
        <f>AN256*IF(G256="근접",IF(MID(E256,1,1)="1",트라이포드!$D$16,트라이포드!$C$16),1)*IF(MID(E256,1,1)="2",트라이포드!$F$16,트라이포드!$E$16)*IF(MID(E256,3,1)="1",트라이포드!$J$16,트라이포드!$I$16)*IF(MID(E256,5,1)="2",트라이포드!$R$16,트라이포드!$Q$16)*(1+입력란!$C$42/100)*IF(입력란!$C$9=1,IF(입력란!$C$15=0,1.05,IF(입력란!$C$15=1,1.05*1.05,IF(입력란!$C$15=2,1.05*1.12,IF(입력란!$C$15=3,1.05*1.25)))),1)</f>
        <v>170843.350661754</v>
      </c>
      <c r="T256" s="30">
        <f>AO256*IF(G256="근접",IF(MID(E256,1,1)="1",트라이포드!$D$16,트라이포드!$C$16),1)*IF(MID(E256,1,1)="2",트라이포드!$F$16,트라이포드!$E$16)*IF(MID(E256,3,1)="1",트라이포드!$J$16,트라이포드!$I$16)*IF(MID(E256,5,1)="2",트라이포드!$R$16,트라이포드!$Q$16)*(1+입력란!$C$42/100)*IF(입력란!$C$9=1,IF(입력란!$C$15=0,1.05,IF(입력란!$C$15=1,1.05*1.05,IF(입력란!$C$15=2,1.05*1.12,IF(입력란!$C$15=3,1.05*1.25)))),1)</f>
        <v>217442.98333288729</v>
      </c>
      <c r="U256" s="30">
        <f>AO256*IF(G256="근접",IF(MID(E256,1,1)="1",트라이포드!$D$16,트라이포드!$C$16),1)*IF(MID(E256,1,1)="2",트라이포드!$F$16,트라이포드!$E$16)*IF(MID(E256,3,1)="1",트라이포드!$J$16,트라이포드!$I$16)*IF(MID(E256,5,1)="1",트라이포드!P$16,트라이포드!O$16)*(1+입력란!$C$42/100)*IF(입력란!$C$9=1,IF(입력란!$C$15=0,1.05,IF(입력란!$C$15=1,1.05*1.05,IF(입력란!$C$15=2,1.05*1.12,IF(입력란!$C$15=3,1.05*1.25)))),1)</f>
        <v>0</v>
      </c>
      <c r="V256" s="30"/>
      <c r="W256" s="39"/>
      <c r="X256" s="39"/>
      <c r="Y256" s="39"/>
      <c r="Z256" s="25"/>
      <c r="AA256" s="30">
        <f t="shared" si="32"/>
        <v>776572.66798928264</v>
      </c>
      <c r="AB256" s="30">
        <f t="shared" si="33"/>
        <v>341686.70132350799</v>
      </c>
      <c r="AC256" s="30">
        <f t="shared" si="34"/>
        <v>434885.96666577458</v>
      </c>
      <c r="AD256" s="30">
        <f t="shared" si="37"/>
        <v>0</v>
      </c>
      <c r="AE256" s="30"/>
      <c r="AF256" s="39"/>
      <c r="AG256" s="39"/>
      <c r="AH256" s="39"/>
      <c r="AI256" s="27"/>
      <c r="AJ256" s="26">
        <f>(AQ256-IF(MID(E256,3,1)="3",트라이포드!$N$16,트라이포드!$M$16))*(1-입력란!$C$35/100)</f>
        <v>23.72176897872</v>
      </c>
      <c r="AK25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6" s="26">
        <f>입력란!$C$47+IF(입력란!$C$18=1,10,IF(입력란!$C$18=2,25,IF(입력란!$C$18=3,50,0)))+IF(입력란!$C$23&lt;&gt;0,-12)</f>
        <v>200</v>
      </c>
      <c r="AM256" s="30">
        <f t="shared" si="35"/>
        <v>108102.09957667762</v>
      </c>
      <c r="AN256" s="30">
        <f>(VLOOKUP(C256,$B$4:$AJ$7,16,FALSE)+VLOOKUP(C256,$B$8:$AJ$11,16,FALSE)*입력란!$C$29)*IF(G256="근접",입력란!$C$50,IF(MID(E256,1,1)="2",입력란!$C$50,입력란!$C$49))*입력란!$C$48/100</f>
        <v>47564.189847343601</v>
      </c>
      <c r="AO256" s="30">
        <f>(VLOOKUP(C256,$B$4:$AJ$7,17,FALSE)+VLOOKUP(C256,$B$8:$AJ$11,17,FALSE)*입력란!$C$29)*IF(G256="근접",입력란!$C$50,IF(MID(E256,1,1)="2",입력란!$C$50,입력란!$C$49))*입력란!$C$48/100</f>
        <v>60537.909729334016</v>
      </c>
      <c r="AP256" s="30"/>
      <c r="AQ256" s="29">
        <v>24</v>
      </c>
    </row>
    <row r="257" spans="2:43" ht="13.5" customHeight="1" x14ac:dyDescent="0.3">
      <c r="B257" s="31">
        <v>242</v>
      </c>
      <c r="C257" s="36">
        <v>10</v>
      </c>
      <c r="D257" s="43" t="s">
        <v>185</v>
      </c>
      <c r="E257" s="38" t="s">
        <v>196</v>
      </c>
      <c r="F257" s="40"/>
      <c r="G257" s="40" t="s">
        <v>203</v>
      </c>
      <c r="H257" s="52">
        <f t="shared" si="30"/>
        <v>17402.275878152977</v>
      </c>
      <c r="I257" s="53">
        <f>SUM(J257:Q257)*IF(입력란!$C$16=1,1.04,IF(입력란!$C$16=2,1.1,IF(입력란!$C$16=3,1.2,1)))*IF(입력란!$C$21=1,1+입력란!$C$38*0.001,IF(입력란!$C$21=2,1+입력란!$C$38*0.0022,IF(입력란!$C$21=3,1+입력란!$C$38*0.0045,1)))*IF(입력란!$C$18&lt;&gt;0,0.98,1)</f>
        <v>326810.10806768481</v>
      </c>
      <c r="J257" s="30">
        <f>S257*(1+IF($AK257+IF(입력란!$C$9=1,10,0)+IF(입력란!$C$26=1,10,0)&gt;100,100,$AK257+IF(입력란!$C$9=1,10,0)+IF(입력란!$C$26=1,10,0))/100*($AL257/100-1))</f>
        <v>92175.386423013639</v>
      </c>
      <c r="K257" s="30">
        <f>T257*(1+IF($AK257+IF(입력란!$C$9=1,10,0)+IF(입력란!$C$26=1,10,0)&gt;100,100,$AK257+IF(입력란!$C$9=1,10,0)+IF(입력란!$C$26=1,10,0))/100*($AL257/100-1))</f>
        <v>117317.36082233557</v>
      </c>
      <c r="L257" s="30">
        <f>U257*(1+IF($AK257+IF(입력란!$C$9=1,10,0)+IF(입력란!$C$26=1,10,0)&gt;100,100,$AK257+IF(입력란!$C$9=1,10,0)+IF(입력란!$C$26=1,10,0))/100*($AL257/100-1))</f>
        <v>117317.36082233557</v>
      </c>
      <c r="M257" s="30"/>
      <c r="N257" s="39"/>
      <c r="O257" s="39"/>
      <c r="P257" s="39"/>
      <c r="Q257" s="27"/>
      <c r="R257" s="24">
        <f t="shared" si="31"/>
        <v>269213.02992334601</v>
      </c>
      <c r="S257" s="30">
        <f>AN257*IF(G257="근접",IF(MID(E257,1,1)="1",트라이포드!$D$16,트라이포드!$C$16),1)*IF(MID(E257,1,1)="2",트라이포드!$F$16,트라이포드!$E$16)*IF(MID(E257,3,1)="1",트라이포드!$J$16,트라이포드!$I$16)*IF(MID(E257,5,1)="2",트라이포드!$R$16,트라이포드!$Q$16)*(1+입력란!$C$42/100)*IF(입력란!$C$9=1,IF(입력란!$C$15=0,1.05,IF(입력란!$C$15=1,1.05*1.05,IF(입력란!$C$15=2,1.05*1.12,IF(입력란!$C$15=3,1.05*1.25)))),1)</f>
        <v>75930.378071890664</v>
      </c>
      <c r="T257" s="30">
        <f>AO257*IF(G257="근접",IF(MID(E257,1,1)="1",트라이포드!$D$16,트라이포드!$C$16),1)*IF(MID(E257,1,1)="2",트라이포드!$F$16,트라이포드!$E$16)*IF(MID(E257,3,1)="1",트라이포드!$J$16,트라이포드!$I$16)*IF(MID(E257,5,1)="2",트라이포드!$R$16,트라이포드!$Q$16)*(1+입력란!$C$42/100)*IF(입력란!$C$9=1,IF(입력란!$C$15=0,1.05,IF(입력란!$C$15=1,1.05*1.05,IF(입력란!$C$15=2,1.05*1.12,IF(입력란!$C$15=3,1.05*1.25)))),1)</f>
        <v>96641.325925727666</v>
      </c>
      <c r="U257" s="30">
        <f>AO257*IF(G257="근접",IF(MID(E257,1,1)="1",트라이포드!$D$16,트라이포드!$C$16),1)*IF(MID(E257,1,1)="2",트라이포드!$F$16,트라이포드!$E$16)*IF(MID(E257,3,1)="1",트라이포드!$J$16,트라이포드!$I$16)*IF(MID(E257,5,1)="1",트라이포드!P$16,트라이포드!O$16)*(1+입력란!$C$42/100)*IF(입력란!$C$9=1,IF(입력란!$C$15=0,1.05,IF(입력란!$C$15=1,1.05*1.05,IF(입력란!$C$15=2,1.05*1.12,IF(입력란!$C$15=3,1.05*1.25)))),1)</f>
        <v>96641.325925727666</v>
      </c>
      <c r="V257" s="30"/>
      <c r="W257" s="39"/>
      <c r="X257" s="39"/>
      <c r="Y257" s="39"/>
      <c r="Z257" s="25"/>
      <c r="AA257" s="30">
        <f t="shared" si="32"/>
        <v>538426.05984669202</v>
      </c>
      <c r="AB257" s="30">
        <f t="shared" si="33"/>
        <v>151860.75614378133</v>
      </c>
      <c r="AC257" s="30">
        <f t="shared" si="34"/>
        <v>193282.65185145533</v>
      </c>
      <c r="AD257" s="30">
        <f t="shared" si="37"/>
        <v>193282.65185145533</v>
      </c>
      <c r="AE257" s="30"/>
      <c r="AF257" s="39"/>
      <c r="AG257" s="39"/>
      <c r="AH257" s="39"/>
      <c r="AI257" s="27"/>
      <c r="AJ257" s="26">
        <f>(AQ257-IF(MID(E257,3,1)="3",트라이포드!$N$16,트라이포드!$M$16))*(1-입력란!$C$35/100)</f>
        <v>18.779733774819999</v>
      </c>
      <c r="AK25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7" s="26">
        <f>입력란!$C$47+IF(입력란!$C$18=1,10,IF(입력란!$C$18=2,25,IF(입력란!$C$18=3,50,0)))+IF(입력란!$C$23&lt;&gt;0,-12)</f>
        <v>200</v>
      </c>
      <c r="AM257" s="30">
        <f t="shared" si="35"/>
        <v>108102.09957667762</v>
      </c>
      <c r="AN257" s="30">
        <f>(VLOOKUP(C257,$B$4:$AJ$7,16,FALSE)+VLOOKUP(C257,$B$8:$AJ$11,16,FALSE)*입력란!$C$29)*IF(G257="근접",입력란!$C$50,IF(MID(E257,1,1)="2",입력란!$C$50,입력란!$C$49))*입력란!$C$48/100</f>
        <v>47564.189847343601</v>
      </c>
      <c r="AO257" s="30">
        <f>(VLOOKUP(C257,$B$4:$AJ$7,17,FALSE)+VLOOKUP(C257,$B$8:$AJ$11,17,FALSE)*입력란!$C$29)*IF(G257="근접",입력란!$C$50,IF(MID(E257,1,1)="2",입력란!$C$50,입력란!$C$49))*입력란!$C$48/100</f>
        <v>60537.909729334016</v>
      </c>
      <c r="AP257" s="30"/>
      <c r="AQ257" s="29">
        <v>24</v>
      </c>
    </row>
    <row r="258" spans="2:43" ht="13.5" customHeight="1" x14ac:dyDescent="0.3">
      <c r="B258" s="31">
        <v>243</v>
      </c>
      <c r="C258" s="36">
        <v>10</v>
      </c>
      <c r="D258" s="43" t="s">
        <v>185</v>
      </c>
      <c r="E258" s="38" t="s">
        <v>197</v>
      </c>
      <c r="F258" s="40" t="s">
        <v>223</v>
      </c>
      <c r="G258" s="40" t="s">
        <v>203</v>
      </c>
      <c r="H258" s="52">
        <f t="shared" si="30"/>
        <v>20079.461698612016</v>
      </c>
      <c r="I258" s="53">
        <f>SUM(J258:Q258)*IF(입력란!$C$16=1,1.04,IF(입력란!$C$16=2,1.1,IF(입력란!$C$16=3,1.2,1)))*IF(입력란!$C$21=1,1+입력란!$C$38*0.001,IF(입력란!$C$21=2,1+입력란!$C$38*0.0022,IF(입력란!$C$21=3,1+입력란!$C$38*0.0045,1)))*IF(입력란!$C$18&lt;&gt;0,0.98,1)</f>
        <v>377086.94504162861</v>
      </c>
      <c r="J258" s="30">
        <f>S258*(1+IF($AK258+IF(입력란!$C$9=1,10,0)+IF(입력란!$C$26=1,10,0)&gt;100,100,$AK258+IF(입력란!$C$9=1,10,0)+IF(입력란!$C$26=1,10,0))/100*($AL258/100-1))</f>
        <v>165915.69556142457</v>
      </c>
      <c r="K258" s="30">
        <f>T258*(1+IF($AK258+IF(입력란!$C$9=1,10,0)+IF(입력란!$C$26=1,10,0)&gt;100,100,$AK258+IF(입력란!$C$9=1,10,0)+IF(입력란!$C$26=1,10,0))/100*($AL258/100-1))</f>
        <v>211171.24948020405</v>
      </c>
      <c r="L258" s="30">
        <f>U258*(1+IF($AK258+IF(입력란!$C$9=1,10,0)+IF(입력란!$C$26=1,10,0)&gt;100,100,$AK258+IF(입력란!$C$9=1,10,0)+IF(입력란!$C$26=1,10,0))/100*($AL258/100-1))</f>
        <v>0</v>
      </c>
      <c r="M258" s="30"/>
      <c r="N258" s="39"/>
      <c r="O258" s="39"/>
      <c r="P258" s="39"/>
      <c r="Q258" s="27"/>
      <c r="R258" s="24">
        <f t="shared" si="31"/>
        <v>310629.06719571305</v>
      </c>
      <c r="S258" s="30">
        <f>AN258*IF(G258="근접",IF(MID(E258,1,1)="1",트라이포드!$D$16,트라이포드!$C$16),1)*IF(MID(E258,1,1)="2",트라이포드!$F$16,트라이포드!$E$16)*IF(MID(E258,3,1)="1",트라이포드!$J$16,트라이포드!$I$16)*IF(MID(E258,5,1)="2",트라이포드!$R$16,트라이포드!$Q$16)*(1+입력란!$C$42/100)*IF(입력란!$C$9=1,IF(입력란!$C$15=0,1.05,IF(입력란!$C$15=1,1.05*1.05,IF(입력란!$C$15=2,1.05*1.12,IF(입력란!$C$15=3,1.05*1.25)))),1)</f>
        <v>136674.68052940321</v>
      </c>
      <c r="T258" s="30">
        <f>AO258*IF(G258="근접",IF(MID(E258,1,1)="1",트라이포드!$D$16,트라이포드!$C$16),1)*IF(MID(E258,1,1)="2",트라이포드!$F$16,트라이포드!$E$16)*IF(MID(E258,3,1)="1",트라이포드!$J$16,트라이포드!$I$16)*IF(MID(E258,5,1)="2",트라이포드!$R$16,트라이포드!$Q$16)*(1+입력란!$C$42/100)*IF(입력란!$C$9=1,IF(입력란!$C$15=0,1.05,IF(입력란!$C$15=1,1.05*1.05,IF(입력란!$C$15=2,1.05*1.12,IF(입력란!$C$15=3,1.05*1.25)))),1)</f>
        <v>173954.38666630982</v>
      </c>
      <c r="U258" s="30">
        <f>AO258*IF(G258="근접",IF(MID(E258,1,1)="1",트라이포드!$D$16,트라이포드!$C$16),1)*IF(MID(E258,1,1)="2",트라이포드!$F$16,트라이포드!$E$16)*IF(MID(E258,3,1)="1",트라이포드!$J$16,트라이포드!$I$16)*IF(MID(E258,5,1)="1",트라이포드!P$16,트라이포드!O$16)*(1+입력란!$C$42/100)*IF(입력란!$C$9=1,IF(입력란!$C$15=0,1.05,IF(입력란!$C$15=1,1.05*1.05,IF(입력란!$C$15=2,1.05*1.12,IF(입력란!$C$15=3,1.05*1.25)))),1)</f>
        <v>0</v>
      </c>
      <c r="V258" s="30"/>
      <c r="W258" s="39"/>
      <c r="X258" s="39"/>
      <c r="Y258" s="39"/>
      <c r="Z258" s="25"/>
      <c r="AA258" s="30">
        <f t="shared" si="32"/>
        <v>621258.13439142611</v>
      </c>
      <c r="AB258" s="30">
        <f t="shared" si="33"/>
        <v>273349.36105880642</v>
      </c>
      <c r="AC258" s="30">
        <f t="shared" si="34"/>
        <v>347908.77333261963</v>
      </c>
      <c r="AD258" s="30">
        <f t="shared" si="37"/>
        <v>0</v>
      </c>
      <c r="AE258" s="30"/>
      <c r="AF258" s="39"/>
      <c r="AG258" s="39"/>
      <c r="AH258" s="39"/>
      <c r="AI258" s="27"/>
      <c r="AJ258" s="26">
        <f>(AQ258-IF(MID(E258,3,1)="3",트라이포드!$N$16,트라이포드!$M$16))*(1-입력란!$C$35/100)</f>
        <v>18.779733774819999</v>
      </c>
      <c r="AK25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8" s="26">
        <f>입력란!$C$47+IF(입력란!$C$18=1,10,IF(입력란!$C$18=2,25,IF(입력란!$C$18=3,50,0)))+IF(입력란!$C$23&lt;&gt;0,-12)</f>
        <v>200</v>
      </c>
      <c r="AM258" s="30">
        <f t="shared" si="35"/>
        <v>108102.09957667762</v>
      </c>
      <c r="AN258" s="30">
        <f>(VLOOKUP(C258,$B$4:$AJ$7,16,FALSE)+VLOOKUP(C258,$B$8:$AJ$11,16,FALSE)*입력란!$C$29)*IF(G258="근접",입력란!$C$50,IF(MID(E258,1,1)="2",입력란!$C$50,입력란!$C$49))*입력란!$C$48/100</f>
        <v>47564.189847343601</v>
      </c>
      <c r="AO258" s="30">
        <f>(VLOOKUP(C258,$B$4:$AJ$7,17,FALSE)+VLOOKUP(C258,$B$8:$AJ$11,17,FALSE)*입력란!$C$29)*IF(G258="근접",입력란!$C$50,IF(MID(E258,1,1)="2",입력란!$C$50,입력란!$C$49))*입력란!$C$48/100</f>
        <v>60537.909729334016</v>
      </c>
      <c r="AP258" s="30"/>
      <c r="AQ258" s="29">
        <v>24</v>
      </c>
    </row>
    <row r="259" spans="2:43" ht="13.5" customHeight="1" x14ac:dyDescent="0.3">
      <c r="B259" s="31">
        <v>244</v>
      </c>
      <c r="C259" s="36">
        <v>10</v>
      </c>
      <c r="D259" s="43" t="s">
        <v>48</v>
      </c>
      <c r="E259" s="38" t="s">
        <v>151</v>
      </c>
      <c r="F259" s="40"/>
      <c r="G259" s="40" t="s">
        <v>38</v>
      </c>
      <c r="H259" s="52">
        <f t="shared" si="30"/>
        <v>37886.204776395542</v>
      </c>
      <c r="I259" s="53">
        <f>SUM(J259:Q259)*IF(입력란!$C$16=1,1.04,IF(입력란!$C$16=2,1.1,IF(입력란!$C$16=3,1.2,1)))*IF(입력란!$C$21=1,1+입력란!$C$38*0.001,IF(입력란!$C$21=2,1+입력란!$C$38*0.0022,IF(입력란!$C$21=3,1+입력란!$C$38*0.0045,1)))*IF(입력란!$C$18&lt;&gt;0,0.98,1)</f>
        <v>898727.79718613322</v>
      </c>
      <c r="J259" s="30">
        <f>S259*(1+IF($AK259+IF(입력란!$C$9=1,10,0)+IF(입력란!$C$26=1,10,0)&gt;100,100,$AK259+IF(입력란!$C$9=1,10,0)+IF(입력란!$C$26=1,10,0))/100*($AL259/100-1))</f>
        <v>253482.31266328751</v>
      </c>
      <c r="K259" s="30">
        <f>T259*(1+IF($AK259+IF(입력란!$C$9=1,10,0)+IF(입력란!$C$26=1,10,0)&gt;100,100,$AK259+IF(입력란!$C$9=1,10,0)+IF(입력란!$C$26=1,10,0))/100*($AL259/100-1))</f>
        <v>322622.74226142286</v>
      </c>
      <c r="L259" s="30">
        <f>U259*(1+IF($AK259+IF(입력란!$C$9=1,10,0)+IF(입력란!$C$26=1,10,0)&gt;100,100,$AK259+IF(입력란!$C$9=1,10,0)+IF(입력란!$C$26=1,10,0))/100*($AL259/100-1))</f>
        <v>322622.74226142286</v>
      </c>
      <c r="M259" s="30"/>
      <c r="N259" s="39"/>
      <c r="O259" s="39"/>
      <c r="P259" s="39"/>
      <c r="Q259" s="27"/>
      <c r="R259" s="24">
        <f t="shared" si="31"/>
        <v>740335.83228920156</v>
      </c>
      <c r="S259" s="30">
        <f>AN259*IF(G259="근접",IF(MID(E259,1,1)="1",트라이포드!$D$16,트라이포드!$C$16),1)*IF(MID(E259,1,1)="2",트라이포드!$F$16,트라이포드!$E$16)*IF(MID(E259,3,1)="1",트라이포드!$J$16,트라이포드!$I$16)*IF(MID(E259,5,1)="2",트라이포드!$R$16,트라이포드!$Q$16)*(1+입력란!$C$42/100)*IF(입력란!$C$9=1,IF(입력란!$C$15=0,1.05,IF(입력란!$C$15=1,1.05*1.05,IF(입력란!$C$15=2,1.05*1.12,IF(입력란!$C$15=3,1.05*1.25)))),1)</f>
        <v>208808.53969769934</v>
      </c>
      <c r="T259" s="30">
        <f>AO259*IF(G259="근접",IF(MID(E259,1,1)="1",트라이포드!$D$16,트라이포드!$C$16),1)*IF(MID(E259,1,1)="2",트라이포드!$F$16,트라이포드!$E$16)*IF(MID(E259,3,1)="1",트라이포드!$J$16,트라이포드!$I$16)*IF(MID(E259,5,1)="2",트라이포드!$R$16,트라이포드!$Q$16)*(1+입력란!$C$42/100)*IF(입력란!$C$9=1,IF(입력란!$C$15=0,1.05,IF(입력란!$C$15=1,1.05*1.05,IF(입력란!$C$15=2,1.05*1.12,IF(입력란!$C$15=3,1.05*1.25)))),1)</f>
        <v>265763.6462957511</v>
      </c>
      <c r="U259" s="30">
        <f>AO259*IF(G259="근접",IF(MID(E259,1,1)="1",트라이포드!$D$16,트라이포드!$C$16),1)*IF(MID(E259,1,1)="2",트라이포드!$F$16,트라이포드!$E$16)*IF(MID(E259,3,1)="1",트라이포드!$J$16,트라이포드!$I$16)*IF(MID(E259,5,1)="1",트라이포드!P$16,트라이포드!O$16)*(1+입력란!$C$42/100)*IF(입력란!$C$9=1,IF(입력란!$C$15=0,1.05,IF(입력란!$C$15=1,1.05*1.05,IF(입력란!$C$15=2,1.05*1.12,IF(입력란!$C$15=3,1.05*1.25)))),1)</f>
        <v>265763.6462957511</v>
      </c>
      <c r="V259" s="30"/>
      <c r="W259" s="39"/>
      <c r="X259" s="39"/>
      <c r="Y259" s="39"/>
      <c r="Z259" s="25"/>
      <c r="AA259" s="30">
        <f t="shared" si="32"/>
        <v>1480671.6645784031</v>
      </c>
      <c r="AB259" s="30">
        <f t="shared" si="33"/>
        <v>417617.07939539867</v>
      </c>
      <c r="AC259" s="30">
        <f t="shared" si="34"/>
        <v>531527.29259150219</v>
      </c>
      <c r="AD259" s="30">
        <f t="shared" si="37"/>
        <v>531527.29259150219</v>
      </c>
      <c r="AE259" s="30"/>
      <c r="AF259" s="39"/>
      <c r="AG259" s="39"/>
      <c r="AH259" s="39"/>
      <c r="AI259" s="27"/>
      <c r="AJ259" s="26">
        <f>(AQ259-IF(MID(E259,3,1)="3",트라이포드!$N$16,트라이포드!$M$16))*(1-입력란!$C$35/100)</f>
        <v>23.72176897872</v>
      </c>
      <c r="AK25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59" s="26">
        <f>입력란!$C$47+IF(입력란!$C$18=1,10,IF(입력란!$C$18=2,25,IF(입력란!$C$18=3,50,0)))+IF(입력란!$C$23&lt;&gt;0,-12)</f>
        <v>200</v>
      </c>
      <c r="AM259" s="30">
        <f t="shared" si="35"/>
        <v>216204.19915335524</v>
      </c>
      <c r="AN259" s="30">
        <f>(VLOOKUP(C259,$B$4:$AJ$7,16,FALSE)+VLOOKUP(C259,$B$8:$AJ$11,16,FALSE)*입력란!$C$29)*IF(G259="근접",입력란!$C$50,IF(MID(E259,1,1)="2",입력란!$C$50,입력란!$C$49))*입력란!$C$48/100</f>
        <v>95128.379694687203</v>
      </c>
      <c r="AO259" s="30">
        <f>(VLOOKUP(C259,$B$4:$AJ$7,17,FALSE)+VLOOKUP(C259,$B$8:$AJ$11,17,FALSE)*입력란!$C$29)*IF(G259="근접",입력란!$C$50,IF(MID(E259,1,1)="2",입력란!$C$50,입력란!$C$49))*입력란!$C$48/100</f>
        <v>121075.81945866803</v>
      </c>
      <c r="AP259" s="30"/>
      <c r="AQ259" s="29">
        <v>24</v>
      </c>
    </row>
    <row r="260" spans="2:43" ht="13.5" customHeight="1" x14ac:dyDescent="0.3">
      <c r="B260" s="31">
        <v>245</v>
      </c>
      <c r="C260" s="36">
        <v>10</v>
      </c>
      <c r="D260" s="43" t="s">
        <v>185</v>
      </c>
      <c r="E260" s="38" t="s">
        <v>198</v>
      </c>
      <c r="F260" s="40"/>
      <c r="G260" s="40" t="s">
        <v>203</v>
      </c>
      <c r="H260" s="52">
        <f t="shared" si="30"/>
        <v>17221.00217108888</v>
      </c>
      <c r="I260" s="53">
        <f>SUM(J260:Q260)*IF(입력란!$C$16=1,1.04,IF(입력란!$C$16=2,1.1,IF(입력란!$C$16=3,1.2,1)))*IF(입력란!$C$21=1,1+입력란!$C$38*0.001,IF(입력란!$C$21=2,1+입력란!$C$38*0.0022,IF(입력란!$C$21=3,1+입력란!$C$38*0.0045,1)))*IF(입력란!$C$18&lt;&gt;0,0.98,1)</f>
        <v>408512.63508460595</v>
      </c>
      <c r="J260" s="30">
        <f>S260*(1+IF($AK260+IF(입력란!$C$9=1,10,0)+IF(입력란!$C$26=1,10,0)&gt;100,100,$AK260+IF(입력란!$C$9=1,10,0)+IF(입력란!$C$26=1,10,0))/100*($AL260/100-1))</f>
        <v>115219.23302876705</v>
      </c>
      <c r="K260" s="30">
        <f>T260*(1+IF($AK260+IF(입력란!$C$9=1,10,0)+IF(입력란!$C$26=1,10,0)&gt;100,100,$AK260+IF(입력란!$C$9=1,10,0)+IF(입력란!$C$26=1,10,0))/100*($AL260/100-1))</f>
        <v>146646.70102791945</v>
      </c>
      <c r="L260" s="30">
        <f>U260*(1+IF($AK260+IF(입력란!$C$9=1,10,0)+IF(입력란!$C$26=1,10,0)&gt;100,100,$AK260+IF(입력란!$C$9=1,10,0)+IF(입력란!$C$26=1,10,0))/100*($AL260/100-1))</f>
        <v>146646.70102791945</v>
      </c>
      <c r="M260" s="30"/>
      <c r="N260" s="39"/>
      <c r="O260" s="39"/>
      <c r="P260" s="39"/>
      <c r="Q260" s="27"/>
      <c r="R260" s="24">
        <f t="shared" si="31"/>
        <v>336516.28740418248</v>
      </c>
      <c r="S260" s="30">
        <f>AN260*IF(G260="근접",IF(MID(E260,1,1)="1",트라이포드!$D$16,트라이포드!$C$16),1)*IF(MID(E260,1,1)="2",트라이포드!$F$16,트라이포드!$E$16)*IF(MID(E260,3,1)="1",트라이포드!$J$16,트라이포드!$I$16)*IF(MID(E260,5,1)="2",트라이포드!$R$16,트라이포드!$Q$16)*(1+입력란!$C$42/100)*IF(입력란!$C$9=1,IF(입력란!$C$15=0,1.05,IF(입력란!$C$15=1,1.05*1.05,IF(입력란!$C$15=2,1.05*1.12,IF(입력란!$C$15=3,1.05*1.25)))),1)</f>
        <v>94912.972589863333</v>
      </c>
      <c r="T260" s="30">
        <f>AO260*IF(G260="근접",IF(MID(E260,1,1)="1",트라이포드!$D$16,트라이포드!$C$16),1)*IF(MID(E260,1,1)="2",트라이포드!$F$16,트라이포드!$E$16)*IF(MID(E260,3,1)="1",트라이포드!$J$16,트라이포드!$I$16)*IF(MID(E260,5,1)="2",트라이포드!$R$16,트라이포드!$Q$16)*(1+입력란!$C$42/100)*IF(입력란!$C$9=1,IF(입력란!$C$15=0,1.05,IF(입력란!$C$15=1,1.05*1.05,IF(입력란!$C$15=2,1.05*1.12,IF(입력란!$C$15=3,1.05*1.25)))),1)</f>
        <v>120801.65740715958</v>
      </c>
      <c r="U260" s="30">
        <f>AO260*IF(G260="근접",IF(MID(E260,1,1)="1",트라이포드!$D$16,트라이포드!$C$16),1)*IF(MID(E260,1,1)="2",트라이포드!$F$16,트라이포드!$E$16)*IF(MID(E260,3,1)="1",트라이포드!$J$16,트라이포드!$I$16)*IF(MID(E260,5,1)="1",트라이포드!P$16,트라이포드!O$16)*(1+입력란!$C$42/100)*IF(입력란!$C$9=1,IF(입력란!$C$15=0,1.05,IF(입력란!$C$15=1,1.05*1.05,IF(입력란!$C$15=2,1.05*1.12,IF(입력란!$C$15=3,1.05*1.25)))),1)</f>
        <v>120801.65740715958</v>
      </c>
      <c r="V260" s="30"/>
      <c r="W260" s="39"/>
      <c r="X260" s="39"/>
      <c r="Y260" s="39"/>
      <c r="Z260" s="25"/>
      <c r="AA260" s="30">
        <f t="shared" si="32"/>
        <v>673032.57480836497</v>
      </c>
      <c r="AB260" s="30">
        <f t="shared" si="33"/>
        <v>189825.94517972667</v>
      </c>
      <c r="AC260" s="30">
        <f t="shared" si="34"/>
        <v>241603.31481431916</v>
      </c>
      <c r="AD260" s="30">
        <f t="shared" si="37"/>
        <v>241603.31481431916</v>
      </c>
      <c r="AE260" s="30"/>
      <c r="AF260" s="39"/>
      <c r="AG260" s="39"/>
      <c r="AH260" s="39"/>
      <c r="AI260" s="27"/>
      <c r="AJ260" s="26">
        <f>(AQ260-IF(MID(E260,3,1)="3",트라이포드!$N$16,트라이포드!$M$16))*(1-입력란!$C$35/100)</f>
        <v>23.72176897872</v>
      </c>
      <c r="AK26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0" s="26">
        <f>입력란!$C$47+IF(입력란!$C$18=1,10,IF(입력란!$C$18=2,25,IF(입력란!$C$18=3,50,0)))+IF(입력란!$C$23&lt;&gt;0,-12)</f>
        <v>200</v>
      </c>
      <c r="AM260" s="30">
        <f t="shared" si="35"/>
        <v>108102.09957667762</v>
      </c>
      <c r="AN260" s="30">
        <f>(VLOOKUP(C260,$B$4:$AJ$7,16,FALSE)+VLOOKUP(C260,$B$8:$AJ$11,16,FALSE)*입력란!$C$29)*IF(G260="근접",입력란!$C$50,IF(MID(E260,1,1)="2",입력란!$C$50,입력란!$C$49))*입력란!$C$48/100</f>
        <v>47564.189847343601</v>
      </c>
      <c r="AO260" s="30">
        <f>(VLOOKUP(C260,$B$4:$AJ$7,17,FALSE)+VLOOKUP(C260,$B$8:$AJ$11,17,FALSE)*입력란!$C$29)*IF(G260="근접",입력란!$C$50,IF(MID(E260,1,1)="2",입력란!$C$50,입력란!$C$49))*입력란!$C$48/100</f>
        <v>60537.909729334016</v>
      </c>
      <c r="AP260" s="30"/>
      <c r="AQ260" s="29">
        <v>24</v>
      </c>
    </row>
    <row r="261" spans="2:43" ht="13.5" customHeight="1" x14ac:dyDescent="0.3">
      <c r="B261" s="31">
        <v>246</v>
      </c>
      <c r="C261" s="36">
        <v>10</v>
      </c>
      <c r="D261" s="43" t="s">
        <v>48</v>
      </c>
      <c r="E261" s="38" t="s">
        <v>152</v>
      </c>
      <c r="F261" s="40" t="s">
        <v>138</v>
      </c>
      <c r="G261" s="40" t="s">
        <v>38</v>
      </c>
      <c r="H261" s="52">
        <f t="shared" si="30"/>
        <v>43714.66140635324</v>
      </c>
      <c r="I261" s="53">
        <f>SUM(J261:Q261)*IF(입력란!$C$16=1,1.04,IF(입력란!$C$16=2,1.1,IF(입력란!$C$16=3,1.2,1)))*IF(입력란!$C$21=1,1+입력란!$C$38*0.001,IF(입력란!$C$21=2,1+입력란!$C$38*0.0022,IF(입력란!$C$21=3,1+입력란!$C$38*0.0045,1)))*IF(입력란!$C$18&lt;&gt;0,0.98,1)</f>
        <v>1036989.0988644788</v>
      </c>
      <c r="J261" s="30">
        <f>S261*(1+IF($AK261+IF(입력란!$C$9=1,10,0)+IF(입력란!$C$26=1,10,0)&gt;100,100,$AK261+IF(입력란!$C$9=1,10,0)+IF(입력란!$C$26=1,10,0))/100*($AL261/100-1))</f>
        <v>456268.16279391758</v>
      </c>
      <c r="K261" s="30">
        <f>T261*(1+IF($AK261+IF(입력란!$C$9=1,10,0)+IF(입력란!$C$26=1,10,0)&gt;100,100,$AK261+IF(입력란!$C$9=1,10,0)+IF(입력란!$C$26=1,10,0))/100*($AL261/100-1))</f>
        <v>580720.93607056118</v>
      </c>
      <c r="L261" s="30">
        <f>U261*(1+IF($AK261+IF(입력란!$C$9=1,10,0)+IF(입력란!$C$26=1,10,0)&gt;100,100,$AK261+IF(입력란!$C$9=1,10,0)+IF(입력란!$C$26=1,10,0))/100*($AL261/100-1))</f>
        <v>0</v>
      </c>
      <c r="M261" s="30"/>
      <c r="N261" s="39"/>
      <c r="O261" s="39"/>
      <c r="P261" s="39"/>
      <c r="Q261" s="27"/>
      <c r="R261" s="24">
        <f t="shared" si="31"/>
        <v>854229.9347882109</v>
      </c>
      <c r="S261" s="30">
        <f>AN261*IF(G261="근접",IF(MID(E261,1,1)="1",트라이포드!$D$16,트라이포드!$C$16),1)*IF(MID(E261,1,1)="2",트라이포드!$F$16,트라이포드!$E$16)*IF(MID(E261,3,1)="1",트라이포드!$J$16,트라이포드!$I$16)*IF(MID(E261,5,1)="2",트라이포드!$R$16,트라이포드!$Q$16)*(1+입력란!$C$42/100)*IF(입력란!$C$9=1,IF(입력란!$C$15=0,1.05,IF(입력란!$C$15=1,1.05*1.05,IF(입력란!$C$15=2,1.05*1.12,IF(입력란!$C$15=3,1.05*1.25)))),1)</f>
        <v>375855.37145585887</v>
      </c>
      <c r="T261" s="30">
        <f>AO261*IF(G261="근접",IF(MID(E261,1,1)="1",트라이포드!$D$16,트라이포드!$C$16),1)*IF(MID(E261,1,1)="2",트라이포드!$F$16,트라이포드!$E$16)*IF(MID(E261,3,1)="1",트라이포드!$J$16,트라이포드!$I$16)*IF(MID(E261,5,1)="2",트라이포드!$R$16,트라이포드!$Q$16)*(1+입력란!$C$42/100)*IF(입력란!$C$9=1,IF(입력란!$C$15=0,1.05,IF(입력란!$C$15=1,1.05*1.05,IF(입력란!$C$15=2,1.05*1.12,IF(입력란!$C$15=3,1.05*1.25)))),1)</f>
        <v>478374.56333235203</v>
      </c>
      <c r="U261" s="30">
        <f>AO261*IF(G261="근접",IF(MID(E261,1,1)="1",트라이포드!$D$16,트라이포드!$C$16),1)*IF(MID(E261,1,1)="2",트라이포드!$F$16,트라이포드!$E$16)*IF(MID(E261,3,1)="1",트라이포드!$J$16,트라이포드!$I$16)*IF(MID(E261,5,1)="1",트라이포드!P$16,트라이포드!O$16)*(1+입력란!$C$42/100)*IF(입력란!$C$9=1,IF(입력란!$C$15=0,1.05,IF(입력란!$C$15=1,1.05*1.05,IF(입력란!$C$15=2,1.05*1.12,IF(입력란!$C$15=3,1.05*1.25)))),1)</f>
        <v>0</v>
      </c>
      <c r="V261" s="30"/>
      <c r="W261" s="39"/>
      <c r="X261" s="39"/>
      <c r="Y261" s="39"/>
      <c r="Z261" s="25"/>
      <c r="AA261" s="30">
        <f t="shared" si="32"/>
        <v>1708459.8695764218</v>
      </c>
      <c r="AB261" s="30">
        <f t="shared" si="33"/>
        <v>751710.74291171774</v>
      </c>
      <c r="AC261" s="30">
        <f t="shared" si="34"/>
        <v>956749.12666470406</v>
      </c>
      <c r="AD261" s="30">
        <f t="shared" si="37"/>
        <v>0</v>
      </c>
      <c r="AE261" s="30"/>
      <c r="AF261" s="39"/>
      <c r="AG261" s="39"/>
      <c r="AH261" s="39"/>
      <c r="AI261" s="27"/>
      <c r="AJ261" s="26">
        <f>(AQ261-IF(MID(E261,3,1)="3",트라이포드!$N$16,트라이포드!$M$16))*(1-입력란!$C$35/100)</f>
        <v>23.72176897872</v>
      </c>
      <c r="AK26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1" s="26">
        <f>입력란!$C$47+IF(입력란!$C$18=1,10,IF(입력란!$C$18=2,25,IF(입력란!$C$18=3,50,0)))+IF(입력란!$C$23&lt;&gt;0,-12)</f>
        <v>200</v>
      </c>
      <c r="AM261" s="30">
        <f t="shared" si="35"/>
        <v>216204.19915335524</v>
      </c>
      <c r="AN261" s="30">
        <f>(VLOOKUP(C261,$B$4:$AJ$7,16,FALSE)+VLOOKUP(C261,$B$8:$AJ$11,16,FALSE)*입력란!$C$29)*IF(G261="근접",입력란!$C$50,IF(MID(E261,1,1)="2",입력란!$C$50,입력란!$C$49))*입력란!$C$48/100</f>
        <v>95128.379694687203</v>
      </c>
      <c r="AO261" s="30">
        <f>(VLOOKUP(C261,$B$4:$AJ$7,17,FALSE)+VLOOKUP(C261,$B$8:$AJ$11,17,FALSE)*입력란!$C$29)*IF(G261="근접",입력란!$C$50,IF(MID(E261,1,1)="2",입력란!$C$50,입력란!$C$49))*입력란!$C$48/100</f>
        <v>121075.81945866803</v>
      </c>
      <c r="AP261" s="30"/>
      <c r="AQ261" s="29">
        <v>24</v>
      </c>
    </row>
    <row r="262" spans="2:43" ht="13.5" customHeight="1" x14ac:dyDescent="0.3">
      <c r="B262" s="31">
        <v>247</v>
      </c>
      <c r="C262" s="36">
        <v>10</v>
      </c>
      <c r="D262" s="43" t="s">
        <v>185</v>
      </c>
      <c r="E262" s="38" t="s">
        <v>199</v>
      </c>
      <c r="F262" s="40" t="s">
        <v>223</v>
      </c>
      <c r="G262" s="40" t="s">
        <v>203</v>
      </c>
      <c r="H262" s="52">
        <f t="shared" si="30"/>
        <v>19870.300639251473</v>
      </c>
      <c r="I262" s="53">
        <f>SUM(J262:Q262)*IF(입력란!$C$16=1,1.04,IF(입력란!$C$16=2,1.1,IF(입력란!$C$16=3,1.2,1)))*IF(입력란!$C$21=1,1+입력란!$C$38*0.001,IF(입력란!$C$21=2,1+입력란!$C$38*0.0022,IF(입력란!$C$21=3,1+입력란!$C$38*0.0045,1)))*IF(입력란!$C$18&lt;&gt;0,0.98,1)</f>
        <v>471358.68130203575</v>
      </c>
      <c r="J262" s="30">
        <f>S262*(1+IF($AK262+IF(입력란!$C$9=1,10,0)+IF(입력란!$C$26=1,10,0)&gt;100,100,$AK262+IF(입력란!$C$9=1,10,0)+IF(입력란!$C$26=1,10,0))/100*($AL262/100-1))</f>
        <v>207394.61945178069</v>
      </c>
      <c r="K262" s="30">
        <f>T262*(1+IF($AK262+IF(입력란!$C$9=1,10,0)+IF(입력란!$C$26=1,10,0)&gt;100,100,$AK262+IF(입력란!$C$9=1,10,0)+IF(입력란!$C$26=1,10,0))/100*($AL262/100-1))</f>
        <v>263964.06185025506</v>
      </c>
      <c r="L262" s="30">
        <f>U262*(1+IF($AK262+IF(입력란!$C$9=1,10,0)+IF(입력란!$C$26=1,10,0)&gt;100,100,$AK262+IF(입력란!$C$9=1,10,0)+IF(입력란!$C$26=1,10,0))/100*($AL262/100-1))</f>
        <v>0</v>
      </c>
      <c r="M262" s="30"/>
      <c r="N262" s="39"/>
      <c r="O262" s="39"/>
      <c r="P262" s="39"/>
      <c r="Q262" s="27"/>
      <c r="R262" s="24">
        <f t="shared" si="31"/>
        <v>388286.33399464132</v>
      </c>
      <c r="S262" s="30">
        <f>AN262*IF(G262="근접",IF(MID(E262,1,1)="1",트라이포드!$D$16,트라이포드!$C$16),1)*IF(MID(E262,1,1)="2",트라이포드!$F$16,트라이포드!$E$16)*IF(MID(E262,3,1)="1",트라이포드!$J$16,트라이포드!$I$16)*IF(MID(E262,5,1)="2",트라이포드!$R$16,트라이포드!$Q$16)*(1+입력란!$C$42/100)*IF(입력란!$C$9=1,IF(입력란!$C$15=0,1.05,IF(입력란!$C$15=1,1.05*1.05,IF(입력란!$C$15=2,1.05*1.12,IF(입력란!$C$15=3,1.05*1.25)))),1)</f>
        <v>170843.350661754</v>
      </c>
      <c r="T262" s="30">
        <f>AO262*IF(G262="근접",IF(MID(E262,1,1)="1",트라이포드!$D$16,트라이포드!$C$16),1)*IF(MID(E262,1,1)="2",트라이포드!$F$16,트라이포드!$E$16)*IF(MID(E262,3,1)="1",트라이포드!$J$16,트라이포드!$I$16)*IF(MID(E262,5,1)="2",트라이포드!$R$16,트라이포드!$Q$16)*(1+입력란!$C$42/100)*IF(입력란!$C$9=1,IF(입력란!$C$15=0,1.05,IF(입력란!$C$15=1,1.05*1.05,IF(입력란!$C$15=2,1.05*1.12,IF(입력란!$C$15=3,1.05*1.25)))),1)</f>
        <v>217442.98333288729</v>
      </c>
      <c r="U262" s="30">
        <f>AO262*IF(G262="근접",IF(MID(E262,1,1)="1",트라이포드!$D$16,트라이포드!$C$16),1)*IF(MID(E262,1,1)="2",트라이포드!$F$16,트라이포드!$E$16)*IF(MID(E262,3,1)="1",트라이포드!$J$16,트라이포드!$I$16)*IF(MID(E262,5,1)="1",트라이포드!P$16,트라이포드!O$16)*(1+입력란!$C$42/100)*IF(입력란!$C$9=1,IF(입력란!$C$15=0,1.05,IF(입력란!$C$15=1,1.05*1.05,IF(입력란!$C$15=2,1.05*1.12,IF(입력란!$C$15=3,1.05*1.25)))),1)</f>
        <v>0</v>
      </c>
      <c r="V262" s="30"/>
      <c r="W262" s="39"/>
      <c r="X262" s="39"/>
      <c r="Y262" s="39"/>
      <c r="Z262" s="25"/>
      <c r="AA262" s="30">
        <f t="shared" si="32"/>
        <v>776572.66798928264</v>
      </c>
      <c r="AB262" s="30">
        <f t="shared" si="33"/>
        <v>341686.70132350799</v>
      </c>
      <c r="AC262" s="30">
        <f t="shared" si="34"/>
        <v>434885.96666577458</v>
      </c>
      <c r="AD262" s="30">
        <f t="shared" si="37"/>
        <v>0</v>
      </c>
      <c r="AE262" s="30"/>
      <c r="AF262" s="39"/>
      <c r="AG262" s="39"/>
      <c r="AH262" s="39"/>
      <c r="AI262" s="27"/>
      <c r="AJ262" s="26">
        <f>(AQ262-IF(MID(E262,3,1)="3",트라이포드!$N$16,트라이포드!$M$16))*(1-입력란!$C$35/100)</f>
        <v>23.72176897872</v>
      </c>
      <c r="AK2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2" s="26">
        <f>입력란!$C$47+IF(입력란!$C$18=1,10,IF(입력란!$C$18=2,25,IF(입력란!$C$18=3,50,0)))+IF(입력란!$C$23&lt;&gt;0,-12)</f>
        <v>200</v>
      </c>
      <c r="AM262" s="30">
        <f t="shared" si="35"/>
        <v>108102.09957667762</v>
      </c>
      <c r="AN262" s="30">
        <f>(VLOOKUP(C262,$B$4:$AJ$7,16,FALSE)+VLOOKUP(C262,$B$8:$AJ$11,16,FALSE)*입력란!$C$29)*IF(G262="근접",입력란!$C$50,IF(MID(E262,1,1)="2",입력란!$C$50,입력란!$C$49))*입력란!$C$48/100</f>
        <v>47564.189847343601</v>
      </c>
      <c r="AO262" s="30">
        <f>(VLOOKUP(C262,$B$4:$AJ$7,17,FALSE)+VLOOKUP(C262,$B$8:$AJ$11,17,FALSE)*입력란!$C$29)*IF(G262="근접",입력란!$C$50,IF(MID(E262,1,1)="2",입력란!$C$50,입력란!$C$49))*입력란!$C$48/100</f>
        <v>60537.909729334016</v>
      </c>
      <c r="AP262" s="30"/>
      <c r="AQ262" s="29">
        <v>24</v>
      </c>
    </row>
    <row r="263" spans="2:43" ht="13.5" customHeight="1" x14ac:dyDescent="0.3">
      <c r="B263" s="31">
        <v>248</v>
      </c>
      <c r="C263" s="36">
        <v>10</v>
      </c>
      <c r="D263" s="43" t="s">
        <v>48</v>
      </c>
      <c r="E263" s="38" t="s">
        <v>105</v>
      </c>
      <c r="F263" s="40"/>
      <c r="G263" s="40" t="s">
        <v>38</v>
      </c>
      <c r="H263" s="52">
        <f t="shared" si="30"/>
        <v>38285.006931936543</v>
      </c>
      <c r="I263" s="53">
        <f>SUM(J263:Q263)*IF(입력란!$C$16=1,1.04,IF(입력란!$C$16=2,1.1,IF(입력란!$C$16=3,1.2,1)))*IF(입력란!$C$21=1,1+입력란!$C$38*0.001,IF(입력란!$C$21=2,1+입력란!$C$38*0.0022,IF(입력란!$C$21=3,1+입력란!$C$38*0.0045,1)))*IF(입력란!$C$18&lt;&gt;0,0.98,1)</f>
        <v>718982.23774890648</v>
      </c>
      <c r="J263" s="30">
        <f>S263*(1+IF($AK263+IF(입력란!$C$9=1,10,0)+IF(입력란!$C$26=1,10,0)&gt;100,100,$AK263+IF(입력란!$C$9=1,10,0)+IF(입력란!$C$26=1,10,0))/100*($AL263/100-1))</f>
        <v>202785.85013063002</v>
      </c>
      <c r="K263" s="30">
        <f>T263*(1+IF($AK263+IF(입력란!$C$9=1,10,0)+IF(입력란!$C$26=1,10,0)&gt;100,100,$AK263+IF(입력란!$C$9=1,10,0)+IF(입력란!$C$26=1,10,0))/100*($AL263/100-1))</f>
        <v>258098.19380913826</v>
      </c>
      <c r="L263" s="30">
        <f>U263*(1+IF($AK263+IF(입력란!$C$9=1,10,0)+IF(입력란!$C$26=1,10,0)&gt;100,100,$AK263+IF(입력란!$C$9=1,10,0)+IF(입력란!$C$26=1,10,0))/100*($AL263/100-1))</f>
        <v>258098.19380913826</v>
      </c>
      <c r="M263" s="30"/>
      <c r="N263" s="39"/>
      <c r="O263" s="39"/>
      <c r="P263" s="39"/>
      <c r="Q263" s="27"/>
      <c r="R263" s="24">
        <f t="shared" si="31"/>
        <v>592268.6658313612</v>
      </c>
      <c r="S263" s="30">
        <f>AN263*IF(G263="근접",IF(MID(E263,1,1)="1",트라이포드!$D$16,트라이포드!$C$16),1)*IF(MID(E263,1,1)="2",트라이포드!$F$16,트라이포드!$E$16)*IF(MID(E263,3,1)="1",트라이포드!$J$16,트라이포드!$I$16)*IF(MID(E263,5,1)="2",트라이포드!$R$16,트라이포드!$Q$16)*(1+입력란!$C$42/100)*IF(입력란!$C$9=1,IF(입력란!$C$15=0,1.05,IF(입력란!$C$15=1,1.05*1.05,IF(입력란!$C$15=2,1.05*1.12,IF(입력란!$C$15=3,1.05*1.25)))),1)</f>
        <v>167046.83175815947</v>
      </c>
      <c r="T263" s="30">
        <f>AO263*IF(G263="근접",IF(MID(E263,1,1)="1",트라이포드!$D$16,트라이포드!$C$16),1)*IF(MID(E263,1,1)="2",트라이포드!$F$16,트라이포드!$E$16)*IF(MID(E263,3,1)="1",트라이포드!$J$16,트라이포드!$I$16)*IF(MID(E263,5,1)="2",트라이포드!$R$16,트라이포드!$Q$16)*(1+입력란!$C$42/100)*IF(입력란!$C$9=1,IF(입력란!$C$15=0,1.05,IF(입력란!$C$15=1,1.05*1.05,IF(입력란!$C$15=2,1.05*1.12,IF(입력란!$C$15=3,1.05*1.25)))),1)</f>
        <v>212610.91703660088</v>
      </c>
      <c r="U263" s="30">
        <f>AO263*IF(G263="근접",IF(MID(E263,1,1)="1",트라이포드!$D$16,트라이포드!$C$16),1)*IF(MID(E263,1,1)="2",트라이포드!$F$16,트라이포드!$E$16)*IF(MID(E263,3,1)="1",트라이포드!$J$16,트라이포드!$I$16)*IF(MID(E263,5,1)="1",트라이포드!P$16,트라이포드!O$16)*(1+입력란!$C$42/100)*IF(입력란!$C$9=1,IF(입력란!$C$15=0,1.05,IF(입력란!$C$15=1,1.05*1.05,IF(입력란!$C$15=2,1.05*1.12,IF(입력란!$C$15=3,1.05*1.25)))),1)</f>
        <v>212610.91703660088</v>
      </c>
      <c r="V263" s="30"/>
      <c r="W263" s="39"/>
      <c r="X263" s="39"/>
      <c r="Y263" s="39"/>
      <c r="Z263" s="27"/>
      <c r="AA263" s="30">
        <f t="shared" si="32"/>
        <v>1184537.3316627224</v>
      </c>
      <c r="AB263" s="30">
        <f t="shared" si="33"/>
        <v>334093.66351631895</v>
      </c>
      <c r="AC263" s="30">
        <f t="shared" si="34"/>
        <v>425221.83407320175</v>
      </c>
      <c r="AD263" s="30">
        <f t="shared" si="37"/>
        <v>425221.83407320175</v>
      </c>
      <c r="AE263" s="30"/>
      <c r="AF263" s="39"/>
      <c r="AG263" s="39"/>
      <c r="AH263" s="39"/>
      <c r="AI263" s="27"/>
      <c r="AJ263" s="26">
        <f>(AQ263-IF(MID(E263,3,1)="3",트라이포드!$N$16,트라이포드!$M$16))*(1-입력란!$C$35/100)</f>
        <v>18.779733774819999</v>
      </c>
      <c r="AK2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3" s="26">
        <f>입력란!$C$47+IF(입력란!$C$18=1,10,IF(입력란!$C$18=2,25,IF(입력란!$C$18=3,50,0)))+IF(입력란!$C$23&lt;&gt;0,-12)</f>
        <v>200</v>
      </c>
      <c r="AM263" s="30">
        <f t="shared" si="35"/>
        <v>216204.19915335524</v>
      </c>
      <c r="AN263" s="30">
        <f>(VLOOKUP(C263,$B$4:$AJ$7,16,FALSE)+VLOOKUP(C263,$B$8:$AJ$11,16,FALSE)*입력란!$C$29)*IF(G263="근접",입력란!$C$50,IF(MID(E263,1,1)="2",입력란!$C$50,입력란!$C$49))*입력란!$C$48/100</f>
        <v>95128.379694687203</v>
      </c>
      <c r="AO263" s="30">
        <f>(VLOOKUP(C263,$B$4:$AJ$7,17,FALSE)+VLOOKUP(C263,$B$8:$AJ$11,17,FALSE)*입력란!$C$29)*IF(G263="근접",입력란!$C$50,IF(MID(E263,1,1)="2",입력란!$C$50,입력란!$C$49))*입력란!$C$48/100</f>
        <v>121075.81945866803</v>
      </c>
      <c r="AP263" s="30"/>
      <c r="AQ263" s="29">
        <v>24</v>
      </c>
    </row>
    <row r="264" spans="2:43" ht="13.5" customHeight="1" x14ac:dyDescent="0.3">
      <c r="B264" s="31">
        <v>249</v>
      </c>
      <c r="C264" s="36">
        <v>10</v>
      </c>
      <c r="D264" s="43" t="s">
        <v>185</v>
      </c>
      <c r="E264" s="38" t="s">
        <v>200</v>
      </c>
      <c r="F264" s="40"/>
      <c r="G264" s="40" t="s">
        <v>203</v>
      </c>
      <c r="H264" s="52">
        <f t="shared" si="30"/>
        <v>17402.275878152977</v>
      </c>
      <c r="I264" s="53">
        <f>SUM(J264:Q264)*IF(입력란!$C$16=1,1.04,IF(입력란!$C$16=2,1.1,IF(입력란!$C$16=3,1.2,1)))*IF(입력란!$C$21=1,1+입력란!$C$38*0.001,IF(입력란!$C$21=2,1+입력란!$C$38*0.0022,IF(입력란!$C$21=3,1+입력란!$C$38*0.0045,1)))*IF(입력란!$C$18&lt;&gt;0,0.98,1)</f>
        <v>326810.10806768481</v>
      </c>
      <c r="J264" s="30">
        <f>S264*(1+IF($AK264+IF(입력란!$C$9=1,10,0)+IF(입력란!$C$26=1,10,0)&gt;100,100,$AK264+IF(입력란!$C$9=1,10,0)+IF(입력란!$C$26=1,10,0))/100*($AL264/100-1))</f>
        <v>92175.386423013639</v>
      </c>
      <c r="K264" s="30">
        <f>T264*(1+IF($AK264+IF(입력란!$C$9=1,10,0)+IF(입력란!$C$26=1,10,0)&gt;100,100,$AK264+IF(입력란!$C$9=1,10,0)+IF(입력란!$C$26=1,10,0))/100*($AL264/100-1))</f>
        <v>117317.36082233557</v>
      </c>
      <c r="L264" s="30">
        <f>U264*(1+IF($AK264+IF(입력란!$C$9=1,10,0)+IF(입력란!$C$26=1,10,0)&gt;100,100,$AK264+IF(입력란!$C$9=1,10,0)+IF(입력란!$C$26=1,10,0))/100*($AL264/100-1))</f>
        <v>117317.36082233557</v>
      </c>
      <c r="M264" s="30"/>
      <c r="N264" s="39"/>
      <c r="O264" s="39"/>
      <c r="P264" s="39"/>
      <c r="Q264" s="27"/>
      <c r="R264" s="24">
        <f t="shared" si="31"/>
        <v>269213.02992334601</v>
      </c>
      <c r="S264" s="30">
        <f>AN264*IF(G264="근접",IF(MID(E264,1,1)="1",트라이포드!$D$16,트라이포드!$C$16),1)*IF(MID(E264,1,1)="2",트라이포드!$F$16,트라이포드!$E$16)*IF(MID(E264,3,1)="1",트라이포드!$J$16,트라이포드!$I$16)*IF(MID(E264,5,1)="2",트라이포드!$R$16,트라이포드!$Q$16)*(1+입력란!$C$42/100)*IF(입력란!$C$9=1,IF(입력란!$C$15=0,1.05,IF(입력란!$C$15=1,1.05*1.05,IF(입력란!$C$15=2,1.05*1.12,IF(입력란!$C$15=3,1.05*1.25)))),1)</f>
        <v>75930.378071890664</v>
      </c>
      <c r="T264" s="30">
        <f>AO264*IF(G264="근접",IF(MID(E264,1,1)="1",트라이포드!$D$16,트라이포드!$C$16),1)*IF(MID(E264,1,1)="2",트라이포드!$F$16,트라이포드!$E$16)*IF(MID(E264,3,1)="1",트라이포드!$J$16,트라이포드!$I$16)*IF(MID(E264,5,1)="2",트라이포드!$R$16,트라이포드!$Q$16)*(1+입력란!$C$42/100)*IF(입력란!$C$9=1,IF(입력란!$C$15=0,1.05,IF(입력란!$C$15=1,1.05*1.05,IF(입력란!$C$15=2,1.05*1.12,IF(입력란!$C$15=3,1.05*1.25)))),1)</f>
        <v>96641.325925727666</v>
      </c>
      <c r="U264" s="30">
        <f>AO264*IF(G264="근접",IF(MID(E264,1,1)="1",트라이포드!$D$16,트라이포드!$C$16),1)*IF(MID(E264,1,1)="2",트라이포드!$F$16,트라이포드!$E$16)*IF(MID(E264,3,1)="1",트라이포드!$J$16,트라이포드!$I$16)*IF(MID(E264,5,1)="1",트라이포드!P$16,트라이포드!O$16)*(1+입력란!$C$42/100)*IF(입력란!$C$9=1,IF(입력란!$C$15=0,1.05,IF(입력란!$C$15=1,1.05*1.05,IF(입력란!$C$15=2,1.05*1.12,IF(입력란!$C$15=3,1.05*1.25)))),1)</f>
        <v>96641.325925727666</v>
      </c>
      <c r="V264" s="30"/>
      <c r="W264" s="39"/>
      <c r="X264" s="39"/>
      <c r="Y264" s="39"/>
      <c r="Z264" s="27"/>
      <c r="AA264" s="30">
        <f t="shared" si="32"/>
        <v>538426.05984669202</v>
      </c>
      <c r="AB264" s="30">
        <f t="shared" si="33"/>
        <v>151860.75614378133</v>
      </c>
      <c r="AC264" s="30">
        <f t="shared" si="34"/>
        <v>193282.65185145533</v>
      </c>
      <c r="AD264" s="30">
        <f t="shared" si="37"/>
        <v>193282.65185145533</v>
      </c>
      <c r="AE264" s="30"/>
      <c r="AF264" s="39"/>
      <c r="AG264" s="39"/>
      <c r="AH264" s="39"/>
      <c r="AI264" s="27"/>
      <c r="AJ264" s="26">
        <f>(AQ264-IF(MID(E264,3,1)="3",트라이포드!$N$16,트라이포드!$M$16))*(1-입력란!$C$35/100)</f>
        <v>18.779733774819999</v>
      </c>
      <c r="AK2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4" s="26">
        <f>입력란!$C$47+IF(입력란!$C$18=1,10,IF(입력란!$C$18=2,25,IF(입력란!$C$18=3,50,0)))+IF(입력란!$C$23&lt;&gt;0,-12)</f>
        <v>200</v>
      </c>
      <c r="AM264" s="30">
        <f t="shared" si="35"/>
        <v>108102.09957667762</v>
      </c>
      <c r="AN264" s="30">
        <f>(VLOOKUP(C264,$B$4:$AJ$7,16,FALSE)+VLOOKUP(C264,$B$8:$AJ$11,16,FALSE)*입력란!$C$29)*IF(G264="근접",입력란!$C$50,IF(MID(E264,1,1)="2",입력란!$C$50,입력란!$C$49))*입력란!$C$48/100</f>
        <v>47564.189847343601</v>
      </c>
      <c r="AO264" s="30">
        <f>(VLOOKUP(C264,$B$4:$AJ$7,17,FALSE)+VLOOKUP(C264,$B$8:$AJ$11,17,FALSE)*입력란!$C$29)*IF(G264="근접",입력란!$C$50,IF(MID(E264,1,1)="2",입력란!$C$50,입력란!$C$49))*입력란!$C$48/100</f>
        <v>60537.909729334016</v>
      </c>
      <c r="AP264" s="30"/>
      <c r="AQ264" s="29">
        <v>24</v>
      </c>
    </row>
    <row r="265" spans="2:43" ht="13.5" customHeight="1" x14ac:dyDescent="0.3">
      <c r="B265" s="31">
        <v>250</v>
      </c>
      <c r="C265" s="36">
        <v>10</v>
      </c>
      <c r="D265" s="43" t="s">
        <v>48</v>
      </c>
      <c r="E265" s="38" t="s">
        <v>106</v>
      </c>
      <c r="F265" s="40" t="s">
        <v>138</v>
      </c>
      <c r="G265" s="40" t="s">
        <v>38</v>
      </c>
      <c r="H265" s="52">
        <f t="shared" si="30"/>
        <v>44174.815736946446</v>
      </c>
      <c r="I265" s="53">
        <f>SUM(J265:Q265)*IF(입력란!$C$16=1,1.04,IF(입력란!$C$16=2,1.1,IF(입력란!$C$16=3,1.2,1)))*IF(입력란!$C$21=1,1+입력란!$C$38*0.001,IF(입력란!$C$21=2,1+입력란!$C$38*0.0022,IF(입력란!$C$21=3,1+입력란!$C$38*0.0045,1)))*IF(입력란!$C$18&lt;&gt;0,0.98,1)</f>
        <v>829591.2790915831</v>
      </c>
      <c r="J265" s="30">
        <f>S265*(1+IF($AK265+IF(입력란!$C$9=1,10,0)+IF(입력란!$C$26=1,10,0)&gt;100,100,$AK265+IF(입력란!$C$9=1,10,0)+IF(입력란!$C$26=1,10,0))/100*($AL265/100-1))</f>
        <v>365014.53023513407</v>
      </c>
      <c r="K265" s="30">
        <f>T265*(1+IF($AK265+IF(입력란!$C$9=1,10,0)+IF(입력란!$C$26=1,10,0)&gt;100,100,$AK265+IF(입력란!$C$9=1,10,0)+IF(입력란!$C$26=1,10,0))/100*($AL265/100-1))</f>
        <v>464576.74885644898</v>
      </c>
      <c r="L265" s="30">
        <f>U265*(1+IF($AK265+IF(입력란!$C$9=1,10,0)+IF(입력란!$C$26=1,10,0)&gt;100,100,$AK265+IF(입력란!$C$9=1,10,0)+IF(입력란!$C$26=1,10,0))/100*($AL265/100-1))</f>
        <v>0</v>
      </c>
      <c r="M265" s="30"/>
      <c r="N265" s="39"/>
      <c r="O265" s="39"/>
      <c r="P265" s="39"/>
      <c r="Q265" s="27"/>
      <c r="R265" s="24">
        <f t="shared" si="31"/>
        <v>683383.94783056877</v>
      </c>
      <c r="S265" s="30">
        <f>AN265*IF(G265="근접",IF(MID(E265,1,1)="1",트라이포드!$D$16,트라이포드!$C$16),1)*IF(MID(E265,1,1)="2",트라이포드!$F$16,트라이포드!$E$16)*IF(MID(E265,3,1)="1",트라이포드!$J$16,트라이포드!$I$16)*IF(MID(E265,5,1)="2",트라이포드!$R$16,트라이포드!$Q$16)*(1+입력란!$C$42/100)*IF(입력란!$C$9=1,IF(입력란!$C$15=0,1.05,IF(입력란!$C$15=1,1.05*1.05,IF(입력란!$C$15=2,1.05*1.12,IF(입력란!$C$15=3,1.05*1.25)))),1)</f>
        <v>300684.29716468707</v>
      </c>
      <c r="T265" s="30">
        <f>AO265*IF(G265="근접",IF(MID(E265,1,1)="1",트라이포드!$D$16,트라이포드!$C$16),1)*IF(MID(E265,1,1)="2",트라이포드!$F$16,트라이포드!$E$16)*IF(MID(E265,3,1)="1",트라이포드!$J$16,트라이포드!$I$16)*IF(MID(E265,5,1)="2",트라이포드!$R$16,트라이포드!$Q$16)*(1+입력란!$C$42/100)*IF(입력란!$C$9=1,IF(입력란!$C$15=0,1.05,IF(입력란!$C$15=1,1.05*1.05,IF(입력란!$C$15=2,1.05*1.12,IF(입력란!$C$15=3,1.05*1.25)))),1)</f>
        <v>382699.65066588164</v>
      </c>
      <c r="U265" s="30">
        <f>AO265*IF(G265="근접",IF(MID(E265,1,1)="1",트라이포드!$D$16,트라이포드!$C$16),1)*IF(MID(E265,1,1)="2",트라이포드!$F$16,트라이포드!$E$16)*IF(MID(E265,3,1)="1",트라이포드!$J$16,트라이포드!$I$16)*IF(MID(E265,5,1)="1",트라이포드!P$16,트라이포드!O$16)*(1+입력란!$C$42/100)*IF(입력란!$C$9=1,IF(입력란!$C$15=0,1.05,IF(입력란!$C$15=1,1.05*1.05,IF(입력란!$C$15=2,1.05*1.12,IF(입력란!$C$15=3,1.05*1.25)))),1)</f>
        <v>0</v>
      </c>
      <c r="V265" s="30"/>
      <c r="W265" s="39"/>
      <c r="X265" s="39"/>
      <c r="Y265" s="39"/>
      <c r="Z265" s="27"/>
      <c r="AA265" s="30">
        <f t="shared" si="32"/>
        <v>1366767.8956611375</v>
      </c>
      <c r="AB265" s="30">
        <f t="shared" si="33"/>
        <v>601368.59432937414</v>
      </c>
      <c r="AC265" s="30">
        <f t="shared" si="34"/>
        <v>765399.30133176327</v>
      </c>
      <c r="AD265" s="30">
        <f t="shared" si="37"/>
        <v>0</v>
      </c>
      <c r="AE265" s="30"/>
      <c r="AF265" s="39"/>
      <c r="AG265" s="39"/>
      <c r="AH265" s="39"/>
      <c r="AI265" s="27"/>
      <c r="AJ265" s="26">
        <f>(AQ265-IF(MID(E265,3,1)="3",트라이포드!$N$16,트라이포드!$M$16))*(1-입력란!$C$35/100)</f>
        <v>18.779733774819999</v>
      </c>
      <c r="AK2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5" s="26">
        <f>입력란!$C$47+IF(입력란!$C$18=1,10,IF(입력란!$C$18=2,25,IF(입력란!$C$18=3,50,0)))+IF(입력란!$C$23&lt;&gt;0,-12)</f>
        <v>200</v>
      </c>
      <c r="AM265" s="30">
        <f t="shared" si="35"/>
        <v>216204.19915335524</v>
      </c>
      <c r="AN265" s="30">
        <f>(VLOOKUP(C265,$B$4:$AJ$7,16,FALSE)+VLOOKUP(C265,$B$8:$AJ$11,16,FALSE)*입력란!$C$29)*IF(G265="근접",입력란!$C$50,IF(MID(E265,1,1)="2",입력란!$C$50,입력란!$C$49))*입력란!$C$48/100</f>
        <v>95128.379694687203</v>
      </c>
      <c r="AO265" s="30">
        <f>(VLOOKUP(C265,$B$4:$AJ$7,17,FALSE)+VLOOKUP(C265,$B$8:$AJ$11,17,FALSE)*입력란!$C$29)*IF(G265="근접",입력란!$C$50,IF(MID(E265,1,1)="2",입력란!$C$50,입력란!$C$49))*입력란!$C$48/100</f>
        <v>121075.81945866803</v>
      </c>
      <c r="AP265" s="30"/>
      <c r="AQ265" s="29">
        <v>24</v>
      </c>
    </row>
    <row r="266" spans="2:43" ht="13.5" customHeight="1" x14ac:dyDescent="0.3">
      <c r="B266" s="31">
        <v>251</v>
      </c>
      <c r="C266" s="36">
        <v>10</v>
      </c>
      <c r="D266" s="43" t="s">
        <v>185</v>
      </c>
      <c r="E266" s="38" t="s">
        <v>201</v>
      </c>
      <c r="F266" s="40" t="s">
        <v>223</v>
      </c>
      <c r="G266" s="40" t="s">
        <v>203</v>
      </c>
      <c r="H266" s="52">
        <f t="shared" si="30"/>
        <v>20079.461698612016</v>
      </c>
      <c r="I266" s="53">
        <f>SUM(J266:Q266)*IF(입력란!$C$16=1,1.04,IF(입력란!$C$16=2,1.1,IF(입력란!$C$16=3,1.2,1)))*IF(입력란!$C$21=1,1+입력란!$C$38*0.001,IF(입력란!$C$21=2,1+입력란!$C$38*0.0022,IF(입력란!$C$21=3,1+입력란!$C$38*0.0045,1)))*IF(입력란!$C$18&lt;&gt;0,0.98,1)</f>
        <v>377086.94504162861</v>
      </c>
      <c r="J266" s="30">
        <f>S266*(1+IF($AK266+IF(입력란!$C$9=1,10,0)+IF(입력란!$C$26=1,10,0)&gt;100,100,$AK266+IF(입력란!$C$9=1,10,0)+IF(입력란!$C$26=1,10,0))/100*($AL266/100-1))</f>
        <v>165915.69556142457</v>
      </c>
      <c r="K266" s="30">
        <f>T266*(1+IF($AK266+IF(입력란!$C$9=1,10,0)+IF(입력란!$C$26=1,10,0)&gt;100,100,$AK266+IF(입력란!$C$9=1,10,0)+IF(입력란!$C$26=1,10,0))/100*($AL266/100-1))</f>
        <v>211171.24948020405</v>
      </c>
      <c r="L266" s="30">
        <f>U266*(1+IF($AK266+IF(입력란!$C$9=1,10,0)+IF(입력란!$C$26=1,10,0)&gt;100,100,$AK266+IF(입력란!$C$9=1,10,0)+IF(입력란!$C$26=1,10,0))/100*($AL266/100-1))</f>
        <v>0</v>
      </c>
      <c r="M266" s="30"/>
      <c r="N266" s="39"/>
      <c r="O266" s="39"/>
      <c r="P266" s="39"/>
      <c r="Q266" s="27"/>
      <c r="R266" s="24">
        <f t="shared" si="31"/>
        <v>310629.06719571305</v>
      </c>
      <c r="S266" s="30">
        <f>AN266*IF(G266="근접",IF(MID(E266,1,1)="1",트라이포드!$D$16,트라이포드!$C$16),1)*IF(MID(E266,1,1)="2",트라이포드!$F$16,트라이포드!$E$16)*IF(MID(E266,3,1)="1",트라이포드!$J$16,트라이포드!$I$16)*IF(MID(E266,5,1)="2",트라이포드!$R$16,트라이포드!$Q$16)*(1+입력란!$C$42/100)*IF(입력란!$C$9=1,IF(입력란!$C$15=0,1.05,IF(입력란!$C$15=1,1.05*1.05,IF(입력란!$C$15=2,1.05*1.12,IF(입력란!$C$15=3,1.05*1.25)))),1)</f>
        <v>136674.68052940321</v>
      </c>
      <c r="T266" s="30">
        <f>AO266*IF(G266="근접",IF(MID(E266,1,1)="1",트라이포드!$D$16,트라이포드!$C$16),1)*IF(MID(E266,1,1)="2",트라이포드!$F$16,트라이포드!$E$16)*IF(MID(E266,3,1)="1",트라이포드!$J$16,트라이포드!$I$16)*IF(MID(E266,5,1)="2",트라이포드!$R$16,트라이포드!$Q$16)*(1+입력란!$C$42/100)*IF(입력란!$C$9=1,IF(입력란!$C$15=0,1.05,IF(입력란!$C$15=1,1.05*1.05,IF(입력란!$C$15=2,1.05*1.12,IF(입력란!$C$15=3,1.05*1.25)))),1)</f>
        <v>173954.38666630982</v>
      </c>
      <c r="U266" s="30">
        <f>AO266*IF(G266="근접",IF(MID(E266,1,1)="1",트라이포드!$D$16,트라이포드!$C$16),1)*IF(MID(E266,1,1)="2",트라이포드!$F$16,트라이포드!$E$16)*IF(MID(E266,3,1)="1",트라이포드!$J$16,트라이포드!$I$16)*IF(MID(E266,5,1)="1",트라이포드!P$16,트라이포드!O$16)*(1+입력란!$C$42/100)*IF(입력란!$C$9=1,IF(입력란!$C$15=0,1.05,IF(입력란!$C$15=1,1.05*1.05,IF(입력란!$C$15=2,1.05*1.12,IF(입력란!$C$15=3,1.05*1.25)))),1)</f>
        <v>0</v>
      </c>
      <c r="V266" s="30"/>
      <c r="W266" s="39"/>
      <c r="X266" s="39"/>
      <c r="Y266" s="39"/>
      <c r="Z266" s="27"/>
      <c r="AA266" s="30">
        <f t="shared" si="32"/>
        <v>621258.13439142611</v>
      </c>
      <c r="AB266" s="30">
        <f t="shared" si="33"/>
        <v>273349.36105880642</v>
      </c>
      <c r="AC266" s="30">
        <f t="shared" si="34"/>
        <v>347908.77333261963</v>
      </c>
      <c r="AD266" s="30">
        <f t="shared" si="37"/>
        <v>0</v>
      </c>
      <c r="AE266" s="30"/>
      <c r="AF266" s="39"/>
      <c r="AG266" s="39"/>
      <c r="AH266" s="39"/>
      <c r="AI266" s="27"/>
      <c r="AJ266" s="26">
        <f>(AQ266-IF(MID(E266,3,1)="3",트라이포드!$N$16,트라이포드!$M$16))*(1-입력란!$C$35/100)</f>
        <v>18.779733774819999</v>
      </c>
      <c r="AK2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6" s="26">
        <f>입력란!$C$47+IF(입력란!$C$18=1,10,IF(입력란!$C$18=2,25,IF(입력란!$C$18=3,50,0)))+IF(입력란!$C$23&lt;&gt;0,-12)</f>
        <v>200</v>
      </c>
      <c r="AM266" s="30">
        <f t="shared" si="35"/>
        <v>108102.09957667762</v>
      </c>
      <c r="AN266" s="30">
        <f>(VLOOKUP(C266,$B$4:$AJ$7,16,FALSE)+VLOOKUP(C266,$B$8:$AJ$11,16,FALSE)*입력란!$C$29)*IF(G266="근접",입력란!$C$50,IF(MID(E266,1,1)="2",입력란!$C$50,입력란!$C$49))*입력란!$C$48/100</f>
        <v>47564.189847343601</v>
      </c>
      <c r="AO266" s="30">
        <f>(VLOOKUP(C266,$B$4:$AJ$7,17,FALSE)+VLOOKUP(C266,$B$8:$AJ$11,17,FALSE)*입력란!$C$29)*IF(G266="근접",입력란!$C$50,IF(MID(E266,1,1)="2",입력란!$C$50,입력란!$C$49))*입력란!$C$48/100</f>
        <v>60537.909729334016</v>
      </c>
      <c r="AP266" s="30"/>
      <c r="AQ266" s="29">
        <v>24</v>
      </c>
    </row>
    <row r="267" spans="2:43" ht="13.5" customHeight="1" x14ac:dyDescent="0.3">
      <c r="B267" s="31">
        <v>252</v>
      </c>
      <c r="C267" s="36">
        <v>1</v>
      </c>
      <c r="D267" s="43" t="s">
        <v>204</v>
      </c>
      <c r="E267" s="38" t="s">
        <v>186</v>
      </c>
      <c r="F267" s="40"/>
      <c r="G267" s="40"/>
      <c r="H267" s="52">
        <f t="shared" si="30"/>
        <v>13744.302062813931</v>
      </c>
      <c r="I267" s="53">
        <f>SUM(J267:Q267)*IF(입력란!$C$16=1,1.04,IF(입력란!$C$16=2,1.1,IF(입력란!$C$16=3,1.2,1)))*IF(입력란!$C$21=1,1+입력란!$C$38*0.001,IF(입력란!$C$21=2,1+입력란!$C$38*0.0022,IF(입력란!$C$21=3,1+입력란!$C$38*0.0045,1)))*IF(입력란!$C$18&lt;&gt;0,0.98,1)</f>
        <v>407548.94788477098</v>
      </c>
      <c r="J267" s="30">
        <f>S267*(1+IF($AK267+IF(입력란!$C$26=1,10,0)&gt;100,100,$AK267+IF(입력란!$C$26=1,10,0))/100*($AL267/100-1))</f>
        <v>326062.76798126753</v>
      </c>
      <c r="K267" s="30">
        <f>T267*(1+IF($AK267+IF(입력란!$C$26=1,10,0)&gt;100,100,$AK267+IF(입력란!$C$26=1,10,0))/100*($AL267/100-1))</f>
        <v>81486.179903503435</v>
      </c>
      <c r="L267" s="30"/>
      <c r="M267" s="30"/>
      <c r="N267" s="39"/>
      <c r="O267" s="39"/>
      <c r="P267" s="39"/>
      <c r="Q267" s="27"/>
      <c r="R267" s="24">
        <f t="shared" si="31"/>
        <v>335722.44062722725</v>
      </c>
      <c r="S267" s="30">
        <f>AN267*3*IF(MID(E267,3,1)="1",트라이포드!$J$17/3,트라이포드!$I$17)*IF(MID(E267,3,1)="2",트라이포드!$L$17,트라이포드!$K$17)*IF(MID(E267,3,1)="3",5/3,1)*IF(MID(E267,5,1)="1",트라이포드!$P$17,트라이포드!$O$17)*IF(MID(E267,5,1)="2",트라이포드!$R$17,트라이포드!$Q$17)*(1+입력란!$C$42/100)</f>
        <v>268597.40120170958</v>
      </c>
      <c r="T267" s="30">
        <f>AO267*3*IF(MID(E267,3,1)="1",1/3,1)*IF(MID(E267,3,1)="3",5/3,1)*IF(MID(E267,5,1)="1",트라이포드!$P$17,트라이포드!$O$17)*IF(MID(E267,5,1)="2",트라이포드!$R$17,트라이포드!$Q$17)*(1+입력란!$C$42/100)</f>
        <v>67125.039425517651</v>
      </c>
      <c r="U267" s="30"/>
      <c r="V267" s="30"/>
      <c r="W267" s="39"/>
      <c r="X267" s="39"/>
      <c r="Y267" s="39"/>
      <c r="Z267" s="27"/>
      <c r="AA267" s="30">
        <f t="shared" si="32"/>
        <v>671444.88125445449</v>
      </c>
      <c r="AB267" s="30">
        <f t="shared" si="33"/>
        <v>537194.80240341916</v>
      </c>
      <c r="AC267" s="30">
        <f t="shared" si="34"/>
        <v>134250.0788510353</v>
      </c>
      <c r="AD267" s="30"/>
      <c r="AE267" s="30"/>
      <c r="AF267" s="39"/>
      <c r="AG267" s="39"/>
      <c r="AH267" s="39"/>
      <c r="AI267" s="27"/>
      <c r="AJ267" s="26">
        <f>(AQ267-IF(MID(E267,1,1)="1",트라이포드!$D$17,트라이포드!$C$17))*(1-입력란!$C$35/100)</f>
        <v>29.652211223399998</v>
      </c>
      <c r="AK2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7" s="26">
        <f>입력란!$C$47+IF(입력란!$C$18=1,10,IF(입력란!$C$18=2,25,IF(입력란!$C$18=3,50,0)))+IF(입력란!$C$23&lt;&gt;0,-12)</f>
        <v>200</v>
      </c>
      <c r="AM267" s="30">
        <f t="shared" si="35"/>
        <v>70100.910454610479</v>
      </c>
      <c r="AN267" s="30">
        <f>(VLOOKUP(C267,$B$4:$AJ$7,18,FALSE)+VLOOKUP(C267,$B$8:$AJ$11,18,FALSE)*입력란!$C$29)*입력란!$C$48/100</f>
        <v>56084.789371851999</v>
      </c>
      <c r="AO267" s="30">
        <f>(VLOOKUP(C267,$B$4:$AJ$7,19,FALSE)+VLOOKUP(C267,$B$8:$AJ$11,19,FALSE)*입력란!$C$29)*입력란!$C$48/100</f>
        <v>14016.121082758475</v>
      </c>
      <c r="AP267" s="30"/>
      <c r="AQ267" s="29">
        <v>30</v>
      </c>
    </row>
    <row r="268" spans="2:43" ht="13.5" customHeight="1" x14ac:dyDescent="0.3">
      <c r="B268" s="31">
        <v>253</v>
      </c>
      <c r="C268" s="36">
        <v>4</v>
      </c>
      <c r="D268" s="43" t="s">
        <v>204</v>
      </c>
      <c r="E268" s="38" t="s">
        <v>186</v>
      </c>
      <c r="F268" s="40"/>
      <c r="G268" s="40"/>
      <c r="H268" s="52">
        <f t="shared" si="30"/>
        <v>13774.02544556616</v>
      </c>
      <c r="I268" s="53">
        <f>SUM(J268:Q268)*IF(입력란!$C$16=1,1.04,IF(입력란!$C$16=2,1.1,IF(입력란!$C$16=3,1.2,1)))*IF(입력란!$C$21=1,1+입력란!$C$38*0.001,IF(입력란!$C$21=2,1+입력란!$C$38*0.0022,IF(입력란!$C$21=3,1+입력란!$C$38*0.0045,1)))*IF(입력란!$C$18&lt;&gt;0,0.98,1)</f>
        <v>408430.31190841406</v>
      </c>
      <c r="J268" s="30">
        <f>S268*(1+IF($AK268+IF(입력란!$C$26=1,10,0)&gt;100,100,$AK268+IF(입력란!$C$26=1,10,0))/100*($AL268/100-1))</f>
        <v>326748.49453880545</v>
      </c>
      <c r="K268" s="30">
        <f>T268*(1+IF($AK268+IF(입력란!$C$26=1,10,0)&gt;100,100,$AK268+IF(입력란!$C$26=1,10,0))/100*($AL268/100-1))</f>
        <v>81681.817369608616</v>
      </c>
      <c r="L268" s="30"/>
      <c r="M268" s="30"/>
      <c r="N268" s="39"/>
      <c r="O268" s="39"/>
      <c r="P268" s="39"/>
      <c r="Q268" s="35"/>
      <c r="R268" s="24">
        <f t="shared" si="31"/>
        <v>336448.47288086015</v>
      </c>
      <c r="S268" s="30">
        <f>AN268*3*IF(MID(E268,3,1)="1",트라이포드!$J$17/3,트라이포드!$I$17)*IF(MID(E268,3,1)="2",트라이포드!$L$17,트라이포드!$K$17)*IF(MID(E268,3,1)="3",5/3,1)*IF(MID(E268,5,1)="1",트라이포드!$P$17,트라이포드!$O$17)*IF(MID(E268,5,1)="2",트라이포드!$R$17,트라이포드!$Q$17)*(1+입력란!$C$42/100)</f>
        <v>269162.27517499396</v>
      </c>
      <c r="T268" s="30">
        <f>AO268*3*IF(MID(E268,3,1)="1",1/3,1)*IF(MID(E268,3,1)="3",5/3,1)*IF(MID(E268,5,1)="1",트라이포드!$P$17,트라이포드!$O$17)*IF(MID(E268,5,1)="2",트라이포드!$R$17,트라이포드!$Q$17)*(1+입력란!$C$42/100)</f>
        <v>67286.197705866172</v>
      </c>
      <c r="U268" s="30"/>
      <c r="V268" s="30"/>
      <c r="W268" s="30"/>
      <c r="X268" s="39"/>
      <c r="Y268" s="39"/>
      <c r="Z268" s="27"/>
      <c r="AA268" s="30">
        <f t="shared" si="32"/>
        <v>672896.9457617203</v>
      </c>
      <c r="AB268" s="30">
        <f t="shared" si="33"/>
        <v>538324.55034998793</v>
      </c>
      <c r="AC268" s="30">
        <f t="shared" si="34"/>
        <v>134572.39541173234</v>
      </c>
      <c r="AD268" s="30"/>
      <c r="AE268" s="30"/>
      <c r="AF268" s="39"/>
      <c r="AG268" s="39"/>
      <c r="AH268" s="39"/>
      <c r="AI268" s="27"/>
      <c r="AJ268" s="26">
        <f>(AQ268-IF(MID(E268,1,1)="1",트라이포드!$D$17,트라이포드!$C$17))*(1-입력란!$C$35/100)</f>
        <v>29.652211223399998</v>
      </c>
      <c r="AK2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8" s="26">
        <f>입력란!$C$47+IF(입력란!$C$18=1,10,IF(입력란!$C$18=2,25,IF(입력란!$C$18=3,50,0)))+IF(입력란!$C$23&lt;&gt;0,-12)</f>
        <v>200</v>
      </c>
      <c r="AM268" s="30">
        <f t="shared" si="35"/>
        <v>70252.510454610456</v>
      </c>
      <c r="AN268" s="30">
        <f>(VLOOKUP(C268,$B$4:$AJ$7,18,FALSE)+VLOOKUP(C268,$B$8:$AJ$11,18,FALSE)*입력란!$C$29)*입력란!$C$48/100</f>
        <v>56202.73853171563</v>
      </c>
      <c r="AO268" s="30">
        <f>(VLOOKUP(C268,$B$4:$AJ$7,19,FALSE)+VLOOKUP(C268,$B$8:$AJ$11,19,FALSE)*입력란!$C$29)*입력란!$C$48/100</f>
        <v>14049.771922894823</v>
      </c>
      <c r="AP268" s="30"/>
      <c r="AQ268" s="29">
        <v>30</v>
      </c>
    </row>
    <row r="269" spans="2:43" ht="13.5" customHeight="1" x14ac:dyDescent="0.3">
      <c r="B269" s="31">
        <v>254</v>
      </c>
      <c r="C269" s="36">
        <v>4</v>
      </c>
      <c r="D269" s="43" t="s">
        <v>204</v>
      </c>
      <c r="E269" s="38" t="s">
        <v>187</v>
      </c>
      <c r="F269" s="40"/>
      <c r="G269" s="40"/>
      <c r="H269" s="52">
        <f t="shared" si="30"/>
        <v>17217.531806957701</v>
      </c>
      <c r="I269" s="53">
        <f>SUM(J269:Q269)*IF(입력란!$C$16=1,1.04,IF(입력란!$C$16=2,1.1,IF(입력란!$C$16=3,1.2,1)))*IF(입력란!$C$21=1,1+입력란!$C$38*0.001,IF(입력란!$C$21=2,1+입력란!$C$38*0.0022,IF(입력란!$C$21=3,1+입력란!$C$38*0.0045,1)))*IF(입력란!$C$18&lt;&gt;0,0.98,1)</f>
        <v>408430.31190841406</v>
      </c>
      <c r="J269" s="30">
        <f>S269*(1+IF($AK269+IF(입력란!$C$26=1,10,0)&gt;100,100,$AK269+IF(입력란!$C$26=1,10,0))/100*($AL269/100-1))</f>
        <v>326748.49453880545</v>
      </c>
      <c r="K269" s="30">
        <f>T269*(1+IF($AK269+IF(입력란!$C$26=1,10,0)&gt;100,100,$AK269+IF(입력란!$C$26=1,10,0))/100*($AL269/100-1))</f>
        <v>81681.817369608616</v>
      </c>
      <c r="L269" s="30"/>
      <c r="M269" s="30"/>
      <c r="N269" s="39"/>
      <c r="O269" s="39"/>
      <c r="P269" s="39"/>
      <c r="Q269" s="35"/>
      <c r="R269" s="24">
        <f t="shared" si="31"/>
        <v>336448.47288086015</v>
      </c>
      <c r="S269" s="30">
        <f>AN269*3*IF(MID(E269,3,1)="1",트라이포드!$J$17/3,트라이포드!$I$17)*IF(MID(E269,3,1)="2",트라이포드!$L$17,트라이포드!$K$17)*IF(MID(E269,3,1)="3",5/3,1)*IF(MID(E269,5,1)="1",트라이포드!$P$17,트라이포드!$O$17)*IF(MID(E269,5,1)="2",트라이포드!$R$17,트라이포드!$Q$17)*(1+입력란!$C$42/100)</f>
        <v>269162.27517499396</v>
      </c>
      <c r="T269" s="30">
        <f>AO269*3*IF(MID(E269,3,1)="1",1/3,1)*IF(MID(E269,3,1)="3",5/3,1)*IF(MID(E269,5,1)="1",트라이포드!$P$17,트라이포드!$O$17)*IF(MID(E269,5,1)="2",트라이포드!$R$17,트라이포드!$Q$17)*(1+입력란!$C$42/100)</f>
        <v>67286.197705866172</v>
      </c>
      <c r="U269" s="30"/>
      <c r="V269" s="30"/>
      <c r="W269" s="30"/>
      <c r="X269" s="39"/>
      <c r="Y269" s="39"/>
      <c r="Z269" s="27"/>
      <c r="AA269" s="30">
        <f t="shared" si="32"/>
        <v>672896.9457617203</v>
      </c>
      <c r="AB269" s="30">
        <f t="shared" si="33"/>
        <v>538324.55034998793</v>
      </c>
      <c r="AC269" s="30">
        <f t="shared" si="34"/>
        <v>134572.39541173234</v>
      </c>
      <c r="AD269" s="30"/>
      <c r="AE269" s="30"/>
      <c r="AF269" s="39"/>
      <c r="AG269" s="39"/>
      <c r="AH269" s="39"/>
      <c r="AI269" s="27"/>
      <c r="AJ269" s="26">
        <f>(AQ269-IF(MID(E269,1,1)="1",트라이포드!$D$17,트라이포드!$C$17))*(1-입력란!$C$35/100)</f>
        <v>23.72176897872</v>
      </c>
      <c r="AK2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69" s="26">
        <f>입력란!$C$47+IF(입력란!$C$18=1,10,IF(입력란!$C$18=2,25,IF(입력란!$C$18=3,50,0)))+IF(입력란!$C$23&lt;&gt;0,-12)</f>
        <v>200</v>
      </c>
      <c r="AM269" s="30">
        <f t="shared" si="35"/>
        <v>70252.510454610456</v>
      </c>
      <c r="AN269" s="30">
        <f>(VLOOKUP(C269,$B$4:$AJ$7,18,FALSE)+VLOOKUP(C269,$B$8:$AJ$11,18,FALSE)*입력란!$C$29)*입력란!$C$48/100</f>
        <v>56202.73853171563</v>
      </c>
      <c r="AO269" s="30">
        <f>(VLOOKUP(C269,$B$4:$AJ$7,19,FALSE)+VLOOKUP(C269,$B$8:$AJ$11,19,FALSE)*입력란!$C$29)*입력란!$C$48/100</f>
        <v>14049.771922894823</v>
      </c>
      <c r="AP269" s="30"/>
      <c r="AQ269" s="29">
        <v>30</v>
      </c>
    </row>
    <row r="270" spans="2:43" ht="13.5" customHeight="1" x14ac:dyDescent="0.3">
      <c r="B270" s="31">
        <v>255</v>
      </c>
      <c r="C270" s="36">
        <v>7</v>
      </c>
      <c r="D270" s="43" t="s">
        <v>204</v>
      </c>
      <c r="E270" s="38" t="s">
        <v>186</v>
      </c>
      <c r="F270" s="40"/>
      <c r="G270" s="40"/>
      <c r="H270" s="52">
        <f t="shared" si="30"/>
        <v>13787.1910140366</v>
      </c>
      <c r="I270" s="53">
        <f>SUM(J270:Q270)*IF(입력란!$C$16=1,1.04,IF(입력란!$C$16=2,1.1,IF(입력란!$C$16=3,1.2,1)))*IF(입력란!$C$21=1,1+입력란!$C$38*0.001,IF(입력란!$C$21=2,1+입력란!$C$38*0.0022,IF(입력란!$C$21=3,1+입력란!$C$38*0.0045,1)))*IF(입력란!$C$18&lt;&gt;0,0.98,1)</f>
        <v>408820.70012557565</v>
      </c>
      <c r="J270" s="30">
        <f>S270*(1+IF($AK270+IF(입력란!$C$26=1,10,0)&gt;100,100,$AK270+IF(입력란!$C$26=1,10,0))/100*($AL270/100-1))</f>
        <v>327076.38986158569</v>
      </c>
      <c r="K270" s="30">
        <f>T270*(1+IF($AK270+IF(입력란!$C$26=1,10,0)&gt;100,100,$AK270+IF(입력란!$C$26=1,10,0))/100*($AL270/100-1))</f>
        <v>81744.310263989988</v>
      </c>
      <c r="L270" s="30"/>
      <c r="M270" s="30"/>
      <c r="N270" s="39"/>
      <c r="O270" s="39"/>
      <c r="P270" s="39"/>
      <c r="Q270" s="35"/>
      <c r="R270" s="24">
        <f t="shared" si="31"/>
        <v>336770.05900134414</v>
      </c>
      <c r="S270" s="30">
        <f>AN270*3*IF(MID(E270,3,1)="1",트라이포드!$J$17/3,트라이포드!$I$17)*IF(MID(E270,3,1)="2",트라이포드!$L$17,트라이포드!$K$17)*IF(MID(E270,3,1)="3",5/3,1)*IF(MID(E270,5,1)="1",트라이포드!$P$17,트라이포드!$O$17)*IF(MID(E270,5,1)="2",트라이포드!$R$17,트라이포드!$Q$17)*(1+입력란!$C$42/100)</f>
        <v>269432.38216117409</v>
      </c>
      <c r="T270" s="30">
        <f>AO270*3*IF(MID(E270,3,1)="1",1/3,1)*IF(MID(E270,3,1)="3",5/3,1)*IF(MID(E270,5,1)="1",트라이포드!$P$17,트라이포드!$O$17)*IF(MID(E270,5,1)="2",트라이포드!$R$17,트라이포드!$Q$17)*(1+입력란!$C$42/100)</f>
        <v>67337.676840170068</v>
      </c>
      <c r="U270" s="30"/>
      <c r="V270" s="30"/>
      <c r="W270" s="30"/>
      <c r="X270" s="39"/>
      <c r="Y270" s="39"/>
      <c r="Z270" s="27"/>
      <c r="AA270" s="30">
        <f t="shared" si="32"/>
        <v>673540.11800268828</v>
      </c>
      <c r="AB270" s="30">
        <f t="shared" si="33"/>
        <v>538864.76432234817</v>
      </c>
      <c r="AC270" s="30">
        <f t="shared" si="34"/>
        <v>134675.35368034014</v>
      </c>
      <c r="AD270" s="30"/>
      <c r="AE270" s="30"/>
      <c r="AF270" s="39"/>
      <c r="AG270" s="39"/>
      <c r="AH270" s="39"/>
      <c r="AI270" s="27"/>
      <c r="AJ270" s="26">
        <f>(AQ270-IF(MID(E270,1,1)="1",트라이포드!$D$17,트라이포드!$C$17))*(1-입력란!$C$35/100)</f>
        <v>29.652211223399998</v>
      </c>
      <c r="AK2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0" s="26">
        <f>입력란!$C$47+IF(입력란!$C$18=1,10,IF(입력란!$C$18=2,25,IF(입력란!$C$18=3,50,0)))+IF(입력란!$C$23&lt;&gt;0,-12)</f>
        <v>200</v>
      </c>
      <c r="AM270" s="30">
        <f t="shared" si="35"/>
        <v>70319.659614474105</v>
      </c>
      <c r="AN270" s="30">
        <f>(VLOOKUP(C270,$B$4:$AJ$7,18,FALSE)+VLOOKUP(C270,$B$8:$AJ$11,18,FALSE)*입력란!$C$29)*입력란!$C$48/100</f>
        <v>56259.138531715631</v>
      </c>
      <c r="AO270" s="30">
        <f>(VLOOKUP(C270,$B$4:$AJ$7,19,FALSE)+VLOOKUP(C270,$B$8:$AJ$11,19,FALSE)*입력란!$C$29)*입력란!$C$48/100</f>
        <v>14060.521082758474</v>
      </c>
      <c r="AP270" s="30"/>
      <c r="AQ270" s="29">
        <v>30</v>
      </c>
    </row>
    <row r="271" spans="2:43" ht="13.5" customHeight="1" x14ac:dyDescent="0.3">
      <c r="B271" s="31">
        <v>256</v>
      </c>
      <c r="C271" s="36">
        <v>7</v>
      </c>
      <c r="D271" s="43" t="s">
        <v>49</v>
      </c>
      <c r="E271" s="38" t="s">
        <v>386</v>
      </c>
      <c r="F271" s="40"/>
      <c r="G271" s="40"/>
      <c r="H271" s="52">
        <f t="shared" si="30"/>
        <v>28723.314612576247</v>
      </c>
      <c r="I271" s="53">
        <f>SUM(J271:Q271)*IF(입력란!$C$16=1,1.04,IF(입력란!$C$16=2,1.1,IF(입력란!$C$16=3,1.2,1)))*IF(입력란!$C$21=1,1+입력란!$C$38*0.001,IF(입력란!$C$21=2,1+입력란!$C$38*0.0022,IF(입력란!$C$21=3,1+입력란!$C$38*0.0045,1)))*IF(입력란!$C$18&lt;&gt;0,0.98,1)</f>
        <v>681367.83354262612</v>
      </c>
      <c r="J271" s="30">
        <f>S271*(1+IF($AK271+IF(입력란!$C$26=1,10,0)&gt;100,100,$AK271+IF(입력란!$C$26=1,10,0))/100*($AL271/100-1))</f>
        <v>545127.31643597619</v>
      </c>
      <c r="K271" s="30">
        <f>T271*(1+IF($AK271+IF(입력란!$C$26=1,10,0)&gt;100,100,$AK271+IF(입력란!$C$26=1,10,0))/100*($AL271/100-1))</f>
        <v>136240.51710664999</v>
      </c>
      <c r="L271" s="30"/>
      <c r="M271" s="30"/>
      <c r="N271" s="39"/>
      <c r="O271" s="39"/>
      <c r="P271" s="39"/>
      <c r="Q271" s="35"/>
      <c r="R271" s="24">
        <f t="shared" si="31"/>
        <v>561283.43166890705</v>
      </c>
      <c r="S271" s="30">
        <f>AN271*3*IF(MID(E271,3,1)="1",트라이포드!$J$17/3,트라이포드!$I$17)*IF(MID(E271,3,1)="2",트라이포드!$L$17,트라이포드!$K$17)*IF(MID(E271,3,1)="3",5/3,1)*IF(MID(E271,5,1)="1",트라이포드!$P$17,트라이포드!$O$17)*IF(MID(E271,5,1)="2",트라이포드!$R$17,트라이포드!$Q$17)*(1+입력란!$C$42/100)</f>
        <v>449053.97026862355</v>
      </c>
      <c r="T271" s="30">
        <f>AO271*3*IF(MID(E271,3,1)="1",1/3,1)*IF(MID(E271,3,1)="3",5/3,1)*IF(MID(E271,5,1)="1",트라이포드!$P$17,트라이포드!$O$17)*IF(MID(E271,5,1)="2",트라이포드!$R$17,트라이포드!$Q$17)*(1+입력란!$C$42/100)</f>
        <v>112229.46140028346</v>
      </c>
      <c r="U271" s="30"/>
      <c r="V271" s="30"/>
      <c r="W271" s="30"/>
      <c r="X271" s="39"/>
      <c r="Y271" s="39"/>
      <c r="Z271" s="27"/>
      <c r="AA271" s="30">
        <f t="shared" si="32"/>
        <v>1122566.8633378141</v>
      </c>
      <c r="AB271" s="30">
        <f t="shared" si="33"/>
        <v>898107.94053724711</v>
      </c>
      <c r="AC271" s="30">
        <f t="shared" si="34"/>
        <v>224458.92280056691</v>
      </c>
      <c r="AD271" s="30"/>
      <c r="AE271" s="30"/>
      <c r="AF271" s="39"/>
      <c r="AG271" s="39"/>
      <c r="AH271" s="39"/>
      <c r="AI271" s="27"/>
      <c r="AJ271" s="26">
        <f>(AQ271-IF(MID(E271,1,1)="1",트라이포드!$D$17,트라이포드!$C$17))*(1-입력란!$C$35/100)</f>
        <v>23.72176897872</v>
      </c>
      <c r="AK2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1" s="26">
        <f>입력란!$C$47+IF(입력란!$C$18=1,10,IF(입력란!$C$18=2,25,IF(입력란!$C$18=3,50,0)))+IF(입력란!$C$23&lt;&gt;0,-12)</f>
        <v>200</v>
      </c>
      <c r="AM271" s="30">
        <f t="shared" si="35"/>
        <v>70319.659614474105</v>
      </c>
      <c r="AN271" s="30">
        <f>(VLOOKUP(C271,$B$4:$AJ$7,18,FALSE)+VLOOKUP(C271,$B$8:$AJ$11,18,FALSE)*입력란!$C$29)*입력란!$C$48/100</f>
        <v>56259.138531715631</v>
      </c>
      <c r="AO271" s="30">
        <f>(VLOOKUP(C271,$B$4:$AJ$7,19,FALSE)+VLOOKUP(C271,$B$8:$AJ$11,19,FALSE)*입력란!$C$29)*입력란!$C$48/100</f>
        <v>14060.521082758474</v>
      </c>
      <c r="AP271" s="30"/>
      <c r="AQ271" s="29">
        <v>30</v>
      </c>
    </row>
    <row r="272" spans="2:43" ht="13.5" customHeight="1" x14ac:dyDescent="0.3">
      <c r="B272" s="31">
        <v>257</v>
      </c>
      <c r="C272" s="36">
        <v>7</v>
      </c>
      <c r="D272" s="43" t="s">
        <v>204</v>
      </c>
      <c r="E272" s="38" t="s">
        <v>373</v>
      </c>
      <c r="F272" s="40"/>
      <c r="G272" s="40"/>
      <c r="H272" s="52">
        <f t="shared" ref="H272:H335" si="38">I272/AJ272</f>
        <v>22978.651690061</v>
      </c>
      <c r="I272" s="53">
        <f>SUM(J272:Q272)*IF(입력란!$C$16=1,1.04,IF(입력란!$C$16=2,1.1,IF(입력란!$C$16=3,1.2,1)))*IF(입력란!$C$21=1,1+입력란!$C$38*0.001,IF(입력란!$C$21=2,1+입력란!$C$38*0.0022,IF(입력란!$C$21=3,1+입력란!$C$38*0.0045,1)))*IF(입력란!$C$18&lt;&gt;0,0.98,1)</f>
        <v>681367.83354262612</v>
      </c>
      <c r="J272" s="30">
        <f>S272*(1+IF($AK272+IF(입력란!$C$26=1,10,0)&gt;100,100,$AK272+IF(입력란!$C$26=1,10,0))/100*($AL272/100-1))</f>
        <v>545127.31643597619</v>
      </c>
      <c r="K272" s="30">
        <f>T272*(1+IF($AK272+IF(입력란!$C$26=1,10,0)&gt;100,100,$AK272+IF(입력란!$C$26=1,10,0))/100*($AL272/100-1))</f>
        <v>136240.51710664999</v>
      </c>
      <c r="L272" s="30"/>
      <c r="M272" s="30"/>
      <c r="N272" s="39"/>
      <c r="O272" s="39"/>
      <c r="P272" s="39"/>
      <c r="Q272" s="35"/>
      <c r="R272" s="24">
        <f t="shared" ref="R272:R335" si="39">SUM(S272:Z272)</f>
        <v>561283.43166890705</v>
      </c>
      <c r="S272" s="30">
        <f>AN272*3*IF(MID(E272,3,1)="1",트라이포드!$J$17/3,트라이포드!$I$17)*IF(MID(E272,3,1)="2",트라이포드!$L$17,트라이포드!$K$17)*IF(MID(E272,3,1)="3",5/3,1)*IF(MID(E272,5,1)="1",트라이포드!$P$17,트라이포드!$O$17)*IF(MID(E272,5,1)="2",트라이포드!$R$17,트라이포드!$Q$17)*(1+입력란!$C$42/100)</f>
        <v>449053.97026862355</v>
      </c>
      <c r="T272" s="30">
        <f>AO272*3*IF(MID(E272,3,1)="1",1/3,1)*IF(MID(E272,3,1)="3",5/3,1)*IF(MID(E272,5,1)="1",트라이포드!$P$17,트라이포드!$O$17)*IF(MID(E272,5,1)="2",트라이포드!$R$17,트라이포드!$Q$17)*(1+입력란!$C$42/100)</f>
        <v>112229.46140028346</v>
      </c>
      <c r="U272" s="30"/>
      <c r="V272" s="30"/>
      <c r="W272" s="30"/>
      <c r="X272" s="39"/>
      <c r="Y272" s="39"/>
      <c r="Z272" s="27"/>
      <c r="AA272" s="30">
        <f t="shared" ref="AA272:AA335" si="40">SUM(AB272:AI272)</f>
        <v>1122566.8633378141</v>
      </c>
      <c r="AB272" s="30">
        <f t="shared" ref="AB272:AB335" si="41">S272*2</f>
        <v>898107.94053724711</v>
      </c>
      <c r="AC272" s="30">
        <f t="shared" ref="AC272:AC335" si="42">T272*2</f>
        <v>224458.92280056691</v>
      </c>
      <c r="AD272" s="30"/>
      <c r="AE272" s="30"/>
      <c r="AF272" s="39"/>
      <c r="AG272" s="39"/>
      <c r="AH272" s="39"/>
      <c r="AI272" s="27"/>
      <c r="AJ272" s="26">
        <f>(AQ272-IF(MID(E272,1,1)="1",트라이포드!$D$17,트라이포드!$C$17))*(1-입력란!$C$35/100)</f>
        <v>29.652211223399998</v>
      </c>
      <c r="AK2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2" s="26">
        <f>입력란!$C$47+IF(입력란!$C$18=1,10,IF(입력란!$C$18=2,25,IF(입력란!$C$18=3,50,0)))+IF(입력란!$C$23&lt;&gt;0,-12)</f>
        <v>200</v>
      </c>
      <c r="AM272" s="30">
        <f t="shared" ref="AM272:AM335" si="43">SUM(AN272:AP272)</f>
        <v>70319.659614474105</v>
      </c>
      <c r="AN272" s="30">
        <f>(VLOOKUP(C272,$B$4:$AJ$7,18,FALSE)+VLOOKUP(C272,$B$8:$AJ$11,18,FALSE)*입력란!$C$29)*입력란!$C$48/100</f>
        <v>56259.138531715631</v>
      </c>
      <c r="AO272" s="30">
        <f>(VLOOKUP(C272,$B$4:$AJ$7,19,FALSE)+VLOOKUP(C272,$B$8:$AJ$11,19,FALSE)*입력란!$C$29)*입력란!$C$48/100</f>
        <v>14060.521082758474</v>
      </c>
      <c r="AP272" s="30"/>
      <c r="AQ272" s="29">
        <v>30</v>
      </c>
    </row>
    <row r="273" spans="2:43" ht="13.5" customHeight="1" x14ac:dyDescent="0.3">
      <c r="B273" s="31">
        <v>258</v>
      </c>
      <c r="C273" s="36">
        <v>7</v>
      </c>
      <c r="D273" s="43" t="s">
        <v>49</v>
      </c>
      <c r="E273" s="38" t="s">
        <v>384</v>
      </c>
      <c r="F273" s="40"/>
      <c r="G273" s="40"/>
      <c r="H273" s="52">
        <f t="shared" si="38"/>
        <v>17694.286274845996</v>
      </c>
      <c r="I273" s="53">
        <f>SUM(J273:Q273)*IF(입력란!$C$16=1,1.04,IF(입력란!$C$16=2,1.1,IF(입력란!$C$16=3,1.2,1)))*IF(입력란!$C$21=1,1+입력란!$C$38*0.001,IF(입력란!$C$21=2,1+입력란!$C$38*0.0022,IF(입력란!$C$21=3,1+입력란!$C$38*0.0045,1)))*IF(입력란!$C$18&lt;&gt;0,0.98,1)</f>
        <v>419739.7712552328</v>
      </c>
      <c r="J273" s="30">
        <f>S273*(1+IF($AK273+IF(입력란!$C$26=1,10,0)&gt;100,100,$AK273+IF(입력란!$C$26=1,10,0))/100*($AL273/100-1))</f>
        <v>392491.66783390281</v>
      </c>
      <c r="K273" s="30">
        <f>T273*(1+IF($AK273+IF(입력란!$C$26=1,10,0)&gt;100,100,$AK273+IF(입력란!$C$26=1,10,0))/100*($AL273/100-1))</f>
        <v>27248.10342132999</v>
      </c>
      <c r="L273" s="30"/>
      <c r="M273" s="30"/>
      <c r="N273" s="39"/>
      <c r="O273" s="39"/>
      <c r="P273" s="39"/>
      <c r="Q273" s="35"/>
      <c r="R273" s="24">
        <f t="shared" si="39"/>
        <v>345764.75087346556</v>
      </c>
      <c r="S273" s="30">
        <f>AN273*3*IF(MID(E273,3,1)="1",트라이포드!$J$17/3,트라이포드!$I$17)*IF(MID(E273,3,1)="2",트라이포드!$L$17,트라이포드!$K$17)*IF(MID(E273,3,1)="3",5/3,1)*IF(MID(E273,5,1)="1",트라이포드!$P$17,트라이포드!$O$17)*IF(MID(E273,5,1)="2",트라이포드!$R$17,트라이포드!$Q$17)*(1+입력란!$C$42/100)</f>
        <v>323318.85859340889</v>
      </c>
      <c r="T273" s="30">
        <f>AO273*3*IF(MID(E273,3,1)="1",1/3,1)*IF(MID(E273,3,1)="3",5/3,1)*IF(MID(E273,5,1)="1",트라이포드!$P$17,트라이포드!$O$17)*IF(MID(E273,5,1)="2",트라이포드!$R$17,트라이포드!$Q$17)*(1+입력란!$C$42/100)</f>
        <v>22445.892280056687</v>
      </c>
      <c r="U273" s="30"/>
      <c r="V273" s="30"/>
      <c r="W273" s="30"/>
      <c r="X273" s="39"/>
      <c r="Y273" s="39"/>
      <c r="Z273" s="27"/>
      <c r="AA273" s="30">
        <f t="shared" si="40"/>
        <v>691529.50174693111</v>
      </c>
      <c r="AB273" s="30">
        <f t="shared" si="41"/>
        <v>646637.71718681778</v>
      </c>
      <c r="AC273" s="30">
        <f t="shared" si="42"/>
        <v>44891.784560113374</v>
      </c>
      <c r="AD273" s="30"/>
      <c r="AE273" s="30"/>
      <c r="AF273" s="39"/>
      <c r="AG273" s="39"/>
      <c r="AH273" s="39"/>
      <c r="AI273" s="27"/>
      <c r="AJ273" s="26">
        <f>(AQ273-IF(MID(E273,1,1)="1",트라이포드!$D$17,트라이포드!$C$17))*(1-입력란!$C$35/100)</f>
        <v>23.72176897872</v>
      </c>
      <c r="AK2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3" s="26">
        <f>입력란!$C$47+IF(입력란!$C$18=1,10,IF(입력란!$C$18=2,25,IF(입력란!$C$18=3,50,0)))+IF(입력란!$C$23&lt;&gt;0,-12)</f>
        <v>200</v>
      </c>
      <c r="AM273" s="30">
        <f t="shared" si="43"/>
        <v>70319.659614474105</v>
      </c>
      <c r="AN273" s="30">
        <f>(VLOOKUP(C273,$B$4:$AJ$7,18,FALSE)+VLOOKUP(C273,$B$8:$AJ$11,18,FALSE)*입력란!$C$29)*입력란!$C$48/100</f>
        <v>56259.138531715631</v>
      </c>
      <c r="AO273" s="30">
        <f>(VLOOKUP(C273,$B$4:$AJ$7,19,FALSE)+VLOOKUP(C273,$B$8:$AJ$11,19,FALSE)*입력란!$C$29)*입력란!$C$48/100</f>
        <v>14060.521082758474</v>
      </c>
      <c r="AP273" s="30"/>
      <c r="AQ273" s="29">
        <v>30</v>
      </c>
    </row>
    <row r="274" spans="2:43" ht="13.5" customHeight="1" x14ac:dyDescent="0.3">
      <c r="B274" s="31">
        <v>259</v>
      </c>
      <c r="C274" s="36">
        <v>7</v>
      </c>
      <c r="D274" s="43" t="s">
        <v>49</v>
      </c>
      <c r="E274" s="38" t="s">
        <v>363</v>
      </c>
      <c r="F274" s="40"/>
      <c r="G274" s="40"/>
      <c r="H274" s="52">
        <f t="shared" si="38"/>
        <v>14155.429019876798</v>
      </c>
      <c r="I274" s="53">
        <f>SUM(J274:Q274)*IF(입력란!$C$16=1,1.04,IF(입력란!$C$16=2,1.1,IF(입력란!$C$16=3,1.2,1)))*IF(입력란!$C$21=1,1+입력란!$C$38*0.001,IF(입력란!$C$21=2,1+입력란!$C$38*0.0022,IF(입력란!$C$21=3,1+입력란!$C$38*0.0045,1)))*IF(입력란!$C$18&lt;&gt;0,0.98,1)</f>
        <v>419739.7712552328</v>
      </c>
      <c r="J274" s="30">
        <f>S274*(1+IF($AK274+IF(입력란!$C$26=1,10,0)&gt;100,100,$AK274+IF(입력란!$C$26=1,10,0))/100*($AL274/100-1))</f>
        <v>392491.66783390281</v>
      </c>
      <c r="K274" s="30">
        <f>T274*(1+IF($AK274+IF(입력란!$C$26=1,10,0)&gt;100,100,$AK274+IF(입력란!$C$26=1,10,0))/100*($AL274/100-1))</f>
        <v>27248.10342132999</v>
      </c>
      <c r="L274" s="30"/>
      <c r="M274" s="30"/>
      <c r="N274" s="39"/>
      <c r="O274" s="39"/>
      <c r="P274" s="39"/>
      <c r="Q274" s="35"/>
      <c r="R274" s="24">
        <f t="shared" si="39"/>
        <v>345764.75087346556</v>
      </c>
      <c r="S274" s="30">
        <f>AN274*3*IF(MID(E274,3,1)="1",트라이포드!$J$17/3,트라이포드!$I$17)*IF(MID(E274,3,1)="2",트라이포드!$L$17,트라이포드!$K$17)*IF(MID(E274,3,1)="3",5/3,1)*IF(MID(E274,5,1)="1",트라이포드!$P$17,트라이포드!$O$17)*IF(MID(E274,5,1)="2",트라이포드!$R$17,트라이포드!$Q$17)*(1+입력란!$C$42/100)</f>
        <v>323318.85859340889</v>
      </c>
      <c r="T274" s="30">
        <f>AO274*3*IF(MID(E274,3,1)="1",1/3,1)*IF(MID(E274,3,1)="3",5/3,1)*IF(MID(E274,5,1)="1",트라이포드!$P$17,트라이포드!$O$17)*IF(MID(E274,5,1)="2",트라이포드!$R$17,트라이포드!$Q$17)*(1+입력란!$C$42/100)</f>
        <v>22445.892280056687</v>
      </c>
      <c r="U274" s="30"/>
      <c r="V274" s="30"/>
      <c r="W274" s="30"/>
      <c r="X274" s="39"/>
      <c r="Y274" s="39"/>
      <c r="Z274" s="27"/>
      <c r="AA274" s="30">
        <f t="shared" si="40"/>
        <v>691529.50174693111</v>
      </c>
      <c r="AB274" s="30">
        <f t="shared" si="41"/>
        <v>646637.71718681778</v>
      </c>
      <c r="AC274" s="30">
        <f t="shared" si="42"/>
        <v>44891.784560113374</v>
      </c>
      <c r="AD274" s="30"/>
      <c r="AE274" s="30"/>
      <c r="AF274" s="39"/>
      <c r="AG274" s="39"/>
      <c r="AH274" s="39"/>
      <c r="AI274" s="27"/>
      <c r="AJ274" s="26">
        <f>(AQ274-IF(MID(E274,1,1)="1",트라이포드!$D$17,트라이포드!$C$17))*(1-입력란!$C$35/100)</f>
        <v>29.652211223399998</v>
      </c>
      <c r="AK2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4" s="26">
        <f>입력란!$C$47+IF(입력란!$C$18=1,10,IF(입력란!$C$18=2,25,IF(입력란!$C$18=3,50,0)))+IF(입력란!$C$23&lt;&gt;0,-12)</f>
        <v>200</v>
      </c>
      <c r="AM274" s="30">
        <f t="shared" si="43"/>
        <v>70319.659614474105</v>
      </c>
      <c r="AN274" s="30">
        <f>(VLOOKUP(C274,$B$4:$AJ$7,18,FALSE)+VLOOKUP(C274,$B$8:$AJ$11,18,FALSE)*입력란!$C$29)*입력란!$C$48/100</f>
        <v>56259.138531715631</v>
      </c>
      <c r="AO274" s="30">
        <f>(VLOOKUP(C274,$B$4:$AJ$7,19,FALSE)+VLOOKUP(C274,$B$8:$AJ$11,19,FALSE)*입력란!$C$29)*입력란!$C$48/100</f>
        <v>14060.521082758474</v>
      </c>
      <c r="AP274" s="30"/>
      <c r="AQ274" s="29">
        <v>30</v>
      </c>
    </row>
    <row r="275" spans="2:43" ht="13.5" customHeight="1" x14ac:dyDescent="0.3">
      <c r="B275" s="31">
        <v>260</v>
      </c>
      <c r="C275" s="36">
        <v>7</v>
      </c>
      <c r="D275" s="43" t="s">
        <v>49</v>
      </c>
      <c r="E275" s="38" t="s">
        <v>385</v>
      </c>
      <c r="F275" s="40"/>
      <c r="G275" s="40"/>
      <c r="H275" s="52">
        <f t="shared" si="38"/>
        <v>21370.396851044854</v>
      </c>
      <c r="I275" s="53">
        <f>SUM(J275:Q275)*IF(입력란!$C$16=1,1.04,IF(입력란!$C$16=2,1.1,IF(입력란!$C$16=3,1.2,1)))*IF(입력란!$C$21=1,1+입력란!$C$38*0.001,IF(입력란!$C$21=2,1+입력란!$C$38*0.0022,IF(입력란!$C$21=3,1+입력란!$C$38*0.0045,1)))*IF(입력란!$C$18&lt;&gt;0,0.98,1)</f>
        <v>506943.61708405137</v>
      </c>
      <c r="J275" s="30">
        <f>S275*(1+IF($AK275+IF(입력란!$C$26=1,10,0)&gt;100,100,$AK275+IF(입력란!$C$26=1,10,0))/100*($AL275/100-1))</f>
        <v>425199.30682006141</v>
      </c>
      <c r="K275" s="30">
        <f>T275*(1+IF($AK275+IF(입력란!$C$26=1,10,0)&gt;100,100,$AK275+IF(입력란!$C$26=1,10,0))/100*($AL275/100-1))</f>
        <v>81744.310263989988</v>
      </c>
      <c r="L275" s="30"/>
      <c r="M275" s="30"/>
      <c r="N275" s="39"/>
      <c r="O275" s="39"/>
      <c r="P275" s="39"/>
      <c r="Q275" s="35"/>
      <c r="R275" s="24">
        <f t="shared" si="39"/>
        <v>417599.77364969638</v>
      </c>
      <c r="S275" s="30">
        <f>AN275*3*IF(MID(E275,3,1)="1",트라이포드!$J$17/3,트라이포드!$I$17)*IF(MID(E275,3,1)="2",트라이포드!$L$17,트라이포드!$K$17)*IF(MID(E275,3,1)="3",5/3,1)*IF(MID(E275,5,1)="1",트라이포드!$P$17,트라이포드!$O$17)*IF(MID(E275,5,1)="2",트라이포드!$R$17,트라이포드!$Q$17)*(1+입력란!$C$42/100)</f>
        <v>350262.09680952632</v>
      </c>
      <c r="T275" s="30">
        <f>AO275*3*IF(MID(E275,3,1)="1",1/3,1)*IF(MID(E275,3,1)="3",5/3,1)*IF(MID(E275,5,1)="1",트라이포드!$P$17,트라이포드!$O$17)*IF(MID(E275,5,1)="2",트라이포드!$R$17,트라이포드!$Q$17)*(1+입력란!$C$42/100)</f>
        <v>67337.676840170068</v>
      </c>
      <c r="U275" s="30"/>
      <c r="V275" s="30"/>
      <c r="W275" s="30"/>
      <c r="X275" s="39"/>
      <c r="Y275" s="39"/>
      <c r="Z275" s="27"/>
      <c r="AA275" s="30">
        <f t="shared" si="40"/>
        <v>835199.54729939275</v>
      </c>
      <c r="AB275" s="30">
        <f t="shared" si="41"/>
        <v>700524.19361905265</v>
      </c>
      <c r="AC275" s="30">
        <f t="shared" si="42"/>
        <v>134675.35368034014</v>
      </c>
      <c r="AD275" s="30"/>
      <c r="AE275" s="30"/>
      <c r="AF275" s="39"/>
      <c r="AG275" s="39"/>
      <c r="AH275" s="39"/>
      <c r="AI275" s="27"/>
      <c r="AJ275" s="26">
        <f>(AQ275-IF(MID(E275,1,1)="1",트라이포드!$D$17,트라이포드!$C$17))*(1-입력란!$C$35/100)</f>
        <v>23.72176897872</v>
      </c>
      <c r="AK2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5" s="26">
        <f>입력란!$C$47+IF(입력란!$C$18=1,10,IF(입력란!$C$18=2,25,IF(입력란!$C$18=3,50,0)))+IF(입력란!$C$23&lt;&gt;0,-12)</f>
        <v>200</v>
      </c>
      <c r="AM275" s="30">
        <f t="shared" si="43"/>
        <v>70319.659614474105</v>
      </c>
      <c r="AN275" s="30">
        <f>(VLOOKUP(C275,$B$4:$AJ$7,18,FALSE)+VLOOKUP(C275,$B$8:$AJ$11,18,FALSE)*입력란!$C$29)*입력란!$C$48/100</f>
        <v>56259.138531715631</v>
      </c>
      <c r="AO275" s="30">
        <f>(VLOOKUP(C275,$B$4:$AJ$7,19,FALSE)+VLOOKUP(C275,$B$8:$AJ$11,19,FALSE)*입력란!$C$29)*입력란!$C$48/100</f>
        <v>14060.521082758474</v>
      </c>
      <c r="AP275" s="30"/>
      <c r="AQ275" s="29">
        <v>30</v>
      </c>
    </row>
    <row r="276" spans="2:43" ht="13.5" customHeight="1" x14ac:dyDescent="0.3">
      <c r="B276" s="31">
        <v>261</v>
      </c>
      <c r="C276" s="36">
        <v>7</v>
      </c>
      <c r="D276" s="43" t="s">
        <v>49</v>
      </c>
      <c r="E276" s="38" t="s">
        <v>361</v>
      </c>
      <c r="F276" s="40"/>
      <c r="G276" s="40"/>
      <c r="H276" s="52">
        <f t="shared" si="38"/>
        <v>17096.317480835882</v>
      </c>
      <c r="I276" s="53">
        <f>SUM(J276:Q276)*IF(입력란!$C$16=1,1.04,IF(입력란!$C$16=2,1.1,IF(입력란!$C$16=3,1.2,1)))*IF(입력란!$C$21=1,1+입력란!$C$38*0.001,IF(입력란!$C$21=2,1+입력란!$C$38*0.0022,IF(입력란!$C$21=3,1+입력란!$C$38*0.0045,1)))*IF(입력란!$C$18&lt;&gt;0,0.98,1)</f>
        <v>506943.61708405137</v>
      </c>
      <c r="J276" s="30">
        <f>S276*(1+IF($AK276+IF(입력란!$C$26=1,10,0)&gt;100,100,$AK276+IF(입력란!$C$26=1,10,0))/100*($AL276/100-1))</f>
        <v>425199.30682006141</v>
      </c>
      <c r="K276" s="30">
        <f>T276*(1+IF($AK276+IF(입력란!$C$26=1,10,0)&gt;100,100,$AK276+IF(입력란!$C$26=1,10,0))/100*($AL276/100-1))</f>
        <v>81744.310263989988</v>
      </c>
      <c r="L276" s="30"/>
      <c r="M276" s="30"/>
      <c r="N276" s="39"/>
      <c r="O276" s="39"/>
      <c r="P276" s="39"/>
      <c r="Q276" s="35"/>
      <c r="R276" s="24">
        <f t="shared" si="39"/>
        <v>417599.77364969638</v>
      </c>
      <c r="S276" s="30">
        <f>AN276*3*IF(MID(E276,3,1)="1",트라이포드!$J$17/3,트라이포드!$I$17)*IF(MID(E276,3,1)="2",트라이포드!$L$17,트라이포드!$K$17)*IF(MID(E276,3,1)="3",5/3,1)*IF(MID(E276,5,1)="1",트라이포드!$P$17,트라이포드!$O$17)*IF(MID(E276,5,1)="2",트라이포드!$R$17,트라이포드!$Q$17)*(1+입력란!$C$42/100)</f>
        <v>350262.09680952632</v>
      </c>
      <c r="T276" s="30">
        <f>AO276*3*IF(MID(E276,3,1)="1",1/3,1)*IF(MID(E276,3,1)="3",5/3,1)*IF(MID(E276,5,1)="1",트라이포드!$P$17,트라이포드!$O$17)*IF(MID(E276,5,1)="2",트라이포드!$R$17,트라이포드!$Q$17)*(1+입력란!$C$42/100)</f>
        <v>67337.676840170068</v>
      </c>
      <c r="U276" s="30"/>
      <c r="V276" s="30"/>
      <c r="W276" s="30"/>
      <c r="X276" s="39"/>
      <c r="Y276" s="39"/>
      <c r="Z276" s="27"/>
      <c r="AA276" s="30">
        <f t="shared" si="40"/>
        <v>835199.54729939275</v>
      </c>
      <c r="AB276" s="30">
        <f t="shared" si="41"/>
        <v>700524.19361905265</v>
      </c>
      <c r="AC276" s="30">
        <f t="shared" si="42"/>
        <v>134675.35368034014</v>
      </c>
      <c r="AD276" s="30"/>
      <c r="AE276" s="30"/>
      <c r="AF276" s="39"/>
      <c r="AG276" s="39"/>
      <c r="AH276" s="39"/>
      <c r="AI276" s="27"/>
      <c r="AJ276" s="26">
        <f>(AQ276-IF(MID(E276,1,1)="1",트라이포드!$D$17,트라이포드!$C$17))*(1-입력란!$C$35/100)</f>
        <v>29.652211223399998</v>
      </c>
      <c r="AK2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6" s="26">
        <f>입력란!$C$47+IF(입력란!$C$18=1,10,IF(입력란!$C$18=2,25,IF(입력란!$C$18=3,50,0)))+IF(입력란!$C$23&lt;&gt;0,-12)</f>
        <v>200</v>
      </c>
      <c r="AM276" s="30">
        <f t="shared" si="43"/>
        <v>70319.659614474105</v>
      </c>
      <c r="AN276" s="30">
        <f>(VLOOKUP(C276,$B$4:$AJ$7,18,FALSE)+VLOOKUP(C276,$B$8:$AJ$11,18,FALSE)*입력란!$C$29)*입력란!$C$48/100</f>
        <v>56259.138531715631</v>
      </c>
      <c r="AO276" s="30">
        <f>(VLOOKUP(C276,$B$4:$AJ$7,19,FALSE)+VLOOKUP(C276,$B$8:$AJ$11,19,FALSE)*입력란!$C$29)*입력란!$C$48/100</f>
        <v>14060.521082758474</v>
      </c>
      <c r="AP276" s="30"/>
      <c r="AQ276" s="29">
        <v>30</v>
      </c>
    </row>
    <row r="277" spans="2:43" ht="13.5" customHeight="1" x14ac:dyDescent="0.3">
      <c r="B277" s="31">
        <v>262</v>
      </c>
      <c r="C277" s="36">
        <v>10</v>
      </c>
      <c r="D277" s="43" t="s">
        <v>204</v>
      </c>
      <c r="E277" s="38" t="s">
        <v>186</v>
      </c>
      <c r="F277" s="40"/>
      <c r="G277" s="40"/>
      <c r="H277" s="52">
        <f t="shared" si="38"/>
        <v>13796.61207942538</v>
      </c>
      <c r="I277" s="53">
        <f>SUM(J277:Q277)*IF(입력란!$C$16=1,1.04,IF(입력란!$C$16=2,1.1,IF(입력란!$C$16=3,1.2,1)))*IF(입력란!$C$21=1,1+입력란!$C$38*0.001,IF(입력란!$C$21=2,1+입력란!$C$38*0.0022,IF(입력란!$C$21=3,1+입력란!$C$38*0.0045,1)))*IF(입력란!$C$18&lt;&gt;0,0.98,1)</f>
        <v>409100.05554643326</v>
      </c>
      <c r="J277" s="30">
        <f>S277*(1+IF($AK277+IF(입력란!$C$26=1,10,0)&gt;100,100,$AK277+IF(입력란!$C$26=1,10,0))/100*($AL277/100-1))</f>
        <v>327283.35924972355</v>
      </c>
      <c r="K277" s="30">
        <f>T277*(1+IF($AK277+IF(입력란!$C$26=1,10,0)&gt;100,100,$AK277+IF(입력란!$C$26=1,10,0))/100*($AL277/100-1))</f>
        <v>81816.696296709706</v>
      </c>
      <c r="L277" s="30"/>
      <c r="M277" s="30"/>
      <c r="N277" s="39"/>
      <c r="O277" s="39"/>
      <c r="P277" s="39"/>
      <c r="Q277" s="35"/>
      <c r="R277" s="24">
        <f t="shared" si="39"/>
        <v>337000.18076752592</v>
      </c>
      <c r="S277" s="30">
        <f>AN277*3*IF(MID(E277,3,1)="1",트라이포드!$J$17/3,트라이포드!$I$17)*IF(MID(E277,3,1)="2",트라이포드!$L$17,트라이포드!$K$17)*IF(MID(E277,3,1)="3",5/3,1)*IF(MID(E277,5,1)="1",트라이포드!$P$17,트라이포드!$O$17)*IF(MID(E277,5,1)="2",트라이포드!$R$17,트라이포드!$Q$17)*(1+입력란!$C$42/100)</f>
        <v>269602.87522337289</v>
      </c>
      <c r="T277" s="30">
        <f>AO277*3*IF(MID(E277,3,1)="1",1/3,1)*IF(MID(E277,3,1)="3",5/3,1)*IF(MID(E277,5,1)="1",트라이포드!$P$17,트라이포드!$O$17)*IF(MID(E277,5,1)="2",트라이포드!$R$17,트라이포드!$Q$17)*(1+입력란!$C$42/100)</f>
        <v>67397.30554415303</v>
      </c>
      <c r="U277" s="30"/>
      <c r="V277" s="30"/>
      <c r="W277" s="30"/>
      <c r="X277" s="39"/>
      <c r="Y277" s="39"/>
      <c r="Z277" s="27"/>
      <c r="AA277" s="30">
        <f t="shared" si="40"/>
        <v>674000.36153505184</v>
      </c>
      <c r="AB277" s="30">
        <f t="shared" si="41"/>
        <v>539205.75044674578</v>
      </c>
      <c r="AC277" s="30">
        <f t="shared" si="42"/>
        <v>134794.61108830606</v>
      </c>
      <c r="AD277" s="30"/>
      <c r="AE277" s="30"/>
      <c r="AF277" s="39"/>
      <c r="AG277" s="39"/>
      <c r="AH277" s="39"/>
      <c r="AI277" s="27"/>
      <c r="AJ277" s="26">
        <f>(AQ277-IF(MID(E277,1,1)="1",트라이포드!$D$17,트라이포드!$C$17))*(1-입력란!$C$35/100)</f>
        <v>29.652211223399998</v>
      </c>
      <c r="AK2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7" s="26">
        <f>입력란!$C$47+IF(입력란!$C$18=1,10,IF(입력란!$C$18=2,25,IF(입력란!$C$18=3,50,0)))+IF(입력란!$C$23&lt;&gt;0,-12)</f>
        <v>200</v>
      </c>
      <c r="AM277" s="30">
        <f t="shared" si="43"/>
        <v>70367.710454610453</v>
      </c>
      <c r="AN277" s="30">
        <f>(VLOOKUP(C277,$B$4:$AJ$7,18,FALSE)+VLOOKUP(C277,$B$8:$AJ$11,18,FALSE)*입력란!$C$29)*입력란!$C$48/100</f>
        <v>56294.73853171563</v>
      </c>
      <c r="AO277" s="30">
        <f>(VLOOKUP(C277,$B$4:$AJ$7,19,FALSE)+VLOOKUP(C277,$B$8:$AJ$11,19,FALSE)*입력란!$C$29)*입력란!$C$48/100</f>
        <v>14072.971922894823</v>
      </c>
      <c r="AP277" s="30"/>
      <c r="AQ277" s="29">
        <v>30</v>
      </c>
    </row>
    <row r="278" spans="2:43" ht="13.5" customHeight="1" x14ac:dyDescent="0.3">
      <c r="B278" s="31">
        <v>263</v>
      </c>
      <c r="C278" s="36">
        <v>10</v>
      </c>
      <c r="D278" s="43" t="s">
        <v>204</v>
      </c>
      <c r="E278" s="38" t="s">
        <v>192</v>
      </c>
      <c r="F278" s="40"/>
      <c r="G278" s="40"/>
      <c r="H278" s="52">
        <f t="shared" si="38"/>
        <v>20694.918119138067</v>
      </c>
      <c r="I278" s="53">
        <f>SUM(J278:Q278)*IF(입력란!$C$16=1,1.04,IF(입력란!$C$16=2,1.1,IF(입력란!$C$16=3,1.2,1)))*IF(입력란!$C$21=1,1+입력란!$C$38*0.001,IF(입력란!$C$21=2,1+입력란!$C$38*0.0022,IF(입력란!$C$21=3,1+입력란!$C$38*0.0045,1)))*IF(입력란!$C$18&lt;&gt;0,0.98,1)</f>
        <v>613650.0833196498</v>
      </c>
      <c r="J278" s="30">
        <f>S278*(1+IF($AK278+IF(입력란!$C$26=1,10,0)&gt;100,100,$AK278+IF(입력란!$C$26=1,10,0))/100*($AL278/100-1))</f>
        <v>490925.0388745853</v>
      </c>
      <c r="K278" s="30">
        <f>T278*(1+IF($AK278+IF(입력란!$C$26=1,10,0)&gt;100,100,$AK278+IF(입력란!$C$26=1,10,0))/100*($AL278/100-1))</f>
        <v>122725.04444506456</v>
      </c>
      <c r="L278" s="30"/>
      <c r="M278" s="30"/>
      <c r="N278" s="39"/>
      <c r="O278" s="39"/>
      <c r="P278" s="39"/>
      <c r="Q278" s="35"/>
      <c r="R278" s="24">
        <f t="shared" si="39"/>
        <v>505500.27115128888</v>
      </c>
      <c r="S278" s="30">
        <f>AN278*3*IF(MID(E278,3,1)="1",트라이포드!$J$17/3,트라이포드!$I$17)*IF(MID(E278,3,1)="2",트라이포드!$L$17,트라이포드!$K$17)*IF(MID(E278,3,1)="3",5/3,1)*IF(MID(E278,5,1)="1",트라이포드!$P$17,트라이포드!$O$17)*IF(MID(E278,5,1)="2",트라이포드!$R$17,트라이포드!$Q$17)*(1+입력란!$C$42/100)</f>
        <v>404404.3128350593</v>
      </c>
      <c r="T278" s="30">
        <f>AO278*3*IF(MID(E278,3,1)="1",1/3,1)*IF(MID(E278,3,1)="3",5/3,1)*IF(MID(E278,5,1)="1",트라이포드!$P$17,트라이포드!$O$17)*IF(MID(E278,5,1)="2",트라이포드!$R$17,트라이포드!$Q$17)*(1+입력란!$C$42/100)</f>
        <v>101095.95831622955</v>
      </c>
      <c r="U278" s="30"/>
      <c r="V278" s="30"/>
      <c r="W278" s="30"/>
      <c r="X278" s="39"/>
      <c r="Y278" s="39"/>
      <c r="Z278" s="27"/>
      <c r="AA278" s="30">
        <f t="shared" si="40"/>
        <v>1011000.5423025778</v>
      </c>
      <c r="AB278" s="30">
        <f t="shared" si="41"/>
        <v>808808.62567011861</v>
      </c>
      <c r="AC278" s="30">
        <f t="shared" si="42"/>
        <v>202191.91663245909</v>
      </c>
      <c r="AD278" s="30"/>
      <c r="AE278" s="30"/>
      <c r="AF278" s="39"/>
      <c r="AG278" s="39"/>
      <c r="AH278" s="39"/>
      <c r="AI278" s="27"/>
      <c r="AJ278" s="26">
        <f>(AQ278-IF(MID(E278,1,1)="1",트라이포드!$D$17,트라이포드!$C$17))*(1-입력란!$C$35/100)</f>
        <v>29.652211223399998</v>
      </c>
      <c r="AK2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8" s="26">
        <f>입력란!$C$47+IF(입력란!$C$18=1,10,IF(입력란!$C$18=2,25,IF(입력란!$C$18=3,50,0)))+IF(입력란!$C$23&lt;&gt;0,-12)</f>
        <v>200</v>
      </c>
      <c r="AM278" s="30">
        <f t="shared" si="43"/>
        <v>70367.710454610453</v>
      </c>
      <c r="AN278" s="30">
        <f>(VLOOKUP(C278,$B$4:$AJ$7,18,FALSE)+VLOOKUP(C278,$B$8:$AJ$11,18,FALSE)*입력란!$C$29)*입력란!$C$48/100</f>
        <v>56294.73853171563</v>
      </c>
      <c r="AO278" s="30">
        <f>(VLOOKUP(C278,$B$4:$AJ$7,19,FALSE)+VLOOKUP(C278,$B$8:$AJ$11,19,FALSE)*입력란!$C$29)*입력란!$C$48/100</f>
        <v>14072.971922894823</v>
      </c>
      <c r="AP278" s="30"/>
      <c r="AQ278" s="29">
        <v>30</v>
      </c>
    </row>
    <row r="279" spans="2:43" ht="13.5" customHeight="1" x14ac:dyDescent="0.3">
      <c r="B279" s="31">
        <v>264</v>
      </c>
      <c r="C279" s="36">
        <v>10</v>
      </c>
      <c r="D279" s="43" t="s">
        <v>204</v>
      </c>
      <c r="E279" s="38" t="s">
        <v>208</v>
      </c>
      <c r="F279" s="40" t="s">
        <v>215</v>
      </c>
      <c r="G279" s="40"/>
      <c r="H279" s="52">
        <f t="shared" si="38"/>
        <v>27593.22415885076</v>
      </c>
      <c r="I279" s="53">
        <f>SUM(J279:Q279)*IF(입력란!$C$16=1,1.04,IF(입력란!$C$16=2,1.1,IF(입력란!$C$16=3,1.2,1)))*IF(입력란!$C$21=1,1+입력란!$C$38*0.001,IF(입력란!$C$21=2,1+입력란!$C$38*0.0022,IF(입력란!$C$21=3,1+입력란!$C$38*0.0045,1)))*IF(입력란!$C$18&lt;&gt;0,0.98,1)</f>
        <v>818200.11109286651</v>
      </c>
      <c r="J279" s="30">
        <f>S279*(1+IF($AK279+IF(입력란!$C$26=1,10,0)&gt;100,100,$AK279+IF(입력란!$C$26=1,10,0))/100*($AL279/100-1))</f>
        <v>654566.7184994471</v>
      </c>
      <c r="K279" s="30">
        <f>T279*(1+IF($AK279+IF(입력란!$C$26=1,10,0)&gt;100,100,$AK279+IF(입력란!$C$26=1,10,0))/100*($AL279/100-1))</f>
        <v>163633.39259341941</v>
      </c>
      <c r="L279" s="30"/>
      <c r="M279" s="30"/>
      <c r="N279" s="39"/>
      <c r="O279" s="39"/>
      <c r="P279" s="39"/>
      <c r="Q279" s="35"/>
      <c r="R279" s="24">
        <f t="shared" si="39"/>
        <v>674000.36153505184</v>
      </c>
      <c r="S279" s="30">
        <f>AN279*3*IF(MID(E279,3,1)="1",트라이포드!$J$17/3,트라이포드!$I$17)*IF(MID(E279,3,1)="2",트라이포드!$L$17,트라이포드!$K$17)*IF(MID(E279,3,1)="3",5/3,1)*IF(MID(E279,5,1)="1",트라이포드!$P$17,트라이포드!$O$17)*IF(MID(E279,5,1)="2",트라이포드!$R$17,트라이포드!$Q$17)*(1+입력란!$C$42/100)</f>
        <v>539205.75044674578</v>
      </c>
      <c r="T279" s="30">
        <f>AO279*3*IF(MID(E279,3,1)="1",1/3,1)*IF(MID(E279,3,1)="3",5/3,1)*IF(MID(E279,5,1)="1",트라이포드!$P$17,트라이포드!$O$17)*IF(MID(E279,5,1)="2",트라이포드!$R$17,트라이포드!$Q$17)*(1+입력란!$C$42/100)</f>
        <v>134794.61108830606</v>
      </c>
      <c r="U279" s="30"/>
      <c r="V279" s="30"/>
      <c r="W279" s="30"/>
      <c r="X279" s="39"/>
      <c r="Y279" s="39"/>
      <c r="Z279" s="27"/>
      <c r="AA279" s="30">
        <f t="shared" si="40"/>
        <v>1348000.7230701037</v>
      </c>
      <c r="AB279" s="30">
        <f t="shared" si="41"/>
        <v>1078411.5008934916</v>
      </c>
      <c r="AC279" s="30">
        <f t="shared" si="42"/>
        <v>269589.22217661212</v>
      </c>
      <c r="AD279" s="30"/>
      <c r="AE279" s="30"/>
      <c r="AF279" s="39"/>
      <c r="AG279" s="39"/>
      <c r="AH279" s="39"/>
      <c r="AI279" s="27"/>
      <c r="AJ279" s="26">
        <f>(AQ279-IF(MID(E279,1,1)="1",트라이포드!$D$17,트라이포드!$C$17))*(1-입력란!$C$35/100)</f>
        <v>29.652211223399998</v>
      </c>
      <c r="AK27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79" s="26">
        <f>입력란!$C$47+IF(입력란!$C$18=1,10,IF(입력란!$C$18=2,25,IF(입력란!$C$18=3,50,0)))+IF(입력란!$C$23&lt;&gt;0,-12)</f>
        <v>200</v>
      </c>
      <c r="AM279" s="30">
        <f t="shared" si="43"/>
        <v>70367.710454610453</v>
      </c>
      <c r="AN279" s="30">
        <f>(VLOOKUP(C279,$B$4:$AJ$7,18,FALSE)+VLOOKUP(C279,$B$8:$AJ$11,18,FALSE)*입력란!$C$29)*입력란!$C$48/100</f>
        <v>56294.73853171563</v>
      </c>
      <c r="AO279" s="30">
        <f>(VLOOKUP(C279,$B$4:$AJ$7,19,FALSE)+VLOOKUP(C279,$B$8:$AJ$11,19,FALSE)*입력란!$C$29)*입력란!$C$48/100</f>
        <v>14072.971922894823</v>
      </c>
      <c r="AP279" s="30"/>
      <c r="AQ279" s="29">
        <v>30</v>
      </c>
    </row>
    <row r="280" spans="2:43" ht="13.5" customHeight="1" x14ac:dyDescent="0.3">
      <c r="B280" s="31">
        <v>265</v>
      </c>
      <c r="C280" s="36">
        <v>10</v>
      </c>
      <c r="D280" s="43" t="s">
        <v>49</v>
      </c>
      <c r="E280" s="38" t="s">
        <v>200</v>
      </c>
      <c r="F280" s="40"/>
      <c r="G280" s="40"/>
      <c r="H280" s="52">
        <f t="shared" si="38"/>
        <v>43114.412748204319</v>
      </c>
      <c r="I280" s="53">
        <f>SUM(J280:Q280)*IF(입력란!$C$16=1,1.04,IF(입력란!$C$16=2,1.1,IF(입력란!$C$16=3,1.2,1)))*IF(입력란!$C$21=1,1+입력란!$C$38*0.001,IF(입력란!$C$21=2,1+입력란!$C$38*0.0022,IF(입력란!$C$21=3,1+입력란!$C$38*0.0045,1)))*IF(입력란!$C$18&lt;&gt;0,0.98,1)</f>
        <v>1022750.1388660832</v>
      </c>
      <c r="J280" s="30">
        <f>S280*(1+IF($AK280+IF(입력란!$C$26=1,10,0)&gt;100,100,$AK280+IF(입력란!$C$26=1,10,0))/100*($AL280/100-1))</f>
        <v>818208.39812430902</v>
      </c>
      <c r="K280" s="30">
        <f>T280*(1+IF($AK280+IF(입력란!$C$26=1,10,0)&gt;100,100,$AK280+IF(입력란!$C$26=1,10,0))/100*($AL280/100-1))</f>
        <v>204541.74074177427</v>
      </c>
      <c r="L280" s="30"/>
      <c r="M280" s="30"/>
      <c r="N280" s="39"/>
      <c r="O280" s="39"/>
      <c r="P280" s="39"/>
      <c r="Q280" s="35"/>
      <c r="R280" s="24">
        <f t="shared" si="39"/>
        <v>842500.45191881491</v>
      </c>
      <c r="S280" s="30">
        <f>AN280*3*IF(MID(E280,3,1)="1",트라이포드!$J$17/3,트라이포드!$I$17)*IF(MID(E280,3,1)="2",트라이포드!$L$17,트라이포드!$K$17)*IF(MID(E280,3,1)="3",5/3,1)*IF(MID(E280,5,1)="1",트라이포드!$P$17,트라이포드!$O$17)*IF(MID(E280,5,1)="2",트라이포드!$R$17,트라이포드!$Q$17)*(1+입력란!$C$42/100)</f>
        <v>674007.18805843231</v>
      </c>
      <c r="T280" s="30">
        <f>AO280*3*IF(MID(E280,3,1)="1",1/3,1)*IF(MID(E280,3,1)="3",5/3,1)*IF(MID(E280,5,1)="1",트라이포드!$P$17,트라이포드!$O$17)*IF(MID(E280,5,1)="2",트라이포드!$R$17,트라이포드!$Q$17)*(1+입력란!$C$42/100)</f>
        <v>168493.26386038258</v>
      </c>
      <c r="U280" s="30"/>
      <c r="V280" s="30"/>
      <c r="W280" s="30"/>
      <c r="X280" s="39"/>
      <c r="Y280" s="39"/>
      <c r="Z280" s="27"/>
      <c r="AA280" s="30">
        <f t="shared" si="40"/>
        <v>1685000.9038376298</v>
      </c>
      <c r="AB280" s="30">
        <f t="shared" si="41"/>
        <v>1348014.3761168646</v>
      </c>
      <c r="AC280" s="30">
        <f t="shared" si="42"/>
        <v>336986.52772076515</v>
      </c>
      <c r="AD280" s="30"/>
      <c r="AE280" s="30"/>
      <c r="AF280" s="39"/>
      <c r="AG280" s="39"/>
      <c r="AH280" s="39"/>
      <c r="AI280" s="27"/>
      <c r="AJ280" s="26">
        <f>(AQ280-IF(MID(E280,1,1)="1",트라이포드!$D$17,트라이포드!$C$17))*(1-입력란!$C$35/100)</f>
        <v>23.72176897872</v>
      </c>
      <c r="AK28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0" s="26">
        <f>입력란!$C$47+IF(입력란!$C$18=1,10,IF(입력란!$C$18=2,25,IF(입력란!$C$18=3,50,0)))+IF(입력란!$C$23&lt;&gt;0,-12)</f>
        <v>200</v>
      </c>
      <c r="AM280" s="30">
        <f t="shared" si="43"/>
        <v>70367.710454610453</v>
      </c>
      <c r="AN280" s="30">
        <f>(VLOOKUP(C280,$B$4:$AJ$7,18,FALSE)+VLOOKUP(C280,$B$8:$AJ$11,18,FALSE)*입력란!$C$29)*입력란!$C$48/100</f>
        <v>56294.73853171563</v>
      </c>
      <c r="AO280" s="30">
        <f>(VLOOKUP(C280,$B$4:$AJ$7,19,FALSE)+VLOOKUP(C280,$B$8:$AJ$11,19,FALSE)*입력란!$C$29)*입력란!$C$48/100</f>
        <v>14072.971922894823</v>
      </c>
      <c r="AP280" s="30"/>
      <c r="AQ280" s="29">
        <v>30</v>
      </c>
    </row>
    <row r="281" spans="2:43" ht="13.5" customHeight="1" x14ac:dyDescent="0.3">
      <c r="B281" s="31">
        <v>266</v>
      </c>
      <c r="C281" s="36">
        <v>10</v>
      </c>
      <c r="D281" s="43" t="s">
        <v>204</v>
      </c>
      <c r="E281" s="38" t="s">
        <v>388</v>
      </c>
      <c r="F281" s="40"/>
      <c r="G281" s="40"/>
      <c r="H281" s="52">
        <f t="shared" si="38"/>
        <v>34491.530198563458</v>
      </c>
      <c r="I281" s="53">
        <f>SUM(J281:Q281)*IF(입력란!$C$16=1,1.04,IF(입력란!$C$16=2,1.1,IF(입력란!$C$16=3,1.2,1)))*IF(입력란!$C$21=1,1+입력란!$C$38*0.001,IF(입력란!$C$21=2,1+입력란!$C$38*0.0022,IF(입력란!$C$21=3,1+입력란!$C$38*0.0045,1)))*IF(입력란!$C$18&lt;&gt;0,0.98,1)</f>
        <v>1022750.1388660832</v>
      </c>
      <c r="J281" s="30">
        <f>S281*(1+IF($AK281+IF(입력란!$C$26=1,10,0)&gt;100,100,$AK281+IF(입력란!$C$26=1,10,0))/100*($AL281/100-1))</f>
        <v>818208.39812430902</v>
      </c>
      <c r="K281" s="30">
        <f>T281*(1+IF($AK281+IF(입력란!$C$26=1,10,0)&gt;100,100,$AK281+IF(입력란!$C$26=1,10,0))/100*($AL281/100-1))</f>
        <v>204541.74074177427</v>
      </c>
      <c r="L281" s="30"/>
      <c r="M281" s="30"/>
      <c r="N281" s="39"/>
      <c r="O281" s="39"/>
      <c r="P281" s="39"/>
      <c r="Q281" s="35"/>
      <c r="R281" s="24">
        <f t="shared" si="39"/>
        <v>842500.45191881491</v>
      </c>
      <c r="S281" s="30">
        <f>AN281*3*IF(MID(E281,3,1)="1",트라이포드!$J$17/3,트라이포드!$I$17)*IF(MID(E281,3,1)="2",트라이포드!$L$17,트라이포드!$K$17)*IF(MID(E281,3,1)="3",5/3,1)*IF(MID(E281,5,1)="1",트라이포드!$P$17,트라이포드!$O$17)*IF(MID(E281,5,1)="2",트라이포드!$R$17,트라이포드!$Q$17)*(1+입력란!$C$42/100)</f>
        <v>674007.18805843231</v>
      </c>
      <c r="T281" s="30">
        <f>AO281*3*IF(MID(E281,3,1)="1",1/3,1)*IF(MID(E281,3,1)="3",5/3,1)*IF(MID(E281,5,1)="1",트라이포드!$P$17,트라이포드!$O$17)*IF(MID(E281,5,1)="2",트라이포드!$R$17,트라이포드!$Q$17)*(1+입력란!$C$42/100)</f>
        <v>168493.26386038258</v>
      </c>
      <c r="U281" s="30"/>
      <c r="V281" s="30"/>
      <c r="W281" s="30"/>
      <c r="X281" s="39"/>
      <c r="Y281" s="39"/>
      <c r="Z281" s="27"/>
      <c r="AA281" s="30">
        <f t="shared" si="40"/>
        <v>1685000.9038376298</v>
      </c>
      <c r="AB281" s="30">
        <f t="shared" si="41"/>
        <v>1348014.3761168646</v>
      </c>
      <c r="AC281" s="30">
        <f t="shared" si="42"/>
        <v>336986.52772076515</v>
      </c>
      <c r="AD281" s="30"/>
      <c r="AE281" s="30"/>
      <c r="AF281" s="39"/>
      <c r="AG281" s="39"/>
      <c r="AH281" s="39"/>
      <c r="AI281" s="27"/>
      <c r="AJ281" s="26">
        <f>(AQ281-IF(MID(E281,1,1)="1",트라이포드!$D$17,트라이포드!$C$17))*(1-입력란!$C$35/100)</f>
        <v>29.652211223399998</v>
      </c>
      <c r="AK28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1" s="26">
        <f>입력란!$C$47+IF(입력란!$C$18=1,10,IF(입력란!$C$18=2,25,IF(입력란!$C$18=3,50,0)))+IF(입력란!$C$23&lt;&gt;0,-12)</f>
        <v>200</v>
      </c>
      <c r="AM281" s="30">
        <f t="shared" si="43"/>
        <v>70367.710454610453</v>
      </c>
      <c r="AN281" s="30">
        <f>(VLOOKUP(C281,$B$4:$AJ$7,18,FALSE)+VLOOKUP(C281,$B$8:$AJ$11,18,FALSE)*입력란!$C$29)*입력란!$C$48/100</f>
        <v>56294.73853171563</v>
      </c>
      <c r="AO281" s="30">
        <f>(VLOOKUP(C281,$B$4:$AJ$7,19,FALSE)+VLOOKUP(C281,$B$8:$AJ$11,19,FALSE)*입력란!$C$29)*입력란!$C$48/100</f>
        <v>14072.971922894823</v>
      </c>
      <c r="AP281" s="30"/>
      <c r="AQ281" s="29">
        <v>30</v>
      </c>
    </row>
    <row r="282" spans="2:43" ht="13.5" customHeight="1" x14ac:dyDescent="0.3">
      <c r="B282" s="31">
        <v>267</v>
      </c>
      <c r="C282" s="36">
        <v>10</v>
      </c>
      <c r="D282" s="43" t="s">
        <v>49</v>
      </c>
      <c r="E282" s="38" t="s">
        <v>180</v>
      </c>
      <c r="F282" s="40"/>
      <c r="G282" s="40"/>
      <c r="H282" s="52">
        <f t="shared" si="38"/>
        <v>26558.659911199094</v>
      </c>
      <c r="I282" s="53">
        <f>SUM(J282:Q282)*IF(입력란!$C$16=1,1.04,IF(입력란!$C$16=2,1.1,IF(입력란!$C$16=3,1.2,1)))*IF(입력란!$C$21=1,1+입력란!$C$38*0.001,IF(입력란!$C$21=2,1+입력란!$C$38*0.0022,IF(입력란!$C$21=3,1+입력란!$C$38*0.0045,1)))*IF(입력란!$C$18&lt;&gt;0,0.98,1)</f>
        <v>630018.39479785715</v>
      </c>
      <c r="J282" s="30">
        <f>S282*(1+IF($AK282+IF(입력란!$C$26=1,10,0)&gt;100,100,$AK282+IF(입력란!$C$26=1,10,0))/100*($AL282/100-1))</f>
        <v>589110.04664950236</v>
      </c>
      <c r="K282" s="30">
        <f>T282*(1+IF($AK282+IF(입력란!$C$26=1,10,0)&gt;100,100,$AK282+IF(입력란!$C$26=1,10,0))/100*($AL282/100-1))</f>
        <v>40908.348148354853</v>
      </c>
      <c r="L282" s="30"/>
      <c r="M282" s="30"/>
      <c r="N282" s="39"/>
      <c r="O282" s="39"/>
      <c r="P282" s="39"/>
      <c r="Q282" s="35"/>
      <c r="R282" s="24">
        <f t="shared" si="39"/>
        <v>518983.82817414764</v>
      </c>
      <c r="S282" s="30">
        <f>AN282*3*IF(MID(E282,3,1)="1",트라이포드!$J$17/3,트라이포드!$I$17)*IF(MID(E282,3,1)="2",트라이포드!$L$17,트라이포드!$K$17)*IF(MID(E282,3,1)="3",5/3,1)*IF(MID(E282,5,1)="1",트라이포드!$P$17,트라이포드!$O$17)*IF(MID(E282,5,1)="2",트라이포드!$R$17,트라이포드!$Q$17)*(1+입력란!$C$42/100)</f>
        <v>485285.17540207109</v>
      </c>
      <c r="T282" s="30">
        <f>AO282*3*IF(MID(E282,3,1)="1",1/3,1)*IF(MID(E282,3,1)="3",5/3,1)*IF(MID(E282,5,1)="1",트라이포드!$P$17,트라이포드!$O$17)*IF(MID(E282,5,1)="2",트라이포드!$R$17,트라이포드!$Q$17)*(1+입력란!$C$42/100)</f>
        <v>33698.652772076515</v>
      </c>
      <c r="U282" s="30"/>
      <c r="V282" s="30"/>
      <c r="W282" s="30"/>
      <c r="X282" s="39"/>
      <c r="Y282" s="39"/>
      <c r="Z282" s="27"/>
      <c r="AA282" s="30">
        <f t="shared" si="40"/>
        <v>1037967.6563482953</v>
      </c>
      <c r="AB282" s="30">
        <f t="shared" si="41"/>
        <v>970570.35080414219</v>
      </c>
      <c r="AC282" s="30">
        <f t="shared" si="42"/>
        <v>67397.30554415303</v>
      </c>
      <c r="AD282" s="30"/>
      <c r="AE282" s="30"/>
      <c r="AF282" s="39"/>
      <c r="AG282" s="39"/>
      <c r="AH282" s="39"/>
      <c r="AI282" s="27"/>
      <c r="AJ282" s="26">
        <f>(AQ282-IF(MID(E282,1,1)="1",트라이포드!$D$17,트라이포드!$C$17))*(1-입력란!$C$35/100)</f>
        <v>23.72176897872</v>
      </c>
      <c r="AK28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2" s="26">
        <f>입력란!$C$47+IF(입력란!$C$18=1,10,IF(입력란!$C$18=2,25,IF(입력란!$C$18=3,50,0)))+IF(입력란!$C$23&lt;&gt;0,-12)</f>
        <v>200</v>
      </c>
      <c r="AM282" s="30">
        <f t="shared" si="43"/>
        <v>70367.710454610453</v>
      </c>
      <c r="AN282" s="30">
        <f>(VLOOKUP(C282,$B$4:$AJ$7,18,FALSE)+VLOOKUP(C282,$B$8:$AJ$11,18,FALSE)*입력란!$C$29)*입력란!$C$48/100</f>
        <v>56294.73853171563</v>
      </c>
      <c r="AO282" s="30">
        <f>(VLOOKUP(C282,$B$4:$AJ$7,19,FALSE)+VLOOKUP(C282,$B$8:$AJ$11,19,FALSE)*입력란!$C$29)*입력란!$C$48/100</f>
        <v>14072.971922894823</v>
      </c>
      <c r="AP282" s="30"/>
      <c r="AQ282" s="29">
        <v>30</v>
      </c>
    </row>
    <row r="283" spans="2:43" ht="13.5" customHeight="1" x14ac:dyDescent="0.3">
      <c r="B283" s="31">
        <v>268</v>
      </c>
      <c r="C283" s="36">
        <v>10</v>
      </c>
      <c r="D283" s="43" t="s">
        <v>49</v>
      </c>
      <c r="E283" s="38" t="s">
        <v>387</v>
      </c>
      <c r="F283" s="40"/>
      <c r="G283" s="40"/>
      <c r="H283" s="52">
        <f t="shared" si="38"/>
        <v>21246.927928959278</v>
      </c>
      <c r="I283" s="53">
        <f>SUM(J283:Q283)*IF(입력란!$C$16=1,1.04,IF(입력란!$C$16=2,1.1,IF(입력란!$C$16=3,1.2,1)))*IF(입력란!$C$21=1,1+입력란!$C$38*0.001,IF(입력란!$C$21=2,1+입력란!$C$38*0.0022,IF(입력란!$C$21=3,1+입력란!$C$38*0.0045,1)))*IF(입력란!$C$18&lt;&gt;0,0.98,1)</f>
        <v>630018.39479785715</v>
      </c>
      <c r="J283" s="30">
        <f>S283*(1+IF($AK283+IF(입력란!$C$26=1,10,0)&gt;100,100,$AK283+IF(입력란!$C$26=1,10,0))/100*($AL283/100-1))</f>
        <v>589110.04664950236</v>
      </c>
      <c r="K283" s="30">
        <f>T283*(1+IF($AK283+IF(입력란!$C$26=1,10,0)&gt;100,100,$AK283+IF(입력란!$C$26=1,10,0))/100*($AL283/100-1))</f>
        <v>40908.348148354853</v>
      </c>
      <c r="L283" s="30"/>
      <c r="M283" s="30"/>
      <c r="N283" s="39"/>
      <c r="O283" s="39"/>
      <c r="P283" s="39"/>
      <c r="Q283" s="35"/>
      <c r="R283" s="24">
        <f t="shared" si="39"/>
        <v>518983.82817414764</v>
      </c>
      <c r="S283" s="30">
        <f>AN283*3*IF(MID(E283,3,1)="1",트라이포드!$J$17/3,트라이포드!$I$17)*IF(MID(E283,3,1)="2",트라이포드!$L$17,트라이포드!$K$17)*IF(MID(E283,3,1)="3",5/3,1)*IF(MID(E283,5,1)="1",트라이포드!$P$17,트라이포드!$O$17)*IF(MID(E283,5,1)="2",트라이포드!$R$17,트라이포드!$Q$17)*(1+입력란!$C$42/100)</f>
        <v>485285.17540207109</v>
      </c>
      <c r="T283" s="30">
        <f>AO283*3*IF(MID(E283,3,1)="1",1/3,1)*IF(MID(E283,3,1)="3",5/3,1)*IF(MID(E283,5,1)="1",트라이포드!$P$17,트라이포드!$O$17)*IF(MID(E283,5,1)="2",트라이포드!$R$17,트라이포드!$Q$17)*(1+입력란!$C$42/100)</f>
        <v>33698.652772076515</v>
      </c>
      <c r="U283" s="30"/>
      <c r="V283" s="30"/>
      <c r="W283" s="30"/>
      <c r="X283" s="39"/>
      <c r="Y283" s="39"/>
      <c r="Z283" s="27"/>
      <c r="AA283" s="30">
        <f t="shared" si="40"/>
        <v>1037967.6563482953</v>
      </c>
      <c r="AB283" s="30">
        <f t="shared" si="41"/>
        <v>970570.35080414219</v>
      </c>
      <c r="AC283" s="30">
        <f t="shared" si="42"/>
        <v>67397.30554415303</v>
      </c>
      <c r="AD283" s="30"/>
      <c r="AE283" s="30"/>
      <c r="AF283" s="39"/>
      <c r="AG283" s="39"/>
      <c r="AH283" s="39"/>
      <c r="AI283" s="27"/>
      <c r="AJ283" s="26">
        <f>(AQ283-IF(MID(E283,1,1)="1",트라이포드!$D$17,트라이포드!$C$17))*(1-입력란!$C$35/100)</f>
        <v>29.652211223399998</v>
      </c>
      <c r="AK28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3" s="26">
        <f>입력란!$C$47+IF(입력란!$C$18=1,10,IF(입력란!$C$18=2,25,IF(입력란!$C$18=3,50,0)))+IF(입력란!$C$23&lt;&gt;0,-12)</f>
        <v>200</v>
      </c>
      <c r="AM283" s="30">
        <f t="shared" si="43"/>
        <v>70367.710454610453</v>
      </c>
      <c r="AN283" s="30">
        <f>(VLOOKUP(C283,$B$4:$AJ$7,18,FALSE)+VLOOKUP(C283,$B$8:$AJ$11,18,FALSE)*입력란!$C$29)*입력란!$C$48/100</f>
        <v>56294.73853171563</v>
      </c>
      <c r="AO283" s="30">
        <f>(VLOOKUP(C283,$B$4:$AJ$7,19,FALSE)+VLOOKUP(C283,$B$8:$AJ$11,19,FALSE)*입력란!$C$29)*입력란!$C$48/100</f>
        <v>14072.971922894823</v>
      </c>
      <c r="AP283" s="30"/>
      <c r="AQ283" s="29">
        <v>30</v>
      </c>
    </row>
    <row r="284" spans="2:43" ht="13.5" customHeight="1" x14ac:dyDescent="0.3">
      <c r="B284" s="31">
        <v>269</v>
      </c>
      <c r="C284" s="36">
        <v>10</v>
      </c>
      <c r="D284" s="43" t="s">
        <v>49</v>
      </c>
      <c r="E284" s="38" t="s">
        <v>201</v>
      </c>
      <c r="F284" s="40" t="s">
        <v>215</v>
      </c>
      <c r="G284" s="40"/>
      <c r="H284" s="52">
        <f t="shared" si="38"/>
        <v>57485.88366427242</v>
      </c>
      <c r="I284" s="53">
        <f>SUM(J284:Q284)*IF(입력란!$C$16=1,1.04,IF(입력란!$C$16=2,1.1,IF(입력란!$C$16=3,1.2,1)))*IF(입력란!$C$21=1,1+입력란!$C$38*0.001,IF(입력란!$C$21=2,1+입력란!$C$38*0.0022,IF(입력란!$C$21=3,1+입력란!$C$38*0.0045,1)))*IF(입력란!$C$18&lt;&gt;0,0.98,1)</f>
        <v>1363666.8518214442</v>
      </c>
      <c r="J284" s="30">
        <f>S284*(1+IF($AK284+IF(입력란!$C$26=1,10,0)&gt;100,100,$AK284+IF(입력란!$C$26=1,10,0))/100*($AL284/100-1))</f>
        <v>1090944.530832412</v>
      </c>
      <c r="K284" s="30">
        <f>T284*(1+IF($AK284+IF(입력란!$C$26=1,10,0)&gt;100,100,$AK284+IF(입력란!$C$26=1,10,0))/100*($AL284/100-1))</f>
        <v>272722.32098903233</v>
      </c>
      <c r="L284" s="30"/>
      <c r="M284" s="30"/>
      <c r="N284" s="39"/>
      <c r="O284" s="39"/>
      <c r="P284" s="39"/>
      <c r="Q284" s="35"/>
      <c r="R284" s="24">
        <f t="shared" si="39"/>
        <v>1123333.9358917531</v>
      </c>
      <c r="S284" s="30">
        <f>AN284*3*IF(MID(E284,3,1)="1",트라이포드!$J$17/3,트라이포드!$I$17)*IF(MID(E284,3,1)="2",트라이포드!$L$17,트라이포드!$K$17)*IF(MID(E284,3,1)="3",5/3,1)*IF(MID(E284,5,1)="1",트라이포드!$P$17,트라이포드!$O$17)*IF(MID(E284,5,1)="2",트라이포드!$R$17,트라이포드!$Q$17)*(1+입력란!$C$42/100)</f>
        <v>898676.25074457633</v>
      </c>
      <c r="T284" s="30">
        <f>AO284*3*IF(MID(E284,3,1)="1",1/3,1)*IF(MID(E284,3,1)="3",5/3,1)*IF(MID(E284,5,1)="1",트라이포드!$P$17,트라이포드!$O$17)*IF(MID(E284,5,1)="2",트라이포드!$R$17,트라이포드!$Q$17)*(1+입력란!$C$42/100)</f>
        <v>224657.68514717676</v>
      </c>
      <c r="U284" s="30"/>
      <c r="V284" s="30"/>
      <c r="W284" s="30"/>
      <c r="X284" s="39"/>
      <c r="Y284" s="39"/>
      <c r="Z284" s="27"/>
      <c r="AA284" s="30">
        <f t="shared" si="40"/>
        <v>2246667.8717835061</v>
      </c>
      <c r="AB284" s="30">
        <f t="shared" si="41"/>
        <v>1797352.5014891527</v>
      </c>
      <c r="AC284" s="30">
        <f t="shared" si="42"/>
        <v>449315.37029435352</v>
      </c>
      <c r="AD284" s="30"/>
      <c r="AE284" s="30"/>
      <c r="AF284" s="39"/>
      <c r="AG284" s="39"/>
      <c r="AH284" s="39"/>
      <c r="AI284" s="27"/>
      <c r="AJ284" s="26">
        <f>(AQ284-IF(MID(E284,1,1)="1",트라이포드!$D$17,트라이포드!$C$17))*(1-입력란!$C$35/100)</f>
        <v>23.72176897872</v>
      </c>
      <c r="AK28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4" s="26">
        <f>입력란!$C$47+IF(입력란!$C$18=1,10,IF(입력란!$C$18=2,25,IF(입력란!$C$18=3,50,0)))+IF(입력란!$C$23&lt;&gt;0,-12)</f>
        <v>200</v>
      </c>
      <c r="AM284" s="30">
        <f t="shared" si="43"/>
        <v>70367.710454610453</v>
      </c>
      <c r="AN284" s="30">
        <f>(VLOOKUP(C284,$B$4:$AJ$7,18,FALSE)+VLOOKUP(C284,$B$8:$AJ$11,18,FALSE)*입력란!$C$29)*입력란!$C$48/100</f>
        <v>56294.73853171563</v>
      </c>
      <c r="AO284" s="30">
        <f>(VLOOKUP(C284,$B$4:$AJ$7,19,FALSE)+VLOOKUP(C284,$B$8:$AJ$11,19,FALSE)*입력란!$C$29)*입력란!$C$48/100</f>
        <v>14072.971922894823</v>
      </c>
      <c r="AP284" s="30"/>
      <c r="AQ284" s="29">
        <v>30</v>
      </c>
    </row>
    <row r="285" spans="2:43" ht="13.5" customHeight="1" x14ac:dyDescent="0.3">
      <c r="B285" s="31">
        <v>270</v>
      </c>
      <c r="C285" s="36">
        <v>10</v>
      </c>
      <c r="D285" s="43" t="s">
        <v>204</v>
      </c>
      <c r="E285" s="38" t="s">
        <v>389</v>
      </c>
      <c r="F285" s="40" t="s">
        <v>216</v>
      </c>
      <c r="G285" s="40"/>
      <c r="H285" s="52">
        <f t="shared" si="38"/>
        <v>45988.706931417939</v>
      </c>
      <c r="I285" s="53">
        <f>SUM(J285:Q285)*IF(입력란!$C$16=1,1.04,IF(입력란!$C$16=2,1.1,IF(입력란!$C$16=3,1.2,1)))*IF(입력란!$C$21=1,1+입력란!$C$38*0.001,IF(입력란!$C$21=2,1+입력란!$C$38*0.0022,IF(입력란!$C$21=3,1+입력란!$C$38*0.0045,1)))*IF(입력란!$C$18&lt;&gt;0,0.98,1)</f>
        <v>1363666.8518214442</v>
      </c>
      <c r="J285" s="30">
        <f>S285*(1+IF($AK285+IF(입력란!$C$26=1,10,0)&gt;100,100,$AK285+IF(입력란!$C$26=1,10,0))/100*($AL285/100-1))</f>
        <v>1090944.530832412</v>
      </c>
      <c r="K285" s="30">
        <f>T285*(1+IF($AK285+IF(입력란!$C$26=1,10,0)&gt;100,100,$AK285+IF(입력란!$C$26=1,10,0))/100*($AL285/100-1))</f>
        <v>272722.32098903233</v>
      </c>
      <c r="L285" s="30"/>
      <c r="M285" s="30"/>
      <c r="N285" s="39"/>
      <c r="O285" s="39"/>
      <c r="P285" s="39"/>
      <c r="Q285" s="35"/>
      <c r="R285" s="24">
        <f t="shared" si="39"/>
        <v>1123333.9358917531</v>
      </c>
      <c r="S285" s="30">
        <f>AN285*3*IF(MID(E285,3,1)="1",트라이포드!$J$17/3,트라이포드!$I$17)*IF(MID(E285,3,1)="2",트라이포드!$L$17,트라이포드!$K$17)*IF(MID(E285,3,1)="3",5/3,1)*IF(MID(E285,5,1)="1",트라이포드!$P$17,트라이포드!$O$17)*IF(MID(E285,5,1)="2",트라이포드!$R$17,트라이포드!$Q$17)*(1+입력란!$C$42/100)</f>
        <v>898676.25074457633</v>
      </c>
      <c r="T285" s="30">
        <f>AO285*3*IF(MID(E285,3,1)="1",1/3,1)*IF(MID(E285,3,1)="3",5/3,1)*IF(MID(E285,5,1)="1",트라이포드!$P$17,트라이포드!$O$17)*IF(MID(E285,5,1)="2",트라이포드!$R$17,트라이포드!$Q$17)*(1+입력란!$C$42/100)</f>
        <v>224657.68514717676</v>
      </c>
      <c r="U285" s="30"/>
      <c r="V285" s="30"/>
      <c r="W285" s="30"/>
      <c r="X285" s="39"/>
      <c r="Y285" s="39"/>
      <c r="Z285" s="27"/>
      <c r="AA285" s="30">
        <f t="shared" si="40"/>
        <v>2246667.8717835061</v>
      </c>
      <c r="AB285" s="30">
        <f t="shared" si="41"/>
        <v>1797352.5014891527</v>
      </c>
      <c r="AC285" s="30">
        <f t="shared" si="42"/>
        <v>449315.37029435352</v>
      </c>
      <c r="AD285" s="30"/>
      <c r="AE285" s="30"/>
      <c r="AF285" s="39"/>
      <c r="AG285" s="39"/>
      <c r="AH285" s="39"/>
      <c r="AI285" s="27"/>
      <c r="AJ285" s="26">
        <f>(AQ285-IF(MID(E285,1,1)="1",트라이포드!$D$17,트라이포드!$C$17))*(1-입력란!$C$35/100)</f>
        <v>29.652211223399998</v>
      </c>
      <c r="AK28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5" s="26">
        <f>입력란!$C$47+IF(입력란!$C$18=1,10,IF(입력란!$C$18=2,25,IF(입력란!$C$18=3,50,0)))+IF(입력란!$C$23&lt;&gt;0,-12)</f>
        <v>200</v>
      </c>
      <c r="AM285" s="30">
        <f t="shared" si="43"/>
        <v>70367.710454610453</v>
      </c>
      <c r="AN285" s="30">
        <f>(VLOOKUP(C285,$B$4:$AJ$7,18,FALSE)+VLOOKUP(C285,$B$8:$AJ$11,18,FALSE)*입력란!$C$29)*입력란!$C$48/100</f>
        <v>56294.73853171563</v>
      </c>
      <c r="AO285" s="30">
        <f>(VLOOKUP(C285,$B$4:$AJ$7,19,FALSE)+VLOOKUP(C285,$B$8:$AJ$11,19,FALSE)*입력란!$C$29)*입력란!$C$48/100</f>
        <v>14072.971922894823</v>
      </c>
      <c r="AP285" s="30"/>
      <c r="AQ285" s="29">
        <v>30</v>
      </c>
    </row>
    <row r="286" spans="2:43" ht="13.5" customHeight="1" x14ac:dyDescent="0.3">
      <c r="B286" s="31">
        <v>271</v>
      </c>
      <c r="C286" s="36">
        <v>10</v>
      </c>
      <c r="D286" s="43" t="s">
        <v>49</v>
      </c>
      <c r="E286" s="38" t="s">
        <v>181</v>
      </c>
      <c r="F286" s="40" t="s">
        <v>215</v>
      </c>
      <c r="G286" s="40"/>
      <c r="H286" s="52">
        <f t="shared" si="38"/>
        <v>35411.546548265454</v>
      </c>
      <c r="I286" s="53">
        <f>SUM(J286:Q286)*IF(입력란!$C$16=1,1.04,IF(입력란!$C$16=2,1.1,IF(입력란!$C$16=3,1.2,1)))*IF(입력란!$C$21=1,1+입력란!$C$38*0.001,IF(입력란!$C$21=2,1+입력란!$C$38*0.0022,IF(입력란!$C$21=3,1+입력란!$C$38*0.0045,1)))*IF(입력란!$C$18&lt;&gt;0,0.98,1)</f>
        <v>840024.52639714279</v>
      </c>
      <c r="J286" s="30">
        <f>S286*(1+IF($AK286+IF(입력란!$C$26=1,10,0)&gt;100,100,$AK286+IF(입력란!$C$26=1,10,0))/100*($AL286/100-1))</f>
        <v>785480.06219933636</v>
      </c>
      <c r="K286" s="30">
        <f>T286*(1+IF($AK286+IF(입력란!$C$26=1,10,0)&gt;100,100,$AK286+IF(입력란!$C$26=1,10,0))/100*($AL286/100-1))</f>
        <v>54544.464197806476</v>
      </c>
      <c r="L286" s="30"/>
      <c r="M286" s="30"/>
      <c r="N286" s="39"/>
      <c r="O286" s="39"/>
      <c r="P286" s="39"/>
      <c r="Q286" s="35"/>
      <c r="R286" s="24">
        <f t="shared" si="39"/>
        <v>691978.43756553018</v>
      </c>
      <c r="S286" s="30">
        <f>AN286*3*IF(MID(E286,3,1)="1",트라이포드!$J$17/3,트라이포드!$I$17)*IF(MID(E286,3,1)="2",트라이포드!$L$17,트라이포드!$K$17)*IF(MID(E286,3,1)="3",5/3,1)*IF(MID(E286,5,1)="1",트라이포드!$P$17,트라이포드!$O$17)*IF(MID(E286,5,1)="2",트라이포드!$R$17,트라이포드!$Q$17)*(1+입력란!$C$42/100)</f>
        <v>647046.90053609479</v>
      </c>
      <c r="T286" s="30">
        <f>AO286*3*IF(MID(E286,3,1)="1",1/3,1)*IF(MID(E286,3,1)="3",5/3,1)*IF(MID(E286,5,1)="1",트라이포드!$P$17,트라이포드!$O$17)*IF(MID(E286,5,1)="2",트라이포드!$R$17,트라이포드!$Q$17)*(1+입력란!$C$42/100)</f>
        <v>44931.537029435356</v>
      </c>
      <c r="U286" s="30"/>
      <c r="V286" s="30"/>
      <c r="W286" s="30"/>
      <c r="X286" s="39"/>
      <c r="Y286" s="39"/>
      <c r="Z286" s="27"/>
      <c r="AA286" s="30">
        <f t="shared" si="40"/>
        <v>1383956.8751310604</v>
      </c>
      <c r="AB286" s="30">
        <f t="shared" si="41"/>
        <v>1294093.8010721896</v>
      </c>
      <c r="AC286" s="30">
        <f t="shared" si="42"/>
        <v>89863.074058870712</v>
      </c>
      <c r="AD286" s="30"/>
      <c r="AE286" s="30"/>
      <c r="AF286" s="39"/>
      <c r="AG286" s="39"/>
      <c r="AH286" s="39"/>
      <c r="AI286" s="27"/>
      <c r="AJ286" s="26">
        <f>(AQ286-IF(MID(E286,1,1)="1",트라이포드!$D$17,트라이포드!$C$17))*(1-입력란!$C$35/100)</f>
        <v>23.72176897872</v>
      </c>
      <c r="AK28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6" s="26">
        <f>입력란!$C$47+IF(입력란!$C$18=1,10,IF(입력란!$C$18=2,25,IF(입력란!$C$18=3,50,0)))+IF(입력란!$C$23&lt;&gt;0,-12)</f>
        <v>200</v>
      </c>
      <c r="AM286" s="30">
        <f t="shared" si="43"/>
        <v>70367.710454610453</v>
      </c>
      <c r="AN286" s="30">
        <f>(VLOOKUP(C286,$B$4:$AJ$7,18,FALSE)+VLOOKUP(C286,$B$8:$AJ$11,18,FALSE)*입력란!$C$29)*입력란!$C$48/100</f>
        <v>56294.73853171563</v>
      </c>
      <c r="AO286" s="30">
        <f>(VLOOKUP(C286,$B$4:$AJ$7,19,FALSE)+VLOOKUP(C286,$B$8:$AJ$11,19,FALSE)*입력란!$C$29)*입력란!$C$48/100</f>
        <v>14072.971922894823</v>
      </c>
      <c r="AP286" s="30"/>
      <c r="AQ286" s="29">
        <v>30</v>
      </c>
    </row>
    <row r="287" spans="2:43" ht="13.5" customHeight="1" x14ac:dyDescent="0.3">
      <c r="B287" s="31">
        <v>272</v>
      </c>
      <c r="C287" s="36">
        <v>10</v>
      </c>
      <c r="D287" s="43" t="s">
        <v>49</v>
      </c>
      <c r="E287" s="38" t="s">
        <v>365</v>
      </c>
      <c r="F287" s="40" t="s">
        <v>215</v>
      </c>
      <c r="G287" s="40"/>
      <c r="H287" s="52">
        <f t="shared" si="38"/>
        <v>28329.237238612368</v>
      </c>
      <c r="I287" s="53">
        <f>SUM(J287:Q287)*IF(입력란!$C$16=1,1.04,IF(입력란!$C$16=2,1.1,IF(입력란!$C$16=3,1.2,1)))*IF(입력란!$C$21=1,1+입력란!$C$38*0.001,IF(입력란!$C$21=2,1+입력란!$C$38*0.0022,IF(입력란!$C$21=3,1+입력란!$C$38*0.0045,1)))*IF(입력란!$C$18&lt;&gt;0,0.98,1)</f>
        <v>840024.52639714279</v>
      </c>
      <c r="J287" s="30">
        <f>S287*(1+IF($AK287+IF(입력란!$C$26=1,10,0)&gt;100,100,$AK287+IF(입력란!$C$26=1,10,0))/100*($AL287/100-1))</f>
        <v>785480.06219933636</v>
      </c>
      <c r="K287" s="30">
        <f>T287*(1+IF($AK287+IF(입력란!$C$26=1,10,0)&gt;100,100,$AK287+IF(입력란!$C$26=1,10,0))/100*($AL287/100-1))</f>
        <v>54544.464197806476</v>
      </c>
      <c r="L287" s="30"/>
      <c r="M287" s="30"/>
      <c r="N287" s="39"/>
      <c r="O287" s="39"/>
      <c r="P287" s="39"/>
      <c r="Q287" s="35"/>
      <c r="R287" s="24">
        <f t="shared" si="39"/>
        <v>691978.43756553018</v>
      </c>
      <c r="S287" s="30">
        <f>AN287*3*IF(MID(E287,3,1)="1",트라이포드!$J$17/3,트라이포드!$I$17)*IF(MID(E287,3,1)="2",트라이포드!$L$17,트라이포드!$K$17)*IF(MID(E287,3,1)="3",5/3,1)*IF(MID(E287,5,1)="1",트라이포드!$P$17,트라이포드!$O$17)*IF(MID(E287,5,1)="2",트라이포드!$R$17,트라이포드!$Q$17)*(1+입력란!$C$42/100)</f>
        <v>647046.90053609479</v>
      </c>
      <c r="T287" s="30">
        <f>AO287*3*IF(MID(E287,3,1)="1",1/3,1)*IF(MID(E287,3,1)="3",5/3,1)*IF(MID(E287,5,1)="1",트라이포드!$P$17,트라이포드!$O$17)*IF(MID(E287,5,1)="2",트라이포드!$R$17,트라이포드!$Q$17)*(1+입력란!$C$42/100)</f>
        <v>44931.537029435356</v>
      </c>
      <c r="U287" s="30"/>
      <c r="V287" s="30"/>
      <c r="W287" s="30"/>
      <c r="X287" s="39"/>
      <c r="Y287" s="39"/>
      <c r="Z287" s="27"/>
      <c r="AA287" s="30">
        <f t="shared" si="40"/>
        <v>1383956.8751310604</v>
      </c>
      <c r="AB287" s="30">
        <f t="shared" si="41"/>
        <v>1294093.8010721896</v>
      </c>
      <c r="AC287" s="30">
        <f t="shared" si="42"/>
        <v>89863.074058870712</v>
      </c>
      <c r="AD287" s="30"/>
      <c r="AE287" s="30"/>
      <c r="AF287" s="39"/>
      <c r="AG287" s="39"/>
      <c r="AH287" s="39"/>
      <c r="AI287" s="27"/>
      <c r="AJ287" s="26">
        <f>(AQ287-IF(MID(E287,1,1)="1",트라이포드!$D$17,트라이포드!$C$17))*(1-입력란!$C$35/100)</f>
        <v>29.652211223399998</v>
      </c>
      <c r="AK28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7" s="26">
        <f>입력란!$C$47+IF(입력란!$C$18=1,10,IF(입력란!$C$18=2,25,IF(입력란!$C$18=3,50,0)))+IF(입력란!$C$23&lt;&gt;0,-12)</f>
        <v>200</v>
      </c>
      <c r="AM287" s="30">
        <f t="shared" si="43"/>
        <v>70367.710454610453</v>
      </c>
      <c r="AN287" s="30">
        <f>(VLOOKUP(C287,$B$4:$AJ$7,18,FALSE)+VLOOKUP(C287,$B$8:$AJ$11,18,FALSE)*입력란!$C$29)*입력란!$C$48/100</f>
        <v>56294.73853171563</v>
      </c>
      <c r="AO287" s="30">
        <f>(VLOOKUP(C287,$B$4:$AJ$7,19,FALSE)+VLOOKUP(C287,$B$8:$AJ$11,19,FALSE)*입력란!$C$29)*입력란!$C$48/100</f>
        <v>14072.971922894823</v>
      </c>
      <c r="AP287" s="30"/>
      <c r="AQ287" s="29">
        <v>30</v>
      </c>
    </row>
    <row r="288" spans="2:43" ht="13.5" customHeight="1" x14ac:dyDescent="0.3">
      <c r="B288" s="31">
        <v>273</v>
      </c>
      <c r="C288" s="36">
        <v>10</v>
      </c>
      <c r="D288" s="43" t="s">
        <v>49</v>
      </c>
      <c r="E288" s="38" t="s">
        <v>182</v>
      </c>
      <c r="F288" s="40"/>
      <c r="G288" s="40"/>
      <c r="H288" s="52">
        <f t="shared" si="38"/>
        <v>32077.185966385052</v>
      </c>
      <c r="I288" s="53">
        <f>SUM(J288:Q288)*IF(입력란!$C$16=1,1.04,IF(입력란!$C$16=2,1.1,IF(입력란!$C$16=3,1.2,1)))*IF(입력란!$C$21=1,1+입력란!$C$38*0.001,IF(입력란!$C$21=2,1+입력란!$C$38*0.0022,IF(입력란!$C$21=3,1+입력란!$C$38*0.0045,1)))*IF(입력란!$C$18&lt;&gt;0,0.98,1)</f>
        <v>760927.59498202545</v>
      </c>
      <c r="J288" s="30">
        <f>S288*(1+IF($AK288+IF(입력란!$C$26=1,10,0)&gt;100,100,$AK288+IF(입력란!$C$26=1,10,0))/100*($AL288/100-1))</f>
        <v>638202.55053696095</v>
      </c>
      <c r="K288" s="30">
        <f>T288*(1+IF($AK288+IF(입력란!$C$26=1,10,0)&gt;100,100,$AK288+IF(입력란!$C$26=1,10,0))/100*($AL288/100-1))</f>
        <v>122725.04444506456</v>
      </c>
      <c r="L288" s="30"/>
      <c r="M288" s="30"/>
      <c r="N288" s="39"/>
      <c r="O288" s="39"/>
      <c r="P288" s="39"/>
      <c r="Q288" s="35"/>
      <c r="R288" s="24">
        <f t="shared" si="39"/>
        <v>626821.56500180659</v>
      </c>
      <c r="S288" s="30">
        <f>AN288*3*IF(MID(E288,3,1)="1",트라이포드!$J$17/3,트라이포드!$I$17)*IF(MID(E288,3,1)="2",트라이포드!$L$17,트라이포드!$K$17)*IF(MID(E288,3,1)="3",5/3,1)*IF(MID(E288,5,1)="1",트라이포드!$P$17,트라이포드!$O$17)*IF(MID(E288,5,1)="2",트라이포드!$R$17,트라이포드!$Q$17)*(1+입력란!$C$42/100)</f>
        <v>525725.60668557708</v>
      </c>
      <c r="T288" s="30">
        <f>AO288*3*IF(MID(E288,3,1)="1",1/3,1)*IF(MID(E288,3,1)="3",5/3,1)*IF(MID(E288,5,1)="1",트라이포드!$P$17,트라이포드!$O$17)*IF(MID(E288,5,1)="2",트라이포드!$R$17,트라이포드!$Q$17)*(1+입력란!$C$42/100)</f>
        <v>101095.95831622955</v>
      </c>
      <c r="U288" s="30"/>
      <c r="V288" s="30"/>
      <c r="W288" s="30"/>
      <c r="X288" s="39"/>
      <c r="Y288" s="39"/>
      <c r="Z288" s="27"/>
      <c r="AA288" s="30">
        <f t="shared" si="40"/>
        <v>1253643.1300036132</v>
      </c>
      <c r="AB288" s="30">
        <f t="shared" si="41"/>
        <v>1051451.2133711542</v>
      </c>
      <c r="AC288" s="30">
        <f t="shared" si="42"/>
        <v>202191.91663245909</v>
      </c>
      <c r="AD288" s="30"/>
      <c r="AE288" s="30"/>
      <c r="AF288" s="39"/>
      <c r="AG288" s="39"/>
      <c r="AH288" s="39"/>
      <c r="AI288" s="27"/>
      <c r="AJ288" s="26">
        <f>(AQ288-IF(MID(E288,1,1)="1",트라이포드!$D$17,트라이포드!$C$17))*(1-입력란!$C$35/100)</f>
        <v>23.72176897872</v>
      </c>
      <c r="AK28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8" s="26">
        <f>입력란!$C$47+IF(입력란!$C$18=1,10,IF(입력란!$C$18=2,25,IF(입력란!$C$18=3,50,0)))+IF(입력란!$C$23&lt;&gt;0,-12)</f>
        <v>200</v>
      </c>
      <c r="AM288" s="30">
        <f t="shared" si="43"/>
        <v>70367.710454610453</v>
      </c>
      <c r="AN288" s="30">
        <f>(VLOOKUP(C288,$B$4:$AJ$7,18,FALSE)+VLOOKUP(C288,$B$8:$AJ$11,18,FALSE)*입력란!$C$29)*입력란!$C$48/100</f>
        <v>56294.73853171563</v>
      </c>
      <c r="AO288" s="30">
        <f>(VLOOKUP(C288,$B$4:$AJ$7,19,FALSE)+VLOOKUP(C288,$B$8:$AJ$11,19,FALSE)*입력란!$C$29)*입력란!$C$48/100</f>
        <v>14072.971922894823</v>
      </c>
      <c r="AP288" s="30"/>
      <c r="AQ288" s="29">
        <v>30</v>
      </c>
    </row>
    <row r="289" spans="2:43" ht="13.5" customHeight="1" x14ac:dyDescent="0.3">
      <c r="B289" s="31">
        <v>274</v>
      </c>
      <c r="C289" s="36">
        <v>10</v>
      </c>
      <c r="D289" s="43" t="s">
        <v>49</v>
      </c>
      <c r="E289" s="38" t="s">
        <v>364</v>
      </c>
      <c r="F289" s="40"/>
      <c r="G289" s="40"/>
      <c r="H289" s="52">
        <f t="shared" si="38"/>
        <v>25661.748773108044</v>
      </c>
      <c r="I289" s="53">
        <f>SUM(J289:Q289)*IF(입력란!$C$16=1,1.04,IF(입력란!$C$16=2,1.1,IF(입력란!$C$16=3,1.2,1)))*IF(입력란!$C$21=1,1+입력란!$C$38*0.001,IF(입력란!$C$21=2,1+입력란!$C$38*0.0022,IF(입력란!$C$21=3,1+입력란!$C$38*0.0045,1)))*IF(입력란!$C$18&lt;&gt;0,0.98,1)</f>
        <v>760927.59498202545</v>
      </c>
      <c r="J289" s="30">
        <f>S289*(1+IF($AK289+IF(입력란!$C$26=1,10,0)&gt;100,100,$AK289+IF(입력란!$C$26=1,10,0))/100*($AL289/100-1))</f>
        <v>638202.55053696095</v>
      </c>
      <c r="K289" s="30">
        <f>T289*(1+IF($AK289+IF(입력란!$C$26=1,10,0)&gt;100,100,$AK289+IF(입력란!$C$26=1,10,0))/100*($AL289/100-1))</f>
        <v>122725.04444506456</v>
      </c>
      <c r="L289" s="30"/>
      <c r="M289" s="30"/>
      <c r="N289" s="39"/>
      <c r="O289" s="39"/>
      <c r="P289" s="39"/>
      <c r="Q289" s="35"/>
      <c r="R289" s="24">
        <f t="shared" si="39"/>
        <v>626821.56500180659</v>
      </c>
      <c r="S289" s="30">
        <f>AN289*3*IF(MID(E289,3,1)="1",트라이포드!$J$17/3,트라이포드!$I$17)*IF(MID(E289,3,1)="2",트라이포드!$L$17,트라이포드!$K$17)*IF(MID(E289,3,1)="3",5/3,1)*IF(MID(E289,5,1)="1",트라이포드!$P$17,트라이포드!$O$17)*IF(MID(E289,5,1)="2",트라이포드!$R$17,트라이포드!$Q$17)*(1+입력란!$C$42/100)</f>
        <v>525725.60668557708</v>
      </c>
      <c r="T289" s="30">
        <f>AO289*3*IF(MID(E289,3,1)="1",1/3,1)*IF(MID(E289,3,1)="3",5/3,1)*IF(MID(E289,5,1)="1",트라이포드!$P$17,트라이포드!$O$17)*IF(MID(E289,5,1)="2",트라이포드!$R$17,트라이포드!$Q$17)*(1+입력란!$C$42/100)</f>
        <v>101095.95831622955</v>
      </c>
      <c r="U289" s="30"/>
      <c r="V289" s="30"/>
      <c r="W289" s="30"/>
      <c r="X289" s="39"/>
      <c r="Y289" s="39"/>
      <c r="Z289" s="27"/>
      <c r="AA289" s="30">
        <f t="shared" si="40"/>
        <v>1253643.1300036132</v>
      </c>
      <c r="AB289" s="30">
        <f t="shared" si="41"/>
        <v>1051451.2133711542</v>
      </c>
      <c r="AC289" s="30">
        <f t="shared" si="42"/>
        <v>202191.91663245909</v>
      </c>
      <c r="AD289" s="30"/>
      <c r="AE289" s="30"/>
      <c r="AF289" s="39"/>
      <c r="AG289" s="39"/>
      <c r="AH289" s="39"/>
      <c r="AI289" s="27"/>
      <c r="AJ289" s="26">
        <f>(AQ289-IF(MID(E289,1,1)="1",트라이포드!$D$17,트라이포드!$C$17))*(1-입력란!$C$35/100)</f>
        <v>29.652211223399998</v>
      </c>
      <c r="AK28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89" s="26">
        <f>입력란!$C$47+IF(입력란!$C$18=1,10,IF(입력란!$C$18=2,25,IF(입력란!$C$18=3,50,0)))+IF(입력란!$C$23&lt;&gt;0,-12)</f>
        <v>200</v>
      </c>
      <c r="AM289" s="30">
        <f t="shared" si="43"/>
        <v>70367.710454610453</v>
      </c>
      <c r="AN289" s="30">
        <f>(VLOOKUP(C289,$B$4:$AJ$7,18,FALSE)+VLOOKUP(C289,$B$8:$AJ$11,18,FALSE)*입력란!$C$29)*입력란!$C$48/100</f>
        <v>56294.73853171563</v>
      </c>
      <c r="AO289" s="30">
        <f>(VLOOKUP(C289,$B$4:$AJ$7,19,FALSE)+VLOOKUP(C289,$B$8:$AJ$11,19,FALSE)*입력란!$C$29)*입력란!$C$48/100</f>
        <v>14072.971922894823</v>
      </c>
      <c r="AP289" s="30"/>
      <c r="AQ289" s="29">
        <v>30</v>
      </c>
    </row>
    <row r="290" spans="2:43" ht="13.5" customHeight="1" x14ac:dyDescent="0.3">
      <c r="B290" s="31">
        <v>275</v>
      </c>
      <c r="C290" s="36">
        <v>10</v>
      </c>
      <c r="D290" s="43" t="s">
        <v>49</v>
      </c>
      <c r="E290" s="38" t="s">
        <v>183</v>
      </c>
      <c r="F290" s="40" t="s">
        <v>215</v>
      </c>
      <c r="G290" s="40"/>
      <c r="H290" s="52">
        <f t="shared" si="38"/>
        <v>42769.581288513407</v>
      </c>
      <c r="I290" s="53">
        <f>SUM(J290:Q290)*IF(입력란!$C$16=1,1.04,IF(입력란!$C$16=2,1.1,IF(입력란!$C$16=3,1.2,1)))*IF(입력란!$C$21=1,1+입력란!$C$38*0.001,IF(입력란!$C$21=2,1+입력란!$C$38*0.0022,IF(입력란!$C$21=3,1+입력란!$C$38*0.0045,1)))*IF(입력란!$C$18&lt;&gt;0,0.98,1)</f>
        <v>1014570.1266427006</v>
      </c>
      <c r="J290" s="30">
        <f>S290*(1+IF($AK290+IF(입력란!$C$26=1,10,0)&gt;100,100,$AK290+IF(입력란!$C$26=1,10,0))/100*($AL290/100-1))</f>
        <v>850936.73404928122</v>
      </c>
      <c r="K290" s="30">
        <f>T290*(1+IF($AK290+IF(입력란!$C$26=1,10,0)&gt;100,100,$AK290+IF(입력란!$C$26=1,10,0))/100*($AL290/100-1))</f>
        <v>163633.39259341941</v>
      </c>
      <c r="L290" s="30"/>
      <c r="M290" s="30"/>
      <c r="N290" s="39"/>
      <c r="O290" s="39"/>
      <c r="P290" s="39"/>
      <c r="Q290" s="35"/>
      <c r="R290" s="24">
        <f t="shared" si="39"/>
        <v>835762.08666907554</v>
      </c>
      <c r="S290" s="30">
        <f>AN290*3*IF(MID(E290,3,1)="1",트라이포드!$J$17/3,트라이포드!$I$17)*IF(MID(E290,3,1)="2",트라이포드!$L$17,트라이포드!$K$17)*IF(MID(E290,3,1)="3",5/3,1)*IF(MID(E290,5,1)="1",트라이포드!$P$17,트라이포드!$O$17)*IF(MID(E290,5,1)="2",트라이포드!$R$17,트라이포드!$Q$17)*(1+입력란!$C$42/100)</f>
        <v>700967.47558076947</v>
      </c>
      <c r="T290" s="30">
        <f>AO290*3*IF(MID(E290,3,1)="1",1/3,1)*IF(MID(E290,3,1)="3",5/3,1)*IF(MID(E290,5,1)="1",트라이포드!$P$17,트라이포드!$O$17)*IF(MID(E290,5,1)="2",트라이포드!$R$17,트라이포드!$Q$17)*(1+입력란!$C$42/100)</f>
        <v>134794.61108830606</v>
      </c>
      <c r="U290" s="30"/>
      <c r="V290" s="30"/>
      <c r="W290" s="30"/>
      <c r="X290" s="39"/>
      <c r="Y290" s="39"/>
      <c r="Z290" s="27"/>
      <c r="AA290" s="30">
        <f t="shared" si="40"/>
        <v>1671524.1733381511</v>
      </c>
      <c r="AB290" s="30">
        <f t="shared" si="41"/>
        <v>1401934.9511615389</v>
      </c>
      <c r="AC290" s="30">
        <f t="shared" si="42"/>
        <v>269589.22217661212</v>
      </c>
      <c r="AD290" s="30"/>
      <c r="AE290" s="30"/>
      <c r="AF290" s="39"/>
      <c r="AG290" s="39"/>
      <c r="AH290" s="39"/>
      <c r="AI290" s="27"/>
      <c r="AJ290" s="26">
        <f>(AQ290-IF(MID(E290,1,1)="1",트라이포드!$D$17,트라이포드!$C$17))*(1-입력란!$C$35/100)</f>
        <v>23.72176897872</v>
      </c>
      <c r="AK29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0" s="26">
        <f>입력란!$C$47+IF(입력란!$C$18=1,10,IF(입력란!$C$18=2,25,IF(입력란!$C$18=3,50,0)))+IF(입력란!$C$23&lt;&gt;0,-12)</f>
        <v>200</v>
      </c>
      <c r="AM290" s="30">
        <f t="shared" si="43"/>
        <v>70367.710454610453</v>
      </c>
      <c r="AN290" s="30">
        <f>(VLOOKUP(C290,$B$4:$AJ$7,18,FALSE)+VLOOKUP(C290,$B$8:$AJ$11,18,FALSE)*입력란!$C$29)*입력란!$C$48/100</f>
        <v>56294.73853171563</v>
      </c>
      <c r="AO290" s="30">
        <f>(VLOOKUP(C290,$B$4:$AJ$7,19,FALSE)+VLOOKUP(C290,$B$8:$AJ$11,19,FALSE)*입력란!$C$29)*입력란!$C$48/100</f>
        <v>14072.971922894823</v>
      </c>
      <c r="AP290" s="30"/>
      <c r="AQ290" s="29">
        <v>30</v>
      </c>
    </row>
    <row r="291" spans="2:43" ht="13.5" customHeight="1" x14ac:dyDescent="0.3">
      <c r="B291" s="31">
        <v>276</v>
      </c>
      <c r="C291" s="36">
        <v>10</v>
      </c>
      <c r="D291" s="43" t="s">
        <v>49</v>
      </c>
      <c r="E291" s="38" t="s">
        <v>366</v>
      </c>
      <c r="F291" s="40" t="s">
        <v>215</v>
      </c>
      <c r="G291" s="40"/>
      <c r="H291" s="52">
        <f t="shared" si="38"/>
        <v>34215.665030810727</v>
      </c>
      <c r="I291" s="53">
        <f>SUM(J291:Q291)*IF(입력란!$C$16=1,1.04,IF(입력란!$C$16=2,1.1,IF(입력란!$C$16=3,1.2,1)))*IF(입력란!$C$21=1,1+입력란!$C$38*0.001,IF(입력란!$C$21=2,1+입력란!$C$38*0.0022,IF(입력란!$C$21=3,1+입력란!$C$38*0.0045,1)))*IF(입력란!$C$18&lt;&gt;0,0.98,1)</f>
        <v>1014570.1266427006</v>
      </c>
      <c r="J291" s="30">
        <f>S291*(1+IF($AK291+IF(입력란!$C$26=1,10,0)&gt;100,100,$AK291+IF(입력란!$C$26=1,10,0))/100*($AL291/100-1))</f>
        <v>850936.73404928122</v>
      </c>
      <c r="K291" s="30">
        <f>T291*(1+IF($AK291+IF(입력란!$C$26=1,10,0)&gt;100,100,$AK291+IF(입력란!$C$26=1,10,0))/100*($AL291/100-1))</f>
        <v>163633.39259341941</v>
      </c>
      <c r="L291" s="30"/>
      <c r="M291" s="30"/>
      <c r="N291" s="39"/>
      <c r="O291" s="39"/>
      <c r="P291" s="39"/>
      <c r="Q291" s="35"/>
      <c r="R291" s="24">
        <f t="shared" si="39"/>
        <v>835762.08666907554</v>
      </c>
      <c r="S291" s="30">
        <f>AN291*3*IF(MID(E291,3,1)="1",트라이포드!$J$17/3,트라이포드!$I$17)*IF(MID(E291,3,1)="2",트라이포드!$L$17,트라이포드!$K$17)*IF(MID(E291,3,1)="3",5/3,1)*IF(MID(E291,5,1)="1",트라이포드!$P$17,트라이포드!$O$17)*IF(MID(E291,5,1)="2",트라이포드!$R$17,트라이포드!$Q$17)*(1+입력란!$C$42/100)</f>
        <v>700967.47558076947</v>
      </c>
      <c r="T291" s="30">
        <f>AO291*3*IF(MID(E291,3,1)="1",1/3,1)*IF(MID(E291,3,1)="3",5/3,1)*IF(MID(E291,5,1)="1",트라이포드!$P$17,트라이포드!$O$17)*IF(MID(E291,5,1)="2",트라이포드!$R$17,트라이포드!$Q$17)*(1+입력란!$C$42/100)</f>
        <v>134794.61108830606</v>
      </c>
      <c r="U291" s="30"/>
      <c r="V291" s="30"/>
      <c r="W291" s="30"/>
      <c r="X291" s="39"/>
      <c r="Y291" s="39"/>
      <c r="Z291" s="27"/>
      <c r="AA291" s="30">
        <f t="shared" si="40"/>
        <v>1671524.1733381511</v>
      </c>
      <c r="AB291" s="30">
        <f t="shared" si="41"/>
        <v>1401934.9511615389</v>
      </c>
      <c r="AC291" s="30">
        <f t="shared" si="42"/>
        <v>269589.22217661212</v>
      </c>
      <c r="AD291" s="30"/>
      <c r="AE291" s="30"/>
      <c r="AF291" s="39"/>
      <c r="AG291" s="39"/>
      <c r="AH291" s="39"/>
      <c r="AI291" s="27"/>
      <c r="AJ291" s="26">
        <f>(AQ291-IF(MID(E291,1,1)="1",트라이포드!$D$17,트라이포드!$C$17))*(1-입력란!$C$35/100)</f>
        <v>29.652211223399998</v>
      </c>
      <c r="AK29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1" s="26">
        <f>입력란!$C$47+IF(입력란!$C$18=1,10,IF(입력란!$C$18=2,25,IF(입력란!$C$18=3,50,0)))+IF(입력란!$C$23&lt;&gt;0,-12)</f>
        <v>200</v>
      </c>
      <c r="AM291" s="30">
        <f t="shared" si="43"/>
        <v>70367.710454610453</v>
      </c>
      <c r="AN291" s="30">
        <f>(VLOOKUP(C291,$B$4:$AJ$7,18,FALSE)+VLOOKUP(C291,$B$8:$AJ$11,18,FALSE)*입력란!$C$29)*입력란!$C$48/100</f>
        <v>56294.73853171563</v>
      </c>
      <c r="AO291" s="30">
        <f>(VLOOKUP(C291,$B$4:$AJ$7,19,FALSE)+VLOOKUP(C291,$B$8:$AJ$11,19,FALSE)*입력란!$C$29)*입력란!$C$48/100</f>
        <v>14072.971922894823</v>
      </c>
      <c r="AP291" s="30"/>
      <c r="AQ291" s="29">
        <v>30</v>
      </c>
    </row>
    <row r="292" spans="2:43" ht="13.5" customHeight="1" x14ac:dyDescent="0.3">
      <c r="B292" s="31">
        <v>277</v>
      </c>
      <c r="C292" s="36">
        <v>1</v>
      </c>
      <c r="D292" s="43" t="s">
        <v>212</v>
      </c>
      <c r="E292" s="38" t="s">
        <v>186</v>
      </c>
      <c r="F292" s="40"/>
      <c r="G292" s="40" t="s">
        <v>202</v>
      </c>
      <c r="H292" s="52">
        <f t="shared" si="38"/>
        <v>19193.606049175771</v>
      </c>
      <c r="I292" s="53">
        <f>SUM(J292:Q292)*IF(입력란!$C$16=1,1.04,IF(입력란!$C$16=2,1.1,IF(입력란!$C$16=3,1.2,1)))*IF(입력란!$C$21=1,1+입력란!$C$38*0.001,IF(입력란!$C$21=2,1+입력란!$C$38*0.0022,IF(입력란!$C$21=3,1+입력란!$C$38*0.0045,1)))*IF(입력란!$C$18&lt;&gt;0,0.98,1)</f>
        <v>682959.43285066541</v>
      </c>
      <c r="J292" s="30">
        <f>S292*(1+IF($AK292+IF(입력란!$C$9=1,10,0)+IF(입력란!$C$26=1,10,0)&gt;100,100,$AK292+IF(입력란!$C$9=1,10,0)+IF(입력란!$C$26=1,10,0))/100*($AL292/100-1))</f>
        <v>204893.48987129855</v>
      </c>
      <c r="K292" s="30">
        <f>T292*(1+IF($AK292+IF(입력란!$C$9=1,10,0)+IF(입력란!$C$26=1,10,0)&gt;100,100,$AK292+IF(입력란!$C$9=1,10,0)+IF(입력란!$C$26=1,10,0))/100*($AL292/100-1))</f>
        <v>204893.48987129855</v>
      </c>
      <c r="L292" s="30">
        <f>U292*(1+IF($AK292+IF(입력란!$C$9=1,10,0)+IF(입력란!$C$26=1,10,0)&gt;100,100,$AK292+IF(입력란!$C$9=1,10,0)+IF(입력란!$C$26=1,10,0))/100*($AL292/100-1))</f>
        <v>273172.45310806832</v>
      </c>
      <c r="M292" s="30">
        <f>V292*(1+IF($AK292+IF(입력란!$C$9=1,10,0)+IF(입력란!$C$26=1,10,0)&gt;100,100,$AK292+IF(입력란!$C$9=1,10,0)+IF(입력란!$C$26=1,10,0))/100*($AL292/100-1))</f>
        <v>0</v>
      </c>
      <c r="N292" s="39"/>
      <c r="O292" s="39"/>
      <c r="P292" s="39"/>
      <c r="Q292" s="35"/>
      <c r="R292" s="24">
        <f t="shared" si="39"/>
        <v>562594.52719980897</v>
      </c>
      <c r="S292" s="30">
        <f>AN292*IF(G292="근접",IF(MID(E292,1,1)="1",트라이포드!$D$18,트라이포드!$C$18),1)*IF(MID(E292,1,1)="2",트라이포드!$F$18,트라이포드!$E$18)*IF(MID(E292,3,1)="1",트라이포드!$J$18,트라이포드!$I$18)*IF(MID(E292,5,1)="2",트라이포드!$R$18,트라이포드!$Q$18)*(1+입력란!$C$42/100)*IF(입력란!$C$9=1,IF(입력란!$C$15=0,1.05,IF(입력란!$C$15=1,1.05*1.05,IF(입력란!$C$15=2,1.05*1.12,IF(입력란!$C$15=3,1.05*1.25)))),1)</f>
        <v>168783.02065368384</v>
      </c>
      <c r="T292" s="30">
        <f>AO292*IF(G292="근접",IF(MID(E292,1,1)="1",트라이포드!$D$18,트라이포드!$C$18),1)*IF(MID(E292,1,1)="2",트라이포드!$F$18,트라이포드!$E$18)*IF(MID(E292,3,1)="1",트라이포드!$J$18,트라이포드!$I$18)*IF(MID(E292,5,1)="2",트라이포드!$R$18,트라이포드!$Q$18)*(1+입력란!$C$42/100)*IF(입력란!$C$9=1,IF(입력란!$C$15=0,1.05,IF(입력란!$C$15=1,1.05*1.05,IF(입력란!$C$15=2,1.05*1.12,IF(입력란!$C$15=3,1.05*1.25)))),1)</f>
        <v>168783.02065368384</v>
      </c>
      <c r="U292" s="30">
        <f>AP292*IF(G292="근접",IF(MID(E292,1,1)="1",트라이포드!$D$18,트라이포드!$C$18),1)*IF(MID(E292,1,1)="2",트라이포드!$F$18,트라이포드!$E$18)*IF(MID(E292,3,1)="1",트라이포드!$J$18,트라이포드!$I$18)*IF(MID(E292,5,1)="2",트라이포드!$R$18,트라이포드!$Q$18)*(1+입력란!$C$42/100)*IF(입력란!$C$9=1,IF(입력란!$C$15=0,1.05,IF(입력란!$C$15=1,1.05*1.05,IF(입력란!$C$15=2,1.05*1.12,IF(입력란!$C$15=3,1.05*1.25)))),1)</f>
        <v>225028.4858924413</v>
      </c>
      <c r="V292" s="30">
        <f>IF(MID(E292,5,1)="1",(S292+T292+U292)*트라이포드!$P$18,트라이포드!$O$18)</f>
        <v>0</v>
      </c>
      <c r="W292" s="30"/>
      <c r="X292" s="39"/>
      <c r="Y292" s="39"/>
      <c r="Z292" s="27"/>
      <c r="AA292" s="30">
        <f t="shared" si="40"/>
        <v>1125189.0543996179</v>
      </c>
      <c r="AB292" s="30">
        <f t="shared" si="41"/>
        <v>337566.04130736768</v>
      </c>
      <c r="AC292" s="30">
        <f t="shared" si="42"/>
        <v>337566.04130736768</v>
      </c>
      <c r="AD292" s="30">
        <f t="shared" ref="AD292:AD323" si="44">U292*2</f>
        <v>450056.9717848826</v>
      </c>
      <c r="AE292" s="30"/>
      <c r="AF292" s="39"/>
      <c r="AG292" s="39"/>
      <c r="AH292" s="39"/>
      <c r="AI292" s="27"/>
      <c r="AJ292" s="26">
        <f>(AQ292-IF(MID(E292,3,1)="3",트라이포드!$N$18,트라이포드!$M$18))*(1-입력란!$C$35/100)</f>
        <v>35.582653468079997</v>
      </c>
      <c r="AK29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2" s="26">
        <f>입력란!$C$47+IF(입력란!$C$18=1,10,IF(입력란!$C$18=2,25,IF(입력란!$C$18=3,50,0)))+IF(입력란!$C$23&lt;&gt;0,-12)</f>
        <v>200</v>
      </c>
      <c r="AM292" s="30">
        <f t="shared" si="43"/>
        <v>352419.59250449867</v>
      </c>
      <c r="AN292" s="30">
        <f>(VLOOKUP(C292,$B$4:$AJ$7,20,FALSE)+VLOOKUP(C292,$B$8:$AJ$11,20,FALSE)*입력란!$C$29)*IF(G292="근접",입력란!$C$50,IF(MID(E292,1,1)="2",입력란!$C$50,입력란!$C$49))*입력란!$C$48/100</f>
        <v>105728.79842345868</v>
      </c>
      <c r="AO292" s="30">
        <f>(VLOOKUP(C292,$B$4:$AJ$7,21,FALSE)+VLOOKUP(C292,$B$8:$AJ$11,21,FALSE)*입력란!$C$29)*IF(G292="근접",입력란!$C$50,IF(MID(E292,1,1)="2",입력란!$C$50,입력란!$C$49))*입력란!$C$48/100</f>
        <v>105728.79842345868</v>
      </c>
      <c r="AP292" s="30">
        <f>(VLOOKUP(C292,$B$4:$AJ$7,22,FALSE)+VLOOKUP(C292,$B$8:$AJ$11,22,FALSE)*입력란!$C$29)*IF(G292="근접",입력란!$C$50,IF(MID(E292,1,1)="2",입력란!$C$50,입력란!$C$49))*입력란!$C$48/100</f>
        <v>140961.99565758131</v>
      </c>
      <c r="AQ292" s="29">
        <v>36</v>
      </c>
    </row>
    <row r="293" spans="2:43" ht="13.5" customHeight="1" x14ac:dyDescent="0.3">
      <c r="B293" s="31">
        <v>278</v>
      </c>
      <c r="C293" s="36">
        <v>4</v>
      </c>
      <c r="D293" s="43" t="s">
        <v>212</v>
      </c>
      <c r="E293" s="38" t="s">
        <v>186</v>
      </c>
      <c r="F293" s="40"/>
      <c r="G293" s="40" t="s">
        <v>202</v>
      </c>
      <c r="H293" s="52">
        <f t="shared" si="38"/>
        <v>19234.463535715553</v>
      </c>
      <c r="I293" s="53">
        <f>SUM(J293:Q293)*IF(입력란!$C$16=1,1.04,IF(입력란!$C$16=2,1.1,IF(입력란!$C$16=3,1.2,1)))*IF(입력란!$C$21=1,1+입력란!$C$38*0.001,IF(입력란!$C$21=2,1+입력란!$C$38*0.0022,IF(입력란!$C$21=3,1+입력란!$C$38*0.0045,1)))*IF(입력란!$C$18&lt;&gt;0,0.98,1)</f>
        <v>684413.25063578726</v>
      </c>
      <c r="J293" s="30">
        <f>S293*(1+IF($AK293+IF(입력란!$C$9=1,10,0)+IF(입력란!$C$26=1,10,0)&gt;100,100,$AK293+IF(입력란!$C$9=1,10,0)+IF(입력란!$C$26=1,10,0))/100*($AL293/100-1))</f>
        <v>205324.28525723529</v>
      </c>
      <c r="K293" s="30">
        <f>T293*(1+IF($AK293+IF(입력란!$C$9=1,10,0)+IF(입력란!$C$26=1,10,0)&gt;100,100,$AK293+IF(입력란!$C$9=1,10,0)+IF(입력란!$C$26=1,10,0))/100*($AL293/100-1))</f>
        <v>205324.28525723529</v>
      </c>
      <c r="L293" s="30">
        <f>U293*(1+IF($AK293+IF(입력란!$C$9=1,10,0)+IF(입력란!$C$26=1,10,0)&gt;100,100,$AK293+IF(입력란!$C$9=1,10,0)+IF(입력란!$C$26=1,10,0))/100*($AL293/100-1))</f>
        <v>273764.68012131669</v>
      </c>
      <c r="M293" s="30">
        <f>V293*(1+IF($AK293+IF(입력란!$C$9=1,10,0)+IF(입력란!$C$26=1,10,0)&gt;100,100,$AK293+IF(입력란!$C$9=1,10,0)+IF(입력란!$C$26=1,10,0))/100*($AL293/100-1))</f>
        <v>0</v>
      </c>
      <c r="N293" s="39"/>
      <c r="O293" s="39"/>
      <c r="P293" s="39"/>
      <c r="Q293" s="35"/>
      <c r="R293" s="24">
        <f t="shared" si="39"/>
        <v>563792.12385066913</v>
      </c>
      <c r="S293" s="30">
        <f>AN293*IF(G293="근접",IF(MID(E293,1,1)="1",트라이포드!$D$18,트라이포드!$C$18),1)*IF(MID(E293,1,1)="2",트라이포드!$F$18,트라이포드!$E$18)*IF(MID(E293,3,1)="1",트라이포드!$J$18,트라이포드!$I$18)*IF(MID(E293,5,1)="2",트라이포드!$R$18,트라이포드!$Q$18)*(1+입력란!$C$42/100)*IF(입력란!$C$9=1,IF(입력란!$C$15=0,1.05,IF(입력란!$C$15=1,1.05*1.05,IF(입력란!$C$15=2,1.05*1.12,IF(입력란!$C$15=3,1.05*1.25)))),1)</f>
        <v>169137.89257551866</v>
      </c>
      <c r="T293" s="30">
        <f>AO293*IF(G293="근접",IF(MID(E293,1,1)="1",트라이포드!$D$18,트라이포드!$C$18),1)*IF(MID(E293,1,1)="2",트라이포드!$F$18,트라이포드!$E$18)*IF(MID(E293,3,1)="1",트라이포드!$J$18,트라이포드!$I$18)*IF(MID(E293,5,1)="2",트라이포드!$R$18,트라이포드!$Q$18)*(1+입력란!$C$42/100)*IF(입력란!$C$9=1,IF(입력란!$C$15=0,1.05,IF(입력란!$C$15=1,1.05*1.05,IF(입력란!$C$15=2,1.05*1.12,IF(입력란!$C$15=3,1.05*1.25)))),1)</f>
        <v>169137.89257551866</v>
      </c>
      <c r="U293" s="30">
        <f>AP293*IF(G293="근접",IF(MID(E293,1,1)="1",트라이포드!$D$18,트라이포드!$C$18),1)*IF(MID(E293,1,1)="2",트라이포드!$F$18,트라이포드!$E$18)*IF(MID(E293,3,1)="1",트라이포드!$J$18,트라이포드!$I$18)*IF(MID(E293,5,1)="2",트라이포드!$R$18,트라이포드!$Q$18)*(1+입력란!$C$42/100)*IF(입력란!$C$9=1,IF(입력란!$C$15=0,1.05,IF(입력란!$C$15=1,1.05*1.05,IF(입력란!$C$15=2,1.05*1.12,IF(입력란!$C$15=3,1.05*1.25)))),1)</f>
        <v>225516.33869963183</v>
      </c>
      <c r="V293" s="30">
        <f>IF(MID(E293,5,1)="1",(S293+T293+U293)*트라이포드!$P$18,트라이포드!$O$18)</f>
        <v>0</v>
      </c>
      <c r="W293" s="30"/>
      <c r="X293" s="39"/>
      <c r="Y293" s="39"/>
      <c r="Z293" s="27"/>
      <c r="AA293" s="30">
        <f t="shared" si="40"/>
        <v>1127584.2477013383</v>
      </c>
      <c r="AB293" s="30">
        <f t="shared" si="41"/>
        <v>338275.78515103733</v>
      </c>
      <c r="AC293" s="30">
        <f t="shared" si="42"/>
        <v>338275.78515103733</v>
      </c>
      <c r="AD293" s="30">
        <f t="shared" si="44"/>
        <v>451032.67739926366</v>
      </c>
      <c r="AE293" s="30"/>
      <c r="AF293" s="39"/>
      <c r="AG293" s="39"/>
      <c r="AH293" s="39"/>
      <c r="AI293" s="27"/>
      <c r="AJ293" s="26">
        <f>(AQ293-IF(MID(E293,3,1)="3",트라이포드!$N$18,트라이포드!$M$18))*(1-입력란!$C$35/100)</f>
        <v>35.582653468079997</v>
      </c>
      <c r="AK29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3" s="26">
        <f>입력란!$C$47+IF(입력란!$C$18=1,10,IF(입력란!$C$18=2,25,IF(입력란!$C$18=3,50,0)))+IF(입력란!$C$23&lt;&gt;0,-12)</f>
        <v>200</v>
      </c>
      <c r="AM293" s="30">
        <f t="shared" si="43"/>
        <v>353169.78914395336</v>
      </c>
      <c r="AN293" s="30">
        <f>(VLOOKUP(C293,$B$4:$AJ$7,20,FALSE)+VLOOKUP(C293,$B$8:$AJ$11,20,FALSE)*입력란!$C$29)*IF(G293="근접",입력란!$C$50,IF(MID(E293,1,1)="2",입력란!$C$50,입력란!$C$49))*입력란!$C$48/100</f>
        <v>105951.096743186</v>
      </c>
      <c r="AO293" s="30">
        <f>(VLOOKUP(C293,$B$4:$AJ$7,21,FALSE)+VLOOKUP(C293,$B$8:$AJ$11,21,FALSE)*입력란!$C$29)*IF(G293="근접",입력란!$C$50,IF(MID(E293,1,1)="2",입력란!$C$50,입력란!$C$49))*입력란!$C$48/100</f>
        <v>105951.096743186</v>
      </c>
      <c r="AP293" s="30">
        <f>(VLOOKUP(C293,$B$4:$AJ$7,22,FALSE)+VLOOKUP(C293,$B$8:$AJ$11,22,FALSE)*입력란!$C$29)*IF(G293="근접",입력란!$C$50,IF(MID(E293,1,1)="2",입력란!$C$50,입력란!$C$49))*입력란!$C$48/100</f>
        <v>141267.59565758132</v>
      </c>
      <c r="AQ293" s="29">
        <v>36</v>
      </c>
    </row>
    <row r="294" spans="2:43" ht="13.5" customHeight="1" x14ac:dyDescent="0.3">
      <c r="B294" s="31">
        <v>279</v>
      </c>
      <c r="C294" s="36">
        <v>4</v>
      </c>
      <c r="D294" s="43" t="s">
        <v>212</v>
      </c>
      <c r="E294" s="38" t="s">
        <v>187</v>
      </c>
      <c r="F294" s="40"/>
      <c r="G294" s="40" t="s">
        <v>202</v>
      </c>
      <c r="H294" s="52">
        <f t="shared" si="38"/>
        <v>24043.079419644444</v>
      </c>
      <c r="I294" s="53">
        <f>SUM(J294:Q294)*IF(입력란!$C$16=1,1.04,IF(입력란!$C$16=2,1.1,IF(입력란!$C$16=3,1.2,1)))*IF(입력란!$C$21=1,1+입력란!$C$38*0.001,IF(입력란!$C$21=2,1+입력란!$C$38*0.0022,IF(입력란!$C$21=3,1+입력란!$C$38*0.0045,1)))*IF(입력란!$C$18&lt;&gt;0,0.98,1)</f>
        <v>855516.56329473411</v>
      </c>
      <c r="J294" s="30">
        <f>S294*(1+IF($AK294+IF(입력란!$C$9=1,10,0)+IF(입력란!$C$26=1,10,0)&gt;100,100,$AK294+IF(입력란!$C$9=1,10,0)+IF(입력란!$C$26=1,10,0))/100*($AL294/100-1))</f>
        <v>256655.35657154408</v>
      </c>
      <c r="K294" s="30">
        <f>T294*(1+IF($AK294+IF(입력란!$C$9=1,10,0)+IF(입력란!$C$26=1,10,0)&gt;100,100,$AK294+IF(입력란!$C$9=1,10,0)+IF(입력란!$C$26=1,10,0))/100*($AL294/100-1))</f>
        <v>256655.35657154408</v>
      </c>
      <c r="L294" s="30">
        <f>U294*(1+IF($AK294+IF(입력란!$C$9=1,10,0)+IF(입력란!$C$26=1,10,0)&gt;100,100,$AK294+IF(입력란!$C$9=1,10,0)+IF(입력란!$C$26=1,10,0))/100*($AL294/100-1))</f>
        <v>342205.85015164595</v>
      </c>
      <c r="M294" s="30">
        <f>V294*(1+IF($AK294+IF(입력란!$C$9=1,10,0)+IF(입력란!$C$26=1,10,0)&gt;100,100,$AK294+IF(입력란!$C$9=1,10,0)+IF(입력란!$C$26=1,10,0))/100*($AL294/100-1))</f>
        <v>0</v>
      </c>
      <c r="N294" s="39"/>
      <c r="O294" s="39"/>
      <c r="P294" s="39"/>
      <c r="Q294" s="35"/>
      <c r="R294" s="24">
        <f t="shared" si="39"/>
        <v>704740.15481333644</v>
      </c>
      <c r="S294" s="30">
        <f>AN294*IF(G294="근접",IF(MID(E294,1,1)="1",트라이포드!$D$18,트라이포드!$C$18),1)*IF(MID(E294,1,1)="2",트라이포드!$F$18,트라이포드!$E$18)*IF(MID(E294,3,1)="1",트라이포드!$J$18,트라이포드!$I$18)*IF(MID(E294,5,1)="2",트라이포드!$R$18,트라이포드!$Q$18)*(1+입력란!$C$42/100)*IF(입력란!$C$9=1,IF(입력란!$C$15=0,1.05,IF(입력란!$C$15=1,1.05*1.05,IF(입력란!$C$15=2,1.05*1.12,IF(입력란!$C$15=3,1.05*1.25)))),1)</f>
        <v>211422.36571939831</v>
      </c>
      <c r="T294" s="30">
        <f>AO294*IF(G294="근접",IF(MID(E294,1,1)="1",트라이포드!$D$18,트라이포드!$C$18),1)*IF(MID(E294,1,1)="2",트라이포드!$F$18,트라이포드!$E$18)*IF(MID(E294,3,1)="1",트라이포드!$J$18,트라이포드!$I$18)*IF(MID(E294,5,1)="2",트라이포드!$R$18,트라이포드!$Q$18)*(1+입력란!$C$42/100)*IF(입력란!$C$9=1,IF(입력란!$C$15=0,1.05,IF(입력란!$C$15=1,1.05*1.05,IF(입력란!$C$15=2,1.05*1.12,IF(입력란!$C$15=3,1.05*1.25)))),1)</f>
        <v>211422.36571939831</v>
      </c>
      <c r="U294" s="30">
        <f>AP294*IF(G294="근접",IF(MID(E294,1,1)="1",트라이포드!$D$18,트라이포드!$C$18),1)*IF(MID(E294,1,1)="2",트라이포드!$F$18,트라이포드!$E$18)*IF(MID(E294,3,1)="1",트라이포드!$J$18,트라이포드!$I$18)*IF(MID(E294,5,1)="2",트라이포드!$R$18,트라이포드!$Q$18)*(1+입력란!$C$42/100)*IF(입력란!$C$9=1,IF(입력란!$C$15=0,1.05,IF(입력란!$C$15=1,1.05*1.05,IF(입력란!$C$15=2,1.05*1.12,IF(입력란!$C$15=3,1.05*1.25)))),1)</f>
        <v>281895.42337453982</v>
      </c>
      <c r="V294" s="30">
        <f>IF(MID(E294,5,1)="1",(S294+T294+U294)*트라이포드!$P$18,트라이포드!$O$18)</f>
        <v>0</v>
      </c>
      <c r="W294" s="30"/>
      <c r="X294" s="39"/>
      <c r="Y294" s="39"/>
      <c r="Z294" s="27"/>
      <c r="AA294" s="30">
        <f t="shared" si="40"/>
        <v>1409480.3096266729</v>
      </c>
      <c r="AB294" s="30">
        <f t="shared" si="41"/>
        <v>422844.73143879662</v>
      </c>
      <c r="AC294" s="30">
        <f t="shared" si="42"/>
        <v>422844.73143879662</v>
      </c>
      <c r="AD294" s="30">
        <f t="shared" si="44"/>
        <v>563790.84674907965</v>
      </c>
      <c r="AE294" s="30"/>
      <c r="AF294" s="39"/>
      <c r="AG294" s="39"/>
      <c r="AH294" s="39"/>
      <c r="AI294" s="27"/>
      <c r="AJ294" s="26">
        <f>(AQ294-IF(MID(E294,3,1)="3",트라이포드!$N$18,트라이포드!$M$18))*(1-입력란!$C$35/100)</f>
        <v>35.582653468079997</v>
      </c>
      <c r="AK29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4" s="26">
        <f>입력란!$C$47+IF(입력란!$C$18=1,10,IF(입력란!$C$18=2,25,IF(입력란!$C$18=3,50,0)))+IF(입력란!$C$23&lt;&gt;0,-12)</f>
        <v>200</v>
      </c>
      <c r="AM294" s="30">
        <f t="shared" si="43"/>
        <v>353169.78914395336</v>
      </c>
      <c r="AN294" s="30">
        <f>(VLOOKUP(C294,$B$4:$AJ$7,20,FALSE)+VLOOKUP(C294,$B$8:$AJ$11,20,FALSE)*입력란!$C$29)*IF(G294="근접",입력란!$C$50,IF(MID(E294,1,1)="2",입력란!$C$50,입력란!$C$49))*입력란!$C$48/100</f>
        <v>105951.096743186</v>
      </c>
      <c r="AO294" s="30">
        <f>(VLOOKUP(C294,$B$4:$AJ$7,21,FALSE)+VLOOKUP(C294,$B$8:$AJ$11,21,FALSE)*입력란!$C$29)*IF(G294="근접",입력란!$C$50,IF(MID(E294,1,1)="2",입력란!$C$50,입력란!$C$49))*입력란!$C$48/100</f>
        <v>105951.096743186</v>
      </c>
      <c r="AP294" s="30">
        <f>(VLOOKUP(C294,$B$4:$AJ$7,22,FALSE)+VLOOKUP(C294,$B$8:$AJ$11,22,FALSE)*입력란!$C$29)*IF(G294="근접",입력란!$C$50,IF(MID(E294,1,1)="2",입력란!$C$50,입력란!$C$49))*입력란!$C$48/100</f>
        <v>141267.59565758132</v>
      </c>
      <c r="AQ294" s="29">
        <v>36</v>
      </c>
    </row>
    <row r="295" spans="2:43" ht="13.5" customHeight="1" x14ac:dyDescent="0.3">
      <c r="B295" s="31">
        <v>280</v>
      </c>
      <c r="C295" s="36">
        <v>4</v>
      </c>
      <c r="D295" s="43" t="s">
        <v>50</v>
      </c>
      <c r="E295" s="38" t="s">
        <v>377</v>
      </c>
      <c r="F295" s="40"/>
      <c r="G295" s="40" t="s">
        <v>39</v>
      </c>
      <c r="H295" s="52">
        <f t="shared" si="38"/>
        <v>21157.909889287112</v>
      </c>
      <c r="I295" s="53">
        <f>SUM(J295:Q295)*IF(입력란!$C$16=1,1.04,IF(입력란!$C$16=2,1.1,IF(입력란!$C$16=3,1.2,1)))*IF(입력란!$C$21=1,1+입력란!$C$38*0.001,IF(입력란!$C$21=2,1+입력란!$C$38*0.0022,IF(입력란!$C$21=3,1+입력란!$C$38*0.0045,1)))*IF(입력란!$C$18&lt;&gt;0,0.98,1)</f>
        <v>752854.57569936605</v>
      </c>
      <c r="J295" s="30">
        <f>S295*(1+IF($AK295+IF(입력란!$C$9=1,10,0)+IF(입력란!$C$26=1,10,0)&gt;100,100,$AK295+IF(입력란!$C$9=1,10,0)+IF(입력란!$C$26=1,10,0))/100*($AL295/100-1))</f>
        <v>225856.71378295883</v>
      </c>
      <c r="K295" s="30">
        <f>T295*(1+IF($AK295+IF(입력란!$C$9=1,10,0)+IF(입력란!$C$26=1,10,0)&gt;100,100,$AK295+IF(입력란!$C$9=1,10,0)+IF(입력란!$C$26=1,10,0))/100*($AL295/100-1))</f>
        <v>225856.71378295883</v>
      </c>
      <c r="L295" s="30">
        <f>U295*(1+IF($AK295+IF(입력란!$C$9=1,10,0)+IF(입력란!$C$26=1,10,0)&gt;100,100,$AK295+IF(입력란!$C$9=1,10,0)+IF(입력란!$C$26=1,10,0))/100*($AL295/100-1))</f>
        <v>301141.14813344838</v>
      </c>
      <c r="M295" s="30">
        <f>V295*(1+IF($AK295+IF(입력란!$C$9=1,10,0)+IF(입력란!$C$26=1,10,0)&gt;100,100,$AK295+IF(입력란!$C$9=1,10,0)+IF(입력란!$C$26=1,10,0))/100*($AL295/100-1))</f>
        <v>0</v>
      </c>
      <c r="N295" s="39"/>
      <c r="O295" s="39"/>
      <c r="P295" s="39"/>
      <c r="Q295" s="35"/>
      <c r="R295" s="24">
        <f t="shared" si="39"/>
        <v>620171.33623573603</v>
      </c>
      <c r="S295" s="30">
        <f>AN295*IF(G295="근접",IF(MID(E295,1,1)="1",트라이포드!$D$18,트라이포드!$C$18),1)*IF(MID(E295,1,1)="2",트라이포드!$F$18,트라이포드!$E$18)*IF(MID(E295,3,1)="1",트라이포드!$J$18,트라이포드!$I$18)*IF(MID(E295,5,1)="2",트라이포드!$R$18,트라이포드!$Q$18)*(1+입력란!$C$42/100)*IF(입력란!$C$9=1,IF(입력란!$C$15=0,1.05,IF(입력란!$C$15=1,1.05*1.05,IF(입력란!$C$15=2,1.05*1.12,IF(입력란!$C$15=3,1.05*1.25)))),1)</f>
        <v>186051.68183307053</v>
      </c>
      <c r="T295" s="30">
        <f>AO295*IF(G295="근접",IF(MID(E295,1,1)="1",트라이포드!$D$18,트라이포드!$C$18),1)*IF(MID(E295,1,1)="2",트라이포드!$F$18,트라이포드!$E$18)*IF(MID(E295,3,1)="1",트라이포드!$J$18,트라이포드!$I$18)*IF(MID(E295,5,1)="2",트라이포드!$R$18,트라이포드!$Q$18)*(1+입력란!$C$42/100)*IF(입력란!$C$9=1,IF(입력란!$C$15=0,1.05,IF(입력란!$C$15=1,1.05*1.05,IF(입력란!$C$15=2,1.05*1.12,IF(입력란!$C$15=3,1.05*1.25)))),1)</f>
        <v>186051.68183307053</v>
      </c>
      <c r="U295" s="30">
        <f>AP295*IF(G295="근접",IF(MID(E295,1,1)="1",트라이포드!$D$18,트라이포드!$C$18),1)*IF(MID(E295,1,1)="2",트라이포드!$F$18,트라이포드!$E$18)*IF(MID(E295,3,1)="1",트라이포드!$J$18,트라이포드!$I$18)*IF(MID(E295,5,1)="2",트라이포드!$R$18,트라이포드!$Q$18)*(1+입력란!$C$42/100)*IF(입력란!$C$9=1,IF(입력란!$C$15=0,1.05,IF(입력란!$C$15=1,1.05*1.05,IF(입력란!$C$15=2,1.05*1.12,IF(입력란!$C$15=3,1.05*1.25)))),1)</f>
        <v>248067.97256959503</v>
      </c>
      <c r="V295" s="30">
        <f>IF(MID(E295,5,1)="1",(S295+T295+U295)*트라이포드!$P$18,트라이포드!$O$18)</f>
        <v>0</v>
      </c>
      <c r="W295" s="30"/>
      <c r="X295" s="39"/>
      <c r="Y295" s="39"/>
      <c r="Z295" s="27"/>
      <c r="AA295" s="30">
        <f t="shared" si="40"/>
        <v>1240342.6724714721</v>
      </c>
      <c r="AB295" s="30">
        <f t="shared" si="41"/>
        <v>372103.36366614106</v>
      </c>
      <c r="AC295" s="30">
        <f t="shared" si="42"/>
        <v>372103.36366614106</v>
      </c>
      <c r="AD295" s="30">
        <f t="shared" si="44"/>
        <v>496135.94513919007</v>
      </c>
      <c r="AE295" s="30"/>
      <c r="AF295" s="39"/>
      <c r="AG295" s="39"/>
      <c r="AH295" s="39"/>
      <c r="AI295" s="27"/>
      <c r="AJ295" s="26">
        <f>(AQ295-IF(MID(E295,3,1)="3",트라이포드!$N$18,트라이포드!$M$18))*(1-입력란!$C$35/100)</f>
        <v>35.582653468079997</v>
      </c>
      <c r="AK29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5" s="26">
        <f>입력란!$C$47+IF(입력란!$C$18=1,10,IF(입력란!$C$18=2,25,IF(입력란!$C$18=3,50,0)))+IF(입력란!$C$23&lt;&gt;0,-12)</f>
        <v>200</v>
      </c>
      <c r="AM295" s="30">
        <f t="shared" si="43"/>
        <v>353169.78914395336</v>
      </c>
      <c r="AN295" s="30">
        <f>(VLOOKUP(C295,$B$4:$AJ$7,20,FALSE)+VLOOKUP(C295,$B$8:$AJ$11,20,FALSE)*입력란!$C$29)*IF(G295="근접",입력란!$C$50,IF(MID(E295,1,1)="2",입력란!$C$50,입력란!$C$49))*입력란!$C$48/100</f>
        <v>105951.096743186</v>
      </c>
      <c r="AO295" s="30">
        <f>(VLOOKUP(C295,$B$4:$AJ$7,21,FALSE)+VLOOKUP(C295,$B$8:$AJ$11,21,FALSE)*입력란!$C$29)*IF(G295="근접",입력란!$C$50,IF(MID(E295,1,1)="2",입력란!$C$50,입력란!$C$49))*입력란!$C$48/100</f>
        <v>105951.096743186</v>
      </c>
      <c r="AP295" s="30">
        <f>(VLOOKUP(C295,$B$4:$AJ$7,22,FALSE)+VLOOKUP(C295,$B$8:$AJ$11,22,FALSE)*입력란!$C$29)*IF(G295="근접",입력란!$C$50,IF(MID(E295,1,1)="2",입력란!$C$50,입력란!$C$49))*입력란!$C$48/100</f>
        <v>141267.59565758132</v>
      </c>
      <c r="AQ295" s="29">
        <v>36</v>
      </c>
    </row>
    <row r="296" spans="2:43" ht="13.5" customHeight="1" x14ac:dyDescent="0.3">
      <c r="B296" s="31">
        <v>281</v>
      </c>
      <c r="C296" s="36">
        <v>7</v>
      </c>
      <c r="D296" s="43" t="s">
        <v>212</v>
      </c>
      <c r="E296" s="38" t="s">
        <v>186</v>
      </c>
      <c r="F296" s="40"/>
      <c r="G296" s="40" t="s">
        <v>202</v>
      </c>
      <c r="H296" s="52">
        <f t="shared" si="38"/>
        <v>19254.603902962244</v>
      </c>
      <c r="I296" s="53">
        <f>SUM(J296:Q296)*IF(입력란!$C$16=1,1.04,IF(입력란!$C$16=2,1.1,IF(입력란!$C$16=3,1.2,1)))*IF(입력란!$C$21=1,1+입력란!$C$38*0.001,IF(입력란!$C$21=2,1+입력란!$C$38*0.0022,IF(입력란!$C$21=3,1+입력란!$C$38*0.0045,1)))*IF(입력란!$C$18&lt;&gt;0,0.98,1)</f>
        <v>685129.89834424609</v>
      </c>
      <c r="J296" s="30">
        <f>S296*(1+IF($AK296+IF(입력란!$C$9=1,10,0)+IF(입력란!$C$26=1,10,0)&gt;100,100,$AK296+IF(입력란!$C$9=1,10,0)+IF(입력란!$C$26=1,10,0))/100*($AL296/100-1))</f>
        <v>205544.62951937277</v>
      </c>
      <c r="K296" s="30">
        <f>T296*(1+IF($AK296+IF(입력란!$C$9=1,10,0)+IF(입력란!$C$26=1,10,0)&gt;100,100,$AK296+IF(입력란!$C$9=1,10,0)+IF(입력란!$C$26=1,10,0))/100*($AL296/100-1))</f>
        <v>205544.62951937277</v>
      </c>
      <c r="L296" s="30">
        <f>U296*(1+IF($AK296+IF(입력란!$C$9=1,10,0)+IF(입력란!$C$26=1,10,0)&gt;100,100,$AK296+IF(입력란!$C$9=1,10,0)+IF(입력란!$C$26=1,10,0))/100*($AL296/100-1))</f>
        <v>274040.63930550055</v>
      </c>
      <c r="M296" s="30">
        <f>V296*(1+IF($AK296+IF(입력란!$C$9=1,10,0)+IF(입력란!$C$26=1,10,0)&gt;100,100,$AK296+IF(입력란!$C$9=1,10,0)+IF(입력란!$C$26=1,10,0))/100*($AL296/100-1))</f>
        <v>0</v>
      </c>
      <c r="N296" s="39"/>
      <c r="O296" s="39"/>
      <c r="P296" s="39"/>
      <c r="Q296" s="35"/>
      <c r="R296" s="24">
        <f t="shared" si="39"/>
        <v>564382.46942511457</v>
      </c>
      <c r="S296" s="30">
        <f>AN296*IF(G296="근접",IF(MID(E296,1,1)="1",트라이포드!$D$18,트라이포드!$C$18),1)*IF(MID(E296,1,1)="2",트라이포드!$F$18,트라이포드!$E$18)*IF(MID(E296,3,1)="1",트라이포드!$J$18,트라이포드!$I$18)*IF(MID(E296,5,1)="2",트라이포드!$R$18,트라이포드!$Q$18)*(1+입력란!$C$42/100)*IF(입력란!$C$9=1,IF(입력란!$C$15=0,1.05,IF(입력란!$C$15=1,1.05*1.05,IF(입력란!$C$15=2,1.05*1.12,IF(입력란!$C$15=3,1.05*1.25)))),1)</f>
        <v>169319.40332127555</v>
      </c>
      <c r="T296" s="30">
        <f>AO296*IF(G296="근접",IF(MID(E296,1,1)="1",트라이포드!$D$18,트라이포드!$C$18),1)*IF(MID(E296,1,1)="2",트라이포드!$F$18,트라이포드!$E$18)*IF(MID(E296,3,1)="1",트라이포드!$J$18,트라이포드!$I$18)*IF(MID(E296,5,1)="2",트라이포드!$R$18,트라이포드!$Q$18)*(1+입력란!$C$42/100)*IF(입력란!$C$9=1,IF(입력란!$C$15=0,1.05,IF(입력란!$C$15=1,1.05*1.05,IF(입력란!$C$15=2,1.05*1.12,IF(입력란!$C$15=3,1.05*1.25)))),1)</f>
        <v>169319.40332127555</v>
      </c>
      <c r="U296" s="30">
        <f>AP296*IF(G296="근접",IF(MID(E296,1,1)="1",트라이포드!$D$18,트라이포드!$C$18),1)*IF(MID(E296,1,1)="2",트라이포드!$F$18,트라이포드!$E$18)*IF(MID(E296,3,1)="1",트라이포드!$J$18,트라이포드!$I$18)*IF(MID(E296,5,1)="2",트라이포드!$R$18,트라이포드!$Q$18)*(1+입력란!$C$42/100)*IF(입력란!$C$9=1,IF(입력란!$C$15=0,1.05,IF(입력란!$C$15=1,1.05*1.05,IF(입력란!$C$15=2,1.05*1.12,IF(입력란!$C$15=3,1.05*1.25)))),1)</f>
        <v>225743.66278256354</v>
      </c>
      <c r="V296" s="30">
        <f>IF(MID(E296,5,1)="1",(S296+T296+U296)*트라이포드!$P$18,트라이포드!$O$18)</f>
        <v>0</v>
      </c>
      <c r="W296" s="30"/>
      <c r="X296" s="39"/>
      <c r="Y296" s="39"/>
      <c r="Z296" s="27"/>
      <c r="AA296" s="30">
        <f t="shared" si="40"/>
        <v>1128764.9388502291</v>
      </c>
      <c r="AB296" s="30">
        <f t="shared" si="41"/>
        <v>338638.80664255109</v>
      </c>
      <c r="AC296" s="30">
        <f t="shared" si="42"/>
        <v>338638.80664255109</v>
      </c>
      <c r="AD296" s="30">
        <f t="shared" si="44"/>
        <v>451487.32556512707</v>
      </c>
      <c r="AE296" s="30"/>
      <c r="AF296" s="39"/>
      <c r="AG296" s="39"/>
      <c r="AH296" s="39"/>
      <c r="AI296" s="27"/>
      <c r="AJ296" s="26">
        <f>(AQ296-IF(MID(E296,3,1)="3",트라이포드!$N$18,트라이포드!$M$18))*(1-입력란!$C$35/100)</f>
        <v>35.582653468079997</v>
      </c>
      <c r="AK29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6" s="26">
        <f>입력란!$C$47+IF(입력란!$C$18=1,10,IF(입력란!$C$18=2,25,IF(입력란!$C$18=3,50,0)))+IF(입력란!$C$23&lt;&gt;0,-12)</f>
        <v>200</v>
      </c>
      <c r="AM296" s="30">
        <f t="shared" si="43"/>
        <v>353539.59250449867</v>
      </c>
      <c r="AN296" s="30">
        <f>(VLOOKUP(C296,$B$4:$AJ$7,20,FALSE)+VLOOKUP(C296,$B$8:$AJ$11,20,FALSE)*입력란!$C$29)*IF(G296="근접",입력란!$C$50,IF(MID(E296,1,1)="2",입력란!$C$50,입력란!$C$49))*입력란!$C$48/100</f>
        <v>106064.79842345868</v>
      </c>
      <c r="AO296" s="30">
        <f>(VLOOKUP(C296,$B$4:$AJ$7,21,FALSE)+VLOOKUP(C296,$B$8:$AJ$11,21,FALSE)*입력란!$C$29)*IF(G296="근접",입력란!$C$50,IF(MID(E296,1,1)="2",입력란!$C$50,입력란!$C$49))*입력란!$C$48/100</f>
        <v>106064.79842345868</v>
      </c>
      <c r="AP296" s="30">
        <f>(VLOOKUP(C296,$B$4:$AJ$7,22,FALSE)+VLOOKUP(C296,$B$8:$AJ$11,22,FALSE)*입력란!$C$29)*IF(G296="근접",입력란!$C$50,IF(MID(E296,1,1)="2",입력란!$C$50,입력란!$C$49))*입력란!$C$48/100</f>
        <v>141409.99565758131</v>
      </c>
      <c r="AQ296" s="29">
        <v>36</v>
      </c>
    </row>
    <row r="297" spans="2:43" ht="13.5" customHeight="1" x14ac:dyDescent="0.3">
      <c r="B297" s="31">
        <v>282</v>
      </c>
      <c r="C297" s="36">
        <v>7</v>
      </c>
      <c r="D297" s="43" t="s">
        <v>212</v>
      </c>
      <c r="E297" s="38" t="s">
        <v>188</v>
      </c>
      <c r="F297" s="40"/>
      <c r="G297" s="40" t="s">
        <v>202</v>
      </c>
      <c r="H297" s="52">
        <f t="shared" si="38"/>
        <v>24068.254878702803</v>
      </c>
      <c r="I297" s="53">
        <f>SUM(J297:Q297)*IF(입력란!$C$16=1,1.04,IF(입력란!$C$16=2,1.1,IF(입력란!$C$16=3,1.2,1)))*IF(입력란!$C$21=1,1+입력란!$C$38*0.001,IF(입력란!$C$21=2,1+입력란!$C$38*0.0022,IF(입력란!$C$21=3,1+입력란!$C$38*0.0045,1)))*IF(입력란!$C$18&lt;&gt;0,0.98,1)</f>
        <v>856412.37293030764</v>
      </c>
      <c r="J297" s="30">
        <f>S297*(1+IF($AK297+IF(입력란!$C$9=1,10,0)+IF(입력란!$C$26=1,10,0)&gt;100,100,$AK297+IF(입력란!$C$9=1,10,0)+IF(입력란!$C$26=1,10,0))/100*($AL297/100-1))</f>
        <v>256930.78689921595</v>
      </c>
      <c r="K297" s="30">
        <f>T297*(1+IF($AK297+IF(입력란!$C$9=1,10,0)+IF(입력란!$C$26=1,10,0)&gt;100,100,$AK297+IF(입력란!$C$9=1,10,0)+IF(입력란!$C$26=1,10,0))/100*($AL297/100-1))</f>
        <v>256930.78689921595</v>
      </c>
      <c r="L297" s="30">
        <f>U297*(1+IF($AK297+IF(입력란!$C$9=1,10,0)+IF(입력란!$C$26=1,10,0)&gt;100,100,$AK297+IF(입력란!$C$9=1,10,0)+IF(입력란!$C$26=1,10,0))/100*($AL297/100-1))</f>
        <v>342550.79913187568</v>
      </c>
      <c r="M297" s="30">
        <f>V297*(1+IF($AK297+IF(입력란!$C$9=1,10,0)+IF(입력란!$C$26=1,10,0)&gt;100,100,$AK297+IF(입력란!$C$9=1,10,0)+IF(입력란!$C$26=1,10,0))/100*($AL297/100-1))</f>
        <v>0</v>
      </c>
      <c r="N297" s="39"/>
      <c r="O297" s="39"/>
      <c r="P297" s="39"/>
      <c r="Q297" s="35"/>
      <c r="R297" s="24">
        <f t="shared" si="39"/>
        <v>705478.08678139327</v>
      </c>
      <c r="S297" s="30">
        <f>AN297*IF(G297="근접",IF(MID(E297,1,1)="1",트라이포드!$D$18,트라이포드!$C$18),1)*IF(MID(E297,1,1)="2",트라이포드!$F$18,트라이포드!$E$18)*IF(MID(E297,3,1)="1",트라이포드!$J$18,트라이포드!$I$18)*IF(MID(E297,5,1)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T297" s="30">
        <f>AO297*IF(G297="근접",IF(MID(E297,1,1)="1",트라이포드!$D$18,트라이포드!$C$18),1)*IF(MID(E297,1,1)="2",트라이포드!$F$18,트라이포드!$E$18)*IF(MID(E297,3,1)="1",트라이포드!$J$18,트라이포드!$I$18)*IF(MID(E297,5,1)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U297" s="30">
        <f>AP297*IF(G297="근접",IF(MID(E297,1,1)="1",트라이포드!$D$18,트라이포드!$C$18),1)*IF(MID(E297,1,1)="2",트라이포드!$F$18,트라이포드!$E$18)*IF(MID(E297,3,1)="1",트라이포드!$J$18,트라이포드!$I$18)*IF(MID(E297,5,1)="2",트라이포드!$R$18,트라이포드!$Q$18)*(1+입력란!$C$42/100)*IF(입력란!$C$9=1,IF(입력란!$C$15=0,1.05,IF(입력란!$C$15=1,1.05*1.05,IF(입력란!$C$15=2,1.05*1.12,IF(입력란!$C$15=3,1.05*1.25)))),1)</f>
        <v>282179.57847820444</v>
      </c>
      <c r="V297" s="30">
        <f>IF(MID(E297,5,1)="1",(S297+T297+U297)*트라이포드!$P$18,트라이포드!$O$18)</f>
        <v>0</v>
      </c>
      <c r="W297" s="30"/>
      <c r="X297" s="39"/>
      <c r="Y297" s="39"/>
      <c r="Z297" s="27"/>
      <c r="AA297" s="30">
        <f t="shared" si="40"/>
        <v>1410956.1735627865</v>
      </c>
      <c r="AB297" s="30">
        <f t="shared" si="41"/>
        <v>423298.50830318884</v>
      </c>
      <c r="AC297" s="30">
        <f t="shared" si="42"/>
        <v>423298.50830318884</v>
      </c>
      <c r="AD297" s="30">
        <f t="shared" si="44"/>
        <v>564359.15695640887</v>
      </c>
      <c r="AE297" s="30"/>
      <c r="AF297" s="39"/>
      <c r="AG297" s="39"/>
      <c r="AH297" s="39"/>
      <c r="AI297" s="27"/>
      <c r="AJ297" s="26">
        <f>(AQ297-IF(MID(E297,3,1)="3",트라이포드!$N$18,트라이포드!$M$18))*(1-입력란!$C$35/100)</f>
        <v>35.582653468079997</v>
      </c>
      <c r="AK29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7" s="26">
        <f>입력란!$C$47+IF(입력란!$C$18=1,10,IF(입력란!$C$18=2,25,IF(입력란!$C$18=3,50,0)))+IF(입력란!$C$23&lt;&gt;0,-12)</f>
        <v>200</v>
      </c>
      <c r="AM297" s="30">
        <f t="shared" si="43"/>
        <v>353539.59250449867</v>
      </c>
      <c r="AN297" s="30">
        <f>(VLOOKUP(C297,$B$4:$AJ$7,20,FALSE)+VLOOKUP(C297,$B$8:$AJ$11,20,FALSE)*입력란!$C$29)*IF(G297="근접",입력란!$C$50,IF(MID(E297,1,1)="2",입력란!$C$50,입력란!$C$49))*입력란!$C$48/100</f>
        <v>106064.79842345868</v>
      </c>
      <c r="AO297" s="30">
        <f>(VLOOKUP(C297,$B$4:$AJ$7,21,FALSE)+VLOOKUP(C297,$B$8:$AJ$11,21,FALSE)*입력란!$C$29)*IF(G297="근접",입력란!$C$50,IF(MID(E297,1,1)="2",입력란!$C$50,입력란!$C$49))*입력란!$C$48/100</f>
        <v>106064.79842345868</v>
      </c>
      <c r="AP297" s="30">
        <f>(VLOOKUP(C297,$B$4:$AJ$7,22,FALSE)+VLOOKUP(C297,$B$8:$AJ$11,22,FALSE)*입력란!$C$29)*IF(G297="근접",입력란!$C$50,IF(MID(E297,1,1)="2",입력란!$C$50,입력란!$C$49))*입력란!$C$48/100</f>
        <v>141409.99565758131</v>
      </c>
      <c r="AQ297" s="29">
        <v>36</v>
      </c>
    </row>
    <row r="298" spans="2:43" ht="13.5" customHeight="1" x14ac:dyDescent="0.3">
      <c r="B298" s="31">
        <v>283</v>
      </c>
      <c r="C298" s="36">
        <v>7</v>
      </c>
      <c r="D298" s="43" t="s">
        <v>212</v>
      </c>
      <c r="E298" s="38" t="s">
        <v>213</v>
      </c>
      <c r="F298" s="40"/>
      <c r="G298" s="40" t="s">
        <v>202</v>
      </c>
      <c r="H298" s="52">
        <f t="shared" si="38"/>
        <v>27726.629620265627</v>
      </c>
      <c r="I298" s="53">
        <f>SUM(J298:Q298)*IF(입력란!$C$16=1,1.04,IF(입력란!$C$16=2,1.1,IF(입력란!$C$16=3,1.2,1)))*IF(입력란!$C$21=1,1+입력란!$C$38*0.001,IF(입력란!$C$21=2,1+입력란!$C$38*0.0022,IF(입력란!$C$21=3,1+입력란!$C$38*0.0045,1)))*IF(입력란!$C$18&lt;&gt;0,0.98,1)</f>
        <v>685129.89834424609</v>
      </c>
      <c r="J298" s="30">
        <f>S298*(1+IF($AK298+IF(입력란!$C$9=1,10,0)+IF(입력란!$C$26=1,10,0)&gt;100,100,$AK298+IF(입력란!$C$9=1,10,0)+IF(입력란!$C$26=1,10,0))/100*($AL298/100-1))</f>
        <v>205544.62951937277</v>
      </c>
      <c r="K298" s="30">
        <f>T298*(1+IF($AK298+IF(입력란!$C$9=1,10,0)+IF(입력란!$C$26=1,10,0)&gt;100,100,$AK298+IF(입력란!$C$9=1,10,0)+IF(입력란!$C$26=1,10,0))/100*($AL298/100-1))</f>
        <v>205544.62951937277</v>
      </c>
      <c r="L298" s="30">
        <f>U298*(1+IF($AK298+IF(입력란!$C$9=1,10,0)+IF(입력란!$C$26=1,10,0)&gt;100,100,$AK298+IF(입력란!$C$9=1,10,0)+IF(입력란!$C$26=1,10,0))/100*($AL298/100-1))</f>
        <v>274040.63930550055</v>
      </c>
      <c r="M298" s="30">
        <f>V298*(1+IF($AK298+IF(입력란!$C$9=1,10,0)+IF(입력란!$C$26=1,10,0)&gt;100,100,$AK298+IF(입력란!$C$9=1,10,0)+IF(입력란!$C$26=1,10,0))/100*($AL298/100-1))</f>
        <v>0</v>
      </c>
      <c r="N298" s="39"/>
      <c r="O298" s="39"/>
      <c r="P298" s="39"/>
      <c r="Q298" s="35"/>
      <c r="R298" s="24">
        <f t="shared" si="39"/>
        <v>564382.46942511457</v>
      </c>
      <c r="S298" s="30">
        <f>AN298*IF(G298="근접",IF(MID(E298,1,1)="1",트라이포드!$D$18,트라이포드!$C$18),1)*IF(MID(E298,1,1)="2",트라이포드!$F$18,트라이포드!$E$18)*IF(MID(E298,3,1)="1",트라이포드!$J$18,트라이포드!$I$18)*IF(MID(E298,5,1)="2",트라이포드!$R$18,트라이포드!$Q$18)*(1+입력란!$C$42/100)*IF(입력란!$C$9=1,IF(입력란!$C$15=0,1.05,IF(입력란!$C$15=1,1.05*1.05,IF(입력란!$C$15=2,1.05*1.12,IF(입력란!$C$15=3,1.05*1.25)))),1)</f>
        <v>169319.40332127555</v>
      </c>
      <c r="T298" s="30">
        <f>AO298*IF(G298="근접",IF(MID(E298,1,1)="1",트라이포드!$D$18,트라이포드!$C$18),1)*IF(MID(E298,1,1)="2",트라이포드!$F$18,트라이포드!$E$18)*IF(MID(E298,3,1)="1",트라이포드!$J$18,트라이포드!$I$18)*IF(MID(E298,5,1)="2",트라이포드!$R$18,트라이포드!$Q$18)*(1+입력란!$C$42/100)*IF(입력란!$C$9=1,IF(입력란!$C$15=0,1.05,IF(입력란!$C$15=1,1.05*1.05,IF(입력란!$C$15=2,1.05*1.12,IF(입력란!$C$15=3,1.05*1.25)))),1)</f>
        <v>169319.40332127555</v>
      </c>
      <c r="U298" s="30">
        <f>AP298*IF(G298="근접",IF(MID(E298,1,1)="1",트라이포드!$D$18,트라이포드!$C$18),1)*IF(MID(E298,1,1)="2",트라이포드!$F$18,트라이포드!$E$18)*IF(MID(E298,3,1)="1",트라이포드!$J$18,트라이포드!$I$18)*IF(MID(E298,5,1)="2",트라이포드!$R$18,트라이포드!$Q$18)*(1+입력란!$C$42/100)*IF(입력란!$C$9=1,IF(입력란!$C$15=0,1.05,IF(입력란!$C$15=1,1.05*1.05,IF(입력란!$C$15=2,1.05*1.12,IF(입력란!$C$15=3,1.05*1.25)))),1)</f>
        <v>225743.66278256354</v>
      </c>
      <c r="V298" s="30">
        <f>IF(MID(E298,5,1)="1",(S298+T298+U298)*트라이포드!$P$18,트라이포드!$O$18)</f>
        <v>0</v>
      </c>
      <c r="W298" s="30"/>
      <c r="X298" s="39"/>
      <c r="Y298" s="39"/>
      <c r="Z298" s="27"/>
      <c r="AA298" s="30">
        <f t="shared" si="40"/>
        <v>1128764.9388502291</v>
      </c>
      <c r="AB298" s="30">
        <f t="shared" si="41"/>
        <v>338638.80664255109</v>
      </c>
      <c r="AC298" s="30">
        <f t="shared" si="42"/>
        <v>338638.80664255109</v>
      </c>
      <c r="AD298" s="30">
        <f t="shared" si="44"/>
        <v>451487.32556512707</v>
      </c>
      <c r="AE298" s="30"/>
      <c r="AF298" s="39"/>
      <c r="AG298" s="39"/>
      <c r="AH298" s="39"/>
      <c r="AI298" s="27"/>
      <c r="AJ298" s="26">
        <f>(AQ298-IF(MID(E298,3,1)="3",트라이포드!$N$18,트라이포드!$M$18))*(1-입력란!$C$35/100)</f>
        <v>24.7101760195</v>
      </c>
      <c r="AK29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8" s="26">
        <f>입력란!$C$47+IF(입력란!$C$18=1,10,IF(입력란!$C$18=2,25,IF(입력란!$C$18=3,50,0)))+IF(입력란!$C$23&lt;&gt;0,-12)</f>
        <v>200</v>
      </c>
      <c r="AM298" s="30">
        <f t="shared" si="43"/>
        <v>353539.59250449867</v>
      </c>
      <c r="AN298" s="30">
        <f>(VLOOKUP(C298,$B$4:$AJ$7,20,FALSE)+VLOOKUP(C298,$B$8:$AJ$11,20,FALSE)*입력란!$C$29)*IF(G298="근접",입력란!$C$50,IF(MID(E298,1,1)="2",입력란!$C$50,입력란!$C$49))*입력란!$C$48/100</f>
        <v>106064.79842345868</v>
      </c>
      <c r="AO298" s="30">
        <f>(VLOOKUP(C298,$B$4:$AJ$7,21,FALSE)+VLOOKUP(C298,$B$8:$AJ$11,21,FALSE)*입력란!$C$29)*IF(G298="근접",입력란!$C$50,IF(MID(E298,1,1)="2",입력란!$C$50,입력란!$C$49))*입력란!$C$48/100</f>
        <v>106064.79842345868</v>
      </c>
      <c r="AP298" s="30">
        <f>(VLOOKUP(C298,$B$4:$AJ$7,22,FALSE)+VLOOKUP(C298,$B$8:$AJ$11,22,FALSE)*입력란!$C$29)*IF(G298="근접",입력란!$C$50,IF(MID(E298,1,1)="2",입력란!$C$50,입력란!$C$49))*입력란!$C$48/100</f>
        <v>141409.99565758131</v>
      </c>
      <c r="AQ298" s="29">
        <v>36</v>
      </c>
    </row>
    <row r="299" spans="2:43" ht="13.5" customHeight="1" x14ac:dyDescent="0.3">
      <c r="B299" s="31">
        <v>284</v>
      </c>
      <c r="C299" s="36">
        <v>7</v>
      </c>
      <c r="D299" s="43" t="s">
        <v>212</v>
      </c>
      <c r="E299" s="38" t="s">
        <v>187</v>
      </c>
      <c r="F299" s="40"/>
      <c r="G299" s="40" t="s">
        <v>202</v>
      </c>
      <c r="H299" s="52">
        <f t="shared" si="38"/>
        <v>24068.254878702803</v>
      </c>
      <c r="I299" s="53">
        <f>SUM(J299:Q299)*IF(입력란!$C$16=1,1.04,IF(입력란!$C$16=2,1.1,IF(입력란!$C$16=3,1.2,1)))*IF(입력란!$C$21=1,1+입력란!$C$38*0.001,IF(입력란!$C$21=2,1+입력란!$C$38*0.0022,IF(입력란!$C$21=3,1+입력란!$C$38*0.0045,1)))*IF(입력란!$C$18&lt;&gt;0,0.98,1)</f>
        <v>856412.37293030764</v>
      </c>
      <c r="J299" s="30">
        <f>S299*(1+IF($AK299+IF(입력란!$C$9=1,10,0)+IF(입력란!$C$26=1,10,0)&gt;100,100,$AK299+IF(입력란!$C$9=1,10,0)+IF(입력란!$C$26=1,10,0))/100*($AL299/100-1))</f>
        <v>256930.78689921595</v>
      </c>
      <c r="K299" s="30">
        <f>T299*(1+IF($AK299+IF(입력란!$C$9=1,10,0)+IF(입력란!$C$26=1,10,0)&gt;100,100,$AK299+IF(입력란!$C$9=1,10,0)+IF(입력란!$C$26=1,10,0))/100*($AL299/100-1))</f>
        <v>256930.78689921595</v>
      </c>
      <c r="L299" s="30">
        <f>U299*(1+IF($AK299+IF(입력란!$C$9=1,10,0)+IF(입력란!$C$26=1,10,0)&gt;100,100,$AK299+IF(입력란!$C$9=1,10,0)+IF(입력란!$C$26=1,10,0))/100*($AL299/100-1))</f>
        <v>342550.79913187568</v>
      </c>
      <c r="M299" s="30">
        <f>V299*(1+IF($AK299+IF(입력란!$C$9=1,10,0)+IF(입력란!$C$26=1,10,0)&gt;100,100,$AK299+IF(입력란!$C$9=1,10,0)+IF(입력란!$C$26=1,10,0))/100*($AL299/100-1))</f>
        <v>0</v>
      </c>
      <c r="N299" s="39"/>
      <c r="O299" s="39"/>
      <c r="P299" s="39"/>
      <c r="Q299" s="35"/>
      <c r="R299" s="24">
        <f t="shared" si="39"/>
        <v>705478.08678139327</v>
      </c>
      <c r="S299" s="30">
        <f>AN299*IF(G299="근접",IF(MID(E299,1,1)="1",트라이포드!$D$18,트라이포드!$C$18),1)*IF(MID(E299,1,1)="2",트라이포드!$F$18,트라이포드!$E$18)*IF(MID(E299,3,1)="1",트라이포드!$J$18,트라이포드!$I$18)*IF(MID(E299,5,1)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T299" s="30">
        <f>AO299*IF(G299="근접",IF(MID(E299,1,1)="1",트라이포드!$D$18,트라이포드!$C$18),1)*IF(MID(E299,1,1)="2",트라이포드!$F$18,트라이포드!$E$18)*IF(MID(E299,3,1)="1",트라이포드!$J$18,트라이포드!$I$18)*IF(MID(E299,5,1)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U299" s="30">
        <f>AP299*IF(G299="근접",IF(MID(E299,1,1)="1",트라이포드!$D$18,트라이포드!$C$18),1)*IF(MID(E299,1,1)="2",트라이포드!$F$18,트라이포드!$E$18)*IF(MID(E299,3,1)="1",트라이포드!$J$18,트라이포드!$I$18)*IF(MID(E299,5,1)="2",트라이포드!$R$18,트라이포드!$Q$18)*(1+입력란!$C$42/100)*IF(입력란!$C$9=1,IF(입력란!$C$15=0,1.05,IF(입력란!$C$15=1,1.05*1.05,IF(입력란!$C$15=2,1.05*1.12,IF(입력란!$C$15=3,1.05*1.25)))),1)</f>
        <v>282179.57847820444</v>
      </c>
      <c r="V299" s="30">
        <f>IF(MID(E299,5,1)="1",(S299+T299+U299)*트라이포드!$P$18,트라이포드!$O$18)</f>
        <v>0</v>
      </c>
      <c r="W299" s="30"/>
      <c r="X299" s="39"/>
      <c r="Y299" s="39"/>
      <c r="Z299" s="27"/>
      <c r="AA299" s="30">
        <f t="shared" si="40"/>
        <v>1410956.1735627865</v>
      </c>
      <c r="AB299" s="30">
        <f t="shared" si="41"/>
        <v>423298.50830318884</v>
      </c>
      <c r="AC299" s="30">
        <f t="shared" si="42"/>
        <v>423298.50830318884</v>
      </c>
      <c r="AD299" s="30">
        <f t="shared" si="44"/>
        <v>564359.15695640887</v>
      </c>
      <c r="AE299" s="30"/>
      <c r="AF299" s="39"/>
      <c r="AG299" s="39"/>
      <c r="AH299" s="39"/>
      <c r="AI299" s="27"/>
      <c r="AJ299" s="26">
        <f>(AQ299-IF(MID(E299,3,1)="3",트라이포드!$N$18,트라이포드!$M$18))*(1-입력란!$C$35/100)</f>
        <v>35.582653468079997</v>
      </c>
      <c r="AK29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299" s="26">
        <f>입력란!$C$47+IF(입력란!$C$18=1,10,IF(입력란!$C$18=2,25,IF(입력란!$C$18=3,50,0)))+IF(입력란!$C$23&lt;&gt;0,-12)</f>
        <v>200</v>
      </c>
      <c r="AM299" s="30">
        <f t="shared" si="43"/>
        <v>353539.59250449867</v>
      </c>
      <c r="AN299" s="30">
        <f>(VLOOKUP(C299,$B$4:$AJ$7,20,FALSE)+VLOOKUP(C299,$B$8:$AJ$11,20,FALSE)*입력란!$C$29)*IF(G299="근접",입력란!$C$50,IF(MID(E299,1,1)="2",입력란!$C$50,입력란!$C$49))*입력란!$C$48/100</f>
        <v>106064.79842345868</v>
      </c>
      <c r="AO299" s="30">
        <f>(VLOOKUP(C299,$B$4:$AJ$7,21,FALSE)+VLOOKUP(C299,$B$8:$AJ$11,21,FALSE)*입력란!$C$29)*IF(G299="근접",입력란!$C$50,IF(MID(E299,1,1)="2",입력란!$C$50,입력란!$C$49))*입력란!$C$48/100</f>
        <v>106064.79842345868</v>
      </c>
      <c r="AP299" s="30">
        <f>(VLOOKUP(C299,$B$4:$AJ$7,22,FALSE)+VLOOKUP(C299,$B$8:$AJ$11,22,FALSE)*입력란!$C$29)*IF(G299="근접",입력란!$C$50,IF(MID(E299,1,1)="2",입력란!$C$50,입력란!$C$49))*입력란!$C$48/100</f>
        <v>141409.99565758131</v>
      </c>
      <c r="AQ299" s="29">
        <v>36</v>
      </c>
    </row>
    <row r="300" spans="2:43" ht="13.5" customHeight="1" x14ac:dyDescent="0.3">
      <c r="B300" s="31">
        <v>285</v>
      </c>
      <c r="C300" s="36">
        <v>7</v>
      </c>
      <c r="D300" s="43" t="s">
        <v>50</v>
      </c>
      <c r="E300" s="38" t="s">
        <v>377</v>
      </c>
      <c r="F300" s="40"/>
      <c r="G300" s="40" t="s">
        <v>39</v>
      </c>
      <c r="H300" s="52">
        <f t="shared" si="38"/>
        <v>21180.064293258463</v>
      </c>
      <c r="I300" s="53">
        <f>SUM(J300:Q300)*IF(입력란!$C$16=1,1.04,IF(입력란!$C$16=2,1.1,IF(입력란!$C$16=3,1.2,1)))*IF(입력란!$C$21=1,1+입력란!$C$38*0.001,IF(입력란!$C$21=2,1+입력란!$C$38*0.0022,IF(입력란!$C$21=3,1+입력란!$C$38*0.0045,1)))*IF(입력란!$C$18&lt;&gt;0,0.98,1)</f>
        <v>753642.88817867055</v>
      </c>
      <c r="J300" s="30">
        <f>S300*(1+IF($AK300+IF(입력란!$C$9=1,10,0)+IF(입력란!$C$26=1,10,0)&gt;100,100,$AK300+IF(입력란!$C$9=1,10,0)+IF(입력란!$C$26=1,10,0))/100*($AL300/100-1))</f>
        <v>226099.09247131002</v>
      </c>
      <c r="K300" s="30">
        <f>T300*(1+IF($AK300+IF(입력란!$C$9=1,10,0)+IF(입력란!$C$26=1,10,0)&gt;100,100,$AK300+IF(입력란!$C$9=1,10,0)+IF(입력란!$C$26=1,10,0))/100*($AL300/100-1))</f>
        <v>226099.09247131002</v>
      </c>
      <c r="L300" s="30">
        <f>U300*(1+IF($AK300+IF(입력란!$C$9=1,10,0)+IF(입력란!$C$26=1,10,0)&gt;100,100,$AK300+IF(입력란!$C$9=1,10,0)+IF(입력란!$C$26=1,10,0))/100*($AL300/100-1))</f>
        <v>301444.70323605055</v>
      </c>
      <c r="M300" s="30">
        <f>V300*(1+IF($AK300+IF(입력란!$C$9=1,10,0)+IF(입력란!$C$26=1,10,0)&gt;100,100,$AK300+IF(입력란!$C$9=1,10,0)+IF(입력란!$C$26=1,10,0))/100*($AL300/100-1))</f>
        <v>0</v>
      </c>
      <c r="N300" s="39"/>
      <c r="O300" s="39"/>
      <c r="P300" s="39"/>
      <c r="Q300" s="35"/>
      <c r="R300" s="24">
        <f t="shared" si="39"/>
        <v>620820.7163676261</v>
      </c>
      <c r="S300" s="30">
        <f>AN300*IF(G300="근접",IF(MID(E300,1,1)="1",트라이포드!$D$18,트라이포드!$C$18),1)*IF(MID(E300,1,1)="2",트라이포드!$F$18,트라이포드!$E$18)*IF(MID(E300,3,1)="1",트라이포드!$J$18,트라이포드!$I$18)*IF(MID(E300,5,1)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T300" s="30">
        <f>AO300*IF(G300="근접",IF(MID(E300,1,1)="1",트라이포드!$D$18,트라이포드!$C$18),1)*IF(MID(E300,1,1)="2",트라이포드!$F$18,트라이포드!$E$18)*IF(MID(E300,3,1)="1",트라이포드!$J$18,트라이포드!$I$18)*IF(MID(E300,5,1)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U300" s="30">
        <f>AP300*IF(G300="근접",IF(MID(E300,1,1)="1",트라이포드!$D$18,트라이포드!$C$18),1)*IF(MID(E300,1,1)="2",트라이포드!$F$18,트라이포드!$E$18)*IF(MID(E300,3,1)="1",트라이포드!$J$18,트라이포드!$I$18)*IF(MID(E300,5,1)="2",트라이포드!$R$18,트라이포드!$Q$18)*(1+입력란!$C$42/100)*IF(입력란!$C$9=1,IF(입력란!$C$15=0,1.05,IF(입력란!$C$15=1,1.05*1.05,IF(입력란!$C$15=2,1.05*1.12,IF(입력란!$C$15=3,1.05*1.25)))),1)</f>
        <v>248318.02906081988</v>
      </c>
      <c r="V300" s="30">
        <f>IF(MID(E300,5,1)="1",(S300+T300+U300)*트라이포드!$P$18,트라이포드!$O$18)</f>
        <v>0</v>
      </c>
      <c r="W300" s="30"/>
      <c r="X300" s="39"/>
      <c r="Y300" s="39"/>
      <c r="Z300" s="27"/>
      <c r="AA300" s="30">
        <f t="shared" si="40"/>
        <v>1241641.4327352522</v>
      </c>
      <c r="AB300" s="30">
        <f t="shared" si="41"/>
        <v>372502.68730680615</v>
      </c>
      <c r="AC300" s="30">
        <f t="shared" si="42"/>
        <v>372502.68730680615</v>
      </c>
      <c r="AD300" s="30">
        <f t="shared" si="44"/>
        <v>496636.05812163977</v>
      </c>
      <c r="AE300" s="30"/>
      <c r="AF300" s="39"/>
      <c r="AG300" s="39"/>
      <c r="AH300" s="39"/>
      <c r="AI300" s="27"/>
      <c r="AJ300" s="26">
        <f>(AQ300-IF(MID(E300,3,1)="3",트라이포드!$N$18,트라이포드!$M$18))*(1-입력란!$C$35/100)</f>
        <v>35.582653468079997</v>
      </c>
      <c r="AK30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0" s="26">
        <f>입력란!$C$47+IF(입력란!$C$18=1,10,IF(입력란!$C$18=2,25,IF(입력란!$C$18=3,50,0)))+IF(입력란!$C$23&lt;&gt;0,-12)</f>
        <v>200</v>
      </c>
      <c r="AM300" s="30">
        <f t="shared" si="43"/>
        <v>353539.59250449867</v>
      </c>
      <c r="AN300" s="30">
        <f>(VLOOKUP(C300,$B$4:$AJ$7,20,FALSE)+VLOOKUP(C300,$B$8:$AJ$11,20,FALSE)*입력란!$C$29)*IF(G300="근접",입력란!$C$50,IF(MID(E300,1,1)="2",입력란!$C$50,입력란!$C$49))*입력란!$C$48/100</f>
        <v>106064.79842345868</v>
      </c>
      <c r="AO300" s="30">
        <f>(VLOOKUP(C300,$B$4:$AJ$7,21,FALSE)+VLOOKUP(C300,$B$8:$AJ$11,21,FALSE)*입력란!$C$29)*IF(G300="근접",입력란!$C$50,IF(MID(E300,1,1)="2",입력란!$C$50,입력란!$C$49))*입력란!$C$48/100</f>
        <v>106064.79842345868</v>
      </c>
      <c r="AP300" s="30">
        <f>(VLOOKUP(C300,$B$4:$AJ$7,22,FALSE)+VLOOKUP(C300,$B$8:$AJ$11,22,FALSE)*입력란!$C$29)*IF(G300="근접",입력란!$C$50,IF(MID(E300,1,1)="2",입력란!$C$50,입력란!$C$49))*입력란!$C$48/100</f>
        <v>141409.99565758131</v>
      </c>
      <c r="AQ300" s="29">
        <v>36</v>
      </c>
    </row>
    <row r="301" spans="2:43" ht="13.5" customHeight="1" x14ac:dyDescent="0.3">
      <c r="B301" s="31">
        <v>286</v>
      </c>
      <c r="C301" s="36">
        <v>7</v>
      </c>
      <c r="D301" s="43" t="s">
        <v>212</v>
      </c>
      <c r="E301" s="38" t="s">
        <v>190</v>
      </c>
      <c r="F301" s="40"/>
      <c r="G301" s="40" t="s">
        <v>202</v>
      </c>
      <c r="H301" s="52">
        <f t="shared" si="38"/>
        <v>30085.318598378501</v>
      </c>
      <c r="I301" s="53">
        <f>SUM(J301:Q301)*IF(입력란!$C$16=1,1.04,IF(입력란!$C$16=2,1.1,IF(입력란!$C$16=3,1.2,1)))*IF(입력란!$C$21=1,1+입력란!$C$38*0.001,IF(입력란!$C$21=2,1+입력란!$C$38*0.0022,IF(입력란!$C$21=3,1+입력란!$C$38*0.0045,1)))*IF(입력란!$C$18&lt;&gt;0,0.98,1)</f>
        <v>1070515.4661628844</v>
      </c>
      <c r="J301" s="30">
        <f>S301*(1+IF($AK301+IF(입력란!$C$9=1,10,0)+IF(입력란!$C$26=1,10,0)&gt;100,100,$AK301+IF(입력란!$C$9=1,10,0)+IF(입력란!$C$26=1,10,0))/100*($AL301/100-1))</f>
        <v>321163.48362401989</v>
      </c>
      <c r="K301" s="30">
        <f>T301*(1+IF($AK301+IF(입력란!$C$9=1,10,0)+IF(입력란!$C$26=1,10,0)&gt;100,100,$AK301+IF(입력란!$C$9=1,10,0)+IF(입력란!$C$26=1,10,0))/100*($AL301/100-1))</f>
        <v>321163.48362401989</v>
      </c>
      <c r="L301" s="30">
        <f>U301*(1+IF($AK301+IF(입력란!$C$9=1,10,0)+IF(입력란!$C$26=1,10,0)&gt;100,100,$AK301+IF(입력란!$C$9=1,10,0)+IF(입력란!$C$26=1,10,0))/100*($AL301/100-1))</f>
        <v>428188.49891484459</v>
      </c>
      <c r="M301" s="30">
        <f>V301*(1+IF($AK301+IF(입력란!$C$9=1,10,0)+IF(입력란!$C$26=1,10,0)&gt;100,100,$AK301+IF(입력란!$C$9=1,10,0)+IF(입력란!$C$26=1,10,0))/100*($AL301/100-1))</f>
        <v>0</v>
      </c>
      <c r="N301" s="39"/>
      <c r="O301" s="39"/>
      <c r="P301" s="39"/>
      <c r="Q301" s="35"/>
      <c r="R301" s="24">
        <f t="shared" si="39"/>
        <v>881847.60847674147</v>
      </c>
      <c r="S301" s="30">
        <f>AN301*IF(G301="근접",IF(MID(E301,1,1)="1",트라이포드!$D$18,트라이포드!$C$18),1)*IF(MID(E301,1,1)="2",트라이포드!$F$18,트라이포드!$E$18)*IF(MID(E301,3,1)="1",트라이포드!$J$18,트라이포드!$I$18)*IF(MID(E301,5,1)="2",트라이포드!$R$18,트라이포드!$Q$18)*(1+입력란!$C$42/100)*IF(입력란!$C$9=1,IF(입력란!$C$15=0,1.05,IF(입력란!$C$15=1,1.05*1.05,IF(입력란!$C$15=2,1.05*1.12,IF(입력란!$C$15=3,1.05*1.25)))),1)</f>
        <v>264561.56768949301</v>
      </c>
      <c r="T301" s="30">
        <f>AO301*IF(G301="근접",IF(MID(E301,1,1)="1",트라이포드!$D$18,트라이포드!$C$18),1)*IF(MID(E301,1,1)="2",트라이포드!$F$18,트라이포드!$E$18)*IF(MID(E301,3,1)="1",트라이포드!$J$18,트라이포드!$I$18)*IF(MID(E301,5,1)="2",트라이포드!$R$18,트라이포드!$Q$18)*(1+입력란!$C$42/100)*IF(입력란!$C$9=1,IF(입력란!$C$15=0,1.05,IF(입력란!$C$15=1,1.05*1.05,IF(입력란!$C$15=2,1.05*1.12,IF(입력란!$C$15=3,1.05*1.25)))),1)</f>
        <v>264561.56768949301</v>
      </c>
      <c r="U301" s="30">
        <f>AP301*IF(G301="근접",IF(MID(E301,1,1)="1",트라이포드!$D$18,트라이포드!$C$18),1)*IF(MID(E301,1,1)="2",트라이포드!$F$18,트라이포드!$E$18)*IF(MID(E301,3,1)="1",트라이포드!$J$18,트라이포드!$I$18)*IF(MID(E301,5,1)="2",트라이포드!$R$18,트라이포드!$Q$18)*(1+입력란!$C$42/100)*IF(입력란!$C$9=1,IF(입력란!$C$15=0,1.05,IF(입력란!$C$15=1,1.05*1.05,IF(입력란!$C$15=2,1.05*1.12,IF(입력란!$C$15=3,1.05*1.25)))),1)</f>
        <v>352724.47309775552</v>
      </c>
      <c r="V301" s="30">
        <f>IF(MID(E301,5,1)="1",(S301+T301+U301)*트라이포드!$P$18,트라이포드!$O$18)</f>
        <v>0</v>
      </c>
      <c r="W301" s="30"/>
      <c r="X301" s="39"/>
      <c r="Y301" s="39"/>
      <c r="Z301" s="27"/>
      <c r="AA301" s="30">
        <f t="shared" si="40"/>
        <v>1763695.2169534829</v>
      </c>
      <c r="AB301" s="30">
        <f t="shared" si="41"/>
        <v>529123.13537898601</v>
      </c>
      <c r="AC301" s="30">
        <f t="shared" si="42"/>
        <v>529123.13537898601</v>
      </c>
      <c r="AD301" s="30">
        <f t="shared" si="44"/>
        <v>705448.94619551103</v>
      </c>
      <c r="AE301" s="30"/>
      <c r="AF301" s="39"/>
      <c r="AG301" s="39"/>
      <c r="AH301" s="39"/>
      <c r="AI301" s="27"/>
      <c r="AJ301" s="26">
        <f>(AQ301-IF(MID(E301,3,1)="3",트라이포드!$N$18,트라이포드!$M$18))*(1-입력란!$C$35/100)</f>
        <v>35.582653468079997</v>
      </c>
      <c r="AK30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1" s="26">
        <f>입력란!$C$47+IF(입력란!$C$18=1,10,IF(입력란!$C$18=2,25,IF(입력란!$C$18=3,50,0)))+IF(입력란!$C$23&lt;&gt;0,-12)</f>
        <v>200</v>
      </c>
      <c r="AM301" s="30">
        <f t="shared" si="43"/>
        <v>353539.59250449867</v>
      </c>
      <c r="AN301" s="30">
        <f>(VLOOKUP(C301,$B$4:$AJ$7,20,FALSE)+VLOOKUP(C301,$B$8:$AJ$11,20,FALSE)*입력란!$C$29)*IF(G301="근접",입력란!$C$50,IF(MID(E301,1,1)="2",입력란!$C$50,입력란!$C$49))*입력란!$C$48/100</f>
        <v>106064.79842345868</v>
      </c>
      <c r="AO301" s="30">
        <f>(VLOOKUP(C301,$B$4:$AJ$7,21,FALSE)+VLOOKUP(C301,$B$8:$AJ$11,21,FALSE)*입력란!$C$29)*IF(G301="근접",입력란!$C$50,IF(MID(E301,1,1)="2",입력란!$C$50,입력란!$C$49))*입력란!$C$48/100</f>
        <v>106064.79842345868</v>
      </c>
      <c r="AP301" s="30">
        <f>(VLOOKUP(C301,$B$4:$AJ$7,22,FALSE)+VLOOKUP(C301,$B$8:$AJ$11,22,FALSE)*입력란!$C$29)*IF(G301="근접",입력란!$C$50,IF(MID(E301,1,1)="2",입력란!$C$50,입력란!$C$49))*입력란!$C$48/100</f>
        <v>141409.99565758131</v>
      </c>
      <c r="AQ301" s="29">
        <v>36</v>
      </c>
    </row>
    <row r="302" spans="2:43" ht="13.5" customHeight="1" x14ac:dyDescent="0.3">
      <c r="B302" s="31">
        <v>287</v>
      </c>
      <c r="C302" s="36">
        <v>7</v>
      </c>
      <c r="D302" s="43" t="s">
        <v>50</v>
      </c>
      <c r="E302" s="38" t="s">
        <v>378</v>
      </c>
      <c r="F302" s="40"/>
      <c r="G302" s="40" t="s">
        <v>39</v>
      </c>
      <c r="H302" s="52">
        <f t="shared" si="38"/>
        <v>26475.080366573082</v>
      </c>
      <c r="I302" s="53">
        <f>SUM(J302:Q302)*IF(입력란!$C$16=1,1.04,IF(입력란!$C$16=2,1.1,IF(입력란!$C$16=3,1.2,1)))*IF(입력란!$C$21=1,1+입력란!$C$38*0.001,IF(입력란!$C$21=2,1+입력란!$C$38*0.0022,IF(입력란!$C$21=3,1+입력란!$C$38*0.0045,1)))*IF(입력란!$C$18&lt;&gt;0,0.98,1)</f>
        <v>942053.61022333824</v>
      </c>
      <c r="J302" s="30">
        <f>S302*(1+IF($AK302+IF(입력란!$C$9=1,10,0)+IF(입력란!$C$26=1,10,0)&gt;100,100,$AK302+IF(입력란!$C$9=1,10,0)+IF(입력란!$C$26=1,10,0))/100*($AL302/100-1))</f>
        <v>282623.86558913754</v>
      </c>
      <c r="K302" s="30">
        <f>T302*(1+IF($AK302+IF(입력란!$C$9=1,10,0)+IF(입력란!$C$26=1,10,0)&gt;100,100,$AK302+IF(입력란!$C$9=1,10,0)+IF(입력란!$C$26=1,10,0))/100*($AL302/100-1))</f>
        <v>282623.86558913754</v>
      </c>
      <c r="L302" s="30">
        <f>U302*(1+IF($AK302+IF(입력란!$C$9=1,10,0)+IF(입력란!$C$26=1,10,0)&gt;100,100,$AK302+IF(입력란!$C$9=1,10,0)+IF(입력란!$C$26=1,10,0))/100*($AL302/100-1))</f>
        <v>376805.87904506322</v>
      </c>
      <c r="M302" s="30">
        <f>V302*(1+IF($AK302+IF(입력란!$C$9=1,10,0)+IF(입력란!$C$26=1,10,0)&gt;100,100,$AK302+IF(입력란!$C$9=1,10,0)+IF(입력란!$C$26=1,10,0))/100*($AL302/100-1))</f>
        <v>0</v>
      </c>
      <c r="N302" s="39"/>
      <c r="O302" s="39"/>
      <c r="P302" s="39"/>
      <c r="Q302" s="35"/>
      <c r="R302" s="24">
        <f t="shared" si="39"/>
        <v>776025.8954595325</v>
      </c>
      <c r="S302" s="30">
        <f>AN302*IF(G302="근접",IF(MID(E302,1,1)="1",트라이포드!$D$18,트라이포드!$C$18),1)*IF(MID(E302,1,1)="2",트라이포드!$F$18,트라이포드!$E$18)*IF(MID(E302,3,1)="1",트라이포드!$J$18,트라이포드!$I$18)*IF(MID(E302,5,1)="2",트라이포드!$R$18,트라이포드!$Q$18)*(1+입력란!$C$42/100)*IF(입력란!$C$9=1,IF(입력란!$C$15=0,1.05,IF(입력란!$C$15=1,1.05*1.05,IF(입력란!$C$15=2,1.05*1.12,IF(입력란!$C$15=3,1.05*1.25)))),1)</f>
        <v>232814.17956675385</v>
      </c>
      <c r="T302" s="30">
        <f>AO302*IF(G302="근접",IF(MID(E302,1,1)="1",트라이포드!$D$18,트라이포드!$C$18),1)*IF(MID(E302,1,1)="2",트라이포드!$F$18,트라이포드!$E$18)*IF(MID(E302,3,1)="1",트라이포드!$J$18,트라이포드!$I$18)*IF(MID(E302,5,1)="2",트라이포드!$R$18,트라이포드!$Q$18)*(1+입력란!$C$42/100)*IF(입력란!$C$9=1,IF(입력란!$C$15=0,1.05,IF(입력란!$C$15=1,1.05*1.05,IF(입력란!$C$15=2,1.05*1.12,IF(입력란!$C$15=3,1.05*1.25)))),1)</f>
        <v>232814.17956675385</v>
      </c>
      <c r="U302" s="30">
        <f>AP302*IF(G302="근접",IF(MID(E302,1,1)="1",트라이포드!$D$18,트라이포드!$C$18),1)*IF(MID(E302,1,1)="2",트라이포드!$F$18,트라이포드!$E$18)*IF(MID(E302,3,1)="1",트라이포드!$J$18,트라이포드!$I$18)*IF(MID(E302,5,1)="2",트라이포드!$R$18,트라이포드!$Q$18)*(1+입력란!$C$42/100)*IF(입력란!$C$9=1,IF(입력란!$C$15=0,1.05,IF(입력란!$C$15=1,1.05*1.05,IF(입력란!$C$15=2,1.05*1.12,IF(입력란!$C$15=3,1.05*1.25)))),1)</f>
        <v>310397.53632602486</v>
      </c>
      <c r="V302" s="30">
        <f>IF(MID(E302,5,1)="1",(S302+T302+U302)*트라이포드!$P$18,트라이포드!$O$18)</f>
        <v>0</v>
      </c>
      <c r="W302" s="30"/>
      <c r="X302" s="39"/>
      <c r="Y302" s="39"/>
      <c r="Z302" s="27"/>
      <c r="AA302" s="30">
        <f t="shared" si="40"/>
        <v>1552051.790919065</v>
      </c>
      <c r="AB302" s="30">
        <f t="shared" si="41"/>
        <v>465628.35913350771</v>
      </c>
      <c r="AC302" s="30">
        <f t="shared" si="42"/>
        <v>465628.35913350771</v>
      </c>
      <c r="AD302" s="30">
        <f t="shared" si="44"/>
        <v>620795.07265204971</v>
      </c>
      <c r="AE302" s="30"/>
      <c r="AF302" s="39"/>
      <c r="AG302" s="39"/>
      <c r="AH302" s="39"/>
      <c r="AI302" s="27"/>
      <c r="AJ302" s="26">
        <f>(AQ302-IF(MID(E302,3,1)="3",트라이포드!$N$18,트라이포드!$M$18))*(1-입력란!$C$35/100)</f>
        <v>35.582653468079997</v>
      </c>
      <c r="AK30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2" s="26">
        <f>입력란!$C$47+IF(입력란!$C$18=1,10,IF(입력란!$C$18=2,25,IF(입력란!$C$18=3,50,0)))+IF(입력란!$C$23&lt;&gt;0,-12)</f>
        <v>200</v>
      </c>
      <c r="AM302" s="30">
        <f t="shared" si="43"/>
        <v>353539.59250449867</v>
      </c>
      <c r="AN302" s="30">
        <f>(VLOOKUP(C302,$B$4:$AJ$7,20,FALSE)+VLOOKUP(C302,$B$8:$AJ$11,20,FALSE)*입력란!$C$29)*IF(G302="근접",입력란!$C$50,IF(MID(E302,1,1)="2",입력란!$C$50,입력란!$C$49))*입력란!$C$48/100</f>
        <v>106064.79842345868</v>
      </c>
      <c r="AO302" s="30">
        <f>(VLOOKUP(C302,$B$4:$AJ$7,21,FALSE)+VLOOKUP(C302,$B$8:$AJ$11,21,FALSE)*입력란!$C$29)*IF(G302="근접",입력란!$C$50,IF(MID(E302,1,1)="2",입력란!$C$50,입력란!$C$49))*입력란!$C$48/100</f>
        <v>106064.79842345868</v>
      </c>
      <c r="AP302" s="30">
        <f>(VLOOKUP(C302,$B$4:$AJ$7,22,FALSE)+VLOOKUP(C302,$B$8:$AJ$11,22,FALSE)*입력란!$C$29)*IF(G302="근접",입력란!$C$50,IF(MID(E302,1,1)="2",입력란!$C$50,입력란!$C$49))*입력란!$C$48/100</f>
        <v>141409.99565758131</v>
      </c>
      <c r="AQ302" s="29">
        <v>36</v>
      </c>
    </row>
    <row r="303" spans="2:43" ht="13.5" customHeight="1" x14ac:dyDescent="0.3">
      <c r="B303" s="31">
        <v>288</v>
      </c>
      <c r="C303" s="36">
        <v>7</v>
      </c>
      <c r="D303" s="43" t="s">
        <v>212</v>
      </c>
      <c r="E303" s="38" t="s">
        <v>191</v>
      </c>
      <c r="F303" s="40"/>
      <c r="G303" s="40" t="s">
        <v>202</v>
      </c>
      <c r="H303" s="52">
        <f t="shared" si="38"/>
        <v>34658.287025332036</v>
      </c>
      <c r="I303" s="53">
        <f>SUM(J303:Q303)*IF(입력란!$C$16=1,1.04,IF(입력란!$C$16=2,1.1,IF(입력란!$C$16=3,1.2,1)))*IF(입력란!$C$21=1,1+입력란!$C$38*0.001,IF(입력란!$C$21=2,1+입력란!$C$38*0.0022,IF(입력란!$C$21=3,1+입력란!$C$38*0.0045,1)))*IF(입력란!$C$18&lt;&gt;0,0.98,1)</f>
        <v>856412.37293030764</v>
      </c>
      <c r="J303" s="30">
        <f>S303*(1+IF($AK303+IF(입력란!$C$9=1,10,0)+IF(입력란!$C$26=1,10,0)&gt;100,100,$AK303+IF(입력란!$C$9=1,10,0)+IF(입력란!$C$26=1,10,0))/100*($AL303/100-1))</f>
        <v>256930.78689921595</v>
      </c>
      <c r="K303" s="30">
        <f>T303*(1+IF($AK303+IF(입력란!$C$9=1,10,0)+IF(입력란!$C$26=1,10,0)&gt;100,100,$AK303+IF(입력란!$C$9=1,10,0)+IF(입력란!$C$26=1,10,0))/100*($AL303/100-1))</f>
        <v>256930.78689921595</v>
      </c>
      <c r="L303" s="30">
        <f>U303*(1+IF($AK303+IF(입력란!$C$9=1,10,0)+IF(입력란!$C$26=1,10,0)&gt;100,100,$AK303+IF(입력란!$C$9=1,10,0)+IF(입력란!$C$26=1,10,0))/100*($AL303/100-1))</f>
        <v>342550.79913187568</v>
      </c>
      <c r="M303" s="30">
        <f>V303*(1+IF($AK303+IF(입력란!$C$9=1,10,0)+IF(입력란!$C$26=1,10,0)&gt;100,100,$AK303+IF(입력란!$C$9=1,10,0)+IF(입력란!$C$26=1,10,0))/100*($AL303/100-1))</f>
        <v>0</v>
      </c>
      <c r="N303" s="39"/>
      <c r="O303" s="39"/>
      <c r="P303" s="39"/>
      <c r="Q303" s="35"/>
      <c r="R303" s="24">
        <f t="shared" si="39"/>
        <v>705478.08678139327</v>
      </c>
      <c r="S303" s="30">
        <f>AN303*IF(G303="근접",IF(MID(E303,1,1)="1",트라이포드!$D$18,트라이포드!$C$18),1)*IF(MID(E303,1,1)="2",트라이포드!$F$18,트라이포드!$E$18)*IF(MID(E303,3,1)="1",트라이포드!$J$18,트라이포드!$I$18)*IF(MID(E303,5,1)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T303" s="30">
        <f>AO303*IF(G303="근접",IF(MID(E303,1,1)="1",트라이포드!$D$18,트라이포드!$C$18),1)*IF(MID(E303,1,1)="2",트라이포드!$F$18,트라이포드!$E$18)*IF(MID(E303,3,1)="1",트라이포드!$J$18,트라이포드!$I$18)*IF(MID(E303,5,1)="2",트라이포드!$R$18,트라이포드!$Q$18)*(1+입력란!$C$42/100)*IF(입력란!$C$9=1,IF(입력란!$C$15=0,1.05,IF(입력란!$C$15=1,1.05*1.05,IF(입력란!$C$15=2,1.05*1.12,IF(입력란!$C$15=3,1.05*1.25)))),1)</f>
        <v>211649.25415159442</v>
      </c>
      <c r="U303" s="30">
        <f>AP303*IF(G303="근접",IF(MID(E303,1,1)="1",트라이포드!$D$18,트라이포드!$C$18),1)*IF(MID(E303,1,1)="2",트라이포드!$F$18,트라이포드!$E$18)*IF(MID(E303,3,1)="1",트라이포드!$J$18,트라이포드!$I$18)*IF(MID(E303,5,1)="2",트라이포드!$R$18,트라이포드!$Q$18)*(1+입력란!$C$42/100)*IF(입력란!$C$9=1,IF(입력란!$C$15=0,1.05,IF(입력란!$C$15=1,1.05*1.05,IF(입력란!$C$15=2,1.05*1.12,IF(입력란!$C$15=3,1.05*1.25)))),1)</f>
        <v>282179.57847820444</v>
      </c>
      <c r="V303" s="30">
        <f>IF(MID(E303,5,1)="1",(S303+T303+U303)*트라이포드!$P$18,트라이포드!$O$18)</f>
        <v>0</v>
      </c>
      <c r="W303" s="30"/>
      <c r="X303" s="39"/>
      <c r="Y303" s="39"/>
      <c r="Z303" s="27"/>
      <c r="AA303" s="30">
        <f t="shared" si="40"/>
        <v>1410956.1735627865</v>
      </c>
      <c r="AB303" s="30">
        <f t="shared" si="41"/>
        <v>423298.50830318884</v>
      </c>
      <c r="AC303" s="30">
        <f t="shared" si="42"/>
        <v>423298.50830318884</v>
      </c>
      <c r="AD303" s="30">
        <f t="shared" si="44"/>
        <v>564359.15695640887</v>
      </c>
      <c r="AE303" s="30"/>
      <c r="AF303" s="39"/>
      <c r="AG303" s="39"/>
      <c r="AH303" s="39"/>
      <c r="AI303" s="27"/>
      <c r="AJ303" s="26">
        <f>(AQ303-IF(MID(E303,3,1)="3",트라이포드!$N$18,트라이포드!$M$18))*(1-입력란!$C$35/100)</f>
        <v>24.7101760195</v>
      </c>
      <c r="AK30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3" s="26">
        <f>입력란!$C$47+IF(입력란!$C$18=1,10,IF(입력란!$C$18=2,25,IF(입력란!$C$18=3,50,0)))+IF(입력란!$C$23&lt;&gt;0,-12)</f>
        <v>200</v>
      </c>
      <c r="AM303" s="30">
        <f t="shared" si="43"/>
        <v>353539.59250449867</v>
      </c>
      <c r="AN303" s="30">
        <f>(VLOOKUP(C303,$B$4:$AJ$7,20,FALSE)+VLOOKUP(C303,$B$8:$AJ$11,20,FALSE)*입력란!$C$29)*IF(G303="근접",입력란!$C$50,IF(MID(E303,1,1)="2",입력란!$C$50,입력란!$C$49))*입력란!$C$48/100</f>
        <v>106064.79842345868</v>
      </c>
      <c r="AO303" s="30">
        <f>(VLOOKUP(C303,$B$4:$AJ$7,21,FALSE)+VLOOKUP(C303,$B$8:$AJ$11,21,FALSE)*입력란!$C$29)*IF(G303="근접",입력란!$C$50,IF(MID(E303,1,1)="2",입력란!$C$50,입력란!$C$49))*입력란!$C$48/100</f>
        <v>106064.79842345868</v>
      </c>
      <c r="AP303" s="30">
        <f>(VLOOKUP(C303,$B$4:$AJ$7,22,FALSE)+VLOOKUP(C303,$B$8:$AJ$11,22,FALSE)*입력란!$C$29)*IF(G303="근접",입력란!$C$50,IF(MID(E303,1,1)="2",입력란!$C$50,입력란!$C$49))*입력란!$C$48/100</f>
        <v>141409.99565758131</v>
      </c>
      <c r="AQ303" s="29">
        <v>36</v>
      </c>
    </row>
    <row r="304" spans="2:43" ht="13.5" customHeight="1" x14ac:dyDescent="0.3">
      <c r="B304" s="31">
        <v>289</v>
      </c>
      <c r="C304" s="36">
        <v>7</v>
      </c>
      <c r="D304" s="43" t="s">
        <v>50</v>
      </c>
      <c r="E304" s="38" t="s">
        <v>374</v>
      </c>
      <c r="F304" s="40"/>
      <c r="G304" s="40" t="s">
        <v>39</v>
      </c>
      <c r="H304" s="52">
        <f t="shared" si="38"/>
        <v>30499.292582292182</v>
      </c>
      <c r="I304" s="53">
        <f>SUM(J304:Q304)*IF(입력란!$C$16=1,1.04,IF(입력란!$C$16=2,1.1,IF(입력란!$C$16=3,1.2,1)))*IF(입력란!$C$21=1,1+입력란!$C$38*0.001,IF(입력란!$C$21=2,1+입력란!$C$38*0.0022,IF(입력란!$C$21=3,1+입력란!$C$38*0.0045,1)))*IF(입력란!$C$18&lt;&gt;0,0.98,1)</f>
        <v>753642.88817867055</v>
      </c>
      <c r="J304" s="30">
        <f>S304*(1+IF($AK304+IF(입력란!$C$9=1,10,0)+IF(입력란!$C$26=1,10,0)&gt;100,100,$AK304+IF(입력란!$C$9=1,10,0)+IF(입력란!$C$26=1,10,0))/100*($AL304/100-1))</f>
        <v>226099.09247131002</v>
      </c>
      <c r="K304" s="30">
        <f>T304*(1+IF($AK304+IF(입력란!$C$9=1,10,0)+IF(입력란!$C$26=1,10,0)&gt;100,100,$AK304+IF(입력란!$C$9=1,10,0)+IF(입력란!$C$26=1,10,0))/100*($AL304/100-1))</f>
        <v>226099.09247131002</v>
      </c>
      <c r="L304" s="30">
        <f>U304*(1+IF($AK304+IF(입력란!$C$9=1,10,0)+IF(입력란!$C$26=1,10,0)&gt;100,100,$AK304+IF(입력란!$C$9=1,10,0)+IF(입력란!$C$26=1,10,0))/100*($AL304/100-1))</f>
        <v>301444.70323605055</v>
      </c>
      <c r="M304" s="30">
        <f>V304*(1+IF($AK304+IF(입력란!$C$9=1,10,0)+IF(입력란!$C$26=1,10,0)&gt;100,100,$AK304+IF(입력란!$C$9=1,10,0)+IF(입력란!$C$26=1,10,0))/100*($AL304/100-1))</f>
        <v>0</v>
      </c>
      <c r="N304" s="39"/>
      <c r="O304" s="39"/>
      <c r="P304" s="39"/>
      <c r="Q304" s="35"/>
      <c r="R304" s="24">
        <f t="shared" si="39"/>
        <v>620820.7163676261</v>
      </c>
      <c r="S304" s="30">
        <f>AN304*IF(G304="근접",IF(MID(E304,1,1)="1",트라이포드!$D$18,트라이포드!$C$18),1)*IF(MID(E304,1,1)="2",트라이포드!$F$18,트라이포드!$E$18)*IF(MID(E304,3,1)="1",트라이포드!$J$18,트라이포드!$I$18)*IF(MID(E304,5,1)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T304" s="30">
        <f>AO304*IF(G304="근접",IF(MID(E304,1,1)="1",트라이포드!$D$18,트라이포드!$C$18),1)*IF(MID(E304,1,1)="2",트라이포드!$F$18,트라이포드!$E$18)*IF(MID(E304,3,1)="1",트라이포드!$J$18,트라이포드!$I$18)*IF(MID(E304,5,1)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U304" s="30">
        <f>AP304*IF(G304="근접",IF(MID(E304,1,1)="1",트라이포드!$D$18,트라이포드!$C$18),1)*IF(MID(E304,1,1)="2",트라이포드!$F$18,트라이포드!$E$18)*IF(MID(E304,3,1)="1",트라이포드!$J$18,트라이포드!$I$18)*IF(MID(E304,5,1)="2",트라이포드!$R$18,트라이포드!$Q$18)*(1+입력란!$C$42/100)*IF(입력란!$C$9=1,IF(입력란!$C$15=0,1.05,IF(입력란!$C$15=1,1.05*1.05,IF(입력란!$C$15=2,1.05*1.12,IF(입력란!$C$15=3,1.05*1.25)))),1)</f>
        <v>248318.02906081988</v>
      </c>
      <c r="V304" s="30">
        <f>IF(MID(E304,5,1)="1",(S304+T304+U304)*트라이포드!$P$18,트라이포드!$O$18)</f>
        <v>0</v>
      </c>
      <c r="W304" s="30"/>
      <c r="X304" s="39"/>
      <c r="Y304" s="39"/>
      <c r="Z304" s="27"/>
      <c r="AA304" s="30">
        <f t="shared" si="40"/>
        <v>1241641.4327352522</v>
      </c>
      <c r="AB304" s="30">
        <f t="shared" si="41"/>
        <v>372502.68730680615</v>
      </c>
      <c r="AC304" s="30">
        <f t="shared" si="42"/>
        <v>372502.68730680615</v>
      </c>
      <c r="AD304" s="30">
        <f t="shared" si="44"/>
        <v>496636.05812163977</v>
      </c>
      <c r="AE304" s="30"/>
      <c r="AF304" s="39"/>
      <c r="AG304" s="39"/>
      <c r="AH304" s="39"/>
      <c r="AI304" s="27"/>
      <c r="AJ304" s="26">
        <f>(AQ304-IF(MID(E304,3,1)="3",트라이포드!$N$18,트라이포드!$M$18))*(1-입력란!$C$35/100)</f>
        <v>24.7101760195</v>
      </c>
      <c r="AK30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4" s="26">
        <f>입력란!$C$47+IF(입력란!$C$18=1,10,IF(입력란!$C$18=2,25,IF(입력란!$C$18=3,50,0)))+IF(입력란!$C$23&lt;&gt;0,-12)</f>
        <v>200</v>
      </c>
      <c r="AM304" s="30">
        <f t="shared" si="43"/>
        <v>353539.59250449867</v>
      </c>
      <c r="AN304" s="30">
        <f>(VLOOKUP(C304,$B$4:$AJ$7,20,FALSE)+VLOOKUP(C304,$B$8:$AJ$11,20,FALSE)*입력란!$C$29)*IF(G304="근접",입력란!$C$50,IF(MID(E304,1,1)="2",입력란!$C$50,입력란!$C$49))*입력란!$C$48/100</f>
        <v>106064.79842345868</v>
      </c>
      <c r="AO304" s="30">
        <f>(VLOOKUP(C304,$B$4:$AJ$7,21,FALSE)+VLOOKUP(C304,$B$8:$AJ$11,21,FALSE)*입력란!$C$29)*IF(G304="근접",입력란!$C$50,IF(MID(E304,1,1)="2",입력란!$C$50,입력란!$C$49))*입력란!$C$48/100</f>
        <v>106064.79842345868</v>
      </c>
      <c r="AP304" s="30">
        <f>(VLOOKUP(C304,$B$4:$AJ$7,22,FALSE)+VLOOKUP(C304,$B$8:$AJ$11,22,FALSE)*입력란!$C$29)*IF(G304="근접",입력란!$C$50,IF(MID(E304,1,1)="2",입력란!$C$50,입력란!$C$49))*입력란!$C$48/100</f>
        <v>141409.99565758131</v>
      </c>
      <c r="AQ304" s="29">
        <v>36</v>
      </c>
    </row>
    <row r="305" spans="2:43" ht="13.5" customHeight="1" x14ac:dyDescent="0.3">
      <c r="B305" s="31">
        <v>290</v>
      </c>
      <c r="C305" s="36">
        <v>10</v>
      </c>
      <c r="D305" s="43" t="s">
        <v>212</v>
      </c>
      <c r="E305" s="38" t="s">
        <v>186</v>
      </c>
      <c r="F305" s="40"/>
      <c r="G305" s="40" t="s">
        <v>202</v>
      </c>
      <c r="H305" s="52">
        <f t="shared" si="38"/>
        <v>19266.269559475641</v>
      </c>
      <c r="I305" s="53">
        <f>SUM(J305:Q305)*IF(입력란!$C$16=1,1.04,IF(입력란!$C$16=2,1.1,IF(입력란!$C$16=3,1.2,1)))*IF(입력란!$C$21=1,1+입력란!$C$38*0.001,IF(입력란!$C$21=2,1+입력란!$C$38*0.0022,IF(입력란!$C$21=3,1+입력란!$C$38*0.0045,1)))*IF(입력란!$C$18&lt;&gt;0,0.98,1)</f>
        <v>685544.99335743999</v>
      </c>
      <c r="J305" s="30">
        <f>S305*(1+IF($AK305+IF(입력란!$C$9=1,10,0)+IF(입력란!$C$26=1,10,0)&gt;100,100,$AK305+IF(입력란!$C$9=1,10,0)+IF(입력란!$C$26=1,10,0))/100*($AL305/100-1))</f>
        <v>205663.80807373111</v>
      </c>
      <c r="K305" s="30">
        <f>T305*(1+IF($AK305+IF(입력란!$C$9=1,10,0)+IF(입력란!$C$26=1,10,0)&gt;100,100,$AK305+IF(입력란!$C$9=1,10,0)+IF(입력란!$C$26=1,10,0))/100*($AL305/100-1))</f>
        <v>205663.80807373111</v>
      </c>
      <c r="L305" s="30">
        <f>U305*(1+IF($AK305+IF(입력란!$C$9=1,10,0)+IF(입력란!$C$26=1,10,0)&gt;100,100,$AK305+IF(입력란!$C$9=1,10,0)+IF(입력란!$C$26=1,10,0))/100*($AL305/100-1))</f>
        <v>274217.37720997783</v>
      </c>
      <c r="M305" s="30">
        <f>V305*(1+IF($AK305+IF(입력란!$C$9=1,10,0)+IF(입력란!$C$26=1,10,0)&gt;100,100,$AK305+IF(입력란!$C$9=1,10,0)+IF(입력란!$C$26=1,10,0))/100*($AL305/100-1))</f>
        <v>0</v>
      </c>
      <c r="N305" s="39"/>
      <c r="O305" s="39"/>
      <c r="P305" s="39"/>
      <c r="Q305" s="35"/>
      <c r="R305" s="24">
        <f t="shared" si="39"/>
        <v>564724.40801100712</v>
      </c>
      <c r="S305" s="30">
        <f>AN305*IF(G305="근접",IF(MID(E305,1,1)="1",트라이포드!$D$18,트라이포드!$C$18),1)*IF(MID(E305,1,1)="2",트라이포드!$F$18,트라이포드!$E$18)*IF(MID(E305,3,1)="1",트라이포드!$J$18,트라이포드!$I$18)*IF(MID(E305,5,1)="2",트라이포드!$R$18,트라이포드!$Q$18)*(1+입력란!$C$42/100)*IF(입력란!$C$9=1,IF(입력란!$C$15=0,1.05,IF(입력란!$C$15=1,1.05*1.05,IF(입력란!$C$15=2,1.05*1.12,IF(입력란!$C$15=3,1.05*1.25)))),1)</f>
        <v>169417.57782362003</v>
      </c>
      <c r="T305" s="30">
        <f>AO305*IF(G305="근접",IF(MID(E305,1,1)="1",트라이포드!$D$18,트라이포드!$C$18),1)*IF(MID(E305,1,1)="2",트라이포드!$F$18,트라이포드!$E$18)*IF(MID(E305,3,1)="1",트라이포드!$J$18,트라이포드!$I$18)*IF(MID(E305,5,1)="2",트라이포드!$R$18,트라이포드!$Q$18)*(1+입력란!$C$42/100)*IF(입력란!$C$9=1,IF(입력란!$C$15=0,1.05,IF(입력란!$C$15=1,1.05*1.05,IF(입력란!$C$15=2,1.05*1.12,IF(입력란!$C$15=3,1.05*1.25)))),1)</f>
        <v>169417.57782362003</v>
      </c>
      <c r="U305" s="30">
        <f>AP305*IF(G305="근접",IF(MID(E305,1,1)="1",트라이포드!$D$18,트라이포드!$C$18),1)*IF(MID(E305,1,1)="2",트라이포드!$F$18,트라이포드!$E$18)*IF(MID(E305,3,1)="1",트라이포드!$J$18,트라이포드!$I$18)*IF(MID(E305,5,1)="2",트라이포드!$R$18,트라이포드!$Q$18)*(1+입력란!$C$42/100)*IF(입력란!$C$9=1,IF(입력란!$C$15=0,1.05,IF(입력란!$C$15=1,1.05*1.05,IF(입력란!$C$15=2,1.05*1.12,IF(입력란!$C$15=3,1.05*1.25)))),1)</f>
        <v>225889.25236376701</v>
      </c>
      <c r="V305" s="30">
        <f>IF(MID(E305,5,1)="1",(S305+T305+U305)*트라이포드!$P$18,트라이포드!$O$18)</f>
        <v>0</v>
      </c>
      <c r="W305" s="30"/>
      <c r="X305" s="39"/>
      <c r="Y305" s="39"/>
      <c r="Z305" s="27"/>
      <c r="AA305" s="30">
        <f t="shared" si="40"/>
        <v>1129448.8160220142</v>
      </c>
      <c r="AB305" s="30">
        <f t="shared" si="41"/>
        <v>338835.15564724006</v>
      </c>
      <c r="AC305" s="30">
        <f t="shared" si="42"/>
        <v>338835.15564724006</v>
      </c>
      <c r="AD305" s="30">
        <f t="shared" si="44"/>
        <v>451778.50472753402</v>
      </c>
      <c r="AE305" s="30"/>
      <c r="AF305" s="39"/>
      <c r="AG305" s="39"/>
      <c r="AH305" s="39"/>
      <c r="AI305" s="27"/>
      <c r="AJ305" s="26">
        <f>(AQ305-IF(MID(E305,3,1)="3",트라이포드!$N$18,트라이포드!$M$18))*(1-입력란!$C$35/100)</f>
        <v>35.582653468079997</v>
      </c>
      <c r="AK30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5" s="26">
        <f>입력란!$C$47+IF(입력란!$C$18=1,10,IF(입력란!$C$18=2,25,IF(입력란!$C$18=3,50,0)))+IF(입력란!$C$23&lt;&gt;0,-12)</f>
        <v>200</v>
      </c>
      <c r="AM305" s="30">
        <f t="shared" si="43"/>
        <v>353753.78914395336</v>
      </c>
      <c r="AN305" s="30">
        <f>(VLOOKUP(C305,$B$4:$AJ$7,20,FALSE)+VLOOKUP(C305,$B$8:$AJ$11,20,FALSE)*입력란!$C$29)*IF(G305="근접",입력란!$C$50,IF(MID(E305,1,1)="2",입력란!$C$50,입력란!$C$49))*입력란!$C$48/100</f>
        <v>106126.296743186</v>
      </c>
      <c r="AO305" s="30">
        <f>(VLOOKUP(C305,$B$4:$AJ$7,21,FALSE)+VLOOKUP(C305,$B$8:$AJ$11,21,FALSE)*입력란!$C$29)*IF(G305="근접",입력란!$C$50,IF(MID(E305,1,1)="2",입력란!$C$50,입력란!$C$49))*입력란!$C$48/100</f>
        <v>106126.296743186</v>
      </c>
      <c r="AP305" s="30">
        <f>(VLOOKUP(C305,$B$4:$AJ$7,22,FALSE)+VLOOKUP(C305,$B$8:$AJ$11,22,FALSE)*입력란!$C$29)*IF(G305="근접",입력란!$C$50,IF(MID(E305,1,1)="2",입력란!$C$50,입력란!$C$49))*입력란!$C$48/100</f>
        <v>141501.19565758132</v>
      </c>
      <c r="AQ305" s="29">
        <v>36</v>
      </c>
    </row>
    <row r="306" spans="2:43" ht="13.5" customHeight="1" x14ac:dyDescent="0.3">
      <c r="B306" s="31">
        <v>291</v>
      </c>
      <c r="C306" s="36">
        <v>10</v>
      </c>
      <c r="D306" s="43" t="s">
        <v>212</v>
      </c>
      <c r="E306" s="38" t="s">
        <v>192</v>
      </c>
      <c r="F306" s="40"/>
      <c r="G306" s="40" t="s">
        <v>202</v>
      </c>
      <c r="H306" s="52">
        <f t="shared" si="38"/>
        <v>30826.031295161025</v>
      </c>
      <c r="I306" s="53">
        <f>SUM(J306:Q306)*IF(입력란!$C$16=1,1.04,IF(입력란!$C$16=2,1.1,IF(입력란!$C$16=3,1.2,1)))*IF(입력란!$C$21=1,1+입력란!$C$38*0.001,IF(입력란!$C$21=2,1+입력란!$C$38*0.0022,IF(입력란!$C$21=3,1+입력란!$C$38*0.0045,1)))*IF(입력란!$C$18&lt;&gt;0,0.98,1)</f>
        <v>1096871.9893719039</v>
      </c>
      <c r="J306" s="30">
        <f>S306*(1+IF($AK306+IF(입력란!$C$9=1,10,0)+IF(입력란!$C$26=1,10,0)&gt;100,100,$AK306+IF(입력란!$C$9=1,10,0)+IF(입력란!$C$26=1,10,0))/100*($AL306/100-1))</f>
        <v>205663.80807373111</v>
      </c>
      <c r="K306" s="30">
        <f>T306*(1+IF($AK306+IF(입력란!$C$9=1,10,0)+IF(입력란!$C$26=1,10,0)&gt;100,100,$AK306+IF(입력란!$C$9=1,10,0)+IF(입력란!$C$26=1,10,0))/100*($AL306/100-1))</f>
        <v>205663.80807373111</v>
      </c>
      <c r="L306" s="30">
        <f>U306*(1+IF($AK306+IF(입력란!$C$9=1,10,0)+IF(입력란!$C$26=1,10,0)&gt;100,100,$AK306+IF(입력란!$C$9=1,10,0)+IF(입력란!$C$26=1,10,0))/100*($AL306/100-1))</f>
        <v>274217.37720997783</v>
      </c>
      <c r="M306" s="30">
        <f>V306*(1+IF($AK306+IF(입력란!$C$9=1,10,0)+IF(입력란!$C$26=1,10,0)&gt;100,100,$AK306+IF(입력란!$C$9=1,10,0)+IF(입력란!$C$26=1,10,0))/100*($AL306/100-1))</f>
        <v>411326.99601446401</v>
      </c>
      <c r="N306" s="39"/>
      <c r="O306" s="39"/>
      <c r="P306" s="39"/>
      <c r="Q306" s="35"/>
      <c r="R306" s="24">
        <f t="shared" si="39"/>
        <v>903559.05281761137</v>
      </c>
      <c r="S306" s="30">
        <f>AN306*IF(G306="근접",IF(MID(E306,1,1)="1",트라이포드!$D$18,트라이포드!$C$18),1)*IF(MID(E306,1,1)="2",트라이포드!$F$18,트라이포드!$E$18)*IF(MID(E306,3,1)="1",트라이포드!$J$18,트라이포드!$I$18)*IF(MID(E306,5,1)="2",트라이포드!$R$18,트라이포드!$Q$18)*(1+입력란!$C$42/100)*IF(입력란!$C$9=1,IF(입력란!$C$15=0,1.05,IF(입력란!$C$15=1,1.05*1.05,IF(입력란!$C$15=2,1.05*1.12,IF(입력란!$C$15=3,1.05*1.25)))),1)</f>
        <v>169417.57782362003</v>
      </c>
      <c r="T306" s="30">
        <f>AO306*IF(G306="근접",IF(MID(E306,1,1)="1",트라이포드!$D$18,트라이포드!$C$18),1)*IF(MID(E306,1,1)="2",트라이포드!$F$18,트라이포드!$E$18)*IF(MID(E306,3,1)="1",트라이포드!$J$18,트라이포드!$I$18)*IF(MID(E306,5,1)="2",트라이포드!$R$18,트라이포드!$Q$18)*(1+입력란!$C$42/100)*IF(입력란!$C$9=1,IF(입력란!$C$15=0,1.05,IF(입력란!$C$15=1,1.05*1.05,IF(입력란!$C$15=2,1.05*1.12,IF(입력란!$C$15=3,1.05*1.25)))),1)</f>
        <v>169417.57782362003</v>
      </c>
      <c r="U306" s="30">
        <f>AP306*IF(G306="근접",IF(MID(E306,1,1)="1",트라이포드!$D$18,트라이포드!$C$18),1)*IF(MID(E306,1,1)="2",트라이포드!$F$18,트라이포드!$E$18)*IF(MID(E306,3,1)="1",트라이포드!$J$18,트라이포드!$I$18)*IF(MID(E306,5,1)="2",트라이포드!$R$18,트라이포드!$Q$18)*(1+입력란!$C$42/100)*IF(입력란!$C$9=1,IF(입력란!$C$15=0,1.05,IF(입력란!$C$15=1,1.05*1.05,IF(입력란!$C$15=2,1.05*1.12,IF(입력란!$C$15=3,1.05*1.25)))),1)</f>
        <v>225889.25236376701</v>
      </c>
      <c r="V306" s="30">
        <f>IF(MID(E306,5,1)="1",(S306+T306+U306)*트라이포드!$P$18,트라이포드!$O$18)</f>
        <v>338834.64480660425</v>
      </c>
      <c r="W306" s="30"/>
      <c r="X306" s="39"/>
      <c r="Y306" s="39"/>
      <c r="Z306" s="27"/>
      <c r="AA306" s="30">
        <f t="shared" si="40"/>
        <v>1129448.8160220142</v>
      </c>
      <c r="AB306" s="30">
        <f t="shared" si="41"/>
        <v>338835.15564724006</v>
      </c>
      <c r="AC306" s="30">
        <f t="shared" si="42"/>
        <v>338835.15564724006</v>
      </c>
      <c r="AD306" s="30">
        <f t="shared" si="44"/>
        <v>451778.50472753402</v>
      </c>
      <c r="AE306" s="30"/>
      <c r="AF306" s="39"/>
      <c r="AG306" s="39"/>
      <c r="AH306" s="39"/>
      <c r="AI306" s="27"/>
      <c r="AJ306" s="26">
        <f>(AQ306-IF(MID(E306,3,1)="3",트라이포드!$N$18,트라이포드!$M$18))*(1-입력란!$C$35/100)</f>
        <v>35.582653468079997</v>
      </c>
      <c r="AK30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6" s="26">
        <f>입력란!$C$47+IF(입력란!$C$18=1,10,IF(입력란!$C$18=2,25,IF(입력란!$C$18=3,50,0)))+IF(입력란!$C$23&lt;&gt;0,-12)</f>
        <v>200</v>
      </c>
      <c r="AM306" s="30">
        <f t="shared" si="43"/>
        <v>353753.78914395336</v>
      </c>
      <c r="AN306" s="30">
        <f>(VLOOKUP(C306,$B$4:$AJ$7,20,FALSE)+VLOOKUP(C306,$B$8:$AJ$11,20,FALSE)*입력란!$C$29)*IF(G306="근접",입력란!$C$50,IF(MID(E306,1,1)="2",입력란!$C$50,입력란!$C$49))*입력란!$C$48/100</f>
        <v>106126.296743186</v>
      </c>
      <c r="AO306" s="30">
        <f>(VLOOKUP(C306,$B$4:$AJ$7,21,FALSE)+VLOOKUP(C306,$B$8:$AJ$11,21,FALSE)*입력란!$C$29)*IF(G306="근접",입력란!$C$50,IF(MID(E306,1,1)="2",입력란!$C$50,입력란!$C$49))*입력란!$C$48/100</f>
        <v>106126.296743186</v>
      </c>
      <c r="AP306" s="30">
        <f>(VLOOKUP(C306,$B$4:$AJ$7,22,FALSE)+VLOOKUP(C306,$B$8:$AJ$11,22,FALSE)*입력란!$C$29)*IF(G306="근접",입력란!$C$50,IF(MID(E306,1,1)="2",입력란!$C$50,입력란!$C$49))*입력란!$C$48/100</f>
        <v>141501.19565758132</v>
      </c>
      <c r="AQ306" s="29">
        <v>36</v>
      </c>
    </row>
    <row r="307" spans="2:43" ht="13.5" customHeight="1" x14ac:dyDescent="0.3">
      <c r="B307" s="31">
        <v>292</v>
      </c>
      <c r="C307" s="36">
        <v>10</v>
      </c>
      <c r="D307" s="43" t="s">
        <v>212</v>
      </c>
      <c r="E307" s="38" t="s">
        <v>208</v>
      </c>
      <c r="F307" s="40" t="s">
        <v>223</v>
      </c>
      <c r="G307" s="40" t="s">
        <v>202</v>
      </c>
      <c r="H307" s="52">
        <f t="shared" si="38"/>
        <v>34679.285207056157</v>
      </c>
      <c r="I307" s="53">
        <f>SUM(J307:Q307)*IF(입력란!$C$16=1,1.04,IF(입력란!$C$16=2,1.1,IF(입력란!$C$16=3,1.2,1)))*IF(입력란!$C$21=1,1+입력란!$C$38*0.001,IF(입력란!$C$21=2,1+입력란!$C$38*0.0022,IF(입력란!$C$21=3,1+입력란!$C$38*0.0045,1)))*IF(입력란!$C$18&lt;&gt;0,0.98,1)</f>
        <v>1233980.9880433921</v>
      </c>
      <c r="J307" s="30">
        <f>S307*(1+IF($AK307+IF(입력란!$C$9=1,10,0)+IF(입력란!$C$26=1,10,0)&gt;100,100,$AK307+IF(입력란!$C$9=1,10,0)+IF(입력란!$C$26=1,10,0))/100*($AL307/100-1))</f>
        <v>370194.85453271598</v>
      </c>
      <c r="K307" s="30">
        <f>T307*(1+IF($AK307+IF(입력란!$C$9=1,10,0)+IF(입력란!$C$26=1,10,0)&gt;100,100,$AK307+IF(입력란!$C$9=1,10,0)+IF(입력란!$C$26=1,10,0))/100*($AL307/100-1))</f>
        <v>370194.85453271598</v>
      </c>
      <c r="L307" s="30">
        <f>U307*(1+IF($AK307+IF(입력란!$C$9=1,10,0)+IF(입력란!$C$26=1,10,0)&gt;100,100,$AK307+IF(입력란!$C$9=1,10,0)+IF(입력란!$C$26=1,10,0))/100*($AL307/100-1))</f>
        <v>493591.27897796006</v>
      </c>
      <c r="M307" s="30">
        <f>V307*(1+IF($AK307+IF(입력란!$C$9=1,10,0)+IF(입력란!$C$26=1,10,0)&gt;100,100,$AK307+IF(입력란!$C$9=1,10,0)+IF(입력란!$C$26=1,10,0))/100*($AL307/100-1))</f>
        <v>0</v>
      </c>
      <c r="N307" s="39"/>
      <c r="O307" s="39"/>
      <c r="P307" s="39"/>
      <c r="Q307" s="35"/>
      <c r="R307" s="24">
        <f t="shared" si="39"/>
        <v>1016503.9344198128</v>
      </c>
      <c r="S307" s="30">
        <f>AN307*IF(G307="근접",IF(MID(E307,1,1)="1",트라이포드!$D$18,트라이포드!$C$18),1)*IF(MID(E307,1,1)="2",트라이포드!$F$18,트라이포드!$E$18)*IF(MID(E307,3,1)="1",트라이포드!$J$18,트라이포드!$I$18)*IF(MID(E307,5,1)="2",트라이포드!$R$18,트라이포드!$Q$18)*(1+입력란!$C$42/100)*IF(입력란!$C$9=1,IF(입력란!$C$15=0,1.05,IF(입력란!$C$15=1,1.05*1.05,IF(입력란!$C$15=2,1.05*1.12,IF(입력란!$C$15=3,1.05*1.25)))),1)</f>
        <v>304951.64008251607</v>
      </c>
      <c r="T307" s="30">
        <f>AO307*IF(G307="근접",IF(MID(E307,1,1)="1",트라이포드!$D$18,트라이포드!$C$18),1)*IF(MID(E307,1,1)="2",트라이포드!$F$18,트라이포드!$E$18)*IF(MID(E307,3,1)="1",트라이포드!$J$18,트라이포드!$I$18)*IF(MID(E307,5,1)="2",트라이포드!$R$18,트라이포드!$Q$18)*(1+입력란!$C$42/100)*IF(입력란!$C$9=1,IF(입력란!$C$15=0,1.05,IF(입력란!$C$15=1,1.05*1.05,IF(입력란!$C$15=2,1.05*1.12,IF(입력란!$C$15=3,1.05*1.25)))),1)</f>
        <v>304951.64008251607</v>
      </c>
      <c r="U307" s="30">
        <f>AP307*IF(G307="근접",IF(MID(E307,1,1)="1",트라이포드!$D$18,트라이포드!$C$18),1)*IF(MID(E307,1,1)="2",트라이포드!$F$18,트라이포드!$E$18)*IF(MID(E307,3,1)="1",트라이포드!$J$18,트라이포드!$I$18)*IF(MID(E307,5,1)="2",트라이포드!$R$18,트라이포드!$Q$18)*(1+입력란!$C$42/100)*IF(입력란!$C$9=1,IF(입력란!$C$15=0,1.05,IF(입력란!$C$15=1,1.05*1.05,IF(입력란!$C$15=2,1.05*1.12,IF(입력란!$C$15=3,1.05*1.25)))),1)</f>
        <v>406600.65425478062</v>
      </c>
      <c r="V307" s="30">
        <f>IF(MID(E307,5,1)="1",(S307+T307+U307)*트라이포드!$P$18,트라이포드!$O$18)</f>
        <v>0</v>
      </c>
      <c r="W307" s="30"/>
      <c r="X307" s="39"/>
      <c r="Y307" s="39"/>
      <c r="Z307" s="27"/>
      <c r="AA307" s="30">
        <f t="shared" si="40"/>
        <v>2033007.8688396255</v>
      </c>
      <c r="AB307" s="30">
        <f t="shared" si="41"/>
        <v>609903.28016503213</v>
      </c>
      <c r="AC307" s="30">
        <f t="shared" si="42"/>
        <v>609903.28016503213</v>
      </c>
      <c r="AD307" s="30">
        <f t="shared" si="44"/>
        <v>813201.30850956123</v>
      </c>
      <c r="AE307" s="30"/>
      <c r="AF307" s="39"/>
      <c r="AG307" s="39"/>
      <c r="AH307" s="39"/>
      <c r="AI307" s="27"/>
      <c r="AJ307" s="26">
        <f>(AQ307-IF(MID(E307,3,1)="3",트라이포드!$N$18,트라이포드!$M$18))*(1-입력란!$C$35/100)</f>
        <v>35.582653468079997</v>
      </c>
      <c r="AK30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7" s="26">
        <f>입력란!$C$47+IF(입력란!$C$18=1,10,IF(입력란!$C$18=2,25,IF(입력란!$C$18=3,50,0)))+IF(입력란!$C$23&lt;&gt;0,-12)</f>
        <v>200</v>
      </c>
      <c r="AM307" s="30">
        <f t="shared" si="43"/>
        <v>353753.78914395336</v>
      </c>
      <c r="AN307" s="30">
        <f>(VLOOKUP(C307,$B$4:$AJ$7,20,FALSE)+VLOOKUP(C307,$B$8:$AJ$11,20,FALSE)*입력란!$C$29)*IF(G307="근접",입력란!$C$50,IF(MID(E307,1,1)="2",입력란!$C$50,입력란!$C$49))*입력란!$C$48/100</f>
        <v>106126.296743186</v>
      </c>
      <c r="AO307" s="30">
        <f>(VLOOKUP(C307,$B$4:$AJ$7,21,FALSE)+VLOOKUP(C307,$B$8:$AJ$11,21,FALSE)*입력란!$C$29)*IF(G307="근접",입력란!$C$50,IF(MID(E307,1,1)="2",입력란!$C$50,입력란!$C$49))*입력란!$C$48/100</f>
        <v>106126.296743186</v>
      </c>
      <c r="AP307" s="30">
        <f>(VLOOKUP(C307,$B$4:$AJ$7,22,FALSE)+VLOOKUP(C307,$B$8:$AJ$11,22,FALSE)*입력란!$C$29)*IF(G307="근접",입력란!$C$50,IF(MID(E307,1,1)="2",입력란!$C$50,입력란!$C$49))*입력란!$C$48/100</f>
        <v>141501.19565758132</v>
      </c>
      <c r="AQ307" s="29">
        <v>36</v>
      </c>
    </row>
    <row r="308" spans="2:43" ht="13.5" customHeight="1" x14ac:dyDescent="0.3">
      <c r="B308" s="31">
        <v>293</v>
      </c>
      <c r="C308" s="36">
        <v>10</v>
      </c>
      <c r="D308" s="43" t="s">
        <v>212</v>
      </c>
      <c r="E308" s="38" t="s">
        <v>214</v>
      </c>
      <c r="F308" s="40"/>
      <c r="G308" s="40" t="s">
        <v>202</v>
      </c>
      <c r="H308" s="52">
        <f t="shared" si="38"/>
        <v>38532.539118951288</v>
      </c>
      <c r="I308" s="53">
        <f>SUM(J308:Q308)*IF(입력란!$C$16=1,1.04,IF(입력란!$C$16=2,1.1,IF(입력란!$C$16=3,1.2,1)))*IF(입력란!$C$21=1,1+입력란!$C$38*0.001,IF(입력란!$C$21=2,1+입력란!$C$38*0.0022,IF(입력란!$C$21=3,1+입력란!$C$38*0.0045,1)))*IF(입력란!$C$18&lt;&gt;0,0.98,1)</f>
        <v>1371089.9867148802</v>
      </c>
      <c r="J308" s="30">
        <f>S308*(1+IF($AK308+IF(입력란!$C$9=1,10,0)+IF(입력란!$C$26=1,10,0)&gt;100,100,$AK308+IF(입력란!$C$9=1,10,0)+IF(입력란!$C$26=1,10,0))/100*($AL308/100-1))</f>
        <v>257079.7600921639</v>
      </c>
      <c r="K308" s="30">
        <f>T308*(1+IF($AK308+IF(입력란!$C$9=1,10,0)+IF(입력란!$C$26=1,10,0)&gt;100,100,$AK308+IF(입력란!$C$9=1,10,0)+IF(입력란!$C$26=1,10,0))/100*($AL308/100-1))</f>
        <v>257079.7600921639</v>
      </c>
      <c r="L308" s="30">
        <f>U308*(1+IF($AK308+IF(입력란!$C$9=1,10,0)+IF(입력란!$C$26=1,10,0)&gt;100,100,$AK308+IF(입력란!$C$9=1,10,0)+IF(입력란!$C$26=1,10,0))/100*($AL308/100-1))</f>
        <v>342771.72151247226</v>
      </c>
      <c r="M308" s="30">
        <f>V308*(1+IF($AK308+IF(입력란!$C$9=1,10,0)+IF(입력란!$C$26=1,10,0)&gt;100,100,$AK308+IF(입력란!$C$9=1,10,0)+IF(입력란!$C$26=1,10,0))/100*($AL308/100-1))</f>
        <v>514158.74501808005</v>
      </c>
      <c r="N308" s="39"/>
      <c r="O308" s="39"/>
      <c r="P308" s="39"/>
      <c r="Q308" s="35"/>
      <c r="R308" s="24">
        <f t="shared" si="39"/>
        <v>1129448.8160220142</v>
      </c>
      <c r="S308" s="30">
        <f>AN308*IF(G308="근접",IF(MID(E308,1,1)="1",트라이포드!$D$18,트라이포드!$C$18),1)*IF(MID(E308,1,1)="2",트라이포드!$F$18,트라이포드!$E$18)*IF(MID(E308,3,1)="1",트라이포드!$J$18,트라이포드!$I$18)*IF(MID(E308,5,1)="2",트라이포드!$R$18,트라이포드!$Q$18)*(1+입력란!$C$42/100)*IF(입력란!$C$9=1,IF(입력란!$C$15=0,1.05,IF(입력란!$C$15=1,1.05*1.05,IF(입력란!$C$15=2,1.05*1.12,IF(입력란!$C$15=3,1.05*1.25)))),1)</f>
        <v>211771.97227952504</v>
      </c>
      <c r="T308" s="30">
        <f>AO308*IF(G308="근접",IF(MID(E308,1,1)="1",트라이포드!$D$18,트라이포드!$C$18),1)*IF(MID(E308,1,1)="2",트라이포드!$F$18,트라이포드!$E$18)*IF(MID(E308,3,1)="1",트라이포드!$J$18,트라이포드!$I$18)*IF(MID(E308,5,1)="2",트라이포드!$R$18,트라이포드!$Q$18)*(1+입력란!$C$42/100)*IF(입력란!$C$9=1,IF(입력란!$C$15=0,1.05,IF(입력란!$C$15=1,1.05*1.05,IF(입력란!$C$15=2,1.05*1.12,IF(입력란!$C$15=3,1.05*1.25)))),1)</f>
        <v>211771.97227952504</v>
      </c>
      <c r="U308" s="30">
        <f>AP308*IF(G308="근접",IF(MID(E308,1,1)="1",트라이포드!$D$18,트라이포드!$C$18),1)*IF(MID(E308,1,1)="2",트라이포드!$F$18,트라이포드!$E$18)*IF(MID(E308,3,1)="1",트라이포드!$J$18,트라이포드!$I$18)*IF(MID(E308,5,1)="2",트라이포드!$R$18,트라이포드!$Q$18)*(1+입력란!$C$42/100)*IF(입력란!$C$9=1,IF(입력란!$C$15=0,1.05,IF(입력란!$C$15=1,1.05*1.05,IF(입력란!$C$15=2,1.05*1.12,IF(입력란!$C$15=3,1.05*1.25)))),1)</f>
        <v>282361.56545470876</v>
      </c>
      <c r="V308" s="30">
        <f>IF(MID(E308,5,1)="1",(S308+T308+U308)*트라이포드!$P$18,트라이포드!$O$18)</f>
        <v>423543.30600825534</v>
      </c>
      <c r="W308" s="30"/>
      <c r="X308" s="39"/>
      <c r="Y308" s="39"/>
      <c r="Z308" s="27"/>
      <c r="AA308" s="30">
        <f t="shared" si="40"/>
        <v>1411811.0200275178</v>
      </c>
      <c r="AB308" s="30">
        <f t="shared" si="41"/>
        <v>423543.94455905008</v>
      </c>
      <c r="AC308" s="30">
        <f t="shared" si="42"/>
        <v>423543.94455905008</v>
      </c>
      <c r="AD308" s="30">
        <f t="shared" si="44"/>
        <v>564723.13090941752</v>
      </c>
      <c r="AE308" s="30"/>
      <c r="AF308" s="39"/>
      <c r="AG308" s="39"/>
      <c r="AH308" s="39"/>
      <c r="AI308" s="27"/>
      <c r="AJ308" s="26">
        <f>(AQ308-IF(MID(E308,3,1)="3",트라이포드!$N$18,트라이포드!$M$18))*(1-입력란!$C$35/100)</f>
        <v>35.582653468079997</v>
      </c>
      <c r="AK30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8" s="26">
        <f>입력란!$C$47+IF(입력란!$C$18=1,10,IF(입력란!$C$18=2,25,IF(입력란!$C$18=3,50,0)))+IF(입력란!$C$23&lt;&gt;0,-12)</f>
        <v>200</v>
      </c>
      <c r="AM308" s="30">
        <f t="shared" si="43"/>
        <v>353753.78914395336</v>
      </c>
      <c r="AN308" s="30">
        <f>(VLOOKUP(C308,$B$4:$AJ$7,20,FALSE)+VLOOKUP(C308,$B$8:$AJ$11,20,FALSE)*입력란!$C$29)*IF(G308="근접",입력란!$C$50,IF(MID(E308,1,1)="2",입력란!$C$50,입력란!$C$49))*입력란!$C$48/100</f>
        <v>106126.296743186</v>
      </c>
      <c r="AO308" s="30">
        <f>(VLOOKUP(C308,$B$4:$AJ$7,21,FALSE)+VLOOKUP(C308,$B$8:$AJ$11,21,FALSE)*입력란!$C$29)*IF(G308="근접",입력란!$C$50,IF(MID(E308,1,1)="2",입력란!$C$50,입력란!$C$49))*입력란!$C$48/100</f>
        <v>106126.296743186</v>
      </c>
      <c r="AP308" s="30">
        <f>(VLOOKUP(C308,$B$4:$AJ$7,22,FALSE)+VLOOKUP(C308,$B$8:$AJ$11,22,FALSE)*입력란!$C$29)*IF(G308="근접",입력란!$C$50,IF(MID(E308,1,1)="2",입력란!$C$50,입력란!$C$49))*입력란!$C$48/100</f>
        <v>141501.19565758132</v>
      </c>
      <c r="AQ308" s="29">
        <v>36</v>
      </c>
    </row>
    <row r="309" spans="2:43" ht="13.5" customHeight="1" x14ac:dyDescent="0.3">
      <c r="B309" s="31">
        <v>294</v>
      </c>
      <c r="C309" s="36">
        <v>10</v>
      </c>
      <c r="D309" s="43" t="s">
        <v>50</v>
      </c>
      <c r="E309" s="38" t="s">
        <v>390</v>
      </c>
      <c r="F309" s="40"/>
      <c r="G309" s="40" t="s">
        <v>39</v>
      </c>
      <c r="H309" s="52">
        <f t="shared" si="38"/>
        <v>33908.634424677133</v>
      </c>
      <c r="I309" s="53">
        <f>SUM(J309:Q309)*IF(입력란!$C$16=1,1.04,IF(입력란!$C$16=2,1.1,IF(입력란!$C$16=3,1.2,1)))*IF(입력란!$C$21=1,1+입력란!$C$38*0.001,IF(입력란!$C$21=2,1+입력란!$C$38*0.0022,IF(입력란!$C$21=3,1+입력란!$C$38*0.0045,1)))*IF(입력란!$C$18&lt;&gt;0,0.98,1)</f>
        <v>1206559.1883090946</v>
      </c>
      <c r="J309" s="30">
        <f>S309*(1+IF($AK309+IF(입력란!$C$9=1,10,0)+IF(입력란!$C$26=1,10,0)&gt;100,100,$AK309+IF(입력란!$C$9=1,10,0)+IF(입력란!$C$26=1,10,0))/100*($AL309/100-1))</f>
        <v>226230.18888110423</v>
      </c>
      <c r="K309" s="30">
        <f>T309*(1+IF($AK309+IF(입력란!$C$9=1,10,0)+IF(입력란!$C$26=1,10,0)&gt;100,100,$AK309+IF(입력란!$C$9=1,10,0)+IF(입력란!$C$26=1,10,0))/100*($AL309/100-1))</f>
        <v>226230.18888110423</v>
      </c>
      <c r="L309" s="30">
        <f>U309*(1+IF($AK309+IF(입력란!$C$9=1,10,0)+IF(입력란!$C$26=1,10,0)&gt;100,100,$AK309+IF(입력란!$C$9=1,10,0)+IF(입력란!$C$26=1,10,0))/100*($AL309/100-1))</f>
        <v>301639.11493097566</v>
      </c>
      <c r="M309" s="30">
        <f>V309*(1+IF($AK309+IF(입력란!$C$9=1,10,0)+IF(입력란!$C$26=1,10,0)&gt;100,100,$AK309+IF(입력란!$C$9=1,10,0)+IF(입력란!$C$26=1,10,0))/100*($AL309/100-1))</f>
        <v>452459.69561591046</v>
      </c>
      <c r="N309" s="39"/>
      <c r="O309" s="39"/>
      <c r="P309" s="39"/>
      <c r="Q309" s="35"/>
      <c r="R309" s="24">
        <f t="shared" si="39"/>
        <v>993914.95809937245</v>
      </c>
      <c r="S309" s="30">
        <f>AN309*IF(G309="근접",IF(MID(E309,1,1)="1",트라이포드!$D$18,트라이포드!$C$18),1)*IF(MID(E309,1,1)="2",트라이포드!$F$18,트라이포드!$E$18)*IF(MID(E309,3,1)="1",트라이포드!$J$18,트라이포드!$I$18)*IF(MID(E309,5,1)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T309" s="30">
        <f>AO309*IF(G309="근접",IF(MID(E309,1,1)="1",트라이포드!$D$18,트라이포드!$C$18),1)*IF(MID(E309,1,1)="2",트라이포드!$F$18,트라이포드!$E$18)*IF(MID(E309,3,1)="1",트라이포드!$J$18,트라이포드!$I$18)*IF(MID(E309,5,1)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U309" s="30">
        <f>AP309*IF(G309="근접",IF(MID(E309,1,1)="1",트라이포드!$D$18,트라이포드!$C$18),1)*IF(MID(E309,1,1)="2",트라이포드!$F$18,트라이포드!$E$18)*IF(MID(E309,3,1)="1",트라이포드!$J$18,트라이포드!$I$18)*IF(MID(E309,5,1)="2",트라이포드!$R$18,트라이포드!$Q$18)*(1+입력란!$C$42/100)*IF(입력란!$C$9=1,IF(입력란!$C$15=0,1.05,IF(입력란!$C$15=1,1.05*1.05,IF(입력란!$C$15=2,1.05*1.12,IF(입력란!$C$15=3,1.05*1.25)))),1)</f>
        <v>248478.17760014374</v>
      </c>
      <c r="V309" s="30">
        <f>IF(MID(E309,5,1)="1",(S309+T309+U309)*트라이포드!$P$18,트라이포드!$O$18)</f>
        <v>372718.1092872647</v>
      </c>
      <c r="W309" s="30"/>
      <c r="X309" s="39"/>
      <c r="Y309" s="39"/>
      <c r="Z309" s="27"/>
      <c r="AA309" s="30">
        <f t="shared" si="40"/>
        <v>1242393.6976242156</v>
      </c>
      <c r="AB309" s="30">
        <f t="shared" si="41"/>
        <v>372718.6712119641</v>
      </c>
      <c r="AC309" s="30">
        <f t="shared" si="42"/>
        <v>372718.6712119641</v>
      </c>
      <c r="AD309" s="30">
        <f t="shared" si="44"/>
        <v>496956.35520028748</v>
      </c>
      <c r="AE309" s="30"/>
      <c r="AF309" s="39"/>
      <c r="AG309" s="39"/>
      <c r="AH309" s="39"/>
      <c r="AI309" s="27"/>
      <c r="AJ309" s="26">
        <f>(AQ309-IF(MID(E309,3,1)="3",트라이포드!$N$18,트라이포드!$M$18))*(1-입력란!$C$35/100)</f>
        <v>35.582653468079997</v>
      </c>
      <c r="AK30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09" s="26">
        <f>입력란!$C$47+IF(입력란!$C$18=1,10,IF(입력란!$C$18=2,25,IF(입력란!$C$18=3,50,0)))+IF(입력란!$C$23&lt;&gt;0,-12)</f>
        <v>200</v>
      </c>
      <c r="AM309" s="30">
        <f t="shared" si="43"/>
        <v>353753.78914395336</v>
      </c>
      <c r="AN309" s="30">
        <f>(VLOOKUP(C309,$B$4:$AJ$7,20,FALSE)+VLOOKUP(C309,$B$8:$AJ$11,20,FALSE)*입력란!$C$29)*IF(G309="근접",입력란!$C$50,IF(MID(E309,1,1)="2",입력란!$C$50,입력란!$C$49))*입력란!$C$48/100</f>
        <v>106126.296743186</v>
      </c>
      <c r="AO309" s="30">
        <f>(VLOOKUP(C309,$B$4:$AJ$7,21,FALSE)+VLOOKUP(C309,$B$8:$AJ$11,21,FALSE)*입력란!$C$29)*IF(G309="근접",입력란!$C$50,IF(MID(E309,1,1)="2",입력란!$C$50,입력란!$C$49))*입력란!$C$48/100</f>
        <v>106126.296743186</v>
      </c>
      <c r="AP309" s="30">
        <f>(VLOOKUP(C309,$B$4:$AJ$7,22,FALSE)+VLOOKUP(C309,$B$8:$AJ$11,22,FALSE)*입력란!$C$29)*IF(G309="근접",입력란!$C$50,IF(MID(E309,1,1)="2",입력란!$C$50,입력란!$C$49))*입력란!$C$48/100</f>
        <v>141501.19565758132</v>
      </c>
      <c r="AQ309" s="29">
        <v>36</v>
      </c>
    </row>
    <row r="310" spans="2:43" ht="13.5" customHeight="1" x14ac:dyDescent="0.3">
      <c r="B310" s="31">
        <v>295</v>
      </c>
      <c r="C310" s="36">
        <v>10</v>
      </c>
      <c r="D310" s="43" t="s">
        <v>212</v>
      </c>
      <c r="E310" s="38" t="s">
        <v>209</v>
      </c>
      <c r="F310" s="40" t="s">
        <v>223</v>
      </c>
      <c r="G310" s="40" t="s">
        <v>202</v>
      </c>
      <c r="H310" s="52">
        <f t="shared" si="38"/>
        <v>43349.106508820194</v>
      </c>
      <c r="I310" s="53">
        <f>SUM(J310:Q310)*IF(입력란!$C$16=1,1.04,IF(입력란!$C$16=2,1.1,IF(입력란!$C$16=3,1.2,1)))*IF(입력란!$C$21=1,1+입력란!$C$38*0.001,IF(입력란!$C$21=2,1+입력란!$C$38*0.0022,IF(입력란!$C$21=3,1+입력란!$C$38*0.0045,1)))*IF(입력란!$C$18&lt;&gt;0,0.98,1)</f>
        <v>1542476.2350542401</v>
      </c>
      <c r="J310" s="30">
        <f>S310*(1+IF($AK310+IF(입력란!$C$9=1,10,0)+IF(입력란!$C$26=1,10,0)&gt;100,100,$AK310+IF(입력란!$C$9=1,10,0)+IF(입력란!$C$26=1,10,0))/100*($AL310/100-1))</f>
        <v>462743.56816589501</v>
      </c>
      <c r="K310" s="30">
        <f>T310*(1+IF($AK310+IF(입력란!$C$9=1,10,0)+IF(입력란!$C$26=1,10,0)&gt;100,100,$AK310+IF(입력란!$C$9=1,10,0)+IF(입력란!$C$26=1,10,0))/100*($AL310/100-1))</f>
        <v>462743.56816589501</v>
      </c>
      <c r="L310" s="30">
        <f>U310*(1+IF($AK310+IF(입력란!$C$9=1,10,0)+IF(입력란!$C$26=1,10,0)&gt;100,100,$AK310+IF(입력란!$C$9=1,10,0)+IF(입력란!$C$26=1,10,0))/100*($AL310/100-1))</f>
        <v>616989.09872245009</v>
      </c>
      <c r="M310" s="30">
        <f>V310*(1+IF($AK310+IF(입력란!$C$9=1,10,0)+IF(입력란!$C$26=1,10,0)&gt;100,100,$AK310+IF(입력란!$C$9=1,10,0)+IF(입력란!$C$26=1,10,0))/100*($AL310/100-1))</f>
        <v>0</v>
      </c>
      <c r="N310" s="39"/>
      <c r="O310" s="39"/>
      <c r="P310" s="39"/>
      <c r="Q310" s="35"/>
      <c r="R310" s="24">
        <f t="shared" si="39"/>
        <v>1270629.9180247658</v>
      </c>
      <c r="S310" s="30">
        <f>AN310*IF(G310="근접",IF(MID(E310,1,1)="1",트라이포드!$D$18,트라이포드!$C$18),1)*IF(MID(E310,1,1)="2",트라이포드!$F$18,트라이포드!$E$18)*IF(MID(E310,3,1)="1",트라이포드!$J$18,트라이포드!$I$18)*IF(MID(E310,5,1)="2",트라이포드!$R$18,트라이포드!$Q$18)*(1+입력란!$C$42/100)*IF(입력란!$C$9=1,IF(입력란!$C$15=0,1.05,IF(입력란!$C$15=1,1.05*1.05,IF(입력란!$C$15=2,1.05*1.12,IF(입력란!$C$15=3,1.05*1.25)))),1)</f>
        <v>381189.55010314507</v>
      </c>
      <c r="T310" s="30">
        <f>AO310*IF(G310="근접",IF(MID(E310,1,1)="1",트라이포드!$D$18,트라이포드!$C$18),1)*IF(MID(E310,1,1)="2",트라이포드!$F$18,트라이포드!$E$18)*IF(MID(E310,3,1)="1",트라이포드!$J$18,트라이포드!$I$18)*IF(MID(E310,5,1)="2",트라이포드!$R$18,트라이포드!$Q$18)*(1+입력란!$C$42/100)*IF(입력란!$C$9=1,IF(입력란!$C$15=0,1.05,IF(입력란!$C$15=1,1.05*1.05,IF(입력란!$C$15=2,1.05*1.12,IF(입력란!$C$15=3,1.05*1.25)))),1)</f>
        <v>381189.55010314507</v>
      </c>
      <c r="U310" s="30">
        <f>AP310*IF(G310="근접",IF(MID(E310,1,1)="1",트라이포드!$D$18,트라이포드!$C$18),1)*IF(MID(E310,1,1)="2",트라이포드!$F$18,트라이포드!$E$18)*IF(MID(E310,3,1)="1",트라이포드!$J$18,트라이포드!$I$18)*IF(MID(E310,5,1)="2",트라이포드!$R$18,트라이포드!$Q$18)*(1+입력란!$C$42/100)*IF(입력란!$C$9=1,IF(입력란!$C$15=0,1.05,IF(입력란!$C$15=1,1.05*1.05,IF(입력란!$C$15=2,1.05*1.12,IF(입력란!$C$15=3,1.05*1.25)))),1)</f>
        <v>508250.81781847577</v>
      </c>
      <c r="V310" s="30">
        <f>IF(MID(E310,5,1)="1",(S310+T310+U310)*트라이포드!$P$18,트라이포드!$O$18)</f>
        <v>0</v>
      </c>
      <c r="W310" s="30"/>
      <c r="X310" s="39"/>
      <c r="Y310" s="39"/>
      <c r="Z310" s="27"/>
      <c r="AA310" s="30">
        <f t="shared" si="40"/>
        <v>2541259.8360495316</v>
      </c>
      <c r="AB310" s="30">
        <f t="shared" si="41"/>
        <v>762379.10020629014</v>
      </c>
      <c r="AC310" s="30">
        <f t="shared" si="42"/>
        <v>762379.10020629014</v>
      </c>
      <c r="AD310" s="30">
        <f t="shared" si="44"/>
        <v>1016501.6356369515</v>
      </c>
      <c r="AE310" s="30"/>
      <c r="AF310" s="39"/>
      <c r="AG310" s="39"/>
      <c r="AH310" s="39"/>
      <c r="AI310" s="27"/>
      <c r="AJ310" s="26">
        <f>(AQ310-IF(MID(E310,3,1)="3",트라이포드!$N$18,트라이포드!$M$18))*(1-입력란!$C$35/100)</f>
        <v>35.582653468079997</v>
      </c>
      <c r="AK31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0" s="26">
        <f>입력란!$C$47+IF(입력란!$C$18=1,10,IF(입력란!$C$18=2,25,IF(입력란!$C$18=3,50,0)))+IF(입력란!$C$23&lt;&gt;0,-12)</f>
        <v>200</v>
      </c>
      <c r="AM310" s="30">
        <f t="shared" si="43"/>
        <v>353753.78914395336</v>
      </c>
      <c r="AN310" s="30">
        <f>(VLOOKUP(C310,$B$4:$AJ$7,20,FALSE)+VLOOKUP(C310,$B$8:$AJ$11,20,FALSE)*입력란!$C$29)*IF(G310="근접",입력란!$C$50,IF(MID(E310,1,1)="2",입력란!$C$50,입력란!$C$49))*입력란!$C$48/100</f>
        <v>106126.296743186</v>
      </c>
      <c r="AO310" s="30">
        <f>(VLOOKUP(C310,$B$4:$AJ$7,21,FALSE)+VLOOKUP(C310,$B$8:$AJ$11,21,FALSE)*입력란!$C$29)*IF(G310="근접",입력란!$C$50,IF(MID(E310,1,1)="2",입력란!$C$50,입력란!$C$49))*입력란!$C$48/100</f>
        <v>106126.296743186</v>
      </c>
      <c r="AP310" s="30">
        <f>(VLOOKUP(C310,$B$4:$AJ$7,22,FALSE)+VLOOKUP(C310,$B$8:$AJ$11,22,FALSE)*입력란!$C$29)*IF(G310="근접",입력란!$C$50,IF(MID(E310,1,1)="2",입력란!$C$50,입력란!$C$49))*입력란!$C$48/100</f>
        <v>141501.19565758132</v>
      </c>
      <c r="AQ310" s="29">
        <v>36</v>
      </c>
    </row>
    <row r="311" spans="2:43" ht="13.5" customHeight="1" x14ac:dyDescent="0.3">
      <c r="B311" s="31">
        <v>296</v>
      </c>
      <c r="C311" s="36">
        <v>10</v>
      </c>
      <c r="D311" s="43" t="s">
        <v>50</v>
      </c>
      <c r="E311" s="38" t="s">
        <v>391</v>
      </c>
      <c r="F311" s="40" t="s">
        <v>138</v>
      </c>
      <c r="G311" s="40" t="s">
        <v>39</v>
      </c>
      <c r="H311" s="52">
        <f t="shared" si="38"/>
        <v>38147.213727761773</v>
      </c>
      <c r="I311" s="53">
        <f>SUM(J311:Q311)*IF(입력란!$C$16=1,1.04,IF(입력란!$C$16=2,1.1,IF(입력란!$C$16=3,1.2,1)))*IF(입력란!$C$21=1,1+입력란!$C$38*0.001,IF(입력란!$C$21=2,1+입력란!$C$38*0.0022,IF(입력란!$C$21=3,1+입력란!$C$38*0.0045,1)))*IF(입력란!$C$18&lt;&gt;0,0.98,1)</f>
        <v>1357379.0868477314</v>
      </c>
      <c r="J311" s="30">
        <f>S311*(1+IF($AK311+IF(입력란!$C$9=1,10,0)+IF(입력란!$C$26=1,10,0)&gt;100,100,$AK311+IF(입력란!$C$9=1,10,0)+IF(입력란!$C$26=1,10,0))/100*($AL311/100-1))</f>
        <v>407214.33998598764</v>
      </c>
      <c r="K311" s="30">
        <f>T311*(1+IF($AK311+IF(입력란!$C$9=1,10,0)+IF(입력란!$C$26=1,10,0)&gt;100,100,$AK311+IF(입력란!$C$9=1,10,0)+IF(입력란!$C$26=1,10,0))/100*($AL311/100-1))</f>
        <v>407214.33998598764</v>
      </c>
      <c r="L311" s="30">
        <f>U311*(1+IF($AK311+IF(입력란!$C$9=1,10,0)+IF(입력란!$C$26=1,10,0)&gt;100,100,$AK311+IF(입력란!$C$9=1,10,0)+IF(입력란!$C$26=1,10,0))/100*($AL311/100-1))</f>
        <v>542950.40687575622</v>
      </c>
      <c r="M311" s="30">
        <f>V311*(1+IF($AK311+IF(입력란!$C$9=1,10,0)+IF(입력란!$C$26=1,10,0)&gt;100,100,$AK311+IF(입력란!$C$9=1,10,0)+IF(입력란!$C$26=1,10,0))/100*($AL311/100-1))</f>
        <v>0</v>
      </c>
      <c r="N311" s="39"/>
      <c r="O311" s="39"/>
      <c r="P311" s="39"/>
      <c r="Q311" s="35"/>
      <c r="R311" s="24">
        <f t="shared" si="39"/>
        <v>1118154.3278617943</v>
      </c>
      <c r="S311" s="30">
        <f>AN311*IF(G311="근접",IF(MID(E311,1,1)="1",트라이포드!$D$18,트라이포드!$C$18),1)*IF(MID(E311,1,1)="2",트라이포드!$F$18,트라이포드!$E$18)*IF(MID(E311,3,1)="1",트라이포드!$J$18,트라이포드!$I$18)*IF(MID(E311,5,1)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T311" s="30">
        <f>AO311*IF(G311="근접",IF(MID(E311,1,1)="1",트라이포드!$D$18,트라이포드!$C$18),1)*IF(MID(E311,1,1)="2",트라이포드!$F$18,트라이포드!$E$18)*IF(MID(E311,3,1)="1",트라이포드!$J$18,트라이포드!$I$18)*IF(MID(E311,5,1)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U311" s="30">
        <f>AP311*IF(G311="근접",IF(MID(E311,1,1)="1",트라이포드!$D$18,트라이포드!$C$18),1)*IF(MID(E311,1,1)="2",트라이포드!$F$18,트라이포드!$E$18)*IF(MID(E311,3,1)="1",트라이포드!$J$18,트라이포드!$I$18)*IF(MID(E311,5,1)="2",트라이포드!$R$18,트라이포드!$Q$18)*(1+입력란!$C$42/100)*IF(입력란!$C$9=1,IF(입력란!$C$15=0,1.05,IF(입력란!$C$15=1,1.05*1.05,IF(입력란!$C$15=2,1.05*1.12,IF(입력란!$C$15=3,1.05*1.25)))),1)</f>
        <v>447260.71968025877</v>
      </c>
      <c r="V311" s="30">
        <f>IF(MID(E311,5,1)="1",(S311+T311+U311)*트라이포드!$P$18,트라이포드!$O$18)</f>
        <v>0</v>
      </c>
      <c r="W311" s="30"/>
      <c r="X311" s="39"/>
      <c r="Y311" s="39"/>
      <c r="Z311" s="27"/>
      <c r="AA311" s="30">
        <f t="shared" si="40"/>
        <v>2236308.6557235885</v>
      </c>
      <c r="AB311" s="30">
        <f t="shared" si="41"/>
        <v>670893.60818153538</v>
      </c>
      <c r="AC311" s="30">
        <f t="shared" si="42"/>
        <v>670893.60818153538</v>
      </c>
      <c r="AD311" s="30">
        <f t="shared" si="44"/>
        <v>894521.43936051754</v>
      </c>
      <c r="AE311" s="30"/>
      <c r="AF311" s="39"/>
      <c r="AG311" s="39"/>
      <c r="AH311" s="39"/>
      <c r="AI311" s="27"/>
      <c r="AJ311" s="26">
        <f>(AQ311-IF(MID(E311,3,1)="3",트라이포드!$N$18,트라이포드!$M$18))*(1-입력란!$C$35/100)</f>
        <v>35.582653468079997</v>
      </c>
      <c r="AK31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1" s="26">
        <f>입력란!$C$47+IF(입력란!$C$18=1,10,IF(입력란!$C$18=2,25,IF(입력란!$C$18=3,50,0)))+IF(입력란!$C$23&lt;&gt;0,-12)</f>
        <v>200</v>
      </c>
      <c r="AM311" s="30">
        <f t="shared" si="43"/>
        <v>353753.78914395336</v>
      </c>
      <c r="AN311" s="30">
        <f>(VLOOKUP(C311,$B$4:$AJ$7,20,FALSE)+VLOOKUP(C311,$B$8:$AJ$11,20,FALSE)*입력란!$C$29)*IF(G311="근접",입력란!$C$50,IF(MID(E311,1,1)="2",입력란!$C$50,입력란!$C$49))*입력란!$C$48/100</f>
        <v>106126.296743186</v>
      </c>
      <c r="AO311" s="30">
        <f>(VLOOKUP(C311,$B$4:$AJ$7,21,FALSE)+VLOOKUP(C311,$B$8:$AJ$11,21,FALSE)*입력란!$C$29)*IF(G311="근접",입력란!$C$50,IF(MID(E311,1,1)="2",입력란!$C$50,입력란!$C$49))*입력란!$C$48/100</f>
        <v>106126.296743186</v>
      </c>
      <c r="AP311" s="30">
        <f>(VLOOKUP(C311,$B$4:$AJ$7,22,FALSE)+VLOOKUP(C311,$B$8:$AJ$11,22,FALSE)*입력란!$C$29)*IF(G311="근접",입력란!$C$50,IF(MID(E311,1,1)="2",입력란!$C$50,입력란!$C$49))*입력란!$C$48/100</f>
        <v>141501.19565758132</v>
      </c>
      <c r="AQ311" s="29">
        <v>36</v>
      </c>
    </row>
    <row r="312" spans="2:43" ht="13.5" customHeight="1" x14ac:dyDescent="0.3">
      <c r="B312" s="31">
        <v>297</v>
      </c>
      <c r="C312" s="36">
        <v>10</v>
      </c>
      <c r="D312" s="43" t="s">
        <v>212</v>
      </c>
      <c r="E312" s="38" t="s">
        <v>198</v>
      </c>
      <c r="F312" s="40"/>
      <c r="G312" s="40" t="s">
        <v>202</v>
      </c>
      <c r="H312" s="52">
        <f t="shared" si="38"/>
        <v>48165.6738986891</v>
      </c>
      <c r="I312" s="53">
        <f>SUM(J312:Q312)*IF(입력란!$C$16=1,1.04,IF(입력란!$C$16=2,1.1,IF(입력란!$C$16=3,1.2,1)))*IF(입력란!$C$21=1,1+입력란!$C$38*0.001,IF(입력란!$C$21=2,1+입력란!$C$38*0.0022,IF(입력란!$C$21=3,1+입력란!$C$38*0.0045,1)))*IF(입력란!$C$18&lt;&gt;0,0.98,1)</f>
        <v>1713862.4833935997</v>
      </c>
      <c r="J312" s="30">
        <f>S312*(1+IF($AK312+IF(입력란!$C$9=1,10,0)+IF(입력란!$C$26=1,10,0)&gt;100,100,$AK312+IF(입력란!$C$9=1,10,0)+IF(입력란!$C$26=1,10,0))/100*($AL312/100-1))</f>
        <v>321349.70011520485</v>
      </c>
      <c r="K312" s="30">
        <f>T312*(1+IF($AK312+IF(입력란!$C$9=1,10,0)+IF(입력란!$C$26=1,10,0)&gt;100,100,$AK312+IF(입력란!$C$9=1,10,0)+IF(입력란!$C$26=1,10,0))/100*($AL312/100-1))</f>
        <v>321349.70011520485</v>
      </c>
      <c r="L312" s="30">
        <f>U312*(1+IF($AK312+IF(입력란!$C$9=1,10,0)+IF(입력란!$C$26=1,10,0)&gt;100,100,$AK312+IF(입력란!$C$9=1,10,0)+IF(입력란!$C$26=1,10,0))/100*($AL312/100-1))</f>
        <v>428464.65189059032</v>
      </c>
      <c r="M312" s="30">
        <f>V312*(1+IF($AK312+IF(입력란!$C$9=1,10,0)+IF(입력란!$C$26=1,10,0)&gt;100,100,$AK312+IF(입력란!$C$9=1,10,0)+IF(입력란!$C$26=1,10,0))/100*($AL312/100-1))</f>
        <v>642698.43127259985</v>
      </c>
      <c r="N312" s="39"/>
      <c r="O312" s="39"/>
      <c r="P312" s="39"/>
      <c r="Q312" s="35"/>
      <c r="R312" s="24">
        <f t="shared" si="39"/>
        <v>1411811.0200275173</v>
      </c>
      <c r="S312" s="30">
        <f>AN312*IF(G312="근접",IF(MID(E312,1,1)="1",트라이포드!$D$18,트라이포드!$C$18),1)*IF(MID(E312,1,1)="2",트라이포드!$F$18,트라이포드!$E$18)*IF(MID(E312,3,1)="1",트라이포드!$J$18,트라이포드!$I$18)*IF(MID(E312,5,1)="2",트라이포드!$R$18,트라이포드!$Q$18)*(1+입력란!$C$42/100)*IF(입력란!$C$9=1,IF(입력란!$C$15=0,1.05,IF(입력란!$C$15=1,1.05*1.05,IF(입력란!$C$15=2,1.05*1.12,IF(입력란!$C$15=3,1.05*1.25)))),1)</f>
        <v>264714.96534940629</v>
      </c>
      <c r="T312" s="30">
        <f>AO312*IF(G312="근접",IF(MID(E312,1,1)="1",트라이포드!$D$18,트라이포드!$C$18),1)*IF(MID(E312,1,1)="2",트라이포드!$F$18,트라이포드!$E$18)*IF(MID(E312,3,1)="1",트라이포드!$J$18,트라이포드!$I$18)*IF(MID(E312,5,1)="2",트라이포드!$R$18,트라이포드!$Q$18)*(1+입력란!$C$42/100)*IF(입력란!$C$9=1,IF(입력란!$C$15=0,1.05,IF(입력란!$C$15=1,1.05*1.05,IF(입력란!$C$15=2,1.05*1.12,IF(입력란!$C$15=3,1.05*1.25)))),1)</f>
        <v>264714.96534940629</v>
      </c>
      <c r="U312" s="30">
        <f>AP312*IF(G312="근접",IF(MID(E312,1,1)="1",트라이포드!$D$18,트라이포드!$C$18),1)*IF(MID(E312,1,1)="2",트라이포드!$F$18,트라이포드!$E$18)*IF(MID(E312,3,1)="1",트라이포드!$J$18,트라이포드!$I$18)*IF(MID(E312,5,1)="2",트라이포드!$R$18,트라이포드!$Q$18)*(1+입력란!$C$42/100)*IF(입력란!$C$9=1,IF(입력란!$C$15=0,1.05,IF(입력란!$C$15=1,1.05*1.05,IF(입력란!$C$15=2,1.05*1.12,IF(입력란!$C$15=3,1.05*1.25)))),1)</f>
        <v>352951.95681838592</v>
      </c>
      <c r="V312" s="30">
        <f>IF(MID(E312,5,1)="1",(S312+T312+U312)*트라이포드!$P$18,트라이포드!$O$18)</f>
        <v>529429.132510319</v>
      </c>
      <c r="W312" s="30"/>
      <c r="X312" s="39"/>
      <c r="Y312" s="39"/>
      <c r="Z312" s="27"/>
      <c r="AA312" s="30">
        <f t="shared" si="40"/>
        <v>1764763.7750343969</v>
      </c>
      <c r="AB312" s="30">
        <f t="shared" si="41"/>
        <v>529429.93069881259</v>
      </c>
      <c r="AC312" s="30">
        <f t="shared" si="42"/>
        <v>529429.93069881259</v>
      </c>
      <c r="AD312" s="30">
        <f t="shared" si="44"/>
        <v>705903.91363677185</v>
      </c>
      <c r="AE312" s="30"/>
      <c r="AF312" s="39"/>
      <c r="AG312" s="39"/>
      <c r="AH312" s="39"/>
      <c r="AI312" s="27"/>
      <c r="AJ312" s="26">
        <f>(AQ312-IF(MID(E312,3,1)="3",트라이포드!$N$18,트라이포드!$M$18))*(1-입력란!$C$35/100)</f>
        <v>35.582653468079997</v>
      </c>
      <c r="AK31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2" s="26">
        <f>입력란!$C$47+IF(입력란!$C$18=1,10,IF(입력란!$C$18=2,25,IF(입력란!$C$18=3,50,0)))+IF(입력란!$C$23&lt;&gt;0,-12)</f>
        <v>200</v>
      </c>
      <c r="AM312" s="30">
        <f t="shared" si="43"/>
        <v>353753.78914395336</v>
      </c>
      <c r="AN312" s="30">
        <f>(VLOOKUP(C312,$B$4:$AJ$7,20,FALSE)+VLOOKUP(C312,$B$8:$AJ$11,20,FALSE)*입력란!$C$29)*IF(G312="근접",입력란!$C$50,IF(MID(E312,1,1)="2",입력란!$C$50,입력란!$C$49))*입력란!$C$48/100</f>
        <v>106126.296743186</v>
      </c>
      <c r="AO312" s="30">
        <f>(VLOOKUP(C312,$B$4:$AJ$7,21,FALSE)+VLOOKUP(C312,$B$8:$AJ$11,21,FALSE)*입력란!$C$29)*IF(G312="근접",입력란!$C$50,IF(MID(E312,1,1)="2",입력란!$C$50,입력란!$C$49))*입력란!$C$48/100</f>
        <v>106126.296743186</v>
      </c>
      <c r="AP312" s="30">
        <f>(VLOOKUP(C312,$B$4:$AJ$7,22,FALSE)+VLOOKUP(C312,$B$8:$AJ$11,22,FALSE)*입력란!$C$29)*IF(G312="근접",입력란!$C$50,IF(MID(E312,1,1)="2",입력란!$C$50,입력란!$C$49))*입력란!$C$48/100</f>
        <v>141501.19565758132</v>
      </c>
      <c r="AQ312" s="29">
        <v>36</v>
      </c>
    </row>
    <row r="313" spans="2:43" ht="13.5" customHeight="1" x14ac:dyDescent="0.3">
      <c r="B313" s="31">
        <v>298</v>
      </c>
      <c r="C313" s="36">
        <v>10</v>
      </c>
      <c r="D313" s="43" t="s">
        <v>50</v>
      </c>
      <c r="E313" s="38" t="s">
        <v>151</v>
      </c>
      <c r="F313" s="40"/>
      <c r="G313" s="40" t="s">
        <v>39</v>
      </c>
      <c r="H313" s="52">
        <f t="shared" si="38"/>
        <v>42385.79303084642</v>
      </c>
      <c r="I313" s="53">
        <f>SUM(J313:Q313)*IF(입력란!$C$16=1,1.04,IF(입력란!$C$16=2,1.1,IF(입력란!$C$16=3,1.2,1)))*IF(입력란!$C$21=1,1+입력란!$C$38*0.001,IF(입력란!$C$21=2,1+입력란!$C$38*0.0022,IF(입력란!$C$21=3,1+입력란!$C$38*0.0045,1)))*IF(입력란!$C$18&lt;&gt;0,0.98,1)</f>
        <v>1508198.9853863684</v>
      </c>
      <c r="J313" s="30">
        <f>S313*(1+IF($AK313+IF(입력란!$C$9=1,10,0)+IF(입력란!$C$26=1,10,0)&gt;100,100,$AK313+IF(입력란!$C$9=1,10,0)+IF(입력란!$C$26=1,10,0))/100*($AL313/100-1))</f>
        <v>282787.73610138032</v>
      </c>
      <c r="K313" s="30">
        <f>T313*(1+IF($AK313+IF(입력란!$C$9=1,10,0)+IF(입력란!$C$26=1,10,0)&gt;100,100,$AK313+IF(입력란!$C$9=1,10,0)+IF(입력란!$C$26=1,10,0))/100*($AL313/100-1))</f>
        <v>282787.73610138032</v>
      </c>
      <c r="L313" s="30">
        <f>U313*(1+IF($AK313+IF(입력란!$C$9=1,10,0)+IF(입력란!$C$26=1,10,0)&gt;100,100,$AK313+IF(입력란!$C$9=1,10,0)+IF(입력란!$C$26=1,10,0))/100*($AL313/100-1))</f>
        <v>377048.89366371959</v>
      </c>
      <c r="M313" s="30">
        <f>V313*(1+IF($AK313+IF(입력란!$C$9=1,10,0)+IF(입력란!$C$26=1,10,0)&gt;100,100,$AK313+IF(입력란!$C$9=1,10,0)+IF(입력란!$C$26=1,10,0))/100*($AL313/100-1))</f>
        <v>565574.61951988819</v>
      </c>
      <c r="N313" s="39"/>
      <c r="O313" s="39"/>
      <c r="P313" s="39"/>
      <c r="Q313" s="35"/>
      <c r="R313" s="24">
        <f t="shared" si="39"/>
        <v>1242393.6976242159</v>
      </c>
      <c r="S313" s="30">
        <f>AN313*IF(G313="근접",IF(MID(E313,1,1)="1",트라이포드!$D$18,트라이포드!$C$18),1)*IF(MID(E313,1,1)="2",트라이포드!$F$18,트라이포드!$E$18)*IF(MID(E313,3,1)="1",트라이포드!$J$18,트라이포드!$I$18)*IF(MID(E313,5,1)="2",트라이포드!$R$18,트라이포드!$Q$18)*(1+입력란!$C$42/100)*IF(입력란!$C$9=1,IF(입력란!$C$15=0,1.05,IF(입력란!$C$15=1,1.05*1.05,IF(입력란!$C$15=2,1.05*1.12,IF(입력란!$C$15=3,1.05*1.25)))),1)</f>
        <v>232949.16950747758</v>
      </c>
      <c r="T313" s="30">
        <f>AO313*IF(G313="근접",IF(MID(E313,1,1)="1",트라이포드!$D$18,트라이포드!$C$18),1)*IF(MID(E313,1,1)="2",트라이포드!$F$18,트라이포드!$E$18)*IF(MID(E313,3,1)="1",트라이포드!$J$18,트라이포드!$I$18)*IF(MID(E313,5,1)="2",트라이포드!$R$18,트라이포드!$Q$18)*(1+입력란!$C$42/100)*IF(입력란!$C$9=1,IF(입력란!$C$15=0,1.05,IF(입력란!$C$15=1,1.05*1.05,IF(입력란!$C$15=2,1.05*1.12,IF(입력란!$C$15=3,1.05*1.25)))),1)</f>
        <v>232949.16950747758</v>
      </c>
      <c r="U313" s="30">
        <f>AP313*IF(G313="근접",IF(MID(E313,1,1)="1",트라이포드!$D$18,트라이포드!$C$18),1)*IF(MID(E313,1,1)="2",트라이포드!$F$18,트라이포드!$E$18)*IF(MID(E313,3,1)="1",트라이포드!$J$18,트라이포드!$I$18)*IF(MID(E313,5,1)="2",트라이포드!$R$18,트라이포드!$Q$18)*(1+입력란!$C$42/100)*IF(입력란!$C$9=1,IF(입력란!$C$15=0,1.05,IF(입력란!$C$15=1,1.05*1.05,IF(입력란!$C$15=2,1.05*1.12,IF(입력란!$C$15=3,1.05*1.25)))),1)</f>
        <v>310597.7220001797</v>
      </c>
      <c r="V313" s="30">
        <f>IF(MID(E313,5,1)="1",(S313+T313+U313)*트라이포드!$P$18,트라이포드!$O$18)</f>
        <v>465897.63660908095</v>
      </c>
      <c r="W313" s="30"/>
      <c r="X313" s="39"/>
      <c r="Y313" s="39"/>
      <c r="Z313" s="27"/>
      <c r="AA313" s="30">
        <f t="shared" si="40"/>
        <v>1552992.1220302698</v>
      </c>
      <c r="AB313" s="30">
        <f t="shared" si="41"/>
        <v>465898.33901495516</v>
      </c>
      <c r="AC313" s="30">
        <f t="shared" si="42"/>
        <v>465898.33901495516</v>
      </c>
      <c r="AD313" s="30">
        <f t="shared" si="44"/>
        <v>621195.44400035939</v>
      </c>
      <c r="AE313" s="30"/>
      <c r="AF313" s="39"/>
      <c r="AG313" s="39"/>
      <c r="AH313" s="39"/>
      <c r="AI313" s="27"/>
      <c r="AJ313" s="26">
        <f>(AQ313-IF(MID(E313,3,1)="3",트라이포드!$N$18,트라이포드!$M$18))*(1-입력란!$C$35/100)</f>
        <v>35.582653468079997</v>
      </c>
      <c r="AK31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3" s="26">
        <f>입력란!$C$47+IF(입력란!$C$18=1,10,IF(입력란!$C$18=2,25,IF(입력란!$C$18=3,50,0)))+IF(입력란!$C$23&lt;&gt;0,-12)</f>
        <v>200</v>
      </c>
      <c r="AM313" s="30">
        <f t="shared" si="43"/>
        <v>353753.78914395336</v>
      </c>
      <c r="AN313" s="30">
        <f>(VLOOKUP(C313,$B$4:$AJ$7,20,FALSE)+VLOOKUP(C313,$B$8:$AJ$11,20,FALSE)*입력란!$C$29)*IF(G313="근접",입력란!$C$50,IF(MID(E313,1,1)="2",입력란!$C$50,입력란!$C$49))*입력란!$C$48/100</f>
        <v>106126.296743186</v>
      </c>
      <c r="AO313" s="30">
        <f>(VLOOKUP(C313,$B$4:$AJ$7,21,FALSE)+VLOOKUP(C313,$B$8:$AJ$11,21,FALSE)*입력란!$C$29)*IF(G313="근접",입력란!$C$50,IF(MID(E313,1,1)="2",입력란!$C$50,입력란!$C$49))*입력란!$C$48/100</f>
        <v>106126.296743186</v>
      </c>
      <c r="AP313" s="30">
        <f>(VLOOKUP(C313,$B$4:$AJ$7,22,FALSE)+VLOOKUP(C313,$B$8:$AJ$11,22,FALSE)*입력란!$C$29)*IF(G313="근접",입력란!$C$50,IF(MID(E313,1,1)="2",입력란!$C$50,입력란!$C$49))*입력란!$C$48/100</f>
        <v>141501.19565758132</v>
      </c>
      <c r="AQ313" s="29">
        <v>36</v>
      </c>
    </row>
    <row r="314" spans="2:43" ht="13.5" customHeight="1" x14ac:dyDescent="0.3">
      <c r="B314" s="31">
        <v>299</v>
      </c>
      <c r="C314" s="36">
        <v>10</v>
      </c>
      <c r="D314" s="43" t="s">
        <v>212</v>
      </c>
      <c r="E314" s="38" t="s">
        <v>199</v>
      </c>
      <c r="F314" s="40" t="s">
        <v>223</v>
      </c>
      <c r="G314" s="40" t="s">
        <v>202</v>
      </c>
      <c r="H314" s="52">
        <f t="shared" si="38"/>
        <v>54186.383136025244</v>
      </c>
      <c r="I314" s="53">
        <f>SUM(J314:Q314)*IF(입력란!$C$16=1,1.04,IF(입력란!$C$16=2,1.1,IF(입력란!$C$16=3,1.2,1)))*IF(입력란!$C$21=1,1+입력란!$C$38*0.001,IF(입력란!$C$21=2,1+입력란!$C$38*0.0022,IF(입력란!$C$21=3,1+입력란!$C$38*0.0045,1)))*IF(입력란!$C$18&lt;&gt;0,0.98,1)</f>
        <v>1928095.2938178</v>
      </c>
      <c r="J314" s="30">
        <f>S314*(1+IF($AK314+IF(입력란!$C$9=1,10,0)+IF(입력란!$C$26=1,10,0)&gt;100,100,$AK314+IF(입력란!$C$9=1,10,0)+IF(입력란!$C$26=1,10,0))/100*($AL314/100-1))</f>
        <v>578429.46020736871</v>
      </c>
      <c r="K314" s="30">
        <f>T314*(1+IF($AK314+IF(입력란!$C$9=1,10,0)+IF(입력란!$C$26=1,10,0)&gt;100,100,$AK314+IF(입력란!$C$9=1,10,0)+IF(입력란!$C$26=1,10,0))/100*($AL314/100-1))</f>
        <v>578429.46020736871</v>
      </c>
      <c r="L314" s="30">
        <f>U314*(1+IF($AK314+IF(입력란!$C$9=1,10,0)+IF(입력란!$C$26=1,10,0)&gt;100,100,$AK314+IF(입력란!$C$9=1,10,0)+IF(입력란!$C$26=1,10,0))/100*($AL314/100-1))</f>
        <v>771236.37340306269</v>
      </c>
      <c r="M314" s="30">
        <f>V314*(1+IF($AK314+IF(입력란!$C$9=1,10,0)+IF(입력란!$C$26=1,10,0)&gt;100,100,$AK314+IF(입력란!$C$9=1,10,0)+IF(입력란!$C$26=1,10,0))/100*($AL314/100-1))</f>
        <v>0</v>
      </c>
      <c r="N314" s="39"/>
      <c r="O314" s="39"/>
      <c r="P314" s="39"/>
      <c r="Q314" s="35"/>
      <c r="R314" s="24">
        <f t="shared" si="39"/>
        <v>1588287.3975309574</v>
      </c>
      <c r="S314" s="30">
        <f>AN314*IF(G314="근접",IF(MID(E314,1,1)="1",트라이포드!$D$18,트라이포드!$C$18),1)*IF(MID(E314,1,1)="2",트라이포드!$F$18,트라이포드!$E$18)*IF(MID(E314,3,1)="1",트라이포드!$J$18,트라이포드!$I$18)*IF(MID(E314,5,1)="2",트라이포드!$R$18,트라이포드!$Q$18)*(1+입력란!$C$42/100)*IF(입력란!$C$9=1,IF(입력란!$C$15=0,1.05,IF(입력란!$C$15=1,1.05*1.05,IF(입력란!$C$15=2,1.05*1.12,IF(입력란!$C$15=3,1.05*1.25)))),1)</f>
        <v>476486.93762893131</v>
      </c>
      <c r="T314" s="30">
        <f>AO314*IF(G314="근접",IF(MID(E314,1,1)="1",트라이포드!$D$18,트라이포드!$C$18),1)*IF(MID(E314,1,1)="2",트라이포드!$F$18,트라이포드!$E$18)*IF(MID(E314,3,1)="1",트라이포드!$J$18,트라이포드!$I$18)*IF(MID(E314,5,1)="2",트라이포드!$R$18,트라이포드!$Q$18)*(1+입력란!$C$42/100)*IF(입력란!$C$9=1,IF(입력란!$C$15=0,1.05,IF(입력란!$C$15=1,1.05*1.05,IF(입력란!$C$15=2,1.05*1.12,IF(입력란!$C$15=3,1.05*1.25)))),1)</f>
        <v>476486.93762893131</v>
      </c>
      <c r="U314" s="30">
        <f>AP314*IF(G314="근접",IF(MID(E314,1,1)="1",트라이포드!$D$18,트라이포드!$C$18),1)*IF(MID(E314,1,1)="2",트라이포드!$F$18,트라이포드!$E$18)*IF(MID(E314,3,1)="1",트라이포드!$J$18,트라이포드!$I$18)*IF(MID(E314,5,1)="2",트라이포드!$R$18,트라이포드!$Q$18)*(1+입력란!$C$42/100)*IF(입력란!$C$9=1,IF(입력란!$C$15=0,1.05,IF(입력란!$C$15=1,1.05*1.05,IF(입력란!$C$15=2,1.05*1.12,IF(입력란!$C$15=3,1.05*1.25)))),1)</f>
        <v>635313.52227309474</v>
      </c>
      <c r="V314" s="30">
        <f>IF(MID(E314,5,1)="1",(S314+T314+U314)*트라이포드!$P$18,트라이포드!$O$18)</f>
        <v>0</v>
      </c>
      <c r="W314" s="30"/>
      <c r="X314" s="39"/>
      <c r="Y314" s="39"/>
      <c r="Z314" s="27"/>
      <c r="AA314" s="30">
        <f t="shared" si="40"/>
        <v>3176574.7950619147</v>
      </c>
      <c r="AB314" s="30">
        <f t="shared" si="41"/>
        <v>952973.87525786262</v>
      </c>
      <c r="AC314" s="30">
        <f t="shared" si="42"/>
        <v>952973.87525786262</v>
      </c>
      <c r="AD314" s="30">
        <f t="shared" si="44"/>
        <v>1270627.0445461895</v>
      </c>
      <c r="AE314" s="30"/>
      <c r="AF314" s="39"/>
      <c r="AG314" s="39"/>
      <c r="AH314" s="39"/>
      <c r="AI314" s="27"/>
      <c r="AJ314" s="26">
        <f>(AQ314-IF(MID(E314,3,1)="3",트라이포드!$N$18,트라이포드!$M$18))*(1-입력란!$C$35/100)</f>
        <v>35.582653468079997</v>
      </c>
      <c r="AK31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4" s="26">
        <f>입력란!$C$47+IF(입력란!$C$18=1,10,IF(입력란!$C$18=2,25,IF(입력란!$C$18=3,50,0)))+IF(입력란!$C$23&lt;&gt;0,-12)</f>
        <v>200</v>
      </c>
      <c r="AM314" s="30">
        <f t="shared" si="43"/>
        <v>353753.78914395336</v>
      </c>
      <c r="AN314" s="30">
        <f>(VLOOKUP(C314,$B$4:$AJ$7,20,FALSE)+VLOOKUP(C314,$B$8:$AJ$11,20,FALSE)*입력란!$C$29)*IF(G314="근접",입력란!$C$50,IF(MID(E314,1,1)="2",입력란!$C$50,입력란!$C$49))*입력란!$C$48/100</f>
        <v>106126.296743186</v>
      </c>
      <c r="AO314" s="30">
        <f>(VLOOKUP(C314,$B$4:$AJ$7,21,FALSE)+VLOOKUP(C314,$B$8:$AJ$11,21,FALSE)*입력란!$C$29)*IF(G314="근접",입력란!$C$50,IF(MID(E314,1,1)="2",입력란!$C$50,입력란!$C$49))*입력란!$C$48/100</f>
        <v>106126.296743186</v>
      </c>
      <c r="AP314" s="30">
        <f>(VLOOKUP(C314,$B$4:$AJ$7,22,FALSE)+VLOOKUP(C314,$B$8:$AJ$11,22,FALSE)*입력란!$C$29)*IF(G314="근접",입력란!$C$50,IF(MID(E314,1,1)="2",입력란!$C$50,입력란!$C$49))*입력란!$C$48/100</f>
        <v>141501.19565758132</v>
      </c>
      <c r="AQ314" s="29">
        <v>36</v>
      </c>
    </row>
    <row r="315" spans="2:43" ht="13.5" customHeight="1" x14ac:dyDescent="0.3">
      <c r="B315" s="31">
        <v>300</v>
      </c>
      <c r="C315" s="36">
        <v>10</v>
      </c>
      <c r="D315" s="43" t="s">
        <v>50</v>
      </c>
      <c r="E315" s="38" t="s">
        <v>152</v>
      </c>
      <c r="F315" s="40" t="s">
        <v>138</v>
      </c>
      <c r="G315" s="40" t="s">
        <v>39</v>
      </c>
      <c r="H315" s="52">
        <f t="shared" si="38"/>
        <v>47684.017159702213</v>
      </c>
      <c r="I315" s="53">
        <f>SUM(J315:Q315)*IF(입력란!$C$16=1,1.04,IF(입력란!$C$16=2,1.1,IF(입력란!$C$16=3,1.2,1)))*IF(입력란!$C$21=1,1+입력란!$C$38*0.001,IF(입력란!$C$21=2,1+입력란!$C$38*0.0022,IF(입력란!$C$21=3,1+입력란!$C$38*0.0045,1)))*IF(입력란!$C$18&lt;&gt;0,0.98,1)</f>
        <v>1696723.8585596641</v>
      </c>
      <c r="J315" s="30">
        <f>S315*(1+IF($AK315+IF(입력란!$C$9=1,10,0)+IF(입력란!$C$26=1,10,0)&gt;100,100,$AK315+IF(입력란!$C$9=1,10,0)+IF(입력란!$C$26=1,10,0))/100*($AL315/100-1))</f>
        <v>509017.92498248449</v>
      </c>
      <c r="K315" s="30">
        <f>T315*(1+IF($AK315+IF(입력란!$C$9=1,10,0)+IF(입력란!$C$26=1,10,0)&gt;100,100,$AK315+IF(입력란!$C$9=1,10,0)+IF(입력란!$C$26=1,10,0))/100*($AL315/100-1))</f>
        <v>509017.92498248449</v>
      </c>
      <c r="L315" s="30">
        <f>U315*(1+IF($AK315+IF(입력란!$C$9=1,10,0)+IF(입력란!$C$26=1,10,0)&gt;100,100,$AK315+IF(입력란!$C$9=1,10,0)+IF(입력란!$C$26=1,10,0))/100*($AL315/100-1))</f>
        <v>678688.00859469513</v>
      </c>
      <c r="M315" s="30">
        <f>V315*(1+IF($AK315+IF(입력란!$C$9=1,10,0)+IF(입력란!$C$26=1,10,0)&gt;100,100,$AK315+IF(입력란!$C$9=1,10,0)+IF(입력란!$C$26=1,10,0))/100*($AL315/100-1))</f>
        <v>0</v>
      </c>
      <c r="N315" s="39"/>
      <c r="O315" s="39"/>
      <c r="P315" s="39"/>
      <c r="Q315" s="35"/>
      <c r="R315" s="24">
        <f t="shared" si="39"/>
        <v>1397692.9098272426</v>
      </c>
      <c r="S315" s="30">
        <f>AN315*IF(G315="근접",IF(MID(E315,1,1)="1",트라이포드!$D$18,트라이포드!$C$18),1)*IF(MID(E315,1,1)="2",트라이포드!$F$18,트라이포드!$E$18)*IF(MID(E315,3,1)="1",트라이포드!$J$18,트라이포드!$I$18)*IF(MID(E315,5,1)="2",트라이포드!$R$18,트라이포드!$Q$18)*(1+입력란!$C$42/100)*IF(입력란!$C$9=1,IF(입력란!$C$15=0,1.05,IF(입력란!$C$15=1,1.05*1.05,IF(입력란!$C$15=2,1.05*1.12,IF(입력란!$C$15=3,1.05*1.25)))),1)</f>
        <v>419308.5051134596</v>
      </c>
      <c r="T315" s="30">
        <f>AO315*IF(G315="근접",IF(MID(E315,1,1)="1",트라이포드!$D$18,트라이포드!$C$18),1)*IF(MID(E315,1,1)="2",트라이포드!$F$18,트라이포드!$E$18)*IF(MID(E315,3,1)="1",트라이포드!$J$18,트라이포드!$I$18)*IF(MID(E315,5,1)="2",트라이포드!$R$18,트라이포드!$Q$18)*(1+입력란!$C$42/100)*IF(입력란!$C$9=1,IF(입력란!$C$15=0,1.05,IF(입력란!$C$15=1,1.05*1.05,IF(입력란!$C$15=2,1.05*1.12,IF(입력란!$C$15=3,1.05*1.25)))),1)</f>
        <v>419308.5051134596</v>
      </c>
      <c r="U315" s="30">
        <f>AP315*IF(G315="근접",IF(MID(E315,1,1)="1",트라이포드!$D$18,트라이포드!$C$18),1)*IF(MID(E315,1,1)="2",트라이포드!$F$18,트라이포드!$E$18)*IF(MID(E315,3,1)="1",트라이포드!$J$18,트라이포드!$I$18)*IF(MID(E315,5,1)="2",트라이포드!$R$18,트라이포드!$Q$18)*(1+입력란!$C$42/100)*IF(입력란!$C$9=1,IF(입력란!$C$15=0,1.05,IF(입력란!$C$15=1,1.05*1.05,IF(입력란!$C$15=2,1.05*1.12,IF(입력란!$C$15=3,1.05*1.25)))),1)</f>
        <v>559075.89960032341</v>
      </c>
      <c r="V315" s="30">
        <f>IF(MID(E315,5,1)="1",(S315+T315+U315)*트라이포드!$P$18,트라이포드!$O$18)</f>
        <v>0</v>
      </c>
      <c r="W315" s="30"/>
      <c r="X315" s="39"/>
      <c r="Y315" s="39"/>
      <c r="Z315" s="27"/>
      <c r="AA315" s="30">
        <f t="shared" si="40"/>
        <v>2795385.8196544852</v>
      </c>
      <c r="AB315" s="30">
        <f t="shared" si="41"/>
        <v>838617.0102269192</v>
      </c>
      <c r="AC315" s="30">
        <f t="shared" si="42"/>
        <v>838617.0102269192</v>
      </c>
      <c r="AD315" s="30">
        <f t="shared" si="44"/>
        <v>1118151.7992006468</v>
      </c>
      <c r="AE315" s="30"/>
      <c r="AF315" s="39"/>
      <c r="AG315" s="39"/>
      <c r="AH315" s="39"/>
      <c r="AI315" s="27"/>
      <c r="AJ315" s="26">
        <f>(AQ315-IF(MID(E315,3,1)="3",트라이포드!$N$18,트라이포드!$M$18))*(1-입력란!$C$35/100)</f>
        <v>35.582653468079997</v>
      </c>
      <c r="AK31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5" s="26">
        <f>입력란!$C$47+IF(입력란!$C$18=1,10,IF(입력란!$C$18=2,25,IF(입력란!$C$18=3,50,0)))+IF(입력란!$C$23&lt;&gt;0,-12)</f>
        <v>200</v>
      </c>
      <c r="AM315" s="30">
        <f t="shared" si="43"/>
        <v>353753.78914395336</v>
      </c>
      <c r="AN315" s="30">
        <f>(VLOOKUP(C315,$B$4:$AJ$7,20,FALSE)+VLOOKUP(C315,$B$8:$AJ$11,20,FALSE)*입력란!$C$29)*IF(G315="근접",입력란!$C$50,IF(MID(E315,1,1)="2",입력란!$C$50,입력란!$C$49))*입력란!$C$48/100</f>
        <v>106126.296743186</v>
      </c>
      <c r="AO315" s="30">
        <f>(VLOOKUP(C315,$B$4:$AJ$7,21,FALSE)+VLOOKUP(C315,$B$8:$AJ$11,21,FALSE)*입력란!$C$29)*IF(G315="근접",입력란!$C$50,IF(MID(E315,1,1)="2",입력란!$C$50,입력란!$C$49))*입력란!$C$48/100</f>
        <v>106126.296743186</v>
      </c>
      <c r="AP315" s="30">
        <f>(VLOOKUP(C315,$B$4:$AJ$7,22,FALSE)+VLOOKUP(C315,$B$8:$AJ$11,22,FALSE)*입력란!$C$29)*IF(G315="근접",입력란!$C$50,IF(MID(E315,1,1)="2",입력란!$C$50,입력란!$C$49))*입력란!$C$48/100</f>
        <v>141501.19565758132</v>
      </c>
      <c r="AQ315" s="29">
        <v>36</v>
      </c>
    </row>
    <row r="316" spans="2:43" ht="13.5" customHeight="1" x14ac:dyDescent="0.3">
      <c r="B316" s="31">
        <v>301</v>
      </c>
      <c r="C316" s="36">
        <v>10</v>
      </c>
      <c r="D316" s="43" t="s">
        <v>212</v>
      </c>
      <c r="E316" s="38" t="s">
        <v>200</v>
      </c>
      <c r="F316" s="40"/>
      <c r="G316" s="40" t="s">
        <v>202</v>
      </c>
      <c r="H316" s="52">
        <f t="shared" si="38"/>
        <v>55486.856331289848</v>
      </c>
      <c r="I316" s="53">
        <f>SUM(J316:Q316)*IF(입력란!$C$16=1,1.04,IF(입력란!$C$16=2,1.1,IF(입력란!$C$16=3,1.2,1)))*IF(입력란!$C$21=1,1+입력란!$C$38*0.001,IF(입력란!$C$21=2,1+입력란!$C$38*0.0022,IF(입력란!$C$21=3,1+입력란!$C$38*0.0045,1)))*IF(입력란!$C$18&lt;&gt;0,0.98,1)</f>
        <v>1371089.9867148802</v>
      </c>
      <c r="J316" s="30">
        <f>S316*(1+IF($AK316+IF(입력란!$C$9=1,10,0)+IF(입력란!$C$26=1,10,0)&gt;100,100,$AK316+IF(입력란!$C$9=1,10,0)+IF(입력란!$C$26=1,10,0))/100*($AL316/100-1))</f>
        <v>257079.7600921639</v>
      </c>
      <c r="K316" s="30">
        <f>T316*(1+IF($AK316+IF(입력란!$C$9=1,10,0)+IF(입력란!$C$26=1,10,0)&gt;100,100,$AK316+IF(입력란!$C$9=1,10,0)+IF(입력란!$C$26=1,10,0))/100*($AL316/100-1))</f>
        <v>257079.7600921639</v>
      </c>
      <c r="L316" s="30">
        <f>U316*(1+IF($AK316+IF(입력란!$C$9=1,10,0)+IF(입력란!$C$26=1,10,0)&gt;100,100,$AK316+IF(입력란!$C$9=1,10,0)+IF(입력란!$C$26=1,10,0))/100*($AL316/100-1))</f>
        <v>342771.72151247226</v>
      </c>
      <c r="M316" s="30">
        <f>V316*(1+IF($AK316+IF(입력란!$C$9=1,10,0)+IF(입력란!$C$26=1,10,0)&gt;100,100,$AK316+IF(입력란!$C$9=1,10,0)+IF(입력란!$C$26=1,10,0))/100*($AL316/100-1))</f>
        <v>514158.74501808005</v>
      </c>
      <c r="N316" s="39"/>
      <c r="O316" s="39"/>
      <c r="P316" s="39"/>
      <c r="Q316" s="35"/>
      <c r="R316" s="24">
        <f t="shared" si="39"/>
        <v>1129448.8160220142</v>
      </c>
      <c r="S316" s="30">
        <f>AN316*IF(G316="근접",IF(MID(E316,1,1)="1",트라이포드!$D$18,트라이포드!$C$18),1)*IF(MID(E316,1,1)="2",트라이포드!$F$18,트라이포드!$E$18)*IF(MID(E316,3,1)="1",트라이포드!$J$18,트라이포드!$I$18)*IF(MID(E316,5,1)="2",트라이포드!$R$18,트라이포드!$Q$18)*(1+입력란!$C$42/100)*IF(입력란!$C$9=1,IF(입력란!$C$15=0,1.05,IF(입력란!$C$15=1,1.05*1.05,IF(입력란!$C$15=2,1.05*1.12,IF(입력란!$C$15=3,1.05*1.25)))),1)</f>
        <v>211771.97227952504</v>
      </c>
      <c r="T316" s="30">
        <f>AO316*IF(G316="근접",IF(MID(E316,1,1)="1",트라이포드!$D$18,트라이포드!$C$18),1)*IF(MID(E316,1,1)="2",트라이포드!$F$18,트라이포드!$E$18)*IF(MID(E316,3,1)="1",트라이포드!$J$18,트라이포드!$I$18)*IF(MID(E316,5,1)="2",트라이포드!$R$18,트라이포드!$Q$18)*(1+입력란!$C$42/100)*IF(입력란!$C$9=1,IF(입력란!$C$15=0,1.05,IF(입력란!$C$15=1,1.05*1.05,IF(입력란!$C$15=2,1.05*1.12,IF(입력란!$C$15=3,1.05*1.25)))),1)</f>
        <v>211771.97227952504</v>
      </c>
      <c r="U316" s="30">
        <f>AP316*IF(G316="근접",IF(MID(E316,1,1)="1",트라이포드!$D$18,트라이포드!$C$18),1)*IF(MID(E316,1,1)="2",트라이포드!$F$18,트라이포드!$E$18)*IF(MID(E316,3,1)="1",트라이포드!$J$18,트라이포드!$I$18)*IF(MID(E316,5,1)="2",트라이포드!$R$18,트라이포드!$Q$18)*(1+입력란!$C$42/100)*IF(입력란!$C$9=1,IF(입력란!$C$15=0,1.05,IF(입력란!$C$15=1,1.05*1.05,IF(입력란!$C$15=2,1.05*1.12,IF(입력란!$C$15=3,1.05*1.25)))),1)</f>
        <v>282361.56545470876</v>
      </c>
      <c r="V316" s="30">
        <f>IF(MID(E316,5,1)="1",(S316+T316+U316)*트라이포드!$P$18,트라이포드!$O$18)</f>
        <v>423543.30600825534</v>
      </c>
      <c r="W316" s="30"/>
      <c r="X316" s="39"/>
      <c r="Y316" s="39"/>
      <c r="Z316" s="27"/>
      <c r="AA316" s="30">
        <f t="shared" si="40"/>
        <v>1411811.0200275178</v>
      </c>
      <c r="AB316" s="30">
        <f t="shared" si="41"/>
        <v>423543.94455905008</v>
      </c>
      <c r="AC316" s="30">
        <f t="shared" si="42"/>
        <v>423543.94455905008</v>
      </c>
      <c r="AD316" s="30">
        <f t="shared" si="44"/>
        <v>564723.13090941752</v>
      </c>
      <c r="AE316" s="30"/>
      <c r="AF316" s="39"/>
      <c r="AG316" s="39"/>
      <c r="AH316" s="39"/>
      <c r="AI316" s="27"/>
      <c r="AJ316" s="26">
        <f>(AQ316-IF(MID(E316,3,1)="3",트라이포드!$N$18,트라이포드!$M$18))*(1-입력란!$C$35/100)</f>
        <v>24.7101760195</v>
      </c>
      <c r="AK3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6" s="26">
        <f>입력란!$C$47+IF(입력란!$C$18=1,10,IF(입력란!$C$18=2,25,IF(입력란!$C$18=3,50,0)))+IF(입력란!$C$23&lt;&gt;0,-12)</f>
        <v>200</v>
      </c>
      <c r="AM316" s="30">
        <f t="shared" si="43"/>
        <v>353753.78914395336</v>
      </c>
      <c r="AN316" s="30">
        <f>(VLOOKUP(C316,$B$4:$AJ$7,20,FALSE)+VLOOKUP(C316,$B$8:$AJ$11,20,FALSE)*입력란!$C$29)*IF(G316="근접",입력란!$C$50,IF(MID(E316,1,1)="2",입력란!$C$50,입력란!$C$49))*입력란!$C$48/100</f>
        <v>106126.296743186</v>
      </c>
      <c r="AO316" s="30">
        <f>(VLOOKUP(C316,$B$4:$AJ$7,21,FALSE)+VLOOKUP(C316,$B$8:$AJ$11,21,FALSE)*입력란!$C$29)*IF(G316="근접",입력란!$C$50,IF(MID(E316,1,1)="2",입력란!$C$50,입력란!$C$49))*입력란!$C$48/100</f>
        <v>106126.296743186</v>
      </c>
      <c r="AP316" s="30">
        <f>(VLOOKUP(C316,$B$4:$AJ$7,22,FALSE)+VLOOKUP(C316,$B$8:$AJ$11,22,FALSE)*입력란!$C$29)*IF(G316="근접",입력란!$C$50,IF(MID(E316,1,1)="2",입력란!$C$50,입력란!$C$49))*입력란!$C$48/100</f>
        <v>141501.19565758132</v>
      </c>
      <c r="AQ316" s="29">
        <v>36</v>
      </c>
    </row>
    <row r="317" spans="2:43" ht="13.5" customHeight="1" x14ac:dyDescent="0.3">
      <c r="B317" s="31">
        <v>302</v>
      </c>
      <c r="C317" s="36">
        <v>10</v>
      </c>
      <c r="D317" s="43" t="s">
        <v>50</v>
      </c>
      <c r="E317" s="38" t="s">
        <v>105</v>
      </c>
      <c r="F317" s="40"/>
      <c r="G317" s="40" t="s">
        <v>39</v>
      </c>
      <c r="H317" s="52">
        <f t="shared" si="38"/>
        <v>48828.433571535068</v>
      </c>
      <c r="I317" s="53">
        <f>SUM(J317:Q317)*IF(입력란!$C$16=1,1.04,IF(입력란!$C$16=2,1.1,IF(입력란!$C$16=3,1.2,1)))*IF(입력란!$C$21=1,1+입력란!$C$38*0.001,IF(입력란!$C$21=2,1+입력란!$C$38*0.0022,IF(입력란!$C$21=3,1+입력란!$C$38*0.0045,1)))*IF(입력란!$C$18&lt;&gt;0,0.98,1)</f>
        <v>1206559.1883090946</v>
      </c>
      <c r="J317" s="30">
        <f>S317*(1+IF($AK317+IF(입력란!$C$9=1,10,0)+IF(입력란!$C$26=1,10,0)&gt;100,100,$AK317+IF(입력란!$C$9=1,10,0)+IF(입력란!$C$26=1,10,0))/100*($AL317/100-1))</f>
        <v>226230.18888110423</v>
      </c>
      <c r="K317" s="30">
        <f>T317*(1+IF($AK317+IF(입력란!$C$9=1,10,0)+IF(입력란!$C$26=1,10,0)&gt;100,100,$AK317+IF(입력란!$C$9=1,10,0)+IF(입력란!$C$26=1,10,0))/100*($AL317/100-1))</f>
        <v>226230.18888110423</v>
      </c>
      <c r="L317" s="30">
        <f>U317*(1+IF($AK317+IF(입력란!$C$9=1,10,0)+IF(입력란!$C$26=1,10,0)&gt;100,100,$AK317+IF(입력란!$C$9=1,10,0)+IF(입력란!$C$26=1,10,0))/100*($AL317/100-1))</f>
        <v>301639.11493097566</v>
      </c>
      <c r="M317" s="30">
        <f>V317*(1+IF($AK317+IF(입력란!$C$9=1,10,0)+IF(입력란!$C$26=1,10,0)&gt;100,100,$AK317+IF(입력란!$C$9=1,10,0)+IF(입력란!$C$26=1,10,0))/100*($AL317/100-1))</f>
        <v>452459.69561591046</v>
      </c>
      <c r="N317" s="39"/>
      <c r="O317" s="39"/>
      <c r="P317" s="39"/>
      <c r="Q317" s="35"/>
      <c r="R317" s="24">
        <f t="shared" si="39"/>
        <v>993914.95809937245</v>
      </c>
      <c r="S317" s="30">
        <f>AN317*IF(G317="근접",IF(MID(E317,1,1)="1",트라이포드!$D$18,트라이포드!$C$18),1)*IF(MID(E317,1,1)="2",트라이포드!$F$18,트라이포드!$E$18)*IF(MID(E317,3,1)="1",트라이포드!$J$18,트라이포드!$I$18)*IF(MID(E317,5,1)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T317" s="30">
        <f>AO317*IF(G317="근접",IF(MID(E317,1,1)="1",트라이포드!$D$18,트라이포드!$C$18),1)*IF(MID(E317,1,1)="2",트라이포드!$F$18,트라이포드!$E$18)*IF(MID(E317,3,1)="1",트라이포드!$J$18,트라이포드!$I$18)*IF(MID(E317,5,1)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U317" s="30">
        <f>AP317*IF(G317="근접",IF(MID(E317,1,1)="1",트라이포드!$D$18,트라이포드!$C$18),1)*IF(MID(E317,1,1)="2",트라이포드!$F$18,트라이포드!$E$18)*IF(MID(E317,3,1)="1",트라이포드!$J$18,트라이포드!$I$18)*IF(MID(E317,5,1)="2",트라이포드!$R$18,트라이포드!$Q$18)*(1+입력란!$C$42/100)*IF(입력란!$C$9=1,IF(입력란!$C$15=0,1.05,IF(입력란!$C$15=1,1.05*1.05,IF(입력란!$C$15=2,1.05*1.12,IF(입력란!$C$15=3,1.05*1.25)))),1)</f>
        <v>248478.17760014374</v>
      </c>
      <c r="V317" s="30">
        <f>IF(MID(E317,5,1)="1",(S317+T317+U317)*트라이포드!$P$18,트라이포드!$O$18)</f>
        <v>372718.1092872647</v>
      </c>
      <c r="W317" s="30"/>
      <c r="X317" s="39"/>
      <c r="Y317" s="39"/>
      <c r="Z317" s="27"/>
      <c r="AA317" s="30">
        <f t="shared" si="40"/>
        <v>1242393.6976242156</v>
      </c>
      <c r="AB317" s="30">
        <f t="shared" si="41"/>
        <v>372718.6712119641</v>
      </c>
      <c r="AC317" s="30">
        <f t="shared" si="42"/>
        <v>372718.6712119641</v>
      </c>
      <c r="AD317" s="30">
        <f t="shared" si="44"/>
        <v>496956.35520028748</v>
      </c>
      <c r="AE317" s="30"/>
      <c r="AF317" s="39"/>
      <c r="AG317" s="39"/>
      <c r="AH317" s="39"/>
      <c r="AI317" s="27"/>
      <c r="AJ317" s="26">
        <f>(AQ317-IF(MID(E317,3,1)="3",트라이포드!$N$18,트라이포드!$M$18))*(1-입력란!$C$35/100)</f>
        <v>24.7101760195</v>
      </c>
      <c r="AK3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7" s="26">
        <f>입력란!$C$47+IF(입력란!$C$18=1,10,IF(입력란!$C$18=2,25,IF(입력란!$C$18=3,50,0)))+IF(입력란!$C$23&lt;&gt;0,-12)</f>
        <v>200</v>
      </c>
      <c r="AM317" s="30">
        <f t="shared" si="43"/>
        <v>353753.78914395336</v>
      </c>
      <c r="AN317" s="30">
        <f>(VLOOKUP(C317,$B$4:$AJ$7,20,FALSE)+VLOOKUP(C317,$B$8:$AJ$11,20,FALSE)*입력란!$C$29)*IF(G317="근접",입력란!$C$50,IF(MID(E317,1,1)="2",입력란!$C$50,입력란!$C$49))*입력란!$C$48/100</f>
        <v>106126.296743186</v>
      </c>
      <c r="AO317" s="30">
        <f>(VLOOKUP(C317,$B$4:$AJ$7,21,FALSE)+VLOOKUP(C317,$B$8:$AJ$11,21,FALSE)*입력란!$C$29)*IF(G317="근접",입력란!$C$50,IF(MID(E317,1,1)="2",입력란!$C$50,입력란!$C$49))*입력란!$C$48/100</f>
        <v>106126.296743186</v>
      </c>
      <c r="AP317" s="30">
        <f>(VLOOKUP(C317,$B$4:$AJ$7,22,FALSE)+VLOOKUP(C317,$B$8:$AJ$11,22,FALSE)*입력란!$C$29)*IF(G317="근접",입력란!$C$50,IF(MID(E317,1,1)="2",입력란!$C$50,입력란!$C$49))*입력란!$C$48/100</f>
        <v>141501.19565758132</v>
      </c>
      <c r="AQ317" s="29">
        <v>36</v>
      </c>
    </row>
    <row r="318" spans="2:43" ht="13.5" customHeight="1" x14ac:dyDescent="0.3">
      <c r="B318" s="31">
        <v>303</v>
      </c>
      <c r="C318" s="36">
        <v>10</v>
      </c>
      <c r="D318" s="43" t="s">
        <v>212</v>
      </c>
      <c r="E318" s="38" t="s">
        <v>201</v>
      </c>
      <c r="F318" s="40" t="s">
        <v>223</v>
      </c>
      <c r="G318" s="40" t="s">
        <v>202</v>
      </c>
      <c r="H318" s="52">
        <f t="shared" si="38"/>
        <v>62422.713372701073</v>
      </c>
      <c r="I318" s="53">
        <f>SUM(J318:Q318)*IF(입력란!$C$16=1,1.04,IF(입력란!$C$16=2,1.1,IF(입력란!$C$16=3,1.2,1)))*IF(입력란!$C$21=1,1+입력란!$C$38*0.001,IF(입력란!$C$21=2,1+입력란!$C$38*0.0022,IF(입력란!$C$21=3,1+입력란!$C$38*0.0045,1)))*IF(입력란!$C$18&lt;&gt;0,0.98,1)</f>
        <v>1542476.2350542401</v>
      </c>
      <c r="J318" s="30">
        <f>S318*(1+IF($AK318+IF(입력란!$C$9=1,10,0)+IF(입력란!$C$26=1,10,0)&gt;100,100,$AK318+IF(입력란!$C$9=1,10,0)+IF(입력란!$C$26=1,10,0))/100*($AL318/100-1))</f>
        <v>462743.56816589501</v>
      </c>
      <c r="K318" s="30">
        <f>T318*(1+IF($AK318+IF(입력란!$C$9=1,10,0)+IF(입력란!$C$26=1,10,0)&gt;100,100,$AK318+IF(입력란!$C$9=1,10,0)+IF(입력란!$C$26=1,10,0))/100*($AL318/100-1))</f>
        <v>462743.56816589501</v>
      </c>
      <c r="L318" s="30">
        <f>U318*(1+IF($AK318+IF(입력란!$C$9=1,10,0)+IF(입력란!$C$26=1,10,0)&gt;100,100,$AK318+IF(입력란!$C$9=1,10,0)+IF(입력란!$C$26=1,10,0))/100*($AL318/100-1))</f>
        <v>616989.09872245009</v>
      </c>
      <c r="M318" s="30">
        <f>V318*(1+IF($AK318+IF(입력란!$C$9=1,10,0)+IF(입력란!$C$26=1,10,0)&gt;100,100,$AK318+IF(입력란!$C$9=1,10,0)+IF(입력란!$C$26=1,10,0))/100*($AL318/100-1))</f>
        <v>0</v>
      </c>
      <c r="N318" s="39"/>
      <c r="O318" s="39"/>
      <c r="P318" s="39"/>
      <c r="Q318" s="35"/>
      <c r="R318" s="24">
        <f t="shared" si="39"/>
        <v>1270629.9180247658</v>
      </c>
      <c r="S318" s="30">
        <f>AN318*IF(G318="근접",IF(MID(E318,1,1)="1",트라이포드!$D$18,트라이포드!$C$18),1)*IF(MID(E318,1,1)="2",트라이포드!$F$18,트라이포드!$E$18)*IF(MID(E318,3,1)="1",트라이포드!$J$18,트라이포드!$I$18)*IF(MID(E318,5,1)="2",트라이포드!$R$18,트라이포드!$Q$18)*(1+입력란!$C$42/100)*IF(입력란!$C$9=1,IF(입력란!$C$15=0,1.05,IF(입력란!$C$15=1,1.05*1.05,IF(입력란!$C$15=2,1.05*1.12,IF(입력란!$C$15=3,1.05*1.25)))),1)</f>
        <v>381189.55010314507</v>
      </c>
      <c r="T318" s="30">
        <f>AO318*IF(G318="근접",IF(MID(E318,1,1)="1",트라이포드!$D$18,트라이포드!$C$18),1)*IF(MID(E318,1,1)="2",트라이포드!$F$18,트라이포드!$E$18)*IF(MID(E318,3,1)="1",트라이포드!$J$18,트라이포드!$I$18)*IF(MID(E318,5,1)="2",트라이포드!$R$18,트라이포드!$Q$18)*(1+입력란!$C$42/100)*IF(입력란!$C$9=1,IF(입력란!$C$15=0,1.05,IF(입력란!$C$15=1,1.05*1.05,IF(입력란!$C$15=2,1.05*1.12,IF(입력란!$C$15=3,1.05*1.25)))),1)</f>
        <v>381189.55010314507</v>
      </c>
      <c r="U318" s="30">
        <f>AP318*IF(G318="근접",IF(MID(E318,1,1)="1",트라이포드!$D$18,트라이포드!$C$18),1)*IF(MID(E318,1,1)="2",트라이포드!$F$18,트라이포드!$E$18)*IF(MID(E318,3,1)="1",트라이포드!$J$18,트라이포드!$I$18)*IF(MID(E318,5,1)="2",트라이포드!$R$18,트라이포드!$Q$18)*(1+입력란!$C$42/100)*IF(입력란!$C$9=1,IF(입력란!$C$15=0,1.05,IF(입력란!$C$15=1,1.05*1.05,IF(입력란!$C$15=2,1.05*1.12,IF(입력란!$C$15=3,1.05*1.25)))),1)</f>
        <v>508250.81781847577</v>
      </c>
      <c r="V318" s="30">
        <f>IF(MID(E318,5,1)="1",(S318+T318+U318)*트라이포드!$P$18,트라이포드!$O$18)</f>
        <v>0</v>
      </c>
      <c r="W318" s="30"/>
      <c r="X318" s="39"/>
      <c r="Y318" s="39"/>
      <c r="Z318" s="27"/>
      <c r="AA318" s="30">
        <f t="shared" si="40"/>
        <v>2541259.8360495316</v>
      </c>
      <c r="AB318" s="30">
        <f t="shared" si="41"/>
        <v>762379.10020629014</v>
      </c>
      <c r="AC318" s="30">
        <f t="shared" si="42"/>
        <v>762379.10020629014</v>
      </c>
      <c r="AD318" s="30">
        <f t="shared" si="44"/>
        <v>1016501.6356369515</v>
      </c>
      <c r="AE318" s="30"/>
      <c r="AF318" s="39"/>
      <c r="AG318" s="39"/>
      <c r="AH318" s="39"/>
      <c r="AI318" s="27"/>
      <c r="AJ318" s="26">
        <f>(AQ318-IF(MID(E318,3,1)="3",트라이포드!$N$18,트라이포드!$M$18))*(1-입력란!$C$35/100)</f>
        <v>24.7101760195</v>
      </c>
      <c r="AK3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8" s="26">
        <f>입력란!$C$47+IF(입력란!$C$18=1,10,IF(입력란!$C$18=2,25,IF(입력란!$C$18=3,50,0)))+IF(입력란!$C$23&lt;&gt;0,-12)</f>
        <v>200</v>
      </c>
      <c r="AM318" s="30">
        <f t="shared" si="43"/>
        <v>353753.78914395336</v>
      </c>
      <c r="AN318" s="30">
        <f>(VLOOKUP(C318,$B$4:$AJ$7,20,FALSE)+VLOOKUP(C318,$B$8:$AJ$11,20,FALSE)*입력란!$C$29)*IF(G318="근접",입력란!$C$50,IF(MID(E318,1,1)="2",입력란!$C$50,입력란!$C$49))*입력란!$C$48/100</f>
        <v>106126.296743186</v>
      </c>
      <c r="AO318" s="30">
        <f>(VLOOKUP(C318,$B$4:$AJ$7,21,FALSE)+VLOOKUP(C318,$B$8:$AJ$11,21,FALSE)*입력란!$C$29)*IF(G318="근접",입력란!$C$50,IF(MID(E318,1,1)="2",입력란!$C$50,입력란!$C$49))*입력란!$C$48/100</f>
        <v>106126.296743186</v>
      </c>
      <c r="AP318" s="30">
        <f>(VLOOKUP(C318,$B$4:$AJ$7,22,FALSE)+VLOOKUP(C318,$B$8:$AJ$11,22,FALSE)*입력란!$C$29)*IF(G318="근접",입력란!$C$50,IF(MID(E318,1,1)="2",입력란!$C$50,입력란!$C$49))*입력란!$C$48/100</f>
        <v>141501.19565758132</v>
      </c>
      <c r="AQ318" s="29">
        <v>36</v>
      </c>
    </row>
    <row r="319" spans="2:43" ht="13.5" customHeight="1" x14ac:dyDescent="0.3">
      <c r="B319" s="31">
        <v>304</v>
      </c>
      <c r="C319" s="36">
        <v>10</v>
      </c>
      <c r="D319" s="43" t="s">
        <v>50</v>
      </c>
      <c r="E319" s="38" t="s">
        <v>106</v>
      </c>
      <c r="F319" s="40" t="s">
        <v>138</v>
      </c>
      <c r="G319" s="40" t="s">
        <v>39</v>
      </c>
      <c r="H319" s="52">
        <f t="shared" si="38"/>
        <v>54931.987767976949</v>
      </c>
      <c r="I319" s="53">
        <f>SUM(J319:Q319)*IF(입력란!$C$16=1,1.04,IF(입력란!$C$16=2,1.1,IF(입력란!$C$16=3,1.2,1)))*IF(입력란!$C$21=1,1+입력란!$C$38*0.001,IF(입력란!$C$21=2,1+입력란!$C$38*0.0022,IF(입력란!$C$21=3,1+입력란!$C$38*0.0045,1)))*IF(입력란!$C$18&lt;&gt;0,0.98,1)</f>
        <v>1357379.0868477314</v>
      </c>
      <c r="J319" s="30">
        <f>S319*(1+IF($AK319+IF(입력란!$C$9=1,10,0)+IF(입력란!$C$26=1,10,0)&gt;100,100,$AK319+IF(입력란!$C$9=1,10,0)+IF(입력란!$C$26=1,10,0))/100*($AL319/100-1))</f>
        <v>407214.33998598764</v>
      </c>
      <c r="K319" s="30">
        <f>T319*(1+IF($AK319+IF(입력란!$C$9=1,10,0)+IF(입력란!$C$26=1,10,0)&gt;100,100,$AK319+IF(입력란!$C$9=1,10,0)+IF(입력란!$C$26=1,10,0))/100*($AL319/100-1))</f>
        <v>407214.33998598764</v>
      </c>
      <c r="L319" s="30">
        <f>U319*(1+IF($AK319+IF(입력란!$C$9=1,10,0)+IF(입력란!$C$26=1,10,0)&gt;100,100,$AK319+IF(입력란!$C$9=1,10,0)+IF(입력란!$C$26=1,10,0))/100*($AL319/100-1))</f>
        <v>542950.40687575622</v>
      </c>
      <c r="M319" s="30">
        <f>V319*(1+IF($AK319+IF(입력란!$C$9=1,10,0)+IF(입력란!$C$26=1,10,0)&gt;100,100,$AK319+IF(입력란!$C$9=1,10,0)+IF(입력란!$C$26=1,10,0))/100*($AL319/100-1))</f>
        <v>0</v>
      </c>
      <c r="N319" s="39"/>
      <c r="O319" s="39"/>
      <c r="P319" s="39"/>
      <c r="Q319" s="35"/>
      <c r="R319" s="24">
        <f t="shared" si="39"/>
        <v>1118154.3278617943</v>
      </c>
      <c r="S319" s="30">
        <f>AN319*IF(G319="근접",IF(MID(E319,1,1)="1",트라이포드!$D$18,트라이포드!$C$18),1)*IF(MID(E319,1,1)="2",트라이포드!$F$18,트라이포드!$E$18)*IF(MID(E319,3,1)="1",트라이포드!$J$18,트라이포드!$I$18)*IF(MID(E319,5,1)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T319" s="30">
        <f>AO319*IF(G319="근접",IF(MID(E319,1,1)="1",트라이포드!$D$18,트라이포드!$C$18),1)*IF(MID(E319,1,1)="2",트라이포드!$F$18,트라이포드!$E$18)*IF(MID(E319,3,1)="1",트라이포드!$J$18,트라이포드!$I$18)*IF(MID(E319,5,1)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U319" s="30">
        <f>AP319*IF(G319="근접",IF(MID(E319,1,1)="1",트라이포드!$D$18,트라이포드!$C$18),1)*IF(MID(E319,1,1)="2",트라이포드!$F$18,트라이포드!$E$18)*IF(MID(E319,3,1)="1",트라이포드!$J$18,트라이포드!$I$18)*IF(MID(E319,5,1)="2",트라이포드!$R$18,트라이포드!$Q$18)*(1+입력란!$C$42/100)*IF(입력란!$C$9=1,IF(입력란!$C$15=0,1.05,IF(입력란!$C$15=1,1.05*1.05,IF(입력란!$C$15=2,1.05*1.12,IF(입력란!$C$15=3,1.05*1.25)))),1)</f>
        <v>447260.71968025877</v>
      </c>
      <c r="V319" s="30">
        <f>IF(MID(E319,5,1)="1",(S319+T319+U319)*트라이포드!$P$18,트라이포드!$O$18)</f>
        <v>0</v>
      </c>
      <c r="W319" s="30"/>
      <c r="X319" s="39"/>
      <c r="Y319" s="39"/>
      <c r="Z319" s="27"/>
      <c r="AA319" s="30">
        <f t="shared" si="40"/>
        <v>2236308.6557235885</v>
      </c>
      <c r="AB319" s="30">
        <f t="shared" si="41"/>
        <v>670893.60818153538</v>
      </c>
      <c r="AC319" s="30">
        <f t="shared" si="42"/>
        <v>670893.60818153538</v>
      </c>
      <c r="AD319" s="30">
        <f t="shared" si="44"/>
        <v>894521.43936051754</v>
      </c>
      <c r="AE319" s="30"/>
      <c r="AF319" s="39"/>
      <c r="AG319" s="39"/>
      <c r="AH319" s="39"/>
      <c r="AI319" s="27"/>
      <c r="AJ319" s="26">
        <f>(AQ319-IF(MID(E319,3,1)="3",트라이포드!$N$18,트라이포드!$M$18))*(1-입력란!$C$35/100)</f>
        <v>24.7101760195</v>
      </c>
      <c r="AK3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19" s="26">
        <f>입력란!$C$47+IF(입력란!$C$18=1,10,IF(입력란!$C$18=2,25,IF(입력란!$C$18=3,50,0)))+IF(입력란!$C$23&lt;&gt;0,-12)</f>
        <v>200</v>
      </c>
      <c r="AM319" s="30">
        <f t="shared" si="43"/>
        <v>353753.78914395336</v>
      </c>
      <c r="AN319" s="30">
        <f>(VLOOKUP(C319,$B$4:$AJ$7,20,FALSE)+VLOOKUP(C319,$B$8:$AJ$11,20,FALSE)*입력란!$C$29)*IF(G319="근접",입력란!$C$50,IF(MID(E319,1,1)="2",입력란!$C$50,입력란!$C$49))*입력란!$C$48/100</f>
        <v>106126.296743186</v>
      </c>
      <c r="AO319" s="30">
        <f>(VLOOKUP(C319,$B$4:$AJ$7,21,FALSE)+VLOOKUP(C319,$B$8:$AJ$11,21,FALSE)*입력란!$C$29)*IF(G319="근접",입력란!$C$50,IF(MID(E319,1,1)="2",입력란!$C$50,입력란!$C$49))*입력란!$C$48/100</f>
        <v>106126.296743186</v>
      </c>
      <c r="AP319" s="30">
        <f>(VLOOKUP(C319,$B$4:$AJ$7,22,FALSE)+VLOOKUP(C319,$B$8:$AJ$11,22,FALSE)*입력란!$C$29)*IF(G319="근접",입력란!$C$50,IF(MID(E319,1,1)="2",입력란!$C$50,입력란!$C$49))*입력란!$C$48/100</f>
        <v>141501.19565758132</v>
      </c>
      <c r="AQ319" s="29">
        <v>36</v>
      </c>
    </row>
    <row r="320" spans="2:43" ht="13.5" customHeight="1" x14ac:dyDescent="0.3">
      <c r="B320" s="31">
        <v>305</v>
      </c>
      <c r="C320" s="36">
        <v>1</v>
      </c>
      <c r="D320" s="43" t="s">
        <v>212</v>
      </c>
      <c r="E320" s="38" t="s">
        <v>186</v>
      </c>
      <c r="F320" s="40"/>
      <c r="G320" s="40" t="s">
        <v>203</v>
      </c>
      <c r="H320" s="52">
        <f t="shared" si="38"/>
        <v>9596.8030245878854</v>
      </c>
      <c r="I320" s="53">
        <f>SUM(J320:Q320)*IF(입력란!$C$16=1,1.04,IF(입력란!$C$16=2,1.1,IF(입력란!$C$16=3,1.2,1)))*IF(입력란!$C$21=1,1+입력란!$C$38*0.001,IF(입력란!$C$21=2,1+입력란!$C$38*0.0022,IF(입력란!$C$21=3,1+입력란!$C$38*0.0045,1)))*IF(입력란!$C$18&lt;&gt;0,0.98,1)</f>
        <v>341479.71642533271</v>
      </c>
      <c r="J320" s="30">
        <f>S320*(1+IF($AK320+IF(입력란!$C$9=1,10,0)+IF(입력란!$C$26=1,10,0)&gt;100,100,$AK320+IF(입력란!$C$9=1,10,0)+IF(입력란!$C$26=1,10,0))/100*($AL320/100-1))</f>
        <v>102446.74493564927</v>
      </c>
      <c r="K320" s="30">
        <f>T320*(1+IF($AK320+IF(입력란!$C$9=1,10,0)+IF(입력란!$C$26=1,10,0)&gt;100,100,$AK320+IF(입력란!$C$9=1,10,0)+IF(입력란!$C$26=1,10,0))/100*($AL320/100-1))</f>
        <v>102446.74493564927</v>
      </c>
      <c r="L320" s="30">
        <f>U320*(1+IF($AK320+IF(입력란!$C$9=1,10,0)+IF(입력란!$C$26=1,10,0)&gt;100,100,$AK320+IF(입력란!$C$9=1,10,0)+IF(입력란!$C$26=1,10,0))/100*($AL320/100-1))</f>
        <v>136586.22655403416</v>
      </c>
      <c r="M320" s="30">
        <f>V320*(1+IF($AK320+IF(입력란!$C$9=1,10,0)+IF(입력란!$C$26=1,10,0)&gt;100,100,$AK320+IF(입력란!$C$9=1,10,0)+IF(입력란!$C$26=1,10,0))/100*($AL320/100-1))</f>
        <v>0</v>
      </c>
      <c r="N320" s="39"/>
      <c r="O320" s="39"/>
      <c r="P320" s="39"/>
      <c r="Q320" s="35"/>
      <c r="R320" s="24">
        <f t="shared" si="39"/>
        <v>281297.26359990449</v>
      </c>
      <c r="S320" s="30">
        <f>AN320*IF(G320="근접",IF(MID(E320,1,1)="1",트라이포드!$D$18,트라이포드!$C$18),1)*IF(MID(E320,1,1)="2",트라이포드!$F$18,트라이포드!$E$18)*IF(MID(E320,3,1)="1",트라이포드!$J$18,트라이포드!$I$18)*IF(MID(E320,5,1)="2",트라이포드!$R$18,트라이포드!$Q$18)*(1+입력란!$C$42/100)*IF(입력란!$C$9=1,IF(입력란!$C$15=0,1.05,IF(입력란!$C$15=1,1.05*1.05,IF(입력란!$C$15=2,1.05*1.12,IF(입력란!$C$15=3,1.05*1.25)))),1)</f>
        <v>84391.510326841919</v>
      </c>
      <c r="T320" s="30">
        <f>AO320*IF(G320="근접",IF(MID(E320,1,1)="1",트라이포드!$D$18,트라이포드!$C$18),1)*IF(MID(E320,1,1)="2",트라이포드!$F$18,트라이포드!$E$18)*IF(MID(E320,3,1)="1",트라이포드!$J$18,트라이포드!$I$18)*IF(MID(E320,5,1)="2",트라이포드!$R$18,트라이포드!$Q$18)*(1+입력란!$C$42/100)*IF(입력란!$C$9=1,IF(입력란!$C$15=0,1.05,IF(입력란!$C$15=1,1.05*1.05,IF(입력란!$C$15=2,1.05*1.12,IF(입력란!$C$15=3,1.05*1.25)))),1)</f>
        <v>84391.510326841919</v>
      </c>
      <c r="U320" s="30">
        <f>AP320*IF(G320="근접",IF(MID(E320,1,1)="1",트라이포드!$D$18,트라이포드!$C$18),1)*IF(MID(E320,1,1)="2",트라이포드!$F$18,트라이포드!$E$18)*IF(MID(E320,3,1)="1",트라이포드!$J$18,트라이포드!$I$18)*IF(MID(E320,5,1)="2",트라이포드!$R$18,트라이포드!$Q$18)*(1+입력란!$C$42/100)*IF(입력란!$C$9=1,IF(입력란!$C$15=0,1.05,IF(입력란!$C$15=1,1.05*1.05,IF(입력란!$C$15=2,1.05*1.12,IF(입력란!$C$15=3,1.05*1.25)))),1)</f>
        <v>112514.24294622065</v>
      </c>
      <c r="V320" s="30">
        <f>IF(MID(E320,5,1)="1",(S320+T320+U320)*트라이포드!$P$18,트라이포드!$O$18)</f>
        <v>0</v>
      </c>
      <c r="W320" s="30"/>
      <c r="X320" s="39"/>
      <c r="Y320" s="39"/>
      <c r="Z320" s="27"/>
      <c r="AA320" s="30">
        <f t="shared" si="40"/>
        <v>562594.52719980897</v>
      </c>
      <c r="AB320" s="30">
        <f t="shared" si="41"/>
        <v>168783.02065368384</v>
      </c>
      <c r="AC320" s="30">
        <f t="shared" si="42"/>
        <v>168783.02065368384</v>
      </c>
      <c r="AD320" s="30">
        <f t="shared" si="44"/>
        <v>225028.4858924413</v>
      </c>
      <c r="AE320" s="30"/>
      <c r="AF320" s="39"/>
      <c r="AG320" s="39"/>
      <c r="AH320" s="39"/>
      <c r="AI320" s="27"/>
      <c r="AJ320" s="26">
        <f>(AQ320-IF(MID(E320,3,1)="3",트라이포드!$N$18,트라이포드!$M$18))*(1-입력란!$C$35/100)</f>
        <v>35.582653468079997</v>
      </c>
      <c r="AK3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0" s="26">
        <f>입력란!$C$47+IF(입력란!$C$18=1,10,IF(입력란!$C$18=2,25,IF(입력란!$C$18=3,50,0)))+IF(입력란!$C$23&lt;&gt;0,-12)</f>
        <v>200</v>
      </c>
      <c r="AM320" s="30">
        <f t="shared" si="43"/>
        <v>176209.79625224933</v>
      </c>
      <c r="AN320" s="30">
        <f>(VLOOKUP(C320,$B$4:$AJ$7,20,FALSE)+VLOOKUP(C320,$B$8:$AJ$11,20,FALSE)*입력란!$C$29)*IF(G320="근접",입력란!$C$50,IF(MID(E320,1,1)="2",입력란!$C$50,입력란!$C$49))*입력란!$C$48/100</f>
        <v>52864.399211729338</v>
      </c>
      <c r="AO320" s="30">
        <f>(VLOOKUP(C320,$B$4:$AJ$7,21,FALSE)+VLOOKUP(C320,$B$8:$AJ$11,21,FALSE)*입력란!$C$29)*IF(G320="근접",입력란!$C$50,IF(MID(E320,1,1)="2",입력란!$C$50,입력란!$C$49))*입력란!$C$48/100</f>
        <v>52864.399211729338</v>
      </c>
      <c r="AP320" s="30">
        <f>(VLOOKUP(C320,$B$4:$AJ$7,22,FALSE)+VLOOKUP(C320,$B$8:$AJ$11,22,FALSE)*입력란!$C$29)*IF(G320="근접",입력란!$C$50,IF(MID(E320,1,1)="2",입력란!$C$50,입력란!$C$49))*입력란!$C$48/100</f>
        <v>70480.997828790656</v>
      </c>
      <c r="AQ320" s="29">
        <v>36</v>
      </c>
    </row>
    <row r="321" spans="2:43" ht="13.5" customHeight="1" x14ac:dyDescent="0.3">
      <c r="B321" s="31">
        <v>306</v>
      </c>
      <c r="C321" s="36">
        <v>4</v>
      </c>
      <c r="D321" s="43" t="s">
        <v>212</v>
      </c>
      <c r="E321" s="38" t="s">
        <v>186</v>
      </c>
      <c r="F321" s="40"/>
      <c r="G321" s="40" t="s">
        <v>203</v>
      </c>
      <c r="H321" s="52">
        <f t="shared" si="38"/>
        <v>9617.2317678577765</v>
      </c>
      <c r="I321" s="53">
        <f>SUM(J321:Q321)*IF(입력란!$C$16=1,1.04,IF(입력란!$C$16=2,1.1,IF(입력란!$C$16=3,1.2,1)))*IF(입력란!$C$21=1,1+입력란!$C$38*0.001,IF(입력란!$C$21=2,1+입력란!$C$38*0.0022,IF(입력란!$C$21=3,1+입력란!$C$38*0.0045,1)))*IF(입력란!$C$18&lt;&gt;0,0.98,1)</f>
        <v>342206.62531789363</v>
      </c>
      <c r="J321" s="30">
        <f>S321*(1+IF($AK321+IF(입력란!$C$9=1,10,0)+IF(입력란!$C$26=1,10,0)&gt;100,100,$AK321+IF(입력란!$C$9=1,10,0)+IF(입력란!$C$26=1,10,0))/100*($AL321/100-1))</f>
        <v>102662.14262861764</v>
      </c>
      <c r="K321" s="30">
        <f>T321*(1+IF($AK321+IF(입력란!$C$9=1,10,0)+IF(입력란!$C$26=1,10,0)&gt;100,100,$AK321+IF(입력란!$C$9=1,10,0)+IF(입력란!$C$26=1,10,0))/100*($AL321/100-1))</f>
        <v>102662.14262861764</v>
      </c>
      <c r="L321" s="30">
        <f>U321*(1+IF($AK321+IF(입력란!$C$9=1,10,0)+IF(입력란!$C$26=1,10,0)&gt;100,100,$AK321+IF(입력란!$C$9=1,10,0)+IF(입력란!$C$26=1,10,0))/100*($AL321/100-1))</f>
        <v>136882.34006065835</v>
      </c>
      <c r="M321" s="30">
        <f>V321*(1+IF($AK321+IF(입력란!$C$9=1,10,0)+IF(입력란!$C$26=1,10,0)&gt;100,100,$AK321+IF(입력란!$C$9=1,10,0)+IF(입력란!$C$26=1,10,0))/100*($AL321/100-1))</f>
        <v>0</v>
      </c>
      <c r="N321" s="39"/>
      <c r="O321" s="39"/>
      <c r="P321" s="39"/>
      <c r="Q321" s="35"/>
      <c r="R321" s="24">
        <f t="shared" si="39"/>
        <v>281896.06192533456</v>
      </c>
      <c r="S321" s="30">
        <f>AN321*IF(G321="근접",IF(MID(E321,1,1)="1",트라이포드!$D$18,트라이포드!$C$18),1)*IF(MID(E321,1,1)="2",트라이포드!$F$18,트라이포드!$E$18)*IF(MID(E321,3,1)="1",트라이포드!$J$18,트라이포드!$I$18)*IF(MID(E321,5,1)="2",트라이포드!$R$18,트라이포드!$Q$18)*(1+입력란!$C$42/100)*IF(입력란!$C$9=1,IF(입력란!$C$15=0,1.05,IF(입력란!$C$15=1,1.05*1.05,IF(입력란!$C$15=2,1.05*1.12,IF(입력란!$C$15=3,1.05*1.25)))),1)</f>
        <v>84568.946287759332</v>
      </c>
      <c r="T321" s="30">
        <f>AO321*IF(G321="근접",IF(MID(E321,1,1)="1",트라이포드!$D$18,트라이포드!$C$18),1)*IF(MID(E321,1,1)="2",트라이포드!$F$18,트라이포드!$E$18)*IF(MID(E321,3,1)="1",트라이포드!$J$18,트라이포드!$I$18)*IF(MID(E321,5,1)="2",트라이포드!$R$18,트라이포드!$Q$18)*(1+입력란!$C$42/100)*IF(입력란!$C$9=1,IF(입력란!$C$15=0,1.05,IF(입력란!$C$15=1,1.05*1.05,IF(입력란!$C$15=2,1.05*1.12,IF(입력란!$C$15=3,1.05*1.25)))),1)</f>
        <v>84568.946287759332</v>
      </c>
      <c r="U321" s="30">
        <f>AP321*IF(G321="근접",IF(MID(E321,1,1)="1",트라이포드!$D$18,트라이포드!$C$18),1)*IF(MID(E321,1,1)="2",트라이포드!$F$18,트라이포드!$E$18)*IF(MID(E321,3,1)="1",트라이포드!$J$18,트라이포드!$I$18)*IF(MID(E321,5,1)="2",트라이포드!$R$18,트라이포드!$Q$18)*(1+입력란!$C$42/100)*IF(입력란!$C$9=1,IF(입력란!$C$15=0,1.05,IF(입력란!$C$15=1,1.05*1.05,IF(입력란!$C$15=2,1.05*1.12,IF(입력란!$C$15=3,1.05*1.25)))),1)</f>
        <v>112758.16934981591</v>
      </c>
      <c r="V321" s="30">
        <f>IF(MID(E321,5,1)="1",(S321+T321+U321)*트라이포드!$P$18,트라이포드!$O$18)</f>
        <v>0</v>
      </c>
      <c r="W321" s="30"/>
      <c r="X321" s="39"/>
      <c r="Y321" s="39"/>
      <c r="Z321" s="27"/>
      <c r="AA321" s="30">
        <f t="shared" si="40"/>
        <v>563792.12385066913</v>
      </c>
      <c r="AB321" s="30">
        <f t="shared" si="41"/>
        <v>169137.89257551866</v>
      </c>
      <c r="AC321" s="30">
        <f t="shared" si="42"/>
        <v>169137.89257551866</v>
      </c>
      <c r="AD321" s="30">
        <f t="shared" si="44"/>
        <v>225516.33869963183</v>
      </c>
      <c r="AE321" s="30"/>
      <c r="AF321" s="39"/>
      <c r="AG321" s="39"/>
      <c r="AH321" s="39"/>
      <c r="AI321" s="27"/>
      <c r="AJ321" s="26">
        <f>(AQ321-IF(MID(E321,3,1)="3",트라이포드!$N$18,트라이포드!$M$18))*(1-입력란!$C$35/100)</f>
        <v>35.582653468079997</v>
      </c>
      <c r="AK3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1" s="26">
        <f>입력란!$C$47+IF(입력란!$C$18=1,10,IF(입력란!$C$18=2,25,IF(입력란!$C$18=3,50,0)))+IF(입력란!$C$23&lt;&gt;0,-12)</f>
        <v>200</v>
      </c>
      <c r="AM321" s="30">
        <f t="shared" si="43"/>
        <v>176584.89457197668</v>
      </c>
      <c r="AN321" s="30">
        <f>(VLOOKUP(C321,$B$4:$AJ$7,20,FALSE)+VLOOKUP(C321,$B$8:$AJ$11,20,FALSE)*입력란!$C$29)*IF(G321="근접",입력란!$C$50,IF(MID(E321,1,1)="2",입력란!$C$50,입력란!$C$49))*입력란!$C$48/100</f>
        <v>52975.548371593002</v>
      </c>
      <c r="AO321" s="30">
        <f>(VLOOKUP(C321,$B$4:$AJ$7,21,FALSE)+VLOOKUP(C321,$B$8:$AJ$11,21,FALSE)*입력란!$C$29)*IF(G321="근접",입력란!$C$50,IF(MID(E321,1,1)="2",입력란!$C$50,입력란!$C$49))*입력란!$C$48/100</f>
        <v>52975.548371593002</v>
      </c>
      <c r="AP321" s="30">
        <f>(VLOOKUP(C321,$B$4:$AJ$7,22,FALSE)+VLOOKUP(C321,$B$8:$AJ$11,22,FALSE)*입력란!$C$29)*IF(G321="근접",입력란!$C$50,IF(MID(E321,1,1)="2",입력란!$C$50,입력란!$C$49))*입력란!$C$48/100</f>
        <v>70633.797828790659</v>
      </c>
      <c r="AQ321" s="29">
        <v>36</v>
      </c>
    </row>
    <row r="322" spans="2:43" ht="13.5" customHeight="1" x14ac:dyDescent="0.3">
      <c r="B322" s="31">
        <v>307</v>
      </c>
      <c r="C322" s="36">
        <v>4</v>
      </c>
      <c r="D322" s="43" t="s">
        <v>50</v>
      </c>
      <c r="E322" s="38" t="s">
        <v>377</v>
      </c>
      <c r="F322" s="40"/>
      <c r="G322" s="40" t="s">
        <v>38</v>
      </c>
      <c r="H322" s="52">
        <f t="shared" si="38"/>
        <v>21157.909889287112</v>
      </c>
      <c r="I322" s="53">
        <f>SUM(J322:Q322)*IF(입력란!$C$16=1,1.04,IF(입력란!$C$16=2,1.1,IF(입력란!$C$16=3,1.2,1)))*IF(입력란!$C$21=1,1+입력란!$C$38*0.001,IF(입력란!$C$21=2,1+입력란!$C$38*0.0022,IF(입력란!$C$21=3,1+입력란!$C$38*0.0045,1)))*IF(입력란!$C$18&lt;&gt;0,0.98,1)</f>
        <v>752854.57569936605</v>
      </c>
      <c r="J322" s="30">
        <f>S322*(1+IF($AK322+IF(입력란!$C$9=1,10,0)+IF(입력란!$C$26=1,10,0)&gt;100,100,$AK322+IF(입력란!$C$9=1,10,0)+IF(입력란!$C$26=1,10,0))/100*($AL322/100-1))</f>
        <v>225856.71378295883</v>
      </c>
      <c r="K322" s="30">
        <f>T322*(1+IF($AK322+IF(입력란!$C$9=1,10,0)+IF(입력란!$C$26=1,10,0)&gt;100,100,$AK322+IF(입력란!$C$9=1,10,0)+IF(입력란!$C$26=1,10,0))/100*($AL322/100-1))</f>
        <v>225856.71378295883</v>
      </c>
      <c r="L322" s="30">
        <f>U322*(1+IF($AK322+IF(입력란!$C$9=1,10,0)+IF(입력란!$C$26=1,10,0)&gt;100,100,$AK322+IF(입력란!$C$9=1,10,0)+IF(입력란!$C$26=1,10,0))/100*($AL322/100-1))</f>
        <v>301141.14813344838</v>
      </c>
      <c r="M322" s="30">
        <f>V322*(1+IF($AK322+IF(입력란!$C$9=1,10,0)+IF(입력란!$C$26=1,10,0)&gt;100,100,$AK322+IF(입력란!$C$9=1,10,0)+IF(입력란!$C$26=1,10,0))/100*($AL322/100-1))</f>
        <v>0</v>
      </c>
      <c r="N322" s="39"/>
      <c r="O322" s="39"/>
      <c r="P322" s="39"/>
      <c r="Q322" s="35"/>
      <c r="R322" s="24">
        <f t="shared" si="39"/>
        <v>620171.33623573603</v>
      </c>
      <c r="S322" s="30">
        <f>AN322*IF(G322="근접",IF(MID(E322,1,1)="1",트라이포드!$D$18,트라이포드!$C$18),1)*IF(MID(E322,1,1)="2",트라이포드!$F$18,트라이포드!$E$18)*IF(MID(E322,3,1)="1",트라이포드!$J$18,트라이포드!$I$18)*IF(MID(E322,5,1)="2",트라이포드!$R$18,트라이포드!$Q$18)*(1+입력란!$C$42/100)*IF(입력란!$C$9=1,IF(입력란!$C$15=0,1.05,IF(입력란!$C$15=1,1.05*1.05,IF(입력란!$C$15=2,1.05*1.12,IF(입력란!$C$15=3,1.05*1.25)))),1)</f>
        <v>186051.68183307053</v>
      </c>
      <c r="T322" s="30">
        <f>AO322*IF(G322="근접",IF(MID(E322,1,1)="1",트라이포드!$D$18,트라이포드!$C$18),1)*IF(MID(E322,1,1)="2",트라이포드!$F$18,트라이포드!$E$18)*IF(MID(E322,3,1)="1",트라이포드!$J$18,트라이포드!$I$18)*IF(MID(E322,5,1)="2",트라이포드!$R$18,트라이포드!$Q$18)*(1+입력란!$C$42/100)*IF(입력란!$C$9=1,IF(입력란!$C$15=0,1.05,IF(입력란!$C$15=1,1.05*1.05,IF(입력란!$C$15=2,1.05*1.12,IF(입력란!$C$15=3,1.05*1.25)))),1)</f>
        <v>186051.68183307053</v>
      </c>
      <c r="U322" s="30">
        <f>AP322*IF(G322="근접",IF(MID(E322,1,1)="1",트라이포드!$D$18,트라이포드!$C$18),1)*IF(MID(E322,1,1)="2",트라이포드!$F$18,트라이포드!$E$18)*IF(MID(E322,3,1)="1",트라이포드!$J$18,트라이포드!$I$18)*IF(MID(E322,5,1)="2",트라이포드!$R$18,트라이포드!$Q$18)*(1+입력란!$C$42/100)*IF(입력란!$C$9=1,IF(입력란!$C$15=0,1.05,IF(입력란!$C$15=1,1.05*1.05,IF(입력란!$C$15=2,1.05*1.12,IF(입력란!$C$15=3,1.05*1.25)))),1)</f>
        <v>248067.97256959503</v>
      </c>
      <c r="V322" s="30">
        <f>IF(MID(E322,5,1)="1",(S322+T322+U322)*트라이포드!$P$18,트라이포드!$O$18)</f>
        <v>0</v>
      </c>
      <c r="W322" s="30"/>
      <c r="X322" s="39"/>
      <c r="Y322" s="39"/>
      <c r="Z322" s="27"/>
      <c r="AA322" s="30">
        <f t="shared" si="40"/>
        <v>1240342.6724714721</v>
      </c>
      <c r="AB322" s="30">
        <f t="shared" si="41"/>
        <v>372103.36366614106</v>
      </c>
      <c r="AC322" s="30">
        <f t="shared" si="42"/>
        <v>372103.36366614106</v>
      </c>
      <c r="AD322" s="30">
        <f t="shared" si="44"/>
        <v>496135.94513919007</v>
      </c>
      <c r="AE322" s="30"/>
      <c r="AF322" s="39"/>
      <c r="AG322" s="39"/>
      <c r="AH322" s="39"/>
      <c r="AI322" s="27"/>
      <c r="AJ322" s="26">
        <f>(AQ322-IF(MID(E322,3,1)="3",트라이포드!$N$18,트라이포드!$M$18))*(1-입력란!$C$35/100)</f>
        <v>35.582653468079997</v>
      </c>
      <c r="AK3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2" s="26">
        <f>입력란!$C$47+IF(입력란!$C$18=1,10,IF(입력란!$C$18=2,25,IF(입력란!$C$18=3,50,0)))+IF(입력란!$C$23&lt;&gt;0,-12)</f>
        <v>200</v>
      </c>
      <c r="AM322" s="30">
        <f t="shared" si="43"/>
        <v>353169.78914395336</v>
      </c>
      <c r="AN322" s="30">
        <f>(VLOOKUP(C322,$B$4:$AJ$7,20,FALSE)+VLOOKUP(C322,$B$8:$AJ$11,20,FALSE)*입력란!$C$29)*IF(G322="근접",입력란!$C$50,IF(MID(E322,1,1)="2",입력란!$C$50,입력란!$C$49))*입력란!$C$48/100</f>
        <v>105951.096743186</v>
      </c>
      <c r="AO322" s="30">
        <f>(VLOOKUP(C322,$B$4:$AJ$7,21,FALSE)+VLOOKUP(C322,$B$8:$AJ$11,21,FALSE)*입력란!$C$29)*IF(G322="근접",입력란!$C$50,IF(MID(E322,1,1)="2",입력란!$C$50,입력란!$C$49))*입력란!$C$48/100</f>
        <v>105951.096743186</v>
      </c>
      <c r="AP322" s="30">
        <f>(VLOOKUP(C322,$B$4:$AJ$7,22,FALSE)+VLOOKUP(C322,$B$8:$AJ$11,22,FALSE)*입력란!$C$29)*IF(G322="근접",입력란!$C$50,IF(MID(E322,1,1)="2",입력란!$C$50,입력란!$C$49))*입력란!$C$48/100</f>
        <v>141267.59565758132</v>
      </c>
      <c r="AQ322" s="29">
        <v>36</v>
      </c>
    </row>
    <row r="323" spans="2:43" ht="13.5" customHeight="1" x14ac:dyDescent="0.3">
      <c r="B323" s="31">
        <v>308</v>
      </c>
      <c r="C323" s="36">
        <v>4</v>
      </c>
      <c r="D323" s="43" t="s">
        <v>212</v>
      </c>
      <c r="E323" s="38" t="s">
        <v>187</v>
      </c>
      <c r="F323" s="40"/>
      <c r="G323" s="40" t="s">
        <v>203</v>
      </c>
      <c r="H323" s="52">
        <f t="shared" si="38"/>
        <v>9617.2317678577765</v>
      </c>
      <c r="I323" s="53">
        <f>SUM(J323:Q323)*IF(입력란!$C$16=1,1.04,IF(입력란!$C$16=2,1.1,IF(입력란!$C$16=3,1.2,1)))*IF(입력란!$C$21=1,1+입력란!$C$38*0.001,IF(입력란!$C$21=2,1+입력란!$C$38*0.0022,IF(입력란!$C$21=3,1+입력란!$C$38*0.0045,1)))*IF(입력란!$C$18&lt;&gt;0,0.98,1)</f>
        <v>342206.62531789363</v>
      </c>
      <c r="J323" s="30">
        <f>S323*(1+IF($AK323+IF(입력란!$C$9=1,10,0)+IF(입력란!$C$26=1,10,0)&gt;100,100,$AK323+IF(입력란!$C$9=1,10,0)+IF(입력란!$C$26=1,10,0))/100*($AL323/100-1))</f>
        <v>102662.14262861764</v>
      </c>
      <c r="K323" s="30">
        <f>T323*(1+IF($AK323+IF(입력란!$C$9=1,10,0)+IF(입력란!$C$26=1,10,0)&gt;100,100,$AK323+IF(입력란!$C$9=1,10,0)+IF(입력란!$C$26=1,10,0))/100*($AL323/100-1))</f>
        <v>102662.14262861764</v>
      </c>
      <c r="L323" s="30">
        <f>U323*(1+IF($AK323+IF(입력란!$C$9=1,10,0)+IF(입력란!$C$26=1,10,0)&gt;100,100,$AK323+IF(입력란!$C$9=1,10,0)+IF(입력란!$C$26=1,10,0))/100*($AL323/100-1))</f>
        <v>136882.34006065835</v>
      </c>
      <c r="M323" s="30">
        <f>V323*(1+IF($AK323+IF(입력란!$C$9=1,10,0)+IF(입력란!$C$26=1,10,0)&gt;100,100,$AK323+IF(입력란!$C$9=1,10,0)+IF(입력란!$C$26=1,10,0))/100*($AL323/100-1))</f>
        <v>0</v>
      </c>
      <c r="N323" s="39"/>
      <c r="O323" s="39"/>
      <c r="P323" s="39"/>
      <c r="Q323" s="35"/>
      <c r="R323" s="24">
        <f t="shared" si="39"/>
        <v>281896.06192533456</v>
      </c>
      <c r="S323" s="30">
        <f>AN323*IF(G323="근접",IF(MID(E323,1,1)="1",트라이포드!$D$18,트라이포드!$C$18),1)*IF(MID(E323,1,1)="2",트라이포드!$F$18,트라이포드!$E$18)*IF(MID(E323,3,1)="1",트라이포드!$J$18,트라이포드!$I$18)*IF(MID(E323,5,1)="2",트라이포드!$R$18,트라이포드!$Q$18)*(1+입력란!$C$42/100)*IF(입력란!$C$9=1,IF(입력란!$C$15=0,1.05,IF(입력란!$C$15=1,1.05*1.05,IF(입력란!$C$15=2,1.05*1.12,IF(입력란!$C$15=3,1.05*1.25)))),1)</f>
        <v>84568.946287759332</v>
      </c>
      <c r="T323" s="30">
        <f>AO323*IF(G323="근접",IF(MID(E323,1,1)="1",트라이포드!$D$18,트라이포드!$C$18),1)*IF(MID(E323,1,1)="2",트라이포드!$F$18,트라이포드!$E$18)*IF(MID(E323,3,1)="1",트라이포드!$J$18,트라이포드!$I$18)*IF(MID(E323,5,1)="2",트라이포드!$R$18,트라이포드!$Q$18)*(1+입력란!$C$42/100)*IF(입력란!$C$9=1,IF(입력란!$C$15=0,1.05,IF(입력란!$C$15=1,1.05*1.05,IF(입력란!$C$15=2,1.05*1.12,IF(입력란!$C$15=3,1.05*1.25)))),1)</f>
        <v>84568.946287759332</v>
      </c>
      <c r="U323" s="30">
        <f>AP323*IF(G323="근접",IF(MID(E323,1,1)="1",트라이포드!$D$18,트라이포드!$C$18),1)*IF(MID(E323,1,1)="2",트라이포드!$F$18,트라이포드!$E$18)*IF(MID(E323,3,1)="1",트라이포드!$J$18,트라이포드!$I$18)*IF(MID(E323,5,1)="2",트라이포드!$R$18,트라이포드!$Q$18)*(1+입력란!$C$42/100)*IF(입력란!$C$9=1,IF(입력란!$C$15=0,1.05,IF(입력란!$C$15=1,1.05*1.05,IF(입력란!$C$15=2,1.05*1.12,IF(입력란!$C$15=3,1.05*1.25)))),1)</f>
        <v>112758.16934981591</v>
      </c>
      <c r="V323" s="30">
        <f>IF(MID(E323,5,1)="1",(S323+T323+U323)*트라이포드!$P$18,트라이포드!$O$18)</f>
        <v>0</v>
      </c>
      <c r="W323" s="30"/>
      <c r="X323" s="39"/>
      <c r="Y323" s="39"/>
      <c r="Z323" s="27"/>
      <c r="AA323" s="30">
        <f t="shared" si="40"/>
        <v>563792.12385066913</v>
      </c>
      <c r="AB323" s="30">
        <f t="shared" si="41"/>
        <v>169137.89257551866</v>
      </c>
      <c r="AC323" s="30">
        <f t="shared" si="42"/>
        <v>169137.89257551866</v>
      </c>
      <c r="AD323" s="30">
        <f t="shared" si="44"/>
        <v>225516.33869963183</v>
      </c>
      <c r="AE323" s="30"/>
      <c r="AF323" s="39"/>
      <c r="AG323" s="39"/>
      <c r="AH323" s="39"/>
      <c r="AI323" s="27"/>
      <c r="AJ323" s="26">
        <f>(AQ323-IF(MID(E323,3,1)="3",트라이포드!$N$18,트라이포드!$M$18))*(1-입력란!$C$35/100)</f>
        <v>35.582653468079997</v>
      </c>
      <c r="AK3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3" s="26">
        <f>입력란!$C$47+IF(입력란!$C$18=1,10,IF(입력란!$C$18=2,25,IF(입력란!$C$18=3,50,0)))+IF(입력란!$C$23&lt;&gt;0,-12)</f>
        <v>200</v>
      </c>
      <c r="AM323" s="30">
        <f t="shared" si="43"/>
        <v>176584.89457197668</v>
      </c>
      <c r="AN323" s="30">
        <f>(VLOOKUP(C323,$B$4:$AJ$7,20,FALSE)+VLOOKUP(C323,$B$8:$AJ$11,20,FALSE)*입력란!$C$29)*IF(G323="근접",입력란!$C$50,IF(MID(E323,1,1)="2",입력란!$C$50,입력란!$C$49))*입력란!$C$48/100</f>
        <v>52975.548371593002</v>
      </c>
      <c r="AO323" s="30">
        <f>(VLOOKUP(C323,$B$4:$AJ$7,21,FALSE)+VLOOKUP(C323,$B$8:$AJ$11,21,FALSE)*입력란!$C$29)*IF(G323="근접",입력란!$C$50,IF(MID(E323,1,1)="2",입력란!$C$50,입력란!$C$49))*입력란!$C$48/100</f>
        <v>52975.548371593002</v>
      </c>
      <c r="AP323" s="30">
        <f>(VLOOKUP(C323,$B$4:$AJ$7,22,FALSE)+VLOOKUP(C323,$B$8:$AJ$11,22,FALSE)*입력란!$C$29)*IF(G323="근접",입력란!$C$50,IF(MID(E323,1,1)="2",입력란!$C$50,입력란!$C$49))*입력란!$C$48/100</f>
        <v>70633.797828790659</v>
      </c>
      <c r="AQ323" s="29">
        <v>36</v>
      </c>
    </row>
    <row r="324" spans="2:43" ht="13.5" customHeight="1" x14ac:dyDescent="0.3">
      <c r="B324" s="31">
        <v>309</v>
      </c>
      <c r="C324" s="36">
        <v>7</v>
      </c>
      <c r="D324" s="43" t="s">
        <v>212</v>
      </c>
      <c r="E324" s="38" t="s">
        <v>186</v>
      </c>
      <c r="F324" s="40"/>
      <c r="G324" s="40" t="s">
        <v>203</v>
      </c>
      <c r="H324" s="52">
        <f t="shared" si="38"/>
        <v>9627.3019514811222</v>
      </c>
      <c r="I324" s="53">
        <f>SUM(J324:Q324)*IF(입력란!$C$16=1,1.04,IF(입력란!$C$16=2,1.1,IF(입력란!$C$16=3,1.2,1)))*IF(입력란!$C$21=1,1+입력란!$C$38*0.001,IF(입력란!$C$21=2,1+입력란!$C$38*0.0022,IF(입력란!$C$21=3,1+입력란!$C$38*0.0045,1)))*IF(입력란!$C$18&lt;&gt;0,0.98,1)</f>
        <v>342564.94917212304</v>
      </c>
      <c r="J324" s="30">
        <f>S324*(1+IF($AK324+IF(입력란!$C$9=1,10,0)+IF(입력란!$C$26=1,10,0)&gt;100,100,$AK324+IF(입력란!$C$9=1,10,0)+IF(입력란!$C$26=1,10,0))/100*($AL324/100-1))</f>
        <v>102772.31475968639</v>
      </c>
      <c r="K324" s="30">
        <f>T324*(1+IF($AK324+IF(입력란!$C$9=1,10,0)+IF(입력란!$C$26=1,10,0)&gt;100,100,$AK324+IF(입력란!$C$9=1,10,0)+IF(입력란!$C$26=1,10,0))/100*($AL324/100-1))</f>
        <v>102772.31475968639</v>
      </c>
      <c r="L324" s="30">
        <f>U324*(1+IF($AK324+IF(입력란!$C$9=1,10,0)+IF(입력란!$C$26=1,10,0)&gt;100,100,$AK324+IF(입력란!$C$9=1,10,0)+IF(입력란!$C$26=1,10,0))/100*($AL324/100-1))</f>
        <v>137020.31965275027</v>
      </c>
      <c r="M324" s="30">
        <f>V324*(1+IF($AK324+IF(입력란!$C$9=1,10,0)+IF(입력란!$C$26=1,10,0)&gt;100,100,$AK324+IF(입력란!$C$9=1,10,0)+IF(입력란!$C$26=1,10,0))/100*($AL324/100-1))</f>
        <v>0</v>
      </c>
      <c r="N324" s="39"/>
      <c r="O324" s="39"/>
      <c r="P324" s="39"/>
      <c r="Q324" s="35"/>
      <c r="R324" s="24">
        <f t="shared" si="39"/>
        <v>282191.23471255729</v>
      </c>
      <c r="S324" s="30">
        <f>AN324*IF(G324="근접",IF(MID(E324,1,1)="1",트라이포드!$D$18,트라이포드!$C$18),1)*IF(MID(E324,1,1)="2",트라이포드!$F$18,트라이포드!$E$18)*IF(MID(E324,3,1)="1",트라이포드!$J$18,트라이포드!$I$18)*IF(MID(E324,5,1)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T324" s="30">
        <f>AO324*IF(G324="근접",IF(MID(E324,1,1)="1",트라이포드!$D$18,트라이포드!$C$18),1)*IF(MID(E324,1,1)="2",트라이포드!$F$18,트라이포드!$E$18)*IF(MID(E324,3,1)="1",트라이포드!$J$18,트라이포드!$I$18)*IF(MID(E324,5,1)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U324" s="30">
        <f>AP324*IF(G324="근접",IF(MID(E324,1,1)="1",트라이포드!$D$18,트라이포드!$C$18),1)*IF(MID(E324,1,1)="2",트라이포드!$F$18,트라이포드!$E$18)*IF(MID(E324,3,1)="1",트라이포드!$J$18,트라이포드!$I$18)*IF(MID(E324,5,1)="2",트라이포드!$R$18,트라이포드!$Q$18)*(1+입력란!$C$42/100)*IF(입력란!$C$9=1,IF(입력란!$C$15=0,1.05,IF(입력란!$C$15=1,1.05*1.05,IF(입력란!$C$15=2,1.05*1.12,IF(입력란!$C$15=3,1.05*1.25)))),1)</f>
        <v>112871.83139128177</v>
      </c>
      <c r="V324" s="30">
        <f>IF(MID(E324,5,1)="1",(S324+T324+U324)*트라이포드!$P$18,트라이포드!$O$18)</f>
        <v>0</v>
      </c>
      <c r="W324" s="30"/>
      <c r="X324" s="39"/>
      <c r="Y324" s="39"/>
      <c r="Z324" s="27"/>
      <c r="AA324" s="30">
        <f t="shared" si="40"/>
        <v>564382.46942511457</v>
      </c>
      <c r="AB324" s="30">
        <f t="shared" si="41"/>
        <v>169319.40332127555</v>
      </c>
      <c r="AC324" s="30">
        <f t="shared" si="42"/>
        <v>169319.40332127555</v>
      </c>
      <c r="AD324" s="30">
        <f t="shared" ref="AD324:AD347" si="45">U324*2</f>
        <v>225743.66278256354</v>
      </c>
      <c r="AE324" s="30"/>
      <c r="AF324" s="39"/>
      <c r="AG324" s="39"/>
      <c r="AH324" s="39"/>
      <c r="AI324" s="27"/>
      <c r="AJ324" s="26">
        <f>(AQ324-IF(MID(E324,3,1)="3",트라이포드!$N$18,트라이포드!$M$18))*(1-입력란!$C$35/100)</f>
        <v>35.582653468079997</v>
      </c>
      <c r="AK32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4" s="26">
        <f>입력란!$C$47+IF(입력란!$C$18=1,10,IF(입력란!$C$18=2,25,IF(입력란!$C$18=3,50,0)))+IF(입력란!$C$23&lt;&gt;0,-12)</f>
        <v>200</v>
      </c>
      <c r="AM324" s="30">
        <f t="shared" si="43"/>
        <v>176769.79625224933</v>
      </c>
      <c r="AN324" s="30">
        <f>(VLOOKUP(C324,$B$4:$AJ$7,20,FALSE)+VLOOKUP(C324,$B$8:$AJ$11,20,FALSE)*입력란!$C$29)*IF(G324="근접",입력란!$C$50,IF(MID(E324,1,1)="2",입력란!$C$50,입력란!$C$49))*입력란!$C$48/100</f>
        <v>53032.399211729338</v>
      </c>
      <c r="AO324" s="30">
        <f>(VLOOKUP(C324,$B$4:$AJ$7,21,FALSE)+VLOOKUP(C324,$B$8:$AJ$11,21,FALSE)*입력란!$C$29)*IF(G324="근접",입력란!$C$50,IF(MID(E324,1,1)="2",입력란!$C$50,입력란!$C$49))*입력란!$C$48/100</f>
        <v>53032.399211729338</v>
      </c>
      <c r="AP324" s="30">
        <f>(VLOOKUP(C324,$B$4:$AJ$7,22,FALSE)+VLOOKUP(C324,$B$8:$AJ$11,22,FALSE)*입력란!$C$29)*IF(G324="근접",입력란!$C$50,IF(MID(E324,1,1)="2",입력란!$C$50,입력란!$C$49))*입력란!$C$48/100</f>
        <v>70704.997828790656</v>
      </c>
      <c r="AQ324" s="29">
        <v>36</v>
      </c>
    </row>
    <row r="325" spans="2:43" ht="13.5" customHeight="1" x14ac:dyDescent="0.3">
      <c r="B325" s="31">
        <v>310</v>
      </c>
      <c r="C325" s="36">
        <v>7</v>
      </c>
      <c r="D325" s="43" t="s">
        <v>212</v>
      </c>
      <c r="E325" s="38" t="s">
        <v>188</v>
      </c>
      <c r="F325" s="40"/>
      <c r="G325" s="40" t="s">
        <v>203</v>
      </c>
      <c r="H325" s="52">
        <f t="shared" si="38"/>
        <v>12034.127439351401</v>
      </c>
      <c r="I325" s="53">
        <f>SUM(J325:Q325)*IF(입력란!$C$16=1,1.04,IF(입력란!$C$16=2,1.1,IF(입력란!$C$16=3,1.2,1)))*IF(입력란!$C$21=1,1+입력란!$C$38*0.001,IF(입력란!$C$21=2,1+입력란!$C$38*0.0022,IF(입력란!$C$21=3,1+입력란!$C$38*0.0045,1)))*IF(입력란!$C$18&lt;&gt;0,0.98,1)</f>
        <v>428206.18646515382</v>
      </c>
      <c r="J325" s="30">
        <f>S325*(1+IF($AK325+IF(입력란!$C$9=1,10,0)+IF(입력란!$C$26=1,10,0)&gt;100,100,$AK325+IF(입력란!$C$9=1,10,0)+IF(입력란!$C$26=1,10,0))/100*($AL325/100-1))</f>
        <v>128465.39344960797</v>
      </c>
      <c r="K325" s="30">
        <f>T325*(1+IF($AK325+IF(입력란!$C$9=1,10,0)+IF(입력란!$C$26=1,10,0)&gt;100,100,$AK325+IF(입력란!$C$9=1,10,0)+IF(입력란!$C$26=1,10,0))/100*($AL325/100-1))</f>
        <v>128465.39344960797</v>
      </c>
      <c r="L325" s="30">
        <f>U325*(1+IF($AK325+IF(입력란!$C$9=1,10,0)+IF(입력란!$C$26=1,10,0)&gt;100,100,$AK325+IF(입력란!$C$9=1,10,0)+IF(입력란!$C$26=1,10,0))/100*($AL325/100-1))</f>
        <v>171275.39956593784</v>
      </c>
      <c r="M325" s="30">
        <f>V325*(1+IF($AK325+IF(입력란!$C$9=1,10,0)+IF(입력란!$C$26=1,10,0)&gt;100,100,$AK325+IF(입력란!$C$9=1,10,0)+IF(입력란!$C$26=1,10,0))/100*($AL325/100-1))</f>
        <v>0</v>
      </c>
      <c r="N325" s="39"/>
      <c r="O325" s="39"/>
      <c r="P325" s="39"/>
      <c r="Q325" s="35"/>
      <c r="R325" s="24">
        <f t="shared" si="39"/>
        <v>352739.04339069664</v>
      </c>
      <c r="S325" s="30">
        <f>AN325*IF(G325="근접",IF(MID(E325,1,1)="1",트라이포드!$D$18,트라이포드!$C$18),1)*IF(MID(E325,1,1)="2",트라이포드!$F$18,트라이포드!$E$18)*IF(MID(E325,3,1)="1",트라이포드!$J$18,트라이포드!$I$18)*IF(MID(E325,5,1)="2",트라이포드!$R$18,트라이포드!$Q$18)*(1+입력란!$C$42/100)*IF(입력란!$C$9=1,IF(입력란!$C$15=0,1.05,IF(입력란!$C$15=1,1.05*1.05,IF(입력란!$C$15=2,1.05*1.12,IF(입력란!$C$15=3,1.05*1.25)))),1)</f>
        <v>105824.62707579721</v>
      </c>
      <c r="T325" s="30">
        <f>AO325*IF(G325="근접",IF(MID(E325,1,1)="1",트라이포드!$D$18,트라이포드!$C$18),1)*IF(MID(E325,1,1)="2",트라이포드!$F$18,트라이포드!$E$18)*IF(MID(E325,3,1)="1",트라이포드!$J$18,트라이포드!$I$18)*IF(MID(E325,5,1)="2",트라이포드!$R$18,트라이포드!$Q$18)*(1+입력란!$C$42/100)*IF(입력란!$C$9=1,IF(입력란!$C$15=0,1.05,IF(입력란!$C$15=1,1.05*1.05,IF(입력란!$C$15=2,1.05*1.12,IF(입력란!$C$15=3,1.05*1.25)))),1)</f>
        <v>105824.62707579721</v>
      </c>
      <c r="U325" s="30">
        <f>AP325*IF(G325="근접",IF(MID(E325,1,1)="1",트라이포드!$D$18,트라이포드!$C$18),1)*IF(MID(E325,1,1)="2",트라이포드!$F$18,트라이포드!$E$18)*IF(MID(E325,3,1)="1",트라이포드!$J$18,트라이포드!$I$18)*IF(MID(E325,5,1)="2",트라이포드!$R$18,트라이포드!$Q$18)*(1+입력란!$C$42/100)*IF(입력란!$C$9=1,IF(입력란!$C$15=0,1.05,IF(입력란!$C$15=1,1.05*1.05,IF(입력란!$C$15=2,1.05*1.12,IF(입력란!$C$15=3,1.05*1.25)))),1)</f>
        <v>141089.78923910222</v>
      </c>
      <c r="V325" s="30">
        <f>IF(MID(E325,5,1)="1",(S325+T325+U325)*트라이포드!$P$18,트라이포드!$O$18)</f>
        <v>0</v>
      </c>
      <c r="W325" s="30"/>
      <c r="X325" s="39"/>
      <c r="Y325" s="39"/>
      <c r="Z325" s="27"/>
      <c r="AA325" s="30">
        <f t="shared" si="40"/>
        <v>705478.08678139327</v>
      </c>
      <c r="AB325" s="30">
        <f t="shared" si="41"/>
        <v>211649.25415159442</v>
      </c>
      <c r="AC325" s="30">
        <f t="shared" si="42"/>
        <v>211649.25415159442</v>
      </c>
      <c r="AD325" s="30">
        <f t="shared" si="45"/>
        <v>282179.57847820444</v>
      </c>
      <c r="AE325" s="30"/>
      <c r="AF325" s="39"/>
      <c r="AG325" s="39"/>
      <c r="AH325" s="39"/>
      <c r="AI325" s="27"/>
      <c r="AJ325" s="26">
        <f>(AQ325-IF(MID(E325,3,1)="3",트라이포드!$N$18,트라이포드!$M$18))*(1-입력란!$C$35/100)</f>
        <v>35.582653468079997</v>
      </c>
      <c r="AK32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5" s="26">
        <f>입력란!$C$47+IF(입력란!$C$18=1,10,IF(입력란!$C$18=2,25,IF(입력란!$C$18=3,50,0)))+IF(입력란!$C$23&lt;&gt;0,-12)</f>
        <v>200</v>
      </c>
      <c r="AM325" s="30">
        <f t="shared" si="43"/>
        <v>176769.79625224933</v>
      </c>
      <c r="AN325" s="30">
        <f>(VLOOKUP(C325,$B$4:$AJ$7,20,FALSE)+VLOOKUP(C325,$B$8:$AJ$11,20,FALSE)*입력란!$C$29)*IF(G325="근접",입력란!$C$50,IF(MID(E325,1,1)="2",입력란!$C$50,입력란!$C$49))*입력란!$C$48/100</f>
        <v>53032.399211729338</v>
      </c>
      <c r="AO325" s="30">
        <f>(VLOOKUP(C325,$B$4:$AJ$7,21,FALSE)+VLOOKUP(C325,$B$8:$AJ$11,21,FALSE)*입력란!$C$29)*IF(G325="근접",입력란!$C$50,IF(MID(E325,1,1)="2",입력란!$C$50,입력란!$C$49))*입력란!$C$48/100</f>
        <v>53032.399211729338</v>
      </c>
      <c r="AP325" s="30">
        <f>(VLOOKUP(C325,$B$4:$AJ$7,22,FALSE)+VLOOKUP(C325,$B$8:$AJ$11,22,FALSE)*입력란!$C$29)*IF(G325="근접",입력란!$C$50,IF(MID(E325,1,1)="2",입력란!$C$50,입력란!$C$49))*입력란!$C$48/100</f>
        <v>70704.997828790656</v>
      </c>
      <c r="AQ325" s="29">
        <v>36</v>
      </c>
    </row>
    <row r="326" spans="2:43" ht="13.5" customHeight="1" x14ac:dyDescent="0.3">
      <c r="B326" s="31">
        <v>311</v>
      </c>
      <c r="C326" s="36">
        <v>7</v>
      </c>
      <c r="D326" s="43" t="s">
        <v>212</v>
      </c>
      <c r="E326" s="38" t="s">
        <v>213</v>
      </c>
      <c r="F326" s="40"/>
      <c r="G326" s="40" t="s">
        <v>203</v>
      </c>
      <c r="H326" s="52">
        <f t="shared" si="38"/>
        <v>13863.314810132813</v>
      </c>
      <c r="I326" s="53">
        <f>SUM(J326:Q326)*IF(입력란!$C$16=1,1.04,IF(입력란!$C$16=2,1.1,IF(입력란!$C$16=3,1.2,1)))*IF(입력란!$C$21=1,1+입력란!$C$38*0.001,IF(입력란!$C$21=2,1+입력란!$C$38*0.0022,IF(입력란!$C$21=3,1+입력란!$C$38*0.0045,1)))*IF(입력란!$C$18&lt;&gt;0,0.98,1)</f>
        <v>342564.94917212304</v>
      </c>
      <c r="J326" s="30">
        <f>S326*(1+IF($AK326+IF(입력란!$C$9=1,10,0)+IF(입력란!$C$26=1,10,0)&gt;100,100,$AK326+IF(입력란!$C$9=1,10,0)+IF(입력란!$C$26=1,10,0))/100*($AL326/100-1))</f>
        <v>102772.31475968639</v>
      </c>
      <c r="K326" s="30">
        <f>T326*(1+IF($AK326+IF(입력란!$C$9=1,10,0)+IF(입력란!$C$26=1,10,0)&gt;100,100,$AK326+IF(입력란!$C$9=1,10,0)+IF(입력란!$C$26=1,10,0))/100*($AL326/100-1))</f>
        <v>102772.31475968639</v>
      </c>
      <c r="L326" s="30">
        <f>U326*(1+IF($AK326+IF(입력란!$C$9=1,10,0)+IF(입력란!$C$26=1,10,0)&gt;100,100,$AK326+IF(입력란!$C$9=1,10,0)+IF(입력란!$C$26=1,10,0))/100*($AL326/100-1))</f>
        <v>137020.31965275027</v>
      </c>
      <c r="M326" s="30">
        <f>V326*(1+IF($AK326+IF(입력란!$C$9=1,10,0)+IF(입력란!$C$26=1,10,0)&gt;100,100,$AK326+IF(입력란!$C$9=1,10,0)+IF(입력란!$C$26=1,10,0))/100*($AL326/100-1))</f>
        <v>0</v>
      </c>
      <c r="N326" s="39"/>
      <c r="O326" s="39"/>
      <c r="P326" s="39"/>
      <c r="Q326" s="35"/>
      <c r="R326" s="24">
        <f t="shared" si="39"/>
        <v>282191.23471255729</v>
      </c>
      <c r="S326" s="30">
        <f>AN326*IF(G326="근접",IF(MID(E326,1,1)="1",트라이포드!$D$18,트라이포드!$C$18),1)*IF(MID(E326,1,1)="2",트라이포드!$F$18,트라이포드!$E$18)*IF(MID(E326,3,1)="1",트라이포드!$J$18,트라이포드!$I$18)*IF(MID(E326,5,1)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T326" s="30">
        <f>AO326*IF(G326="근접",IF(MID(E326,1,1)="1",트라이포드!$D$18,트라이포드!$C$18),1)*IF(MID(E326,1,1)="2",트라이포드!$F$18,트라이포드!$E$18)*IF(MID(E326,3,1)="1",트라이포드!$J$18,트라이포드!$I$18)*IF(MID(E326,5,1)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U326" s="30">
        <f>AP326*IF(G326="근접",IF(MID(E326,1,1)="1",트라이포드!$D$18,트라이포드!$C$18),1)*IF(MID(E326,1,1)="2",트라이포드!$F$18,트라이포드!$E$18)*IF(MID(E326,3,1)="1",트라이포드!$J$18,트라이포드!$I$18)*IF(MID(E326,5,1)="2",트라이포드!$R$18,트라이포드!$Q$18)*(1+입력란!$C$42/100)*IF(입력란!$C$9=1,IF(입력란!$C$15=0,1.05,IF(입력란!$C$15=1,1.05*1.05,IF(입력란!$C$15=2,1.05*1.12,IF(입력란!$C$15=3,1.05*1.25)))),1)</f>
        <v>112871.83139128177</v>
      </c>
      <c r="V326" s="30">
        <f>IF(MID(E326,5,1)="1",(S326+T326+U326)*트라이포드!$P$18,트라이포드!$O$18)</f>
        <v>0</v>
      </c>
      <c r="W326" s="30"/>
      <c r="X326" s="39"/>
      <c r="Y326" s="39"/>
      <c r="Z326" s="27"/>
      <c r="AA326" s="30">
        <f t="shared" si="40"/>
        <v>564382.46942511457</v>
      </c>
      <c r="AB326" s="30">
        <f t="shared" si="41"/>
        <v>169319.40332127555</v>
      </c>
      <c r="AC326" s="30">
        <f t="shared" si="42"/>
        <v>169319.40332127555</v>
      </c>
      <c r="AD326" s="30">
        <f t="shared" si="45"/>
        <v>225743.66278256354</v>
      </c>
      <c r="AE326" s="30"/>
      <c r="AF326" s="39"/>
      <c r="AG326" s="39"/>
      <c r="AH326" s="39"/>
      <c r="AI326" s="27"/>
      <c r="AJ326" s="26">
        <f>(AQ326-IF(MID(E326,3,1)="3",트라이포드!$N$18,트라이포드!$M$18))*(1-입력란!$C$35/100)</f>
        <v>24.7101760195</v>
      </c>
      <c r="AK32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6" s="26">
        <f>입력란!$C$47+IF(입력란!$C$18=1,10,IF(입력란!$C$18=2,25,IF(입력란!$C$18=3,50,0)))+IF(입력란!$C$23&lt;&gt;0,-12)</f>
        <v>200</v>
      </c>
      <c r="AM326" s="30">
        <f t="shared" si="43"/>
        <v>176769.79625224933</v>
      </c>
      <c r="AN326" s="30">
        <f>(VLOOKUP(C326,$B$4:$AJ$7,20,FALSE)+VLOOKUP(C326,$B$8:$AJ$11,20,FALSE)*입력란!$C$29)*IF(G326="근접",입력란!$C$50,IF(MID(E326,1,1)="2",입력란!$C$50,입력란!$C$49))*입력란!$C$48/100</f>
        <v>53032.399211729338</v>
      </c>
      <c r="AO326" s="30">
        <f>(VLOOKUP(C326,$B$4:$AJ$7,21,FALSE)+VLOOKUP(C326,$B$8:$AJ$11,21,FALSE)*입력란!$C$29)*IF(G326="근접",입력란!$C$50,IF(MID(E326,1,1)="2",입력란!$C$50,입력란!$C$49))*입력란!$C$48/100</f>
        <v>53032.399211729338</v>
      </c>
      <c r="AP326" s="30">
        <f>(VLOOKUP(C326,$B$4:$AJ$7,22,FALSE)+VLOOKUP(C326,$B$8:$AJ$11,22,FALSE)*입력란!$C$29)*IF(G326="근접",입력란!$C$50,IF(MID(E326,1,1)="2",입력란!$C$50,입력란!$C$49))*입력란!$C$48/100</f>
        <v>70704.997828790656</v>
      </c>
      <c r="AQ326" s="29">
        <v>36</v>
      </c>
    </row>
    <row r="327" spans="2:43" ht="13.5" customHeight="1" x14ac:dyDescent="0.3">
      <c r="B327" s="31">
        <v>312</v>
      </c>
      <c r="C327" s="36">
        <v>7</v>
      </c>
      <c r="D327" s="43" t="s">
        <v>50</v>
      </c>
      <c r="E327" s="38" t="s">
        <v>377</v>
      </c>
      <c r="F327" s="40"/>
      <c r="G327" s="40" t="s">
        <v>38</v>
      </c>
      <c r="H327" s="52">
        <f t="shared" si="38"/>
        <v>21180.064293258463</v>
      </c>
      <c r="I327" s="53">
        <f>SUM(J327:Q327)*IF(입력란!$C$16=1,1.04,IF(입력란!$C$16=2,1.1,IF(입력란!$C$16=3,1.2,1)))*IF(입력란!$C$21=1,1+입력란!$C$38*0.001,IF(입력란!$C$21=2,1+입력란!$C$38*0.0022,IF(입력란!$C$21=3,1+입력란!$C$38*0.0045,1)))*IF(입력란!$C$18&lt;&gt;0,0.98,1)</f>
        <v>753642.88817867055</v>
      </c>
      <c r="J327" s="30">
        <f>S327*(1+IF($AK327+IF(입력란!$C$9=1,10,0)+IF(입력란!$C$26=1,10,0)&gt;100,100,$AK327+IF(입력란!$C$9=1,10,0)+IF(입력란!$C$26=1,10,0))/100*($AL327/100-1))</f>
        <v>226099.09247131002</v>
      </c>
      <c r="K327" s="30">
        <f>T327*(1+IF($AK327+IF(입력란!$C$9=1,10,0)+IF(입력란!$C$26=1,10,0)&gt;100,100,$AK327+IF(입력란!$C$9=1,10,0)+IF(입력란!$C$26=1,10,0))/100*($AL327/100-1))</f>
        <v>226099.09247131002</v>
      </c>
      <c r="L327" s="30">
        <f>U327*(1+IF($AK327+IF(입력란!$C$9=1,10,0)+IF(입력란!$C$26=1,10,0)&gt;100,100,$AK327+IF(입력란!$C$9=1,10,0)+IF(입력란!$C$26=1,10,0))/100*($AL327/100-1))</f>
        <v>301444.70323605055</v>
      </c>
      <c r="M327" s="30">
        <f>V327*(1+IF($AK327+IF(입력란!$C$9=1,10,0)+IF(입력란!$C$26=1,10,0)&gt;100,100,$AK327+IF(입력란!$C$9=1,10,0)+IF(입력란!$C$26=1,10,0))/100*($AL327/100-1))</f>
        <v>0</v>
      </c>
      <c r="N327" s="39"/>
      <c r="O327" s="39"/>
      <c r="P327" s="39"/>
      <c r="Q327" s="35"/>
      <c r="R327" s="24">
        <f t="shared" si="39"/>
        <v>620820.7163676261</v>
      </c>
      <c r="S327" s="30">
        <f>AN327*IF(G327="근접",IF(MID(E327,1,1)="1",트라이포드!$D$18,트라이포드!$C$18),1)*IF(MID(E327,1,1)="2",트라이포드!$F$18,트라이포드!$E$18)*IF(MID(E327,3,1)="1",트라이포드!$J$18,트라이포드!$I$18)*IF(MID(E327,5,1)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T327" s="30">
        <f>AO327*IF(G327="근접",IF(MID(E327,1,1)="1",트라이포드!$D$18,트라이포드!$C$18),1)*IF(MID(E327,1,1)="2",트라이포드!$F$18,트라이포드!$E$18)*IF(MID(E327,3,1)="1",트라이포드!$J$18,트라이포드!$I$18)*IF(MID(E327,5,1)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U327" s="30">
        <f>AP327*IF(G327="근접",IF(MID(E327,1,1)="1",트라이포드!$D$18,트라이포드!$C$18),1)*IF(MID(E327,1,1)="2",트라이포드!$F$18,트라이포드!$E$18)*IF(MID(E327,3,1)="1",트라이포드!$J$18,트라이포드!$I$18)*IF(MID(E327,5,1)="2",트라이포드!$R$18,트라이포드!$Q$18)*(1+입력란!$C$42/100)*IF(입력란!$C$9=1,IF(입력란!$C$15=0,1.05,IF(입력란!$C$15=1,1.05*1.05,IF(입력란!$C$15=2,1.05*1.12,IF(입력란!$C$15=3,1.05*1.25)))),1)</f>
        <v>248318.02906081988</v>
      </c>
      <c r="V327" s="30">
        <f>IF(MID(E327,5,1)="1",(S327+T327+U327)*트라이포드!$P$18,트라이포드!$O$18)</f>
        <v>0</v>
      </c>
      <c r="W327" s="30"/>
      <c r="X327" s="39"/>
      <c r="Y327" s="39"/>
      <c r="Z327" s="27"/>
      <c r="AA327" s="30">
        <f t="shared" si="40"/>
        <v>1241641.4327352522</v>
      </c>
      <c r="AB327" s="30">
        <f t="shared" si="41"/>
        <v>372502.68730680615</v>
      </c>
      <c r="AC327" s="30">
        <f t="shared" si="42"/>
        <v>372502.68730680615</v>
      </c>
      <c r="AD327" s="30">
        <f t="shared" si="45"/>
        <v>496636.05812163977</v>
      </c>
      <c r="AE327" s="30"/>
      <c r="AF327" s="39"/>
      <c r="AG327" s="39"/>
      <c r="AH327" s="39"/>
      <c r="AI327" s="27"/>
      <c r="AJ327" s="26">
        <f>(AQ327-IF(MID(E327,3,1)="3",트라이포드!$N$18,트라이포드!$M$18))*(1-입력란!$C$35/100)</f>
        <v>35.582653468079997</v>
      </c>
      <c r="AK32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7" s="26">
        <f>입력란!$C$47+IF(입력란!$C$18=1,10,IF(입력란!$C$18=2,25,IF(입력란!$C$18=3,50,0)))+IF(입력란!$C$23&lt;&gt;0,-12)</f>
        <v>200</v>
      </c>
      <c r="AM327" s="30">
        <f t="shared" si="43"/>
        <v>353539.59250449867</v>
      </c>
      <c r="AN327" s="30">
        <f>(VLOOKUP(C327,$B$4:$AJ$7,20,FALSE)+VLOOKUP(C327,$B$8:$AJ$11,20,FALSE)*입력란!$C$29)*IF(G327="근접",입력란!$C$50,IF(MID(E327,1,1)="2",입력란!$C$50,입력란!$C$49))*입력란!$C$48/100</f>
        <v>106064.79842345868</v>
      </c>
      <c r="AO327" s="30">
        <f>(VLOOKUP(C327,$B$4:$AJ$7,21,FALSE)+VLOOKUP(C327,$B$8:$AJ$11,21,FALSE)*입력란!$C$29)*IF(G327="근접",입력란!$C$50,IF(MID(E327,1,1)="2",입력란!$C$50,입력란!$C$49))*입력란!$C$48/100</f>
        <v>106064.79842345868</v>
      </c>
      <c r="AP327" s="30">
        <f>(VLOOKUP(C327,$B$4:$AJ$7,22,FALSE)+VLOOKUP(C327,$B$8:$AJ$11,22,FALSE)*입력란!$C$29)*IF(G327="근접",입력란!$C$50,IF(MID(E327,1,1)="2",입력란!$C$50,입력란!$C$49))*입력란!$C$48/100</f>
        <v>141409.99565758131</v>
      </c>
      <c r="AQ327" s="29">
        <v>36</v>
      </c>
    </row>
    <row r="328" spans="2:43" ht="13.5" customHeight="1" x14ac:dyDescent="0.3">
      <c r="B328" s="31">
        <v>313</v>
      </c>
      <c r="C328" s="36">
        <v>7</v>
      </c>
      <c r="D328" s="43" t="s">
        <v>212</v>
      </c>
      <c r="E328" s="38" t="s">
        <v>187</v>
      </c>
      <c r="F328" s="40"/>
      <c r="G328" s="40" t="s">
        <v>203</v>
      </c>
      <c r="H328" s="52">
        <f t="shared" si="38"/>
        <v>9627.3019514811222</v>
      </c>
      <c r="I328" s="53">
        <f>SUM(J328:Q328)*IF(입력란!$C$16=1,1.04,IF(입력란!$C$16=2,1.1,IF(입력란!$C$16=3,1.2,1)))*IF(입력란!$C$21=1,1+입력란!$C$38*0.001,IF(입력란!$C$21=2,1+입력란!$C$38*0.0022,IF(입력란!$C$21=3,1+입력란!$C$38*0.0045,1)))*IF(입력란!$C$18&lt;&gt;0,0.98,1)</f>
        <v>342564.94917212304</v>
      </c>
      <c r="J328" s="30">
        <f>S328*(1+IF($AK328+IF(입력란!$C$9=1,10,0)+IF(입력란!$C$26=1,10,0)&gt;100,100,$AK328+IF(입력란!$C$9=1,10,0)+IF(입력란!$C$26=1,10,0))/100*($AL328/100-1))</f>
        <v>102772.31475968639</v>
      </c>
      <c r="K328" s="30">
        <f>T328*(1+IF($AK328+IF(입력란!$C$9=1,10,0)+IF(입력란!$C$26=1,10,0)&gt;100,100,$AK328+IF(입력란!$C$9=1,10,0)+IF(입력란!$C$26=1,10,0))/100*($AL328/100-1))</f>
        <v>102772.31475968639</v>
      </c>
      <c r="L328" s="30">
        <f>U328*(1+IF($AK328+IF(입력란!$C$9=1,10,0)+IF(입력란!$C$26=1,10,0)&gt;100,100,$AK328+IF(입력란!$C$9=1,10,0)+IF(입력란!$C$26=1,10,0))/100*($AL328/100-1))</f>
        <v>137020.31965275027</v>
      </c>
      <c r="M328" s="30">
        <f>V328*(1+IF($AK328+IF(입력란!$C$9=1,10,0)+IF(입력란!$C$26=1,10,0)&gt;100,100,$AK328+IF(입력란!$C$9=1,10,0)+IF(입력란!$C$26=1,10,0))/100*($AL328/100-1))</f>
        <v>0</v>
      </c>
      <c r="N328" s="39"/>
      <c r="O328" s="39"/>
      <c r="P328" s="39"/>
      <c r="Q328" s="35"/>
      <c r="R328" s="24">
        <f t="shared" si="39"/>
        <v>282191.23471255729</v>
      </c>
      <c r="S328" s="30">
        <f>AN328*IF(G328="근접",IF(MID(E328,1,1)="1",트라이포드!$D$18,트라이포드!$C$18),1)*IF(MID(E328,1,1)="2",트라이포드!$F$18,트라이포드!$E$18)*IF(MID(E328,3,1)="1",트라이포드!$J$18,트라이포드!$I$18)*IF(MID(E328,5,1)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T328" s="30">
        <f>AO328*IF(G328="근접",IF(MID(E328,1,1)="1",트라이포드!$D$18,트라이포드!$C$18),1)*IF(MID(E328,1,1)="2",트라이포드!$F$18,트라이포드!$E$18)*IF(MID(E328,3,1)="1",트라이포드!$J$18,트라이포드!$I$18)*IF(MID(E328,5,1)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U328" s="30">
        <f>AP328*IF(G328="근접",IF(MID(E328,1,1)="1",트라이포드!$D$18,트라이포드!$C$18),1)*IF(MID(E328,1,1)="2",트라이포드!$F$18,트라이포드!$E$18)*IF(MID(E328,3,1)="1",트라이포드!$J$18,트라이포드!$I$18)*IF(MID(E328,5,1)="2",트라이포드!$R$18,트라이포드!$Q$18)*(1+입력란!$C$42/100)*IF(입력란!$C$9=1,IF(입력란!$C$15=0,1.05,IF(입력란!$C$15=1,1.05*1.05,IF(입력란!$C$15=2,1.05*1.12,IF(입력란!$C$15=3,1.05*1.25)))),1)</f>
        <v>112871.83139128177</v>
      </c>
      <c r="V328" s="30">
        <f>IF(MID(E328,5,1)="1",(S328+T328+U328)*트라이포드!$P$18,트라이포드!$O$18)</f>
        <v>0</v>
      </c>
      <c r="W328" s="30"/>
      <c r="X328" s="39"/>
      <c r="Y328" s="39"/>
      <c r="Z328" s="27"/>
      <c r="AA328" s="30">
        <f t="shared" si="40"/>
        <v>564382.46942511457</v>
      </c>
      <c r="AB328" s="30">
        <f t="shared" si="41"/>
        <v>169319.40332127555</v>
      </c>
      <c r="AC328" s="30">
        <f t="shared" si="42"/>
        <v>169319.40332127555</v>
      </c>
      <c r="AD328" s="30">
        <f t="shared" si="45"/>
        <v>225743.66278256354</v>
      </c>
      <c r="AE328" s="30"/>
      <c r="AF328" s="39"/>
      <c r="AG328" s="39"/>
      <c r="AH328" s="39"/>
      <c r="AI328" s="27"/>
      <c r="AJ328" s="26">
        <f>(AQ328-IF(MID(E328,3,1)="3",트라이포드!$N$18,트라이포드!$M$18))*(1-입력란!$C$35/100)</f>
        <v>35.582653468079997</v>
      </c>
      <c r="AK32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8" s="26">
        <f>입력란!$C$47+IF(입력란!$C$18=1,10,IF(입력란!$C$18=2,25,IF(입력란!$C$18=3,50,0)))+IF(입력란!$C$23&lt;&gt;0,-12)</f>
        <v>200</v>
      </c>
      <c r="AM328" s="30">
        <f t="shared" si="43"/>
        <v>176769.79625224933</v>
      </c>
      <c r="AN328" s="30">
        <f>(VLOOKUP(C328,$B$4:$AJ$7,20,FALSE)+VLOOKUP(C328,$B$8:$AJ$11,20,FALSE)*입력란!$C$29)*IF(G328="근접",입력란!$C$50,IF(MID(E328,1,1)="2",입력란!$C$50,입력란!$C$49))*입력란!$C$48/100</f>
        <v>53032.399211729338</v>
      </c>
      <c r="AO328" s="30">
        <f>(VLOOKUP(C328,$B$4:$AJ$7,21,FALSE)+VLOOKUP(C328,$B$8:$AJ$11,21,FALSE)*입력란!$C$29)*IF(G328="근접",입력란!$C$50,IF(MID(E328,1,1)="2",입력란!$C$50,입력란!$C$49))*입력란!$C$48/100</f>
        <v>53032.399211729338</v>
      </c>
      <c r="AP328" s="30">
        <f>(VLOOKUP(C328,$B$4:$AJ$7,22,FALSE)+VLOOKUP(C328,$B$8:$AJ$11,22,FALSE)*입력란!$C$29)*IF(G328="근접",입력란!$C$50,IF(MID(E328,1,1)="2",입력란!$C$50,입력란!$C$49))*입력란!$C$48/100</f>
        <v>70704.997828790656</v>
      </c>
      <c r="AQ328" s="29">
        <v>36</v>
      </c>
    </row>
    <row r="329" spans="2:43" ht="13.5" customHeight="1" x14ac:dyDescent="0.3">
      <c r="B329" s="31">
        <v>314</v>
      </c>
      <c r="C329" s="36">
        <v>7</v>
      </c>
      <c r="D329" s="43" t="s">
        <v>50</v>
      </c>
      <c r="E329" s="38" t="s">
        <v>378</v>
      </c>
      <c r="F329" s="40"/>
      <c r="G329" s="40" t="s">
        <v>38</v>
      </c>
      <c r="H329" s="52">
        <f t="shared" si="38"/>
        <v>26475.080366573082</v>
      </c>
      <c r="I329" s="53">
        <f>SUM(J329:Q329)*IF(입력란!$C$16=1,1.04,IF(입력란!$C$16=2,1.1,IF(입력란!$C$16=3,1.2,1)))*IF(입력란!$C$21=1,1+입력란!$C$38*0.001,IF(입력란!$C$21=2,1+입력란!$C$38*0.0022,IF(입력란!$C$21=3,1+입력란!$C$38*0.0045,1)))*IF(입력란!$C$18&lt;&gt;0,0.98,1)</f>
        <v>942053.61022333824</v>
      </c>
      <c r="J329" s="30">
        <f>S329*(1+IF($AK329+IF(입력란!$C$9=1,10,0)+IF(입력란!$C$26=1,10,0)&gt;100,100,$AK329+IF(입력란!$C$9=1,10,0)+IF(입력란!$C$26=1,10,0))/100*($AL329/100-1))</f>
        <v>282623.86558913754</v>
      </c>
      <c r="K329" s="30">
        <f>T329*(1+IF($AK329+IF(입력란!$C$9=1,10,0)+IF(입력란!$C$26=1,10,0)&gt;100,100,$AK329+IF(입력란!$C$9=1,10,0)+IF(입력란!$C$26=1,10,0))/100*($AL329/100-1))</f>
        <v>282623.86558913754</v>
      </c>
      <c r="L329" s="30">
        <f>U329*(1+IF($AK329+IF(입력란!$C$9=1,10,0)+IF(입력란!$C$26=1,10,0)&gt;100,100,$AK329+IF(입력란!$C$9=1,10,0)+IF(입력란!$C$26=1,10,0))/100*($AL329/100-1))</f>
        <v>376805.87904506322</v>
      </c>
      <c r="M329" s="30">
        <f>V329*(1+IF($AK329+IF(입력란!$C$9=1,10,0)+IF(입력란!$C$26=1,10,0)&gt;100,100,$AK329+IF(입력란!$C$9=1,10,0)+IF(입력란!$C$26=1,10,0))/100*($AL329/100-1))</f>
        <v>0</v>
      </c>
      <c r="N329" s="39"/>
      <c r="O329" s="39"/>
      <c r="P329" s="39"/>
      <c r="Q329" s="35"/>
      <c r="R329" s="24">
        <f t="shared" si="39"/>
        <v>776025.8954595325</v>
      </c>
      <c r="S329" s="30">
        <f>AN329*IF(G329="근접",IF(MID(E329,1,1)="1",트라이포드!$D$18,트라이포드!$C$18),1)*IF(MID(E329,1,1)="2",트라이포드!$F$18,트라이포드!$E$18)*IF(MID(E329,3,1)="1",트라이포드!$J$18,트라이포드!$I$18)*IF(MID(E329,5,1)="2",트라이포드!$R$18,트라이포드!$Q$18)*(1+입력란!$C$42/100)*IF(입력란!$C$9=1,IF(입력란!$C$15=0,1.05,IF(입력란!$C$15=1,1.05*1.05,IF(입력란!$C$15=2,1.05*1.12,IF(입력란!$C$15=3,1.05*1.25)))),1)</f>
        <v>232814.17956675385</v>
      </c>
      <c r="T329" s="30">
        <f>AO329*IF(G329="근접",IF(MID(E329,1,1)="1",트라이포드!$D$18,트라이포드!$C$18),1)*IF(MID(E329,1,1)="2",트라이포드!$F$18,트라이포드!$E$18)*IF(MID(E329,3,1)="1",트라이포드!$J$18,트라이포드!$I$18)*IF(MID(E329,5,1)="2",트라이포드!$R$18,트라이포드!$Q$18)*(1+입력란!$C$42/100)*IF(입력란!$C$9=1,IF(입력란!$C$15=0,1.05,IF(입력란!$C$15=1,1.05*1.05,IF(입력란!$C$15=2,1.05*1.12,IF(입력란!$C$15=3,1.05*1.25)))),1)</f>
        <v>232814.17956675385</v>
      </c>
      <c r="U329" s="30">
        <f>AP329*IF(G329="근접",IF(MID(E329,1,1)="1",트라이포드!$D$18,트라이포드!$C$18),1)*IF(MID(E329,1,1)="2",트라이포드!$F$18,트라이포드!$E$18)*IF(MID(E329,3,1)="1",트라이포드!$J$18,트라이포드!$I$18)*IF(MID(E329,5,1)="2",트라이포드!$R$18,트라이포드!$Q$18)*(1+입력란!$C$42/100)*IF(입력란!$C$9=1,IF(입력란!$C$15=0,1.05,IF(입력란!$C$15=1,1.05*1.05,IF(입력란!$C$15=2,1.05*1.12,IF(입력란!$C$15=3,1.05*1.25)))),1)</f>
        <v>310397.53632602486</v>
      </c>
      <c r="V329" s="30">
        <f>IF(MID(E329,5,1)="1",(S329+T329+U329)*트라이포드!$P$18,트라이포드!$O$18)</f>
        <v>0</v>
      </c>
      <c r="W329" s="30"/>
      <c r="X329" s="39"/>
      <c r="Y329" s="39"/>
      <c r="Z329" s="27"/>
      <c r="AA329" s="30">
        <f t="shared" si="40"/>
        <v>1552051.790919065</v>
      </c>
      <c r="AB329" s="30">
        <f t="shared" si="41"/>
        <v>465628.35913350771</v>
      </c>
      <c r="AC329" s="30">
        <f t="shared" si="42"/>
        <v>465628.35913350771</v>
      </c>
      <c r="AD329" s="30">
        <f t="shared" si="45"/>
        <v>620795.07265204971</v>
      </c>
      <c r="AE329" s="30"/>
      <c r="AF329" s="39"/>
      <c r="AG329" s="39"/>
      <c r="AH329" s="39"/>
      <c r="AI329" s="27"/>
      <c r="AJ329" s="26">
        <f>(AQ329-IF(MID(E329,3,1)="3",트라이포드!$N$18,트라이포드!$M$18))*(1-입력란!$C$35/100)</f>
        <v>35.582653468079997</v>
      </c>
      <c r="AK32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29" s="26">
        <f>입력란!$C$47+IF(입력란!$C$18=1,10,IF(입력란!$C$18=2,25,IF(입력란!$C$18=3,50,0)))+IF(입력란!$C$23&lt;&gt;0,-12)</f>
        <v>200</v>
      </c>
      <c r="AM329" s="30">
        <f t="shared" si="43"/>
        <v>353539.59250449867</v>
      </c>
      <c r="AN329" s="30">
        <f>(VLOOKUP(C329,$B$4:$AJ$7,20,FALSE)+VLOOKUP(C329,$B$8:$AJ$11,20,FALSE)*입력란!$C$29)*IF(G329="근접",입력란!$C$50,IF(MID(E329,1,1)="2",입력란!$C$50,입력란!$C$49))*입력란!$C$48/100</f>
        <v>106064.79842345868</v>
      </c>
      <c r="AO329" s="30">
        <f>(VLOOKUP(C329,$B$4:$AJ$7,21,FALSE)+VLOOKUP(C329,$B$8:$AJ$11,21,FALSE)*입력란!$C$29)*IF(G329="근접",입력란!$C$50,IF(MID(E329,1,1)="2",입력란!$C$50,입력란!$C$49))*입력란!$C$48/100</f>
        <v>106064.79842345868</v>
      </c>
      <c r="AP329" s="30">
        <f>(VLOOKUP(C329,$B$4:$AJ$7,22,FALSE)+VLOOKUP(C329,$B$8:$AJ$11,22,FALSE)*입력란!$C$29)*IF(G329="근접",입력란!$C$50,IF(MID(E329,1,1)="2",입력란!$C$50,입력란!$C$49))*입력란!$C$48/100</f>
        <v>141409.99565758131</v>
      </c>
      <c r="AQ329" s="29">
        <v>36</v>
      </c>
    </row>
    <row r="330" spans="2:43" ht="13.5" customHeight="1" x14ac:dyDescent="0.3">
      <c r="B330" s="31">
        <v>315</v>
      </c>
      <c r="C330" s="36">
        <v>7</v>
      </c>
      <c r="D330" s="43" t="s">
        <v>212</v>
      </c>
      <c r="E330" s="38" t="s">
        <v>190</v>
      </c>
      <c r="F330" s="40"/>
      <c r="G330" s="40" t="s">
        <v>203</v>
      </c>
      <c r="H330" s="52">
        <f t="shared" si="38"/>
        <v>12034.127439351401</v>
      </c>
      <c r="I330" s="53">
        <f>SUM(J330:Q330)*IF(입력란!$C$16=1,1.04,IF(입력란!$C$16=2,1.1,IF(입력란!$C$16=3,1.2,1)))*IF(입력란!$C$21=1,1+입력란!$C$38*0.001,IF(입력란!$C$21=2,1+입력란!$C$38*0.0022,IF(입력란!$C$21=3,1+입력란!$C$38*0.0045,1)))*IF(입력란!$C$18&lt;&gt;0,0.98,1)</f>
        <v>428206.18646515382</v>
      </c>
      <c r="J330" s="30">
        <f>S330*(1+IF($AK330+IF(입력란!$C$9=1,10,0)+IF(입력란!$C$26=1,10,0)&gt;100,100,$AK330+IF(입력란!$C$9=1,10,0)+IF(입력란!$C$26=1,10,0))/100*($AL330/100-1))</f>
        <v>128465.39344960797</v>
      </c>
      <c r="K330" s="30">
        <f>T330*(1+IF($AK330+IF(입력란!$C$9=1,10,0)+IF(입력란!$C$26=1,10,0)&gt;100,100,$AK330+IF(입력란!$C$9=1,10,0)+IF(입력란!$C$26=1,10,0))/100*($AL330/100-1))</f>
        <v>128465.39344960797</v>
      </c>
      <c r="L330" s="30">
        <f>U330*(1+IF($AK330+IF(입력란!$C$9=1,10,0)+IF(입력란!$C$26=1,10,0)&gt;100,100,$AK330+IF(입력란!$C$9=1,10,0)+IF(입력란!$C$26=1,10,0))/100*($AL330/100-1))</f>
        <v>171275.39956593784</v>
      </c>
      <c r="M330" s="30">
        <f>V330*(1+IF($AK330+IF(입력란!$C$9=1,10,0)+IF(입력란!$C$26=1,10,0)&gt;100,100,$AK330+IF(입력란!$C$9=1,10,0)+IF(입력란!$C$26=1,10,0))/100*($AL330/100-1))</f>
        <v>0</v>
      </c>
      <c r="N330" s="39"/>
      <c r="O330" s="39"/>
      <c r="P330" s="39"/>
      <c r="Q330" s="35"/>
      <c r="R330" s="24">
        <f t="shared" si="39"/>
        <v>352739.04339069664</v>
      </c>
      <c r="S330" s="30">
        <f>AN330*IF(G330="근접",IF(MID(E330,1,1)="1",트라이포드!$D$18,트라이포드!$C$18),1)*IF(MID(E330,1,1)="2",트라이포드!$F$18,트라이포드!$E$18)*IF(MID(E330,3,1)="1",트라이포드!$J$18,트라이포드!$I$18)*IF(MID(E330,5,1)="2",트라이포드!$R$18,트라이포드!$Q$18)*(1+입력란!$C$42/100)*IF(입력란!$C$9=1,IF(입력란!$C$15=0,1.05,IF(입력란!$C$15=1,1.05*1.05,IF(입력란!$C$15=2,1.05*1.12,IF(입력란!$C$15=3,1.05*1.25)))),1)</f>
        <v>105824.62707579721</v>
      </c>
      <c r="T330" s="30">
        <f>AO330*IF(G330="근접",IF(MID(E330,1,1)="1",트라이포드!$D$18,트라이포드!$C$18),1)*IF(MID(E330,1,1)="2",트라이포드!$F$18,트라이포드!$E$18)*IF(MID(E330,3,1)="1",트라이포드!$J$18,트라이포드!$I$18)*IF(MID(E330,5,1)="2",트라이포드!$R$18,트라이포드!$Q$18)*(1+입력란!$C$42/100)*IF(입력란!$C$9=1,IF(입력란!$C$15=0,1.05,IF(입력란!$C$15=1,1.05*1.05,IF(입력란!$C$15=2,1.05*1.12,IF(입력란!$C$15=3,1.05*1.25)))),1)</f>
        <v>105824.62707579721</v>
      </c>
      <c r="U330" s="30">
        <f>AP330*IF(G330="근접",IF(MID(E330,1,1)="1",트라이포드!$D$18,트라이포드!$C$18),1)*IF(MID(E330,1,1)="2",트라이포드!$F$18,트라이포드!$E$18)*IF(MID(E330,3,1)="1",트라이포드!$J$18,트라이포드!$I$18)*IF(MID(E330,5,1)="2",트라이포드!$R$18,트라이포드!$Q$18)*(1+입력란!$C$42/100)*IF(입력란!$C$9=1,IF(입력란!$C$15=0,1.05,IF(입력란!$C$15=1,1.05*1.05,IF(입력란!$C$15=2,1.05*1.12,IF(입력란!$C$15=3,1.05*1.25)))),1)</f>
        <v>141089.78923910222</v>
      </c>
      <c r="V330" s="30">
        <f>IF(MID(E330,5,1)="1",(S330+T330+U330)*트라이포드!$P$18,트라이포드!$O$18)</f>
        <v>0</v>
      </c>
      <c r="W330" s="30"/>
      <c r="X330" s="39"/>
      <c r="Y330" s="39"/>
      <c r="Z330" s="27"/>
      <c r="AA330" s="30">
        <f t="shared" si="40"/>
        <v>705478.08678139327</v>
      </c>
      <c r="AB330" s="30">
        <f t="shared" si="41"/>
        <v>211649.25415159442</v>
      </c>
      <c r="AC330" s="30">
        <f t="shared" si="42"/>
        <v>211649.25415159442</v>
      </c>
      <c r="AD330" s="30">
        <f t="shared" si="45"/>
        <v>282179.57847820444</v>
      </c>
      <c r="AE330" s="30"/>
      <c r="AF330" s="39"/>
      <c r="AG330" s="39"/>
      <c r="AH330" s="39"/>
      <c r="AI330" s="27"/>
      <c r="AJ330" s="26">
        <f>(AQ330-IF(MID(E330,3,1)="3",트라이포드!$N$18,트라이포드!$M$18))*(1-입력란!$C$35/100)</f>
        <v>35.582653468079997</v>
      </c>
      <c r="AK33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0" s="26">
        <f>입력란!$C$47+IF(입력란!$C$18=1,10,IF(입력란!$C$18=2,25,IF(입력란!$C$18=3,50,0)))+IF(입력란!$C$23&lt;&gt;0,-12)</f>
        <v>200</v>
      </c>
      <c r="AM330" s="30">
        <f t="shared" si="43"/>
        <v>176769.79625224933</v>
      </c>
      <c r="AN330" s="30">
        <f>(VLOOKUP(C330,$B$4:$AJ$7,20,FALSE)+VLOOKUP(C330,$B$8:$AJ$11,20,FALSE)*입력란!$C$29)*IF(G330="근접",입력란!$C$50,IF(MID(E330,1,1)="2",입력란!$C$50,입력란!$C$49))*입력란!$C$48/100</f>
        <v>53032.399211729338</v>
      </c>
      <c r="AO330" s="30">
        <f>(VLOOKUP(C330,$B$4:$AJ$7,21,FALSE)+VLOOKUP(C330,$B$8:$AJ$11,21,FALSE)*입력란!$C$29)*IF(G330="근접",입력란!$C$50,IF(MID(E330,1,1)="2",입력란!$C$50,입력란!$C$49))*입력란!$C$48/100</f>
        <v>53032.399211729338</v>
      </c>
      <c r="AP330" s="30">
        <f>(VLOOKUP(C330,$B$4:$AJ$7,22,FALSE)+VLOOKUP(C330,$B$8:$AJ$11,22,FALSE)*입력란!$C$29)*IF(G330="근접",입력란!$C$50,IF(MID(E330,1,1)="2",입력란!$C$50,입력란!$C$49))*입력란!$C$48/100</f>
        <v>70704.997828790656</v>
      </c>
      <c r="AQ330" s="29">
        <v>36</v>
      </c>
    </row>
    <row r="331" spans="2:43" ht="13.5" customHeight="1" x14ac:dyDescent="0.3">
      <c r="B331" s="31">
        <v>316</v>
      </c>
      <c r="C331" s="36">
        <v>7</v>
      </c>
      <c r="D331" s="43" t="s">
        <v>50</v>
      </c>
      <c r="E331" s="38" t="s">
        <v>374</v>
      </c>
      <c r="F331" s="40"/>
      <c r="G331" s="40" t="s">
        <v>38</v>
      </c>
      <c r="H331" s="52">
        <f t="shared" si="38"/>
        <v>30499.292582292182</v>
      </c>
      <c r="I331" s="53">
        <f>SUM(J331:Q331)*IF(입력란!$C$16=1,1.04,IF(입력란!$C$16=2,1.1,IF(입력란!$C$16=3,1.2,1)))*IF(입력란!$C$21=1,1+입력란!$C$38*0.001,IF(입력란!$C$21=2,1+입력란!$C$38*0.0022,IF(입력란!$C$21=3,1+입력란!$C$38*0.0045,1)))*IF(입력란!$C$18&lt;&gt;0,0.98,1)</f>
        <v>753642.88817867055</v>
      </c>
      <c r="J331" s="30">
        <f>S331*(1+IF($AK331+IF(입력란!$C$9=1,10,0)+IF(입력란!$C$26=1,10,0)&gt;100,100,$AK331+IF(입력란!$C$9=1,10,0)+IF(입력란!$C$26=1,10,0))/100*($AL331/100-1))</f>
        <v>226099.09247131002</v>
      </c>
      <c r="K331" s="30">
        <f>T331*(1+IF($AK331+IF(입력란!$C$9=1,10,0)+IF(입력란!$C$26=1,10,0)&gt;100,100,$AK331+IF(입력란!$C$9=1,10,0)+IF(입력란!$C$26=1,10,0))/100*($AL331/100-1))</f>
        <v>226099.09247131002</v>
      </c>
      <c r="L331" s="30">
        <f>U331*(1+IF($AK331+IF(입력란!$C$9=1,10,0)+IF(입력란!$C$26=1,10,0)&gt;100,100,$AK331+IF(입력란!$C$9=1,10,0)+IF(입력란!$C$26=1,10,0))/100*($AL331/100-1))</f>
        <v>301444.70323605055</v>
      </c>
      <c r="M331" s="30">
        <f>V331*(1+IF($AK331+IF(입력란!$C$9=1,10,0)+IF(입력란!$C$26=1,10,0)&gt;100,100,$AK331+IF(입력란!$C$9=1,10,0)+IF(입력란!$C$26=1,10,0))/100*($AL331/100-1))</f>
        <v>0</v>
      </c>
      <c r="N331" s="39"/>
      <c r="O331" s="39"/>
      <c r="P331" s="39"/>
      <c r="Q331" s="35"/>
      <c r="R331" s="24">
        <f t="shared" si="39"/>
        <v>620820.7163676261</v>
      </c>
      <c r="S331" s="30">
        <f>AN331*IF(G331="근접",IF(MID(E331,1,1)="1",트라이포드!$D$18,트라이포드!$C$18),1)*IF(MID(E331,1,1)="2",트라이포드!$F$18,트라이포드!$E$18)*IF(MID(E331,3,1)="1",트라이포드!$J$18,트라이포드!$I$18)*IF(MID(E331,5,1)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T331" s="30">
        <f>AO331*IF(G331="근접",IF(MID(E331,1,1)="1",트라이포드!$D$18,트라이포드!$C$18),1)*IF(MID(E331,1,1)="2",트라이포드!$F$18,트라이포드!$E$18)*IF(MID(E331,3,1)="1",트라이포드!$J$18,트라이포드!$I$18)*IF(MID(E331,5,1)="2",트라이포드!$R$18,트라이포드!$Q$18)*(1+입력란!$C$42/100)*IF(입력란!$C$9=1,IF(입력란!$C$15=0,1.05,IF(입력란!$C$15=1,1.05*1.05,IF(입력란!$C$15=2,1.05*1.12,IF(입력란!$C$15=3,1.05*1.25)))),1)</f>
        <v>186251.34365340308</v>
      </c>
      <c r="U331" s="30">
        <f>AP331*IF(G331="근접",IF(MID(E331,1,1)="1",트라이포드!$D$18,트라이포드!$C$18),1)*IF(MID(E331,1,1)="2",트라이포드!$F$18,트라이포드!$E$18)*IF(MID(E331,3,1)="1",트라이포드!$J$18,트라이포드!$I$18)*IF(MID(E331,5,1)="2",트라이포드!$R$18,트라이포드!$Q$18)*(1+입력란!$C$42/100)*IF(입력란!$C$9=1,IF(입력란!$C$15=0,1.05,IF(입력란!$C$15=1,1.05*1.05,IF(입력란!$C$15=2,1.05*1.12,IF(입력란!$C$15=3,1.05*1.25)))),1)</f>
        <v>248318.02906081988</v>
      </c>
      <c r="V331" s="30">
        <f>IF(MID(E331,5,1)="1",(S331+T331+U331)*트라이포드!$P$18,트라이포드!$O$18)</f>
        <v>0</v>
      </c>
      <c r="W331" s="30"/>
      <c r="X331" s="39"/>
      <c r="Y331" s="39"/>
      <c r="Z331" s="27"/>
      <c r="AA331" s="30">
        <f t="shared" si="40"/>
        <v>1241641.4327352522</v>
      </c>
      <c r="AB331" s="30">
        <f t="shared" si="41"/>
        <v>372502.68730680615</v>
      </c>
      <c r="AC331" s="30">
        <f t="shared" si="42"/>
        <v>372502.68730680615</v>
      </c>
      <c r="AD331" s="30">
        <f t="shared" si="45"/>
        <v>496636.05812163977</v>
      </c>
      <c r="AE331" s="30"/>
      <c r="AF331" s="39"/>
      <c r="AG331" s="39"/>
      <c r="AH331" s="39"/>
      <c r="AI331" s="27"/>
      <c r="AJ331" s="26">
        <f>(AQ331-IF(MID(E331,3,1)="3",트라이포드!$N$18,트라이포드!$M$18))*(1-입력란!$C$35/100)</f>
        <v>24.7101760195</v>
      </c>
      <c r="AK33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1" s="26">
        <f>입력란!$C$47+IF(입력란!$C$18=1,10,IF(입력란!$C$18=2,25,IF(입력란!$C$18=3,50,0)))+IF(입력란!$C$23&lt;&gt;0,-12)</f>
        <v>200</v>
      </c>
      <c r="AM331" s="30">
        <f t="shared" si="43"/>
        <v>353539.59250449867</v>
      </c>
      <c r="AN331" s="30">
        <f>(VLOOKUP(C331,$B$4:$AJ$7,20,FALSE)+VLOOKUP(C331,$B$8:$AJ$11,20,FALSE)*입력란!$C$29)*IF(G331="근접",입력란!$C$50,IF(MID(E331,1,1)="2",입력란!$C$50,입력란!$C$49))*입력란!$C$48/100</f>
        <v>106064.79842345868</v>
      </c>
      <c r="AO331" s="30">
        <f>(VLOOKUP(C331,$B$4:$AJ$7,21,FALSE)+VLOOKUP(C331,$B$8:$AJ$11,21,FALSE)*입력란!$C$29)*IF(G331="근접",입력란!$C$50,IF(MID(E331,1,1)="2",입력란!$C$50,입력란!$C$49))*입력란!$C$48/100</f>
        <v>106064.79842345868</v>
      </c>
      <c r="AP331" s="30">
        <f>(VLOOKUP(C331,$B$4:$AJ$7,22,FALSE)+VLOOKUP(C331,$B$8:$AJ$11,22,FALSE)*입력란!$C$29)*IF(G331="근접",입력란!$C$50,IF(MID(E331,1,1)="2",입력란!$C$50,입력란!$C$49))*입력란!$C$48/100</f>
        <v>141409.99565758131</v>
      </c>
      <c r="AQ331" s="29">
        <v>36</v>
      </c>
    </row>
    <row r="332" spans="2:43" ht="13.5" customHeight="1" x14ac:dyDescent="0.3">
      <c r="B332" s="31">
        <v>317</v>
      </c>
      <c r="C332" s="36">
        <v>7</v>
      </c>
      <c r="D332" s="43" t="s">
        <v>212</v>
      </c>
      <c r="E332" s="38" t="s">
        <v>191</v>
      </c>
      <c r="F332" s="40"/>
      <c r="G332" s="40" t="s">
        <v>203</v>
      </c>
      <c r="H332" s="52">
        <f t="shared" si="38"/>
        <v>13863.314810132813</v>
      </c>
      <c r="I332" s="53">
        <f>SUM(J332:Q332)*IF(입력란!$C$16=1,1.04,IF(입력란!$C$16=2,1.1,IF(입력란!$C$16=3,1.2,1)))*IF(입력란!$C$21=1,1+입력란!$C$38*0.001,IF(입력란!$C$21=2,1+입력란!$C$38*0.0022,IF(입력란!$C$21=3,1+입력란!$C$38*0.0045,1)))*IF(입력란!$C$18&lt;&gt;0,0.98,1)</f>
        <v>342564.94917212304</v>
      </c>
      <c r="J332" s="30">
        <f>S332*(1+IF($AK332+IF(입력란!$C$9=1,10,0)+IF(입력란!$C$26=1,10,0)&gt;100,100,$AK332+IF(입력란!$C$9=1,10,0)+IF(입력란!$C$26=1,10,0))/100*($AL332/100-1))</f>
        <v>102772.31475968639</v>
      </c>
      <c r="K332" s="30">
        <f>T332*(1+IF($AK332+IF(입력란!$C$9=1,10,0)+IF(입력란!$C$26=1,10,0)&gt;100,100,$AK332+IF(입력란!$C$9=1,10,0)+IF(입력란!$C$26=1,10,0))/100*($AL332/100-1))</f>
        <v>102772.31475968639</v>
      </c>
      <c r="L332" s="30">
        <f>U332*(1+IF($AK332+IF(입력란!$C$9=1,10,0)+IF(입력란!$C$26=1,10,0)&gt;100,100,$AK332+IF(입력란!$C$9=1,10,0)+IF(입력란!$C$26=1,10,0))/100*($AL332/100-1))</f>
        <v>137020.31965275027</v>
      </c>
      <c r="M332" s="30">
        <f>V332*(1+IF($AK332+IF(입력란!$C$9=1,10,0)+IF(입력란!$C$26=1,10,0)&gt;100,100,$AK332+IF(입력란!$C$9=1,10,0)+IF(입력란!$C$26=1,10,0))/100*($AL332/100-1))</f>
        <v>0</v>
      </c>
      <c r="N332" s="39"/>
      <c r="O332" s="39"/>
      <c r="P332" s="39"/>
      <c r="Q332" s="35"/>
      <c r="R332" s="24">
        <f t="shared" si="39"/>
        <v>282191.23471255729</v>
      </c>
      <c r="S332" s="30">
        <f>AN332*IF(G332="근접",IF(MID(E332,1,1)="1",트라이포드!$D$18,트라이포드!$C$18),1)*IF(MID(E332,1,1)="2",트라이포드!$F$18,트라이포드!$E$18)*IF(MID(E332,3,1)="1",트라이포드!$J$18,트라이포드!$I$18)*IF(MID(E332,5,1)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T332" s="30">
        <f>AO332*IF(G332="근접",IF(MID(E332,1,1)="1",트라이포드!$D$18,트라이포드!$C$18),1)*IF(MID(E332,1,1)="2",트라이포드!$F$18,트라이포드!$E$18)*IF(MID(E332,3,1)="1",트라이포드!$J$18,트라이포드!$I$18)*IF(MID(E332,5,1)="2",트라이포드!$R$18,트라이포드!$Q$18)*(1+입력란!$C$42/100)*IF(입력란!$C$9=1,IF(입력란!$C$15=0,1.05,IF(입력란!$C$15=1,1.05*1.05,IF(입력란!$C$15=2,1.05*1.12,IF(입력란!$C$15=3,1.05*1.25)))),1)</f>
        <v>84659.701660637773</v>
      </c>
      <c r="U332" s="30">
        <f>AP332*IF(G332="근접",IF(MID(E332,1,1)="1",트라이포드!$D$18,트라이포드!$C$18),1)*IF(MID(E332,1,1)="2",트라이포드!$F$18,트라이포드!$E$18)*IF(MID(E332,3,1)="1",트라이포드!$J$18,트라이포드!$I$18)*IF(MID(E332,5,1)="2",트라이포드!$R$18,트라이포드!$Q$18)*(1+입력란!$C$42/100)*IF(입력란!$C$9=1,IF(입력란!$C$15=0,1.05,IF(입력란!$C$15=1,1.05*1.05,IF(입력란!$C$15=2,1.05*1.12,IF(입력란!$C$15=3,1.05*1.25)))),1)</f>
        <v>112871.83139128177</v>
      </c>
      <c r="V332" s="30">
        <f>IF(MID(E332,5,1)="1",(S332+T332+U332)*트라이포드!$P$18,트라이포드!$O$18)</f>
        <v>0</v>
      </c>
      <c r="W332" s="30"/>
      <c r="X332" s="39"/>
      <c r="Y332" s="39"/>
      <c r="Z332" s="27"/>
      <c r="AA332" s="30">
        <f t="shared" si="40"/>
        <v>564382.46942511457</v>
      </c>
      <c r="AB332" s="30">
        <f t="shared" si="41"/>
        <v>169319.40332127555</v>
      </c>
      <c r="AC332" s="30">
        <f t="shared" si="42"/>
        <v>169319.40332127555</v>
      </c>
      <c r="AD332" s="30">
        <f t="shared" si="45"/>
        <v>225743.66278256354</v>
      </c>
      <c r="AE332" s="30"/>
      <c r="AF332" s="39"/>
      <c r="AG332" s="39"/>
      <c r="AH332" s="39"/>
      <c r="AI332" s="27"/>
      <c r="AJ332" s="26">
        <f>(AQ332-IF(MID(E332,3,1)="3",트라이포드!$N$18,트라이포드!$M$18))*(1-입력란!$C$35/100)</f>
        <v>24.7101760195</v>
      </c>
      <c r="AK33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2" s="26">
        <f>입력란!$C$47+IF(입력란!$C$18=1,10,IF(입력란!$C$18=2,25,IF(입력란!$C$18=3,50,0)))+IF(입력란!$C$23&lt;&gt;0,-12)</f>
        <v>200</v>
      </c>
      <c r="AM332" s="30">
        <f t="shared" si="43"/>
        <v>176769.79625224933</v>
      </c>
      <c r="AN332" s="30">
        <f>(VLOOKUP(C332,$B$4:$AJ$7,20,FALSE)+VLOOKUP(C332,$B$8:$AJ$11,20,FALSE)*입력란!$C$29)*IF(G332="근접",입력란!$C$50,IF(MID(E332,1,1)="2",입력란!$C$50,입력란!$C$49))*입력란!$C$48/100</f>
        <v>53032.399211729338</v>
      </c>
      <c r="AO332" s="30">
        <f>(VLOOKUP(C332,$B$4:$AJ$7,21,FALSE)+VLOOKUP(C332,$B$8:$AJ$11,21,FALSE)*입력란!$C$29)*IF(G332="근접",입력란!$C$50,IF(MID(E332,1,1)="2",입력란!$C$50,입력란!$C$49))*입력란!$C$48/100</f>
        <v>53032.399211729338</v>
      </c>
      <c r="AP332" s="30">
        <f>(VLOOKUP(C332,$B$4:$AJ$7,22,FALSE)+VLOOKUP(C332,$B$8:$AJ$11,22,FALSE)*입력란!$C$29)*IF(G332="근접",입력란!$C$50,IF(MID(E332,1,1)="2",입력란!$C$50,입력란!$C$49))*입력란!$C$48/100</f>
        <v>70704.997828790656</v>
      </c>
      <c r="AQ332" s="29">
        <v>36</v>
      </c>
    </row>
    <row r="333" spans="2:43" ht="13.5" customHeight="1" x14ac:dyDescent="0.3">
      <c r="B333" s="31">
        <v>318</v>
      </c>
      <c r="C333" s="36">
        <v>10</v>
      </c>
      <c r="D333" s="43" t="s">
        <v>212</v>
      </c>
      <c r="E333" s="38" t="s">
        <v>186</v>
      </c>
      <c r="F333" s="40"/>
      <c r="G333" s="40" t="s">
        <v>203</v>
      </c>
      <c r="H333" s="52">
        <f t="shared" si="38"/>
        <v>9633.1347797378203</v>
      </c>
      <c r="I333" s="53">
        <f>SUM(J333:Q333)*IF(입력란!$C$16=1,1.04,IF(입력란!$C$16=2,1.1,IF(입력란!$C$16=3,1.2,1)))*IF(입력란!$C$21=1,1+입력란!$C$38*0.001,IF(입력란!$C$21=2,1+입력란!$C$38*0.0022,IF(입력란!$C$21=3,1+입력란!$C$38*0.0045,1)))*IF(입력란!$C$18&lt;&gt;0,0.98,1)</f>
        <v>342772.49667872</v>
      </c>
      <c r="J333" s="30">
        <f>S333*(1+IF($AK333+IF(입력란!$C$9=1,10,0)+IF(입력란!$C$26=1,10,0)&gt;100,100,$AK333+IF(입력란!$C$9=1,10,0)+IF(입력란!$C$26=1,10,0))/100*($AL333/100-1))</f>
        <v>102831.90403686556</v>
      </c>
      <c r="K333" s="30">
        <f>T333*(1+IF($AK333+IF(입력란!$C$9=1,10,0)+IF(입력란!$C$26=1,10,0)&gt;100,100,$AK333+IF(입력란!$C$9=1,10,0)+IF(입력란!$C$26=1,10,0))/100*($AL333/100-1))</f>
        <v>102831.90403686556</v>
      </c>
      <c r="L333" s="30">
        <f>U333*(1+IF($AK333+IF(입력란!$C$9=1,10,0)+IF(입력란!$C$26=1,10,0)&gt;100,100,$AK333+IF(입력란!$C$9=1,10,0)+IF(입력란!$C$26=1,10,0))/100*($AL333/100-1))</f>
        <v>137108.68860498891</v>
      </c>
      <c r="M333" s="30">
        <f>V333*(1+IF($AK333+IF(입력란!$C$9=1,10,0)+IF(입력란!$C$26=1,10,0)&gt;100,100,$AK333+IF(입력란!$C$9=1,10,0)+IF(입력란!$C$26=1,10,0))/100*($AL333/100-1))</f>
        <v>0</v>
      </c>
      <c r="N333" s="39"/>
      <c r="O333" s="39"/>
      <c r="P333" s="39"/>
      <c r="Q333" s="35"/>
      <c r="R333" s="24">
        <f t="shared" si="39"/>
        <v>282362.20400550356</v>
      </c>
      <c r="S333" s="30">
        <f>AN333*IF(G333="근접",IF(MID(E333,1,1)="1",트라이포드!$D$18,트라이포드!$C$18),1)*IF(MID(E333,1,1)="2",트라이포드!$F$18,트라이포드!$E$18)*IF(MID(E333,3,1)="1",트라이포드!$J$18,트라이포드!$I$18)*IF(MID(E333,5,1)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T333" s="30">
        <f>AO333*IF(G333="근접",IF(MID(E333,1,1)="1",트라이포드!$D$18,트라이포드!$C$18),1)*IF(MID(E333,1,1)="2",트라이포드!$F$18,트라이포드!$E$18)*IF(MID(E333,3,1)="1",트라이포드!$J$18,트라이포드!$I$18)*IF(MID(E333,5,1)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U333" s="30">
        <f>AP333*IF(G333="근접",IF(MID(E333,1,1)="1",트라이포드!$D$18,트라이포드!$C$18),1)*IF(MID(E333,1,1)="2",트라이포드!$F$18,트라이포드!$E$18)*IF(MID(E333,3,1)="1",트라이포드!$J$18,트라이포드!$I$18)*IF(MID(E333,5,1)="2",트라이포드!$R$18,트라이포드!$Q$18)*(1+입력란!$C$42/100)*IF(입력란!$C$9=1,IF(입력란!$C$15=0,1.05,IF(입력란!$C$15=1,1.05*1.05,IF(입력란!$C$15=2,1.05*1.12,IF(입력란!$C$15=3,1.05*1.25)))),1)</f>
        <v>112944.6261818835</v>
      </c>
      <c r="V333" s="30">
        <f>IF(MID(E333,5,1)="1",(S333+T333+U333)*트라이포드!$P$18,트라이포드!$O$18)</f>
        <v>0</v>
      </c>
      <c r="W333" s="30"/>
      <c r="X333" s="39"/>
      <c r="Y333" s="39"/>
      <c r="Z333" s="27"/>
      <c r="AA333" s="30">
        <f t="shared" si="40"/>
        <v>564724.40801100712</v>
      </c>
      <c r="AB333" s="30">
        <f t="shared" si="41"/>
        <v>169417.57782362003</v>
      </c>
      <c r="AC333" s="30">
        <f t="shared" si="42"/>
        <v>169417.57782362003</v>
      </c>
      <c r="AD333" s="30">
        <f t="shared" si="45"/>
        <v>225889.25236376701</v>
      </c>
      <c r="AE333" s="30"/>
      <c r="AF333" s="39"/>
      <c r="AG333" s="39"/>
      <c r="AH333" s="39"/>
      <c r="AI333" s="27"/>
      <c r="AJ333" s="26">
        <f>(AQ333-IF(MID(E333,3,1)="3",트라이포드!$N$18,트라이포드!$M$18))*(1-입력란!$C$35/100)</f>
        <v>35.582653468079997</v>
      </c>
      <c r="AK33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3" s="26">
        <f>입력란!$C$47+IF(입력란!$C$18=1,10,IF(입력란!$C$18=2,25,IF(입력란!$C$18=3,50,0)))+IF(입력란!$C$23&lt;&gt;0,-12)</f>
        <v>200</v>
      </c>
      <c r="AM333" s="30">
        <f t="shared" si="43"/>
        <v>176876.89457197668</v>
      </c>
      <c r="AN333" s="30">
        <f>(VLOOKUP(C333,$B$4:$AJ$7,20,FALSE)+VLOOKUP(C333,$B$8:$AJ$11,20,FALSE)*입력란!$C$29)*IF(G333="근접",입력란!$C$50,IF(MID(E333,1,1)="2",입력란!$C$50,입력란!$C$49))*입력란!$C$48/100</f>
        <v>53063.148371593001</v>
      </c>
      <c r="AO333" s="30">
        <f>(VLOOKUP(C333,$B$4:$AJ$7,21,FALSE)+VLOOKUP(C333,$B$8:$AJ$11,21,FALSE)*입력란!$C$29)*IF(G333="근접",입력란!$C$50,IF(MID(E333,1,1)="2",입력란!$C$50,입력란!$C$49))*입력란!$C$48/100</f>
        <v>53063.148371593001</v>
      </c>
      <c r="AP333" s="30">
        <f>(VLOOKUP(C333,$B$4:$AJ$7,22,FALSE)+VLOOKUP(C333,$B$8:$AJ$11,22,FALSE)*입력란!$C$29)*IF(G333="근접",입력란!$C$50,IF(MID(E333,1,1)="2",입력란!$C$50,입력란!$C$49))*입력란!$C$48/100</f>
        <v>70750.597828790662</v>
      </c>
      <c r="AQ333" s="29">
        <v>36</v>
      </c>
    </row>
    <row r="334" spans="2:43" ht="13.5" customHeight="1" x14ac:dyDescent="0.3">
      <c r="B334" s="31">
        <v>319</v>
      </c>
      <c r="C334" s="36">
        <v>10</v>
      </c>
      <c r="D334" s="43" t="s">
        <v>212</v>
      </c>
      <c r="E334" s="38" t="s">
        <v>192</v>
      </c>
      <c r="F334" s="40"/>
      <c r="G334" s="40" t="s">
        <v>203</v>
      </c>
      <c r="H334" s="52">
        <f t="shared" si="38"/>
        <v>15413.015647580512</v>
      </c>
      <c r="I334" s="53">
        <f>SUM(J334:Q334)*IF(입력란!$C$16=1,1.04,IF(입력란!$C$16=2,1.1,IF(입력란!$C$16=3,1.2,1)))*IF(입력란!$C$21=1,1+입력란!$C$38*0.001,IF(입력란!$C$21=2,1+입력란!$C$38*0.0022,IF(입력란!$C$21=3,1+입력란!$C$38*0.0045,1)))*IF(입력란!$C$18&lt;&gt;0,0.98,1)</f>
        <v>548435.99468595197</v>
      </c>
      <c r="J334" s="30">
        <f>S334*(1+IF($AK334+IF(입력란!$C$9=1,10,0)+IF(입력란!$C$26=1,10,0)&gt;100,100,$AK334+IF(입력란!$C$9=1,10,0)+IF(입력란!$C$26=1,10,0))/100*($AL334/100-1))</f>
        <v>102831.90403686556</v>
      </c>
      <c r="K334" s="30">
        <f>T334*(1+IF($AK334+IF(입력란!$C$9=1,10,0)+IF(입력란!$C$26=1,10,0)&gt;100,100,$AK334+IF(입력란!$C$9=1,10,0)+IF(입력란!$C$26=1,10,0))/100*($AL334/100-1))</f>
        <v>102831.90403686556</v>
      </c>
      <c r="L334" s="30">
        <f>U334*(1+IF($AK334+IF(입력란!$C$9=1,10,0)+IF(입력란!$C$26=1,10,0)&gt;100,100,$AK334+IF(입력란!$C$9=1,10,0)+IF(입력란!$C$26=1,10,0))/100*($AL334/100-1))</f>
        <v>137108.68860498891</v>
      </c>
      <c r="M334" s="30">
        <f>V334*(1+IF($AK334+IF(입력란!$C$9=1,10,0)+IF(입력란!$C$26=1,10,0)&gt;100,100,$AK334+IF(입력란!$C$9=1,10,0)+IF(입력란!$C$26=1,10,0))/100*($AL334/100-1))</f>
        <v>205663.498007232</v>
      </c>
      <c r="N334" s="39"/>
      <c r="O334" s="39"/>
      <c r="P334" s="39"/>
      <c r="Q334" s="35"/>
      <c r="R334" s="24">
        <f t="shared" si="39"/>
        <v>451779.52640880569</v>
      </c>
      <c r="S334" s="30">
        <f>AN334*IF(G334="근접",IF(MID(E334,1,1)="1",트라이포드!$D$18,트라이포드!$C$18),1)*IF(MID(E334,1,1)="2",트라이포드!$F$18,트라이포드!$E$18)*IF(MID(E334,3,1)="1",트라이포드!$J$18,트라이포드!$I$18)*IF(MID(E334,5,1)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T334" s="30">
        <f>AO334*IF(G334="근접",IF(MID(E334,1,1)="1",트라이포드!$D$18,트라이포드!$C$18),1)*IF(MID(E334,1,1)="2",트라이포드!$F$18,트라이포드!$E$18)*IF(MID(E334,3,1)="1",트라이포드!$J$18,트라이포드!$I$18)*IF(MID(E334,5,1)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U334" s="30">
        <f>AP334*IF(G334="근접",IF(MID(E334,1,1)="1",트라이포드!$D$18,트라이포드!$C$18),1)*IF(MID(E334,1,1)="2",트라이포드!$F$18,트라이포드!$E$18)*IF(MID(E334,3,1)="1",트라이포드!$J$18,트라이포드!$I$18)*IF(MID(E334,5,1)="2",트라이포드!$R$18,트라이포드!$Q$18)*(1+입력란!$C$42/100)*IF(입력란!$C$9=1,IF(입력란!$C$15=0,1.05,IF(입력란!$C$15=1,1.05*1.05,IF(입력란!$C$15=2,1.05*1.12,IF(입력란!$C$15=3,1.05*1.25)))),1)</f>
        <v>112944.6261818835</v>
      </c>
      <c r="V334" s="30">
        <f>IF(MID(E334,5,1)="1",(S334+T334+U334)*트라이포드!$P$18,트라이포드!$O$18)</f>
        <v>169417.32240330213</v>
      </c>
      <c r="W334" s="30"/>
      <c r="X334" s="39"/>
      <c r="Y334" s="39"/>
      <c r="Z334" s="27"/>
      <c r="AA334" s="30">
        <f t="shared" si="40"/>
        <v>564724.40801100712</v>
      </c>
      <c r="AB334" s="30">
        <f t="shared" si="41"/>
        <v>169417.57782362003</v>
      </c>
      <c r="AC334" s="30">
        <f t="shared" si="42"/>
        <v>169417.57782362003</v>
      </c>
      <c r="AD334" s="30">
        <f t="shared" si="45"/>
        <v>225889.25236376701</v>
      </c>
      <c r="AE334" s="30"/>
      <c r="AF334" s="39"/>
      <c r="AG334" s="39"/>
      <c r="AH334" s="39"/>
      <c r="AI334" s="27"/>
      <c r="AJ334" s="26">
        <f>(AQ334-IF(MID(E334,3,1)="3",트라이포드!$N$18,트라이포드!$M$18))*(1-입력란!$C$35/100)</f>
        <v>35.582653468079997</v>
      </c>
      <c r="AK33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4" s="26">
        <f>입력란!$C$47+IF(입력란!$C$18=1,10,IF(입력란!$C$18=2,25,IF(입력란!$C$18=3,50,0)))+IF(입력란!$C$23&lt;&gt;0,-12)</f>
        <v>200</v>
      </c>
      <c r="AM334" s="30">
        <f t="shared" si="43"/>
        <v>176876.89457197668</v>
      </c>
      <c r="AN334" s="30">
        <f>(VLOOKUP(C334,$B$4:$AJ$7,20,FALSE)+VLOOKUP(C334,$B$8:$AJ$11,20,FALSE)*입력란!$C$29)*IF(G334="근접",입력란!$C$50,IF(MID(E334,1,1)="2",입력란!$C$50,입력란!$C$49))*입력란!$C$48/100</f>
        <v>53063.148371593001</v>
      </c>
      <c r="AO334" s="30">
        <f>(VLOOKUP(C334,$B$4:$AJ$7,21,FALSE)+VLOOKUP(C334,$B$8:$AJ$11,21,FALSE)*입력란!$C$29)*IF(G334="근접",입력란!$C$50,IF(MID(E334,1,1)="2",입력란!$C$50,입력란!$C$49))*입력란!$C$48/100</f>
        <v>53063.148371593001</v>
      </c>
      <c r="AP334" s="30">
        <f>(VLOOKUP(C334,$B$4:$AJ$7,22,FALSE)+VLOOKUP(C334,$B$8:$AJ$11,22,FALSE)*입력란!$C$29)*IF(G334="근접",입력란!$C$50,IF(MID(E334,1,1)="2",입력란!$C$50,입력란!$C$49))*입력란!$C$48/100</f>
        <v>70750.597828790662</v>
      </c>
      <c r="AQ334" s="29">
        <v>36</v>
      </c>
    </row>
    <row r="335" spans="2:43" ht="13.5" customHeight="1" x14ac:dyDescent="0.3">
      <c r="B335" s="31">
        <v>320</v>
      </c>
      <c r="C335" s="36">
        <v>10</v>
      </c>
      <c r="D335" s="43" t="s">
        <v>212</v>
      </c>
      <c r="E335" s="38" t="s">
        <v>208</v>
      </c>
      <c r="F335" s="40" t="s">
        <v>223</v>
      </c>
      <c r="G335" s="40" t="s">
        <v>203</v>
      </c>
      <c r="H335" s="52">
        <f t="shared" si="38"/>
        <v>17339.642603528078</v>
      </c>
      <c r="I335" s="53">
        <f>SUM(J335:Q335)*IF(입력란!$C$16=1,1.04,IF(입력란!$C$16=2,1.1,IF(입력란!$C$16=3,1.2,1)))*IF(입력란!$C$21=1,1+입력란!$C$38*0.001,IF(입력란!$C$21=2,1+입력란!$C$38*0.0022,IF(입력란!$C$21=3,1+입력란!$C$38*0.0045,1)))*IF(입력란!$C$18&lt;&gt;0,0.98,1)</f>
        <v>616990.49402169604</v>
      </c>
      <c r="J335" s="30">
        <f>S335*(1+IF($AK335+IF(입력란!$C$9=1,10,0)+IF(입력란!$C$26=1,10,0)&gt;100,100,$AK335+IF(입력란!$C$9=1,10,0)+IF(입력란!$C$26=1,10,0))/100*($AL335/100-1))</f>
        <v>185097.42726635799</v>
      </c>
      <c r="K335" s="30">
        <f>T335*(1+IF($AK335+IF(입력란!$C$9=1,10,0)+IF(입력란!$C$26=1,10,0)&gt;100,100,$AK335+IF(입력란!$C$9=1,10,0)+IF(입력란!$C$26=1,10,0))/100*($AL335/100-1))</f>
        <v>185097.42726635799</v>
      </c>
      <c r="L335" s="30">
        <f>U335*(1+IF($AK335+IF(입력란!$C$9=1,10,0)+IF(입력란!$C$26=1,10,0)&gt;100,100,$AK335+IF(입력란!$C$9=1,10,0)+IF(입력란!$C$26=1,10,0))/100*($AL335/100-1))</f>
        <v>246795.63948898003</v>
      </c>
      <c r="M335" s="30">
        <f>V335*(1+IF($AK335+IF(입력란!$C$9=1,10,0)+IF(입력란!$C$26=1,10,0)&gt;100,100,$AK335+IF(입력란!$C$9=1,10,0)+IF(입력란!$C$26=1,10,0))/100*($AL335/100-1))</f>
        <v>0</v>
      </c>
      <c r="N335" s="39"/>
      <c r="O335" s="39"/>
      <c r="P335" s="39"/>
      <c r="Q335" s="35"/>
      <c r="R335" s="24">
        <f t="shared" si="39"/>
        <v>508251.96720990638</v>
      </c>
      <c r="S335" s="30">
        <f>AN335*IF(G335="근접",IF(MID(E335,1,1)="1",트라이포드!$D$18,트라이포드!$C$18),1)*IF(MID(E335,1,1)="2",트라이포드!$F$18,트라이포드!$E$18)*IF(MID(E335,3,1)="1",트라이포드!$J$18,트라이포드!$I$18)*IF(MID(E335,5,1)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T335" s="30">
        <f>AO335*IF(G335="근접",IF(MID(E335,1,1)="1",트라이포드!$D$18,트라이포드!$C$18),1)*IF(MID(E335,1,1)="2",트라이포드!$F$18,트라이포드!$E$18)*IF(MID(E335,3,1)="1",트라이포드!$J$18,트라이포드!$I$18)*IF(MID(E335,5,1)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U335" s="30">
        <f>AP335*IF(G335="근접",IF(MID(E335,1,1)="1",트라이포드!$D$18,트라이포드!$C$18),1)*IF(MID(E335,1,1)="2",트라이포드!$F$18,트라이포드!$E$18)*IF(MID(E335,3,1)="1",트라이포드!$J$18,트라이포드!$I$18)*IF(MID(E335,5,1)="2",트라이포드!$R$18,트라이포드!$Q$18)*(1+입력란!$C$42/100)*IF(입력란!$C$9=1,IF(입력란!$C$15=0,1.05,IF(입력란!$C$15=1,1.05*1.05,IF(입력란!$C$15=2,1.05*1.12,IF(입력란!$C$15=3,1.05*1.25)))),1)</f>
        <v>203300.32712739031</v>
      </c>
      <c r="V335" s="30">
        <f>IF(MID(E335,5,1)="1",(S335+T335+U335)*트라이포드!$P$18,트라이포드!$O$18)</f>
        <v>0</v>
      </c>
      <c r="W335" s="30"/>
      <c r="X335" s="39"/>
      <c r="Y335" s="39"/>
      <c r="Z335" s="27"/>
      <c r="AA335" s="30">
        <f t="shared" si="40"/>
        <v>1016503.9344198128</v>
      </c>
      <c r="AB335" s="30">
        <f t="shared" si="41"/>
        <v>304951.64008251607</v>
      </c>
      <c r="AC335" s="30">
        <f t="shared" si="42"/>
        <v>304951.64008251607</v>
      </c>
      <c r="AD335" s="30">
        <f t="shared" si="45"/>
        <v>406600.65425478062</v>
      </c>
      <c r="AE335" s="30"/>
      <c r="AF335" s="39"/>
      <c r="AG335" s="39"/>
      <c r="AH335" s="39"/>
      <c r="AI335" s="27"/>
      <c r="AJ335" s="26">
        <f>(AQ335-IF(MID(E335,3,1)="3",트라이포드!$N$18,트라이포드!$M$18))*(1-입력란!$C$35/100)</f>
        <v>35.582653468079997</v>
      </c>
      <c r="AK33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5" s="26">
        <f>입력란!$C$47+IF(입력란!$C$18=1,10,IF(입력란!$C$18=2,25,IF(입력란!$C$18=3,50,0)))+IF(입력란!$C$23&lt;&gt;0,-12)</f>
        <v>200</v>
      </c>
      <c r="AM335" s="30">
        <f t="shared" si="43"/>
        <v>176876.89457197668</v>
      </c>
      <c r="AN335" s="30">
        <f>(VLOOKUP(C335,$B$4:$AJ$7,20,FALSE)+VLOOKUP(C335,$B$8:$AJ$11,20,FALSE)*입력란!$C$29)*IF(G335="근접",입력란!$C$50,IF(MID(E335,1,1)="2",입력란!$C$50,입력란!$C$49))*입력란!$C$48/100</f>
        <v>53063.148371593001</v>
      </c>
      <c r="AO335" s="30">
        <f>(VLOOKUP(C335,$B$4:$AJ$7,21,FALSE)+VLOOKUP(C335,$B$8:$AJ$11,21,FALSE)*입력란!$C$29)*IF(G335="근접",입력란!$C$50,IF(MID(E335,1,1)="2",입력란!$C$50,입력란!$C$49))*입력란!$C$48/100</f>
        <v>53063.148371593001</v>
      </c>
      <c r="AP335" s="30">
        <f>(VLOOKUP(C335,$B$4:$AJ$7,22,FALSE)+VLOOKUP(C335,$B$8:$AJ$11,22,FALSE)*입력란!$C$29)*IF(G335="근접",입력란!$C$50,IF(MID(E335,1,1)="2",입력란!$C$50,입력란!$C$49))*입력란!$C$48/100</f>
        <v>70750.597828790662</v>
      </c>
      <c r="AQ335" s="29">
        <v>36</v>
      </c>
    </row>
    <row r="336" spans="2:43" ht="13.5" customHeight="1" x14ac:dyDescent="0.3">
      <c r="B336" s="31">
        <v>321</v>
      </c>
      <c r="C336" s="36">
        <v>10</v>
      </c>
      <c r="D336" s="43" t="s">
        <v>50</v>
      </c>
      <c r="E336" s="38" t="s">
        <v>390</v>
      </c>
      <c r="F336" s="40"/>
      <c r="G336" s="40" t="s">
        <v>38</v>
      </c>
      <c r="H336" s="52">
        <f t="shared" ref="H336:H399" si="46">I336/AJ336</f>
        <v>33908.634424677133</v>
      </c>
      <c r="I336" s="53">
        <f>SUM(J336:Q336)*IF(입력란!$C$16=1,1.04,IF(입력란!$C$16=2,1.1,IF(입력란!$C$16=3,1.2,1)))*IF(입력란!$C$21=1,1+입력란!$C$38*0.001,IF(입력란!$C$21=2,1+입력란!$C$38*0.0022,IF(입력란!$C$21=3,1+입력란!$C$38*0.0045,1)))*IF(입력란!$C$18&lt;&gt;0,0.98,1)</f>
        <v>1206559.1883090946</v>
      </c>
      <c r="J336" s="30">
        <f>S336*(1+IF($AK336+IF(입력란!$C$9=1,10,0)+IF(입력란!$C$26=1,10,0)&gt;100,100,$AK336+IF(입력란!$C$9=1,10,0)+IF(입력란!$C$26=1,10,0))/100*($AL336/100-1))</f>
        <v>226230.18888110423</v>
      </c>
      <c r="K336" s="30">
        <f>T336*(1+IF($AK336+IF(입력란!$C$9=1,10,0)+IF(입력란!$C$26=1,10,0)&gt;100,100,$AK336+IF(입력란!$C$9=1,10,0)+IF(입력란!$C$26=1,10,0))/100*($AL336/100-1))</f>
        <v>226230.18888110423</v>
      </c>
      <c r="L336" s="30">
        <f>U336*(1+IF($AK336+IF(입력란!$C$9=1,10,0)+IF(입력란!$C$26=1,10,0)&gt;100,100,$AK336+IF(입력란!$C$9=1,10,0)+IF(입력란!$C$26=1,10,0))/100*($AL336/100-1))</f>
        <v>301639.11493097566</v>
      </c>
      <c r="M336" s="30">
        <f>V336*(1+IF($AK336+IF(입력란!$C$9=1,10,0)+IF(입력란!$C$26=1,10,0)&gt;100,100,$AK336+IF(입력란!$C$9=1,10,0)+IF(입력란!$C$26=1,10,0))/100*($AL336/100-1))</f>
        <v>452459.69561591046</v>
      </c>
      <c r="N336" s="39"/>
      <c r="O336" s="39"/>
      <c r="P336" s="39"/>
      <c r="Q336" s="35"/>
      <c r="R336" s="24">
        <f t="shared" ref="R336:R399" si="47">SUM(S336:Z336)</f>
        <v>993914.95809937245</v>
      </c>
      <c r="S336" s="30">
        <f>AN336*IF(G336="근접",IF(MID(E336,1,1)="1",트라이포드!$D$18,트라이포드!$C$18),1)*IF(MID(E336,1,1)="2",트라이포드!$F$18,트라이포드!$E$18)*IF(MID(E336,3,1)="1",트라이포드!$J$18,트라이포드!$I$18)*IF(MID(E336,5,1)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T336" s="30">
        <f>AO336*IF(G336="근접",IF(MID(E336,1,1)="1",트라이포드!$D$18,트라이포드!$C$18),1)*IF(MID(E336,1,1)="2",트라이포드!$F$18,트라이포드!$E$18)*IF(MID(E336,3,1)="1",트라이포드!$J$18,트라이포드!$I$18)*IF(MID(E336,5,1)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U336" s="30">
        <f>AP336*IF(G336="근접",IF(MID(E336,1,1)="1",트라이포드!$D$18,트라이포드!$C$18),1)*IF(MID(E336,1,1)="2",트라이포드!$F$18,트라이포드!$E$18)*IF(MID(E336,3,1)="1",트라이포드!$J$18,트라이포드!$I$18)*IF(MID(E336,5,1)="2",트라이포드!$R$18,트라이포드!$Q$18)*(1+입력란!$C$42/100)*IF(입력란!$C$9=1,IF(입력란!$C$15=0,1.05,IF(입력란!$C$15=1,1.05*1.05,IF(입력란!$C$15=2,1.05*1.12,IF(입력란!$C$15=3,1.05*1.25)))),1)</f>
        <v>248478.17760014374</v>
      </c>
      <c r="V336" s="30">
        <f>IF(MID(E336,5,1)="1",(S336+T336+U336)*트라이포드!$P$18,트라이포드!$O$18)</f>
        <v>372718.1092872647</v>
      </c>
      <c r="W336" s="30"/>
      <c r="X336" s="39"/>
      <c r="Y336" s="39"/>
      <c r="Z336" s="27"/>
      <c r="AA336" s="30">
        <f t="shared" ref="AA336:AA399" si="48">SUM(AB336:AI336)</f>
        <v>1242393.6976242156</v>
      </c>
      <c r="AB336" s="30">
        <f t="shared" ref="AB336:AB399" si="49">S336*2</f>
        <v>372718.6712119641</v>
      </c>
      <c r="AC336" s="30">
        <f t="shared" ref="AC336:AC399" si="50">T336*2</f>
        <v>372718.6712119641</v>
      </c>
      <c r="AD336" s="30">
        <f t="shared" si="45"/>
        <v>496956.35520028748</v>
      </c>
      <c r="AE336" s="30"/>
      <c r="AF336" s="39"/>
      <c r="AG336" s="39"/>
      <c r="AH336" s="39"/>
      <c r="AI336" s="27"/>
      <c r="AJ336" s="26">
        <f>(AQ336-IF(MID(E336,3,1)="3",트라이포드!$N$18,트라이포드!$M$18))*(1-입력란!$C$35/100)</f>
        <v>35.582653468079997</v>
      </c>
      <c r="AK33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6" s="26">
        <f>입력란!$C$47+IF(입력란!$C$18=1,10,IF(입력란!$C$18=2,25,IF(입력란!$C$18=3,50,0)))+IF(입력란!$C$23&lt;&gt;0,-12)</f>
        <v>200</v>
      </c>
      <c r="AM336" s="30">
        <f t="shared" ref="AM336:AM399" si="51">SUM(AN336:AP336)</f>
        <v>353753.78914395336</v>
      </c>
      <c r="AN336" s="30">
        <f>(VLOOKUP(C336,$B$4:$AJ$7,20,FALSE)+VLOOKUP(C336,$B$8:$AJ$11,20,FALSE)*입력란!$C$29)*IF(G336="근접",입력란!$C$50,IF(MID(E336,1,1)="2",입력란!$C$50,입력란!$C$49))*입력란!$C$48/100</f>
        <v>106126.296743186</v>
      </c>
      <c r="AO336" s="30">
        <f>(VLOOKUP(C336,$B$4:$AJ$7,21,FALSE)+VLOOKUP(C336,$B$8:$AJ$11,21,FALSE)*입력란!$C$29)*IF(G336="근접",입력란!$C$50,IF(MID(E336,1,1)="2",입력란!$C$50,입력란!$C$49))*입력란!$C$48/100</f>
        <v>106126.296743186</v>
      </c>
      <c r="AP336" s="30">
        <f>(VLOOKUP(C336,$B$4:$AJ$7,22,FALSE)+VLOOKUP(C336,$B$8:$AJ$11,22,FALSE)*입력란!$C$29)*IF(G336="근접",입력란!$C$50,IF(MID(E336,1,1)="2",입력란!$C$50,입력란!$C$49))*입력란!$C$48/100</f>
        <v>141501.19565758132</v>
      </c>
      <c r="AQ336" s="29">
        <v>36</v>
      </c>
    </row>
    <row r="337" spans="2:43" ht="13.5" customHeight="1" x14ac:dyDescent="0.3">
      <c r="B337" s="31">
        <v>322</v>
      </c>
      <c r="C337" s="36">
        <v>10</v>
      </c>
      <c r="D337" s="43" t="s">
        <v>212</v>
      </c>
      <c r="E337" s="38" t="s">
        <v>214</v>
      </c>
      <c r="F337" s="40"/>
      <c r="G337" s="40" t="s">
        <v>203</v>
      </c>
      <c r="H337" s="52">
        <f t="shared" si="46"/>
        <v>15413.015647580512</v>
      </c>
      <c r="I337" s="53">
        <f>SUM(J337:Q337)*IF(입력란!$C$16=1,1.04,IF(입력란!$C$16=2,1.1,IF(입력란!$C$16=3,1.2,1)))*IF(입력란!$C$21=1,1+입력란!$C$38*0.001,IF(입력란!$C$21=2,1+입력란!$C$38*0.0022,IF(입력란!$C$21=3,1+입력란!$C$38*0.0045,1)))*IF(입력란!$C$18&lt;&gt;0,0.98,1)</f>
        <v>548435.99468595197</v>
      </c>
      <c r="J337" s="30">
        <f>S337*(1+IF($AK337+IF(입력란!$C$9=1,10,0)+IF(입력란!$C$26=1,10,0)&gt;100,100,$AK337+IF(입력란!$C$9=1,10,0)+IF(입력란!$C$26=1,10,0))/100*($AL337/100-1))</f>
        <v>102831.90403686556</v>
      </c>
      <c r="K337" s="30">
        <f>T337*(1+IF($AK337+IF(입력란!$C$9=1,10,0)+IF(입력란!$C$26=1,10,0)&gt;100,100,$AK337+IF(입력란!$C$9=1,10,0)+IF(입력란!$C$26=1,10,0))/100*($AL337/100-1))</f>
        <v>102831.90403686556</v>
      </c>
      <c r="L337" s="30">
        <f>U337*(1+IF($AK337+IF(입력란!$C$9=1,10,0)+IF(입력란!$C$26=1,10,0)&gt;100,100,$AK337+IF(입력란!$C$9=1,10,0)+IF(입력란!$C$26=1,10,0))/100*($AL337/100-1))</f>
        <v>137108.68860498891</v>
      </c>
      <c r="M337" s="30">
        <f>V337*(1+IF($AK337+IF(입력란!$C$9=1,10,0)+IF(입력란!$C$26=1,10,0)&gt;100,100,$AK337+IF(입력란!$C$9=1,10,0)+IF(입력란!$C$26=1,10,0))/100*($AL337/100-1))</f>
        <v>205663.498007232</v>
      </c>
      <c r="N337" s="39"/>
      <c r="O337" s="39"/>
      <c r="P337" s="39"/>
      <c r="Q337" s="35"/>
      <c r="R337" s="24">
        <f t="shared" si="47"/>
        <v>451779.52640880569</v>
      </c>
      <c r="S337" s="30">
        <f>AN337*IF(G337="근접",IF(MID(E337,1,1)="1",트라이포드!$D$18,트라이포드!$C$18),1)*IF(MID(E337,1,1)="2",트라이포드!$F$18,트라이포드!$E$18)*IF(MID(E337,3,1)="1",트라이포드!$J$18,트라이포드!$I$18)*IF(MID(E337,5,1)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T337" s="30">
        <f>AO337*IF(G337="근접",IF(MID(E337,1,1)="1",트라이포드!$D$18,트라이포드!$C$18),1)*IF(MID(E337,1,1)="2",트라이포드!$F$18,트라이포드!$E$18)*IF(MID(E337,3,1)="1",트라이포드!$J$18,트라이포드!$I$18)*IF(MID(E337,5,1)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U337" s="30">
        <f>AP337*IF(G337="근접",IF(MID(E337,1,1)="1",트라이포드!$D$18,트라이포드!$C$18),1)*IF(MID(E337,1,1)="2",트라이포드!$F$18,트라이포드!$E$18)*IF(MID(E337,3,1)="1",트라이포드!$J$18,트라이포드!$I$18)*IF(MID(E337,5,1)="2",트라이포드!$R$18,트라이포드!$Q$18)*(1+입력란!$C$42/100)*IF(입력란!$C$9=1,IF(입력란!$C$15=0,1.05,IF(입력란!$C$15=1,1.05*1.05,IF(입력란!$C$15=2,1.05*1.12,IF(입력란!$C$15=3,1.05*1.25)))),1)</f>
        <v>112944.6261818835</v>
      </c>
      <c r="V337" s="30">
        <f>IF(MID(E337,5,1)="1",(S337+T337+U337)*트라이포드!$P$18,트라이포드!$O$18)</f>
        <v>169417.32240330213</v>
      </c>
      <c r="W337" s="30"/>
      <c r="X337" s="39"/>
      <c r="Y337" s="39"/>
      <c r="Z337" s="27"/>
      <c r="AA337" s="30">
        <f t="shared" si="48"/>
        <v>564724.40801100712</v>
      </c>
      <c r="AB337" s="30">
        <f t="shared" si="49"/>
        <v>169417.57782362003</v>
      </c>
      <c r="AC337" s="30">
        <f t="shared" si="50"/>
        <v>169417.57782362003</v>
      </c>
      <c r="AD337" s="30">
        <f t="shared" si="45"/>
        <v>225889.25236376701</v>
      </c>
      <c r="AE337" s="30"/>
      <c r="AF337" s="39"/>
      <c r="AG337" s="39"/>
      <c r="AH337" s="39"/>
      <c r="AI337" s="27"/>
      <c r="AJ337" s="26">
        <f>(AQ337-IF(MID(E337,3,1)="3",트라이포드!$N$18,트라이포드!$M$18))*(1-입력란!$C$35/100)</f>
        <v>35.582653468079997</v>
      </c>
      <c r="AK3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7" s="26">
        <f>입력란!$C$47+IF(입력란!$C$18=1,10,IF(입력란!$C$18=2,25,IF(입력란!$C$18=3,50,0)))+IF(입력란!$C$23&lt;&gt;0,-12)</f>
        <v>200</v>
      </c>
      <c r="AM337" s="30">
        <f t="shared" si="51"/>
        <v>176876.89457197668</v>
      </c>
      <c r="AN337" s="30">
        <f>(VLOOKUP(C337,$B$4:$AJ$7,20,FALSE)+VLOOKUP(C337,$B$8:$AJ$11,20,FALSE)*입력란!$C$29)*IF(G337="근접",입력란!$C$50,IF(MID(E337,1,1)="2",입력란!$C$50,입력란!$C$49))*입력란!$C$48/100</f>
        <v>53063.148371593001</v>
      </c>
      <c r="AO337" s="30">
        <f>(VLOOKUP(C337,$B$4:$AJ$7,21,FALSE)+VLOOKUP(C337,$B$8:$AJ$11,21,FALSE)*입력란!$C$29)*IF(G337="근접",입력란!$C$50,IF(MID(E337,1,1)="2",입력란!$C$50,입력란!$C$49))*입력란!$C$48/100</f>
        <v>53063.148371593001</v>
      </c>
      <c r="AP337" s="30">
        <f>(VLOOKUP(C337,$B$4:$AJ$7,22,FALSE)+VLOOKUP(C337,$B$8:$AJ$11,22,FALSE)*입력란!$C$29)*IF(G337="근접",입력란!$C$50,IF(MID(E337,1,1)="2",입력란!$C$50,입력란!$C$49))*입력란!$C$48/100</f>
        <v>70750.597828790662</v>
      </c>
      <c r="AQ337" s="29">
        <v>36</v>
      </c>
    </row>
    <row r="338" spans="2:43" ht="13.5" customHeight="1" x14ac:dyDescent="0.3">
      <c r="B338" s="31">
        <v>323</v>
      </c>
      <c r="C338" s="36">
        <v>10</v>
      </c>
      <c r="D338" s="43" t="s">
        <v>50</v>
      </c>
      <c r="E338" s="38" t="s">
        <v>391</v>
      </c>
      <c r="F338" s="40" t="s">
        <v>138</v>
      </c>
      <c r="G338" s="40" t="s">
        <v>38</v>
      </c>
      <c r="H338" s="52">
        <f t="shared" si="46"/>
        <v>38147.213727761773</v>
      </c>
      <c r="I338" s="53">
        <f>SUM(J338:Q338)*IF(입력란!$C$16=1,1.04,IF(입력란!$C$16=2,1.1,IF(입력란!$C$16=3,1.2,1)))*IF(입력란!$C$21=1,1+입력란!$C$38*0.001,IF(입력란!$C$21=2,1+입력란!$C$38*0.0022,IF(입력란!$C$21=3,1+입력란!$C$38*0.0045,1)))*IF(입력란!$C$18&lt;&gt;0,0.98,1)</f>
        <v>1357379.0868477314</v>
      </c>
      <c r="J338" s="30">
        <f>S338*(1+IF($AK338+IF(입력란!$C$9=1,10,0)+IF(입력란!$C$26=1,10,0)&gt;100,100,$AK338+IF(입력란!$C$9=1,10,0)+IF(입력란!$C$26=1,10,0))/100*($AL338/100-1))</f>
        <v>407214.33998598764</v>
      </c>
      <c r="K338" s="30">
        <f>T338*(1+IF($AK338+IF(입력란!$C$9=1,10,0)+IF(입력란!$C$26=1,10,0)&gt;100,100,$AK338+IF(입력란!$C$9=1,10,0)+IF(입력란!$C$26=1,10,0))/100*($AL338/100-1))</f>
        <v>407214.33998598764</v>
      </c>
      <c r="L338" s="30">
        <f>U338*(1+IF($AK338+IF(입력란!$C$9=1,10,0)+IF(입력란!$C$26=1,10,0)&gt;100,100,$AK338+IF(입력란!$C$9=1,10,0)+IF(입력란!$C$26=1,10,0))/100*($AL338/100-1))</f>
        <v>542950.40687575622</v>
      </c>
      <c r="M338" s="30">
        <f>V338*(1+IF($AK338+IF(입력란!$C$9=1,10,0)+IF(입력란!$C$26=1,10,0)&gt;100,100,$AK338+IF(입력란!$C$9=1,10,0)+IF(입력란!$C$26=1,10,0))/100*($AL338/100-1))</f>
        <v>0</v>
      </c>
      <c r="N338" s="39"/>
      <c r="O338" s="39"/>
      <c r="P338" s="39"/>
      <c r="Q338" s="35"/>
      <c r="R338" s="24">
        <f t="shared" si="47"/>
        <v>1118154.3278617943</v>
      </c>
      <c r="S338" s="30">
        <f>AN338*IF(G338="근접",IF(MID(E338,1,1)="1",트라이포드!$D$18,트라이포드!$C$18),1)*IF(MID(E338,1,1)="2",트라이포드!$F$18,트라이포드!$E$18)*IF(MID(E338,3,1)="1",트라이포드!$J$18,트라이포드!$I$18)*IF(MID(E338,5,1)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T338" s="30">
        <f>AO338*IF(G338="근접",IF(MID(E338,1,1)="1",트라이포드!$D$18,트라이포드!$C$18),1)*IF(MID(E338,1,1)="2",트라이포드!$F$18,트라이포드!$E$18)*IF(MID(E338,3,1)="1",트라이포드!$J$18,트라이포드!$I$18)*IF(MID(E338,5,1)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U338" s="30">
        <f>AP338*IF(G338="근접",IF(MID(E338,1,1)="1",트라이포드!$D$18,트라이포드!$C$18),1)*IF(MID(E338,1,1)="2",트라이포드!$F$18,트라이포드!$E$18)*IF(MID(E338,3,1)="1",트라이포드!$J$18,트라이포드!$I$18)*IF(MID(E338,5,1)="2",트라이포드!$R$18,트라이포드!$Q$18)*(1+입력란!$C$42/100)*IF(입력란!$C$9=1,IF(입력란!$C$15=0,1.05,IF(입력란!$C$15=1,1.05*1.05,IF(입력란!$C$15=2,1.05*1.12,IF(입력란!$C$15=3,1.05*1.25)))),1)</f>
        <v>447260.71968025877</v>
      </c>
      <c r="V338" s="30">
        <f>IF(MID(E338,5,1)="1",(S338+T338+U338)*트라이포드!$P$18,트라이포드!$O$18)</f>
        <v>0</v>
      </c>
      <c r="W338" s="30"/>
      <c r="X338" s="39"/>
      <c r="Y338" s="39"/>
      <c r="Z338" s="27"/>
      <c r="AA338" s="30">
        <f t="shared" si="48"/>
        <v>2236308.6557235885</v>
      </c>
      <c r="AB338" s="30">
        <f t="shared" si="49"/>
        <v>670893.60818153538</v>
      </c>
      <c r="AC338" s="30">
        <f t="shared" si="50"/>
        <v>670893.60818153538</v>
      </c>
      <c r="AD338" s="30">
        <f t="shared" si="45"/>
        <v>894521.43936051754</v>
      </c>
      <c r="AE338" s="30"/>
      <c r="AF338" s="39"/>
      <c r="AG338" s="39"/>
      <c r="AH338" s="39"/>
      <c r="AI338" s="27"/>
      <c r="AJ338" s="26">
        <f>(AQ338-IF(MID(E338,3,1)="3",트라이포드!$N$18,트라이포드!$M$18))*(1-입력란!$C$35/100)</f>
        <v>35.582653468079997</v>
      </c>
      <c r="AK3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8" s="26">
        <f>입력란!$C$47+IF(입력란!$C$18=1,10,IF(입력란!$C$18=2,25,IF(입력란!$C$18=3,50,0)))+IF(입력란!$C$23&lt;&gt;0,-12)</f>
        <v>200</v>
      </c>
      <c r="AM338" s="30">
        <f t="shared" si="51"/>
        <v>353753.78914395336</v>
      </c>
      <c r="AN338" s="30">
        <f>(VLOOKUP(C338,$B$4:$AJ$7,20,FALSE)+VLOOKUP(C338,$B$8:$AJ$11,20,FALSE)*입력란!$C$29)*IF(G338="근접",입력란!$C$50,IF(MID(E338,1,1)="2",입력란!$C$50,입력란!$C$49))*입력란!$C$48/100</f>
        <v>106126.296743186</v>
      </c>
      <c r="AO338" s="30">
        <f>(VLOOKUP(C338,$B$4:$AJ$7,21,FALSE)+VLOOKUP(C338,$B$8:$AJ$11,21,FALSE)*입력란!$C$29)*IF(G338="근접",입력란!$C$50,IF(MID(E338,1,1)="2",입력란!$C$50,입력란!$C$49))*입력란!$C$48/100</f>
        <v>106126.296743186</v>
      </c>
      <c r="AP338" s="30">
        <f>(VLOOKUP(C338,$B$4:$AJ$7,22,FALSE)+VLOOKUP(C338,$B$8:$AJ$11,22,FALSE)*입력란!$C$29)*IF(G338="근접",입력란!$C$50,IF(MID(E338,1,1)="2",입력란!$C$50,입력란!$C$49))*입력란!$C$48/100</f>
        <v>141501.19565758132</v>
      </c>
      <c r="AQ338" s="29">
        <v>36</v>
      </c>
    </row>
    <row r="339" spans="2:43" ht="13.5" customHeight="1" x14ac:dyDescent="0.3">
      <c r="B339" s="31">
        <v>324</v>
      </c>
      <c r="C339" s="36">
        <v>10</v>
      </c>
      <c r="D339" s="43" t="s">
        <v>212</v>
      </c>
      <c r="E339" s="38" t="s">
        <v>209</v>
      </c>
      <c r="F339" s="40" t="s">
        <v>223</v>
      </c>
      <c r="G339" s="40" t="s">
        <v>203</v>
      </c>
      <c r="H339" s="52">
        <f t="shared" si="46"/>
        <v>17339.642603528078</v>
      </c>
      <c r="I339" s="53">
        <f>SUM(J339:Q339)*IF(입력란!$C$16=1,1.04,IF(입력란!$C$16=2,1.1,IF(입력란!$C$16=3,1.2,1)))*IF(입력란!$C$21=1,1+입력란!$C$38*0.001,IF(입력란!$C$21=2,1+입력란!$C$38*0.0022,IF(입력란!$C$21=3,1+입력란!$C$38*0.0045,1)))*IF(입력란!$C$18&lt;&gt;0,0.98,1)</f>
        <v>616990.49402169604</v>
      </c>
      <c r="J339" s="30">
        <f>S339*(1+IF($AK339+IF(입력란!$C$9=1,10,0)+IF(입력란!$C$26=1,10,0)&gt;100,100,$AK339+IF(입력란!$C$9=1,10,0)+IF(입력란!$C$26=1,10,0))/100*($AL339/100-1))</f>
        <v>185097.42726635799</v>
      </c>
      <c r="K339" s="30">
        <f>T339*(1+IF($AK339+IF(입력란!$C$9=1,10,0)+IF(입력란!$C$26=1,10,0)&gt;100,100,$AK339+IF(입력란!$C$9=1,10,0)+IF(입력란!$C$26=1,10,0))/100*($AL339/100-1))</f>
        <v>185097.42726635799</v>
      </c>
      <c r="L339" s="30">
        <f>U339*(1+IF($AK339+IF(입력란!$C$9=1,10,0)+IF(입력란!$C$26=1,10,0)&gt;100,100,$AK339+IF(입력란!$C$9=1,10,0)+IF(입력란!$C$26=1,10,0))/100*($AL339/100-1))</f>
        <v>246795.63948898003</v>
      </c>
      <c r="M339" s="30">
        <f>V339*(1+IF($AK339+IF(입력란!$C$9=1,10,0)+IF(입력란!$C$26=1,10,0)&gt;100,100,$AK339+IF(입력란!$C$9=1,10,0)+IF(입력란!$C$26=1,10,0))/100*($AL339/100-1))</f>
        <v>0</v>
      </c>
      <c r="N339" s="39"/>
      <c r="O339" s="39"/>
      <c r="P339" s="39"/>
      <c r="Q339" s="35"/>
      <c r="R339" s="24">
        <f t="shared" si="47"/>
        <v>508251.96720990638</v>
      </c>
      <c r="S339" s="30">
        <f>AN339*IF(G339="근접",IF(MID(E339,1,1)="1",트라이포드!$D$18,트라이포드!$C$18),1)*IF(MID(E339,1,1)="2",트라이포드!$F$18,트라이포드!$E$18)*IF(MID(E339,3,1)="1",트라이포드!$J$18,트라이포드!$I$18)*IF(MID(E339,5,1)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T339" s="30">
        <f>AO339*IF(G339="근접",IF(MID(E339,1,1)="1",트라이포드!$D$18,트라이포드!$C$18),1)*IF(MID(E339,1,1)="2",트라이포드!$F$18,트라이포드!$E$18)*IF(MID(E339,3,1)="1",트라이포드!$J$18,트라이포드!$I$18)*IF(MID(E339,5,1)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U339" s="30">
        <f>AP339*IF(G339="근접",IF(MID(E339,1,1)="1",트라이포드!$D$18,트라이포드!$C$18),1)*IF(MID(E339,1,1)="2",트라이포드!$F$18,트라이포드!$E$18)*IF(MID(E339,3,1)="1",트라이포드!$J$18,트라이포드!$I$18)*IF(MID(E339,5,1)="2",트라이포드!$R$18,트라이포드!$Q$18)*(1+입력란!$C$42/100)*IF(입력란!$C$9=1,IF(입력란!$C$15=0,1.05,IF(입력란!$C$15=1,1.05*1.05,IF(입력란!$C$15=2,1.05*1.12,IF(입력란!$C$15=3,1.05*1.25)))),1)</f>
        <v>203300.32712739031</v>
      </c>
      <c r="V339" s="30">
        <f>IF(MID(E339,5,1)="1",(S339+T339+U339)*트라이포드!$P$18,트라이포드!$O$18)</f>
        <v>0</v>
      </c>
      <c r="W339" s="30"/>
      <c r="X339" s="39"/>
      <c r="Y339" s="39"/>
      <c r="Z339" s="27"/>
      <c r="AA339" s="30">
        <f t="shared" si="48"/>
        <v>1016503.9344198128</v>
      </c>
      <c r="AB339" s="30">
        <f t="shared" si="49"/>
        <v>304951.64008251607</v>
      </c>
      <c r="AC339" s="30">
        <f t="shared" si="50"/>
        <v>304951.64008251607</v>
      </c>
      <c r="AD339" s="30">
        <f t="shared" si="45"/>
        <v>406600.65425478062</v>
      </c>
      <c r="AE339" s="30"/>
      <c r="AF339" s="39"/>
      <c r="AG339" s="39"/>
      <c r="AH339" s="39"/>
      <c r="AI339" s="27"/>
      <c r="AJ339" s="26">
        <f>(AQ339-IF(MID(E339,3,1)="3",트라이포드!$N$18,트라이포드!$M$18))*(1-입력란!$C$35/100)</f>
        <v>35.582653468079997</v>
      </c>
      <c r="AK3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39" s="26">
        <f>입력란!$C$47+IF(입력란!$C$18=1,10,IF(입력란!$C$18=2,25,IF(입력란!$C$18=3,50,0)))+IF(입력란!$C$23&lt;&gt;0,-12)</f>
        <v>200</v>
      </c>
      <c r="AM339" s="30">
        <f t="shared" si="51"/>
        <v>176876.89457197668</v>
      </c>
      <c r="AN339" s="30">
        <f>(VLOOKUP(C339,$B$4:$AJ$7,20,FALSE)+VLOOKUP(C339,$B$8:$AJ$11,20,FALSE)*입력란!$C$29)*IF(G339="근접",입력란!$C$50,IF(MID(E339,1,1)="2",입력란!$C$50,입력란!$C$49))*입력란!$C$48/100</f>
        <v>53063.148371593001</v>
      </c>
      <c r="AO339" s="30">
        <f>(VLOOKUP(C339,$B$4:$AJ$7,21,FALSE)+VLOOKUP(C339,$B$8:$AJ$11,21,FALSE)*입력란!$C$29)*IF(G339="근접",입력란!$C$50,IF(MID(E339,1,1)="2",입력란!$C$50,입력란!$C$49))*입력란!$C$48/100</f>
        <v>53063.148371593001</v>
      </c>
      <c r="AP339" s="30">
        <f>(VLOOKUP(C339,$B$4:$AJ$7,22,FALSE)+VLOOKUP(C339,$B$8:$AJ$11,22,FALSE)*입력란!$C$29)*IF(G339="근접",입력란!$C$50,IF(MID(E339,1,1)="2",입력란!$C$50,입력란!$C$49))*입력란!$C$48/100</f>
        <v>70750.597828790662</v>
      </c>
      <c r="AQ339" s="29">
        <v>36</v>
      </c>
    </row>
    <row r="340" spans="2:43" ht="13.5" customHeight="1" x14ac:dyDescent="0.3">
      <c r="B340" s="31">
        <v>325</v>
      </c>
      <c r="C340" s="36">
        <v>10</v>
      </c>
      <c r="D340" s="43" t="s">
        <v>50</v>
      </c>
      <c r="E340" s="38" t="s">
        <v>151</v>
      </c>
      <c r="F340" s="40"/>
      <c r="G340" s="40" t="s">
        <v>38</v>
      </c>
      <c r="H340" s="52">
        <f t="shared" si="46"/>
        <v>42385.79303084642</v>
      </c>
      <c r="I340" s="53">
        <f>SUM(J340:Q340)*IF(입력란!$C$16=1,1.04,IF(입력란!$C$16=2,1.1,IF(입력란!$C$16=3,1.2,1)))*IF(입력란!$C$21=1,1+입력란!$C$38*0.001,IF(입력란!$C$21=2,1+입력란!$C$38*0.0022,IF(입력란!$C$21=3,1+입력란!$C$38*0.0045,1)))*IF(입력란!$C$18&lt;&gt;0,0.98,1)</f>
        <v>1508198.9853863684</v>
      </c>
      <c r="J340" s="30">
        <f>S340*(1+IF($AK340+IF(입력란!$C$9=1,10,0)+IF(입력란!$C$26=1,10,0)&gt;100,100,$AK340+IF(입력란!$C$9=1,10,0)+IF(입력란!$C$26=1,10,0))/100*($AL340/100-1))</f>
        <v>282787.73610138032</v>
      </c>
      <c r="K340" s="30">
        <f>T340*(1+IF($AK340+IF(입력란!$C$9=1,10,0)+IF(입력란!$C$26=1,10,0)&gt;100,100,$AK340+IF(입력란!$C$9=1,10,0)+IF(입력란!$C$26=1,10,0))/100*($AL340/100-1))</f>
        <v>282787.73610138032</v>
      </c>
      <c r="L340" s="30">
        <f>U340*(1+IF($AK340+IF(입력란!$C$9=1,10,0)+IF(입력란!$C$26=1,10,0)&gt;100,100,$AK340+IF(입력란!$C$9=1,10,0)+IF(입력란!$C$26=1,10,0))/100*($AL340/100-1))</f>
        <v>377048.89366371959</v>
      </c>
      <c r="M340" s="30">
        <f>V340*(1+IF($AK340+IF(입력란!$C$9=1,10,0)+IF(입력란!$C$26=1,10,0)&gt;100,100,$AK340+IF(입력란!$C$9=1,10,0)+IF(입력란!$C$26=1,10,0))/100*($AL340/100-1))</f>
        <v>565574.61951988819</v>
      </c>
      <c r="N340" s="39"/>
      <c r="O340" s="39"/>
      <c r="P340" s="39"/>
      <c r="Q340" s="35"/>
      <c r="R340" s="24">
        <f t="shared" si="47"/>
        <v>1242393.6976242159</v>
      </c>
      <c r="S340" s="30">
        <f>AN340*IF(G340="근접",IF(MID(E340,1,1)="1",트라이포드!$D$18,트라이포드!$C$18),1)*IF(MID(E340,1,1)="2",트라이포드!$F$18,트라이포드!$E$18)*IF(MID(E340,3,1)="1",트라이포드!$J$18,트라이포드!$I$18)*IF(MID(E340,5,1)="2",트라이포드!$R$18,트라이포드!$Q$18)*(1+입력란!$C$42/100)*IF(입력란!$C$9=1,IF(입력란!$C$15=0,1.05,IF(입력란!$C$15=1,1.05*1.05,IF(입력란!$C$15=2,1.05*1.12,IF(입력란!$C$15=3,1.05*1.25)))),1)</f>
        <v>232949.16950747758</v>
      </c>
      <c r="T340" s="30">
        <f>AO340*IF(G340="근접",IF(MID(E340,1,1)="1",트라이포드!$D$18,트라이포드!$C$18),1)*IF(MID(E340,1,1)="2",트라이포드!$F$18,트라이포드!$E$18)*IF(MID(E340,3,1)="1",트라이포드!$J$18,트라이포드!$I$18)*IF(MID(E340,5,1)="2",트라이포드!$R$18,트라이포드!$Q$18)*(1+입력란!$C$42/100)*IF(입력란!$C$9=1,IF(입력란!$C$15=0,1.05,IF(입력란!$C$15=1,1.05*1.05,IF(입력란!$C$15=2,1.05*1.12,IF(입력란!$C$15=3,1.05*1.25)))),1)</f>
        <v>232949.16950747758</v>
      </c>
      <c r="U340" s="30">
        <f>AP340*IF(G340="근접",IF(MID(E340,1,1)="1",트라이포드!$D$18,트라이포드!$C$18),1)*IF(MID(E340,1,1)="2",트라이포드!$F$18,트라이포드!$E$18)*IF(MID(E340,3,1)="1",트라이포드!$J$18,트라이포드!$I$18)*IF(MID(E340,5,1)="2",트라이포드!$R$18,트라이포드!$Q$18)*(1+입력란!$C$42/100)*IF(입력란!$C$9=1,IF(입력란!$C$15=0,1.05,IF(입력란!$C$15=1,1.05*1.05,IF(입력란!$C$15=2,1.05*1.12,IF(입력란!$C$15=3,1.05*1.25)))),1)</f>
        <v>310597.7220001797</v>
      </c>
      <c r="V340" s="30">
        <f>IF(MID(E340,5,1)="1",(S340+T340+U340)*트라이포드!$P$18,트라이포드!$O$18)</f>
        <v>465897.63660908095</v>
      </c>
      <c r="W340" s="30"/>
      <c r="X340" s="39"/>
      <c r="Y340" s="39"/>
      <c r="Z340" s="27"/>
      <c r="AA340" s="30">
        <f t="shared" si="48"/>
        <v>1552992.1220302698</v>
      </c>
      <c r="AB340" s="30">
        <f t="shared" si="49"/>
        <v>465898.33901495516</v>
      </c>
      <c r="AC340" s="30">
        <f t="shared" si="50"/>
        <v>465898.33901495516</v>
      </c>
      <c r="AD340" s="30">
        <f t="shared" si="45"/>
        <v>621195.44400035939</v>
      </c>
      <c r="AE340" s="30"/>
      <c r="AF340" s="39"/>
      <c r="AG340" s="39"/>
      <c r="AH340" s="39"/>
      <c r="AI340" s="27"/>
      <c r="AJ340" s="26">
        <f>(AQ340-IF(MID(E340,3,1)="3",트라이포드!$N$18,트라이포드!$M$18))*(1-입력란!$C$35/100)</f>
        <v>35.582653468079997</v>
      </c>
      <c r="AK3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0" s="26">
        <f>입력란!$C$47+IF(입력란!$C$18=1,10,IF(입력란!$C$18=2,25,IF(입력란!$C$18=3,50,0)))+IF(입력란!$C$23&lt;&gt;0,-12)</f>
        <v>200</v>
      </c>
      <c r="AM340" s="30">
        <f t="shared" si="51"/>
        <v>353753.78914395336</v>
      </c>
      <c r="AN340" s="30">
        <f>(VLOOKUP(C340,$B$4:$AJ$7,20,FALSE)+VLOOKUP(C340,$B$8:$AJ$11,20,FALSE)*입력란!$C$29)*IF(G340="근접",입력란!$C$50,IF(MID(E340,1,1)="2",입력란!$C$50,입력란!$C$49))*입력란!$C$48/100</f>
        <v>106126.296743186</v>
      </c>
      <c r="AO340" s="30">
        <f>(VLOOKUP(C340,$B$4:$AJ$7,21,FALSE)+VLOOKUP(C340,$B$8:$AJ$11,21,FALSE)*입력란!$C$29)*IF(G340="근접",입력란!$C$50,IF(MID(E340,1,1)="2",입력란!$C$50,입력란!$C$49))*입력란!$C$48/100</f>
        <v>106126.296743186</v>
      </c>
      <c r="AP340" s="30">
        <f>(VLOOKUP(C340,$B$4:$AJ$7,22,FALSE)+VLOOKUP(C340,$B$8:$AJ$11,22,FALSE)*입력란!$C$29)*IF(G340="근접",입력란!$C$50,IF(MID(E340,1,1)="2",입력란!$C$50,입력란!$C$49))*입력란!$C$48/100</f>
        <v>141501.19565758132</v>
      </c>
      <c r="AQ340" s="29">
        <v>36</v>
      </c>
    </row>
    <row r="341" spans="2:43" ht="13.5" customHeight="1" x14ac:dyDescent="0.3">
      <c r="B341" s="31">
        <v>326</v>
      </c>
      <c r="C341" s="36">
        <v>10</v>
      </c>
      <c r="D341" s="43" t="s">
        <v>212</v>
      </c>
      <c r="E341" s="38" t="s">
        <v>198</v>
      </c>
      <c r="F341" s="40"/>
      <c r="G341" s="40" t="s">
        <v>203</v>
      </c>
      <c r="H341" s="52">
        <f t="shared" si="46"/>
        <v>19266.269559475644</v>
      </c>
      <c r="I341" s="53">
        <f>SUM(J341:Q341)*IF(입력란!$C$16=1,1.04,IF(입력란!$C$16=2,1.1,IF(입력란!$C$16=3,1.2,1)))*IF(입력란!$C$21=1,1+입력란!$C$38*0.001,IF(입력란!$C$21=2,1+입력란!$C$38*0.0022,IF(입력란!$C$21=3,1+입력란!$C$38*0.0045,1)))*IF(입력란!$C$18&lt;&gt;0,0.98,1)</f>
        <v>685544.99335744011</v>
      </c>
      <c r="J341" s="30">
        <f>S341*(1+IF($AK341+IF(입력란!$C$9=1,10,0)+IF(입력란!$C$26=1,10,0)&gt;100,100,$AK341+IF(입력란!$C$9=1,10,0)+IF(입력란!$C$26=1,10,0))/100*($AL341/100-1))</f>
        <v>128539.88004608195</v>
      </c>
      <c r="K341" s="30">
        <f>T341*(1+IF($AK341+IF(입력란!$C$9=1,10,0)+IF(입력란!$C$26=1,10,0)&gt;100,100,$AK341+IF(입력란!$C$9=1,10,0)+IF(입력란!$C$26=1,10,0))/100*($AL341/100-1))</f>
        <v>128539.88004608195</v>
      </c>
      <c r="L341" s="30">
        <f>U341*(1+IF($AK341+IF(입력란!$C$9=1,10,0)+IF(입력란!$C$26=1,10,0)&gt;100,100,$AK341+IF(입력란!$C$9=1,10,0)+IF(입력란!$C$26=1,10,0))/100*($AL341/100-1))</f>
        <v>171385.86075623613</v>
      </c>
      <c r="M341" s="30">
        <f>V341*(1+IF($AK341+IF(입력란!$C$9=1,10,0)+IF(입력란!$C$26=1,10,0)&gt;100,100,$AK341+IF(입력란!$C$9=1,10,0)+IF(입력란!$C$26=1,10,0))/100*($AL341/100-1))</f>
        <v>257079.37250904003</v>
      </c>
      <c r="N341" s="39"/>
      <c r="O341" s="39"/>
      <c r="P341" s="39"/>
      <c r="Q341" s="35"/>
      <c r="R341" s="24">
        <f t="shared" si="47"/>
        <v>564724.40801100712</v>
      </c>
      <c r="S341" s="30">
        <f>AN341*IF(G341="근접",IF(MID(E341,1,1)="1",트라이포드!$D$18,트라이포드!$C$18),1)*IF(MID(E341,1,1)="2",트라이포드!$F$18,트라이포드!$E$18)*IF(MID(E341,3,1)="1",트라이포드!$J$18,트라이포드!$I$18)*IF(MID(E341,5,1)="2",트라이포드!$R$18,트라이포드!$Q$18)*(1+입력란!$C$42/100)*IF(입력란!$C$9=1,IF(입력란!$C$15=0,1.05,IF(입력란!$C$15=1,1.05*1.05,IF(입력란!$C$15=2,1.05*1.12,IF(입력란!$C$15=3,1.05*1.25)))),1)</f>
        <v>105885.98613976252</v>
      </c>
      <c r="T341" s="30">
        <f>AO341*IF(G341="근접",IF(MID(E341,1,1)="1",트라이포드!$D$18,트라이포드!$C$18),1)*IF(MID(E341,1,1)="2",트라이포드!$F$18,트라이포드!$E$18)*IF(MID(E341,3,1)="1",트라이포드!$J$18,트라이포드!$I$18)*IF(MID(E341,5,1)="2",트라이포드!$R$18,트라이포드!$Q$18)*(1+입력란!$C$42/100)*IF(입력란!$C$9=1,IF(입력란!$C$15=0,1.05,IF(입력란!$C$15=1,1.05*1.05,IF(입력란!$C$15=2,1.05*1.12,IF(입력란!$C$15=3,1.05*1.25)))),1)</f>
        <v>105885.98613976252</v>
      </c>
      <c r="U341" s="30">
        <f>AP341*IF(G341="근접",IF(MID(E341,1,1)="1",트라이포드!$D$18,트라이포드!$C$18),1)*IF(MID(E341,1,1)="2",트라이포드!$F$18,트라이포드!$E$18)*IF(MID(E341,3,1)="1",트라이포드!$J$18,트라이포드!$I$18)*IF(MID(E341,5,1)="2",트라이포드!$R$18,트라이포드!$Q$18)*(1+입력란!$C$42/100)*IF(입력란!$C$9=1,IF(입력란!$C$15=0,1.05,IF(입력란!$C$15=1,1.05*1.05,IF(입력란!$C$15=2,1.05*1.12,IF(입력란!$C$15=3,1.05*1.25)))),1)</f>
        <v>141180.78272735438</v>
      </c>
      <c r="V341" s="30">
        <f>IF(MID(E341,5,1)="1",(S341+T341+U341)*트라이포드!$P$18,트라이포드!$O$18)</f>
        <v>211771.65300412767</v>
      </c>
      <c r="W341" s="30"/>
      <c r="X341" s="39"/>
      <c r="Y341" s="39"/>
      <c r="Z341" s="27"/>
      <c r="AA341" s="30">
        <f t="shared" si="48"/>
        <v>705905.5100137589</v>
      </c>
      <c r="AB341" s="30">
        <f t="shared" si="49"/>
        <v>211771.97227952504</v>
      </c>
      <c r="AC341" s="30">
        <f t="shared" si="50"/>
        <v>211771.97227952504</v>
      </c>
      <c r="AD341" s="30">
        <f t="shared" si="45"/>
        <v>282361.56545470876</v>
      </c>
      <c r="AE341" s="30"/>
      <c r="AF341" s="39"/>
      <c r="AG341" s="39"/>
      <c r="AH341" s="39"/>
      <c r="AI341" s="27"/>
      <c r="AJ341" s="26">
        <f>(AQ341-IF(MID(E341,3,1)="3",트라이포드!$N$18,트라이포드!$M$18))*(1-입력란!$C$35/100)</f>
        <v>35.582653468079997</v>
      </c>
      <c r="AK3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1" s="26">
        <f>입력란!$C$47+IF(입력란!$C$18=1,10,IF(입력란!$C$18=2,25,IF(입력란!$C$18=3,50,0)))+IF(입력란!$C$23&lt;&gt;0,-12)</f>
        <v>200</v>
      </c>
      <c r="AM341" s="30">
        <f t="shared" si="51"/>
        <v>176876.89457197668</v>
      </c>
      <c r="AN341" s="30">
        <f>(VLOOKUP(C341,$B$4:$AJ$7,20,FALSE)+VLOOKUP(C341,$B$8:$AJ$11,20,FALSE)*입력란!$C$29)*IF(G341="근접",입력란!$C$50,IF(MID(E341,1,1)="2",입력란!$C$50,입력란!$C$49))*입력란!$C$48/100</f>
        <v>53063.148371593001</v>
      </c>
      <c r="AO341" s="30">
        <f>(VLOOKUP(C341,$B$4:$AJ$7,21,FALSE)+VLOOKUP(C341,$B$8:$AJ$11,21,FALSE)*입력란!$C$29)*IF(G341="근접",입력란!$C$50,IF(MID(E341,1,1)="2",입력란!$C$50,입력란!$C$49))*입력란!$C$48/100</f>
        <v>53063.148371593001</v>
      </c>
      <c r="AP341" s="30">
        <f>(VLOOKUP(C341,$B$4:$AJ$7,22,FALSE)+VLOOKUP(C341,$B$8:$AJ$11,22,FALSE)*입력란!$C$29)*IF(G341="근접",입력란!$C$50,IF(MID(E341,1,1)="2",입력란!$C$50,입력란!$C$49))*입력란!$C$48/100</f>
        <v>70750.597828790662</v>
      </c>
      <c r="AQ341" s="29">
        <v>36</v>
      </c>
    </row>
    <row r="342" spans="2:43" ht="13.5" customHeight="1" x14ac:dyDescent="0.3">
      <c r="B342" s="31">
        <v>327</v>
      </c>
      <c r="C342" s="36">
        <v>10</v>
      </c>
      <c r="D342" s="43" t="s">
        <v>50</v>
      </c>
      <c r="E342" s="38" t="s">
        <v>152</v>
      </c>
      <c r="F342" s="40" t="s">
        <v>138</v>
      </c>
      <c r="G342" s="40" t="s">
        <v>38</v>
      </c>
      <c r="H342" s="52">
        <f t="shared" si="46"/>
        <v>47684.017159702213</v>
      </c>
      <c r="I342" s="53">
        <f>SUM(J342:Q342)*IF(입력란!$C$16=1,1.04,IF(입력란!$C$16=2,1.1,IF(입력란!$C$16=3,1.2,1)))*IF(입력란!$C$21=1,1+입력란!$C$38*0.001,IF(입력란!$C$21=2,1+입력란!$C$38*0.0022,IF(입력란!$C$21=3,1+입력란!$C$38*0.0045,1)))*IF(입력란!$C$18&lt;&gt;0,0.98,1)</f>
        <v>1696723.8585596641</v>
      </c>
      <c r="J342" s="30">
        <f>S342*(1+IF($AK342+IF(입력란!$C$9=1,10,0)+IF(입력란!$C$26=1,10,0)&gt;100,100,$AK342+IF(입력란!$C$9=1,10,0)+IF(입력란!$C$26=1,10,0))/100*($AL342/100-1))</f>
        <v>509017.92498248449</v>
      </c>
      <c r="K342" s="30">
        <f>T342*(1+IF($AK342+IF(입력란!$C$9=1,10,0)+IF(입력란!$C$26=1,10,0)&gt;100,100,$AK342+IF(입력란!$C$9=1,10,0)+IF(입력란!$C$26=1,10,0))/100*($AL342/100-1))</f>
        <v>509017.92498248449</v>
      </c>
      <c r="L342" s="30">
        <f>U342*(1+IF($AK342+IF(입력란!$C$9=1,10,0)+IF(입력란!$C$26=1,10,0)&gt;100,100,$AK342+IF(입력란!$C$9=1,10,0)+IF(입력란!$C$26=1,10,0))/100*($AL342/100-1))</f>
        <v>678688.00859469513</v>
      </c>
      <c r="M342" s="30">
        <f>V342*(1+IF($AK342+IF(입력란!$C$9=1,10,0)+IF(입력란!$C$26=1,10,0)&gt;100,100,$AK342+IF(입력란!$C$9=1,10,0)+IF(입력란!$C$26=1,10,0))/100*($AL342/100-1))</f>
        <v>0</v>
      </c>
      <c r="N342" s="39"/>
      <c r="O342" s="39"/>
      <c r="P342" s="39"/>
      <c r="Q342" s="35"/>
      <c r="R342" s="24">
        <f t="shared" si="47"/>
        <v>1397692.9098272426</v>
      </c>
      <c r="S342" s="30">
        <f>AN342*IF(G342="근접",IF(MID(E342,1,1)="1",트라이포드!$D$18,트라이포드!$C$18),1)*IF(MID(E342,1,1)="2",트라이포드!$F$18,트라이포드!$E$18)*IF(MID(E342,3,1)="1",트라이포드!$J$18,트라이포드!$I$18)*IF(MID(E342,5,1)="2",트라이포드!$R$18,트라이포드!$Q$18)*(1+입력란!$C$42/100)*IF(입력란!$C$9=1,IF(입력란!$C$15=0,1.05,IF(입력란!$C$15=1,1.05*1.05,IF(입력란!$C$15=2,1.05*1.12,IF(입력란!$C$15=3,1.05*1.25)))),1)</f>
        <v>419308.5051134596</v>
      </c>
      <c r="T342" s="30">
        <f>AO342*IF(G342="근접",IF(MID(E342,1,1)="1",트라이포드!$D$18,트라이포드!$C$18),1)*IF(MID(E342,1,1)="2",트라이포드!$F$18,트라이포드!$E$18)*IF(MID(E342,3,1)="1",트라이포드!$J$18,트라이포드!$I$18)*IF(MID(E342,5,1)="2",트라이포드!$R$18,트라이포드!$Q$18)*(1+입력란!$C$42/100)*IF(입력란!$C$9=1,IF(입력란!$C$15=0,1.05,IF(입력란!$C$15=1,1.05*1.05,IF(입력란!$C$15=2,1.05*1.12,IF(입력란!$C$15=3,1.05*1.25)))),1)</f>
        <v>419308.5051134596</v>
      </c>
      <c r="U342" s="30">
        <f>AP342*IF(G342="근접",IF(MID(E342,1,1)="1",트라이포드!$D$18,트라이포드!$C$18),1)*IF(MID(E342,1,1)="2",트라이포드!$F$18,트라이포드!$E$18)*IF(MID(E342,3,1)="1",트라이포드!$J$18,트라이포드!$I$18)*IF(MID(E342,5,1)="2",트라이포드!$R$18,트라이포드!$Q$18)*(1+입력란!$C$42/100)*IF(입력란!$C$9=1,IF(입력란!$C$15=0,1.05,IF(입력란!$C$15=1,1.05*1.05,IF(입력란!$C$15=2,1.05*1.12,IF(입력란!$C$15=3,1.05*1.25)))),1)</f>
        <v>559075.89960032341</v>
      </c>
      <c r="V342" s="30">
        <f>IF(MID(E342,5,1)="1",(S342+T342+U342)*트라이포드!$P$18,트라이포드!$O$18)</f>
        <v>0</v>
      </c>
      <c r="W342" s="30"/>
      <c r="X342" s="39"/>
      <c r="Y342" s="39"/>
      <c r="Z342" s="27"/>
      <c r="AA342" s="30">
        <f t="shared" si="48"/>
        <v>2795385.8196544852</v>
      </c>
      <c r="AB342" s="30">
        <f t="shared" si="49"/>
        <v>838617.0102269192</v>
      </c>
      <c r="AC342" s="30">
        <f t="shared" si="50"/>
        <v>838617.0102269192</v>
      </c>
      <c r="AD342" s="30">
        <f t="shared" si="45"/>
        <v>1118151.7992006468</v>
      </c>
      <c r="AE342" s="30"/>
      <c r="AF342" s="39"/>
      <c r="AG342" s="39"/>
      <c r="AH342" s="39"/>
      <c r="AI342" s="27"/>
      <c r="AJ342" s="26">
        <f>(AQ342-IF(MID(E342,3,1)="3",트라이포드!$N$18,트라이포드!$M$18))*(1-입력란!$C$35/100)</f>
        <v>35.582653468079997</v>
      </c>
      <c r="AK3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2" s="26">
        <f>입력란!$C$47+IF(입력란!$C$18=1,10,IF(입력란!$C$18=2,25,IF(입력란!$C$18=3,50,0)))+IF(입력란!$C$23&lt;&gt;0,-12)</f>
        <v>200</v>
      </c>
      <c r="AM342" s="30">
        <f t="shared" si="51"/>
        <v>353753.78914395336</v>
      </c>
      <c r="AN342" s="30">
        <f>(VLOOKUP(C342,$B$4:$AJ$7,20,FALSE)+VLOOKUP(C342,$B$8:$AJ$11,20,FALSE)*입력란!$C$29)*IF(G342="근접",입력란!$C$50,IF(MID(E342,1,1)="2",입력란!$C$50,입력란!$C$49))*입력란!$C$48/100</f>
        <v>106126.296743186</v>
      </c>
      <c r="AO342" s="30">
        <f>(VLOOKUP(C342,$B$4:$AJ$7,21,FALSE)+VLOOKUP(C342,$B$8:$AJ$11,21,FALSE)*입력란!$C$29)*IF(G342="근접",입력란!$C$50,IF(MID(E342,1,1)="2",입력란!$C$50,입력란!$C$49))*입력란!$C$48/100</f>
        <v>106126.296743186</v>
      </c>
      <c r="AP342" s="30">
        <f>(VLOOKUP(C342,$B$4:$AJ$7,22,FALSE)+VLOOKUP(C342,$B$8:$AJ$11,22,FALSE)*입력란!$C$29)*IF(G342="근접",입력란!$C$50,IF(MID(E342,1,1)="2",입력란!$C$50,입력란!$C$49))*입력란!$C$48/100</f>
        <v>141501.19565758132</v>
      </c>
      <c r="AQ342" s="29">
        <v>36</v>
      </c>
    </row>
    <row r="343" spans="2:43" ht="13.5" customHeight="1" x14ac:dyDescent="0.3">
      <c r="B343" s="31">
        <v>328</v>
      </c>
      <c r="C343" s="36">
        <v>10</v>
      </c>
      <c r="D343" s="43" t="s">
        <v>212</v>
      </c>
      <c r="E343" s="38" t="s">
        <v>199</v>
      </c>
      <c r="F343" s="40" t="s">
        <v>223</v>
      </c>
      <c r="G343" s="40" t="s">
        <v>203</v>
      </c>
      <c r="H343" s="52">
        <f t="shared" si="46"/>
        <v>21674.553254410097</v>
      </c>
      <c r="I343" s="53">
        <f>SUM(J343:Q343)*IF(입력란!$C$16=1,1.04,IF(입력란!$C$16=2,1.1,IF(입력란!$C$16=3,1.2,1)))*IF(입력란!$C$21=1,1+입력란!$C$38*0.001,IF(입력란!$C$21=2,1+입력란!$C$38*0.0022,IF(입력란!$C$21=3,1+입력란!$C$38*0.0045,1)))*IF(입력란!$C$18&lt;&gt;0,0.98,1)</f>
        <v>771238.11752712005</v>
      </c>
      <c r="J343" s="30">
        <f>S343*(1+IF($AK343+IF(입력란!$C$9=1,10,0)+IF(입력란!$C$26=1,10,0)&gt;100,100,$AK343+IF(입력란!$C$9=1,10,0)+IF(입력란!$C$26=1,10,0))/100*($AL343/100-1))</f>
        <v>231371.7840829475</v>
      </c>
      <c r="K343" s="30">
        <f>T343*(1+IF($AK343+IF(입력란!$C$9=1,10,0)+IF(입력란!$C$26=1,10,0)&gt;100,100,$AK343+IF(입력란!$C$9=1,10,0)+IF(입력란!$C$26=1,10,0))/100*($AL343/100-1))</f>
        <v>231371.7840829475</v>
      </c>
      <c r="L343" s="30">
        <f>U343*(1+IF($AK343+IF(입력란!$C$9=1,10,0)+IF(입력란!$C$26=1,10,0)&gt;100,100,$AK343+IF(입력란!$C$9=1,10,0)+IF(입력란!$C$26=1,10,0))/100*($AL343/100-1))</f>
        <v>308494.54936122504</v>
      </c>
      <c r="M343" s="30">
        <f>V343*(1+IF($AK343+IF(입력란!$C$9=1,10,0)+IF(입력란!$C$26=1,10,0)&gt;100,100,$AK343+IF(입력란!$C$9=1,10,0)+IF(입력란!$C$26=1,10,0))/100*($AL343/100-1))</f>
        <v>0</v>
      </c>
      <c r="N343" s="39"/>
      <c r="O343" s="39"/>
      <c r="P343" s="39"/>
      <c r="Q343" s="35"/>
      <c r="R343" s="24">
        <f t="shared" si="47"/>
        <v>635314.9590123829</v>
      </c>
      <c r="S343" s="30">
        <f>AN343*IF(G343="근접",IF(MID(E343,1,1)="1",트라이포드!$D$18,트라이포드!$C$18),1)*IF(MID(E343,1,1)="2",트라이포드!$F$18,트라이포드!$E$18)*IF(MID(E343,3,1)="1",트라이포드!$J$18,트라이포드!$I$18)*IF(MID(E343,5,1)="2",트라이포드!$R$18,트라이포드!$Q$18)*(1+입력란!$C$42/100)*IF(입력란!$C$9=1,IF(입력란!$C$15=0,1.05,IF(입력란!$C$15=1,1.05*1.05,IF(입력란!$C$15=2,1.05*1.12,IF(입력란!$C$15=3,1.05*1.25)))),1)</f>
        <v>190594.77505157253</v>
      </c>
      <c r="T343" s="30">
        <f>AO343*IF(G343="근접",IF(MID(E343,1,1)="1",트라이포드!$D$18,트라이포드!$C$18),1)*IF(MID(E343,1,1)="2",트라이포드!$F$18,트라이포드!$E$18)*IF(MID(E343,3,1)="1",트라이포드!$J$18,트라이포드!$I$18)*IF(MID(E343,5,1)="2",트라이포드!$R$18,트라이포드!$Q$18)*(1+입력란!$C$42/100)*IF(입력란!$C$9=1,IF(입력란!$C$15=0,1.05,IF(입력란!$C$15=1,1.05*1.05,IF(입력란!$C$15=2,1.05*1.12,IF(입력란!$C$15=3,1.05*1.25)))),1)</f>
        <v>190594.77505157253</v>
      </c>
      <c r="U343" s="30">
        <f>AP343*IF(G343="근접",IF(MID(E343,1,1)="1",트라이포드!$D$18,트라이포드!$C$18),1)*IF(MID(E343,1,1)="2",트라이포드!$F$18,트라이포드!$E$18)*IF(MID(E343,3,1)="1",트라이포드!$J$18,트라이포드!$I$18)*IF(MID(E343,5,1)="2",트라이포드!$R$18,트라이포드!$Q$18)*(1+입력란!$C$42/100)*IF(입력란!$C$9=1,IF(입력란!$C$15=0,1.05,IF(입력란!$C$15=1,1.05*1.05,IF(입력란!$C$15=2,1.05*1.12,IF(입력란!$C$15=3,1.05*1.25)))),1)</f>
        <v>254125.40890923789</v>
      </c>
      <c r="V343" s="30">
        <f>IF(MID(E343,5,1)="1",(S343+T343+U343)*트라이포드!$P$18,트라이포드!$O$18)</f>
        <v>0</v>
      </c>
      <c r="W343" s="30"/>
      <c r="X343" s="39"/>
      <c r="Y343" s="39"/>
      <c r="Z343" s="27"/>
      <c r="AA343" s="30">
        <f t="shared" si="48"/>
        <v>1270629.9180247658</v>
      </c>
      <c r="AB343" s="30">
        <f t="shared" si="49"/>
        <v>381189.55010314507</v>
      </c>
      <c r="AC343" s="30">
        <f t="shared" si="50"/>
        <v>381189.55010314507</v>
      </c>
      <c r="AD343" s="30">
        <f t="shared" si="45"/>
        <v>508250.81781847577</v>
      </c>
      <c r="AE343" s="30"/>
      <c r="AF343" s="39"/>
      <c r="AG343" s="39"/>
      <c r="AH343" s="39"/>
      <c r="AI343" s="27"/>
      <c r="AJ343" s="26">
        <f>(AQ343-IF(MID(E343,3,1)="3",트라이포드!$N$18,트라이포드!$M$18))*(1-입력란!$C$35/100)</f>
        <v>35.582653468079997</v>
      </c>
      <c r="AK3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3" s="26">
        <f>입력란!$C$47+IF(입력란!$C$18=1,10,IF(입력란!$C$18=2,25,IF(입력란!$C$18=3,50,0)))+IF(입력란!$C$23&lt;&gt;0,-12)</f>
        <v>200</v>
      </c>
      <c r="AM343" s="30">
        <f t="shared" si="51"/>
        <v>176876.89457197668</v>
      </c>
      <c r="AN343" s="30">
        <f>(VLOOKUP(C343,$B$4:$AJ$7,20,FALSE)+VLOOKUP(C343,$B$8:$AJ$11,20,FALSE)*입력란!$C$29)*IF(G343="근접",입력란!$C$50,IF(MID(E343,1,1)="2",입력란!$C$50,입력란!$C$49))*입력란!$C$48/100</f>
        <v>53063.148371593001</v>
      </c>
      <c r="AO343" s="30">
        <f>(VLOOKUP(C343,$B$4:$AJ$7,21,FALSE)+VLOOKUP(C343,$B$8:$AJ$11,21,FALSE)*입력란!$C$29)*IF(G343="근접",입력란!$C$50,IF(MID(E343,1,1)="2",입력란!$C$50,입력란!$C$49))*입력란!$C$48/100</f>
        <v>53063.148371593001</v>
      </c>
      <c r="AP343" s="30">
        <f>(VLOOKUP(C343,$B$4:$AJ$7,22,FALSE)+VLOOKUP(C343,$B$8:$AJ$11,22,FALSE)*입력란!$C$29)*IF(G343="근접",입력란!$C$50,IF(MID(E343,1,1)="2",입력란!$C$50,입력란!$C$49))*입력란!$C$48/100</f>
        <v>70750.597828790662</v>
      </c>
      <c r="AQ343" s="29">
        <v>36</v>
      </c>
    </row>
    <row r="344" spans="2:43" ht="13.5" customHeight="1" x14ac:dyDescent="0.3">
      <c r="B344" s="31">
        <v>329</v>
      </c>
      <c r="C344" s="36">
        <v>10</v>
      </c>
      <c r="D344" s="43" t="s">
        <v>50</v>
      </c>
      <c r="E344" s="38" t="s">
        <v>105</v>
      </c>
      <c r="F344" s="40"/>
      <c r="G344" s="40" t="s">
        <v>38</v>
      </c>
      <c r="H344" s="52">
        <f t="shared" si="46"/>
        <v>48828.433571535068</v>
      </c>
      <c r="I344" s="53">
        <f>SUM(J344:Q344)*IF(입력란!$C$16=1,1.04,IF(입력란!$C$16=2,1.1,IF(입력란!$C$16=3,1.2,1)))*IF(입력란!$C$21=1,1+입력란!$C$38*0.001,IF(입력란!$C$21=2,1+입력란!$C$38*0.0022,IF(입력란!$C$21=3,1+입력란!$C$38*0.0045,1)))*IF(입력란!$C$18&lt;&gt;0,0.98,1)</f>
        <v>1206559.1883090946</v>
      </c>
      <c r="J344" s="30">
        <f>S344*(1+IF($AK344+IF(입력란!$C$9=1,10,0)+IF(입력란!$C$26=1,10,0)&gt;100,100,$AK344+IF(입력란!$C$9=1,10,0)+IF(입력란!$C$26=1,10,0))/100*($AL344/100-1))</f>
        <v>226230.18888110423</v>
      </c>
      <c r="K344" s="30">
        <f>T344*(1+IF($AK344+IF(입력란!$C$9=1,10,0)+IF(입력란!$C$26=1,10,0)&gt;100,100,$AK344+IF(입력란!$C$9=1,10,0)+IF(입력란!$C$26=1,10,0))/100*($AL344/100-1))</f>
        <v>226230.18888110423</v>
      </c>
      <c r="L344" s="30">
        <f>U344*(1+IF($AK344+IF(입력란!$C$9=1,10,0)+IF(입력란!$C$26=1,10,0)&gt;100,100,$AK344+IF(입력란!$C$9=1,10,0)+IF(입력란!$C$26=1,10,0))/100*($AL344/100-1))</f>
        <v>301639.11493097566</v>
      </c>
      <c r="M344" s="30">
        <f>V344*(1+IF($AK344+IF(입력란!$C$9=1,10,0)+IF(입력란!$C$26=1,10,0)&gt;100,100,$AK344+IF(입력란!$C$9=1,10,0)+IF(입력란!$C$26=1,10,0))/100*($AL344/100-1))</f>
        <v>452459.69561591046</v>
      </c>
      <c r="N344" s="39"/>
      <c r="O344" s="39"/>
      <c r="P344" s="39"/>
      <c r="Q344" s="35"/>
      <c r="R344" s="24">
        <f t="shared" si="47"/>
        <v>993914.95809937245</v>
      </c>
      <c r="S344" s="30">
        <f>AN344*IF(G344="근접",IF(MID(E344,1,1)="1",트라이포드!$D$18,트라이포드!$C$18),1)*IF(MID(E344,1,1)="2",트라이포드!$F$18,트라이포드!$E$18)*IF(MID(E344,3,1)="1",트라이포드!$J$18,트라이포드!$I$18)*IF(MID(E344,5,1)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T344" s="30">
        <f>AO344*IF(G344="근접",IF(MID(E344,1,1)="1",트라이포드!$D$18,트라이포드!$C$18),1)*IF(MID(E344,1,1)="2",트라이포드!$F$18,트라이포드!$E$18)*IF(MID(E344,3,1)="1",트라이포드!$J$18,트라이포드!$I$18)*IF(MID(E344,5,1)="2",트라이포드!$R$18,트라이포드!$Q$18)*(1+입력란!$C$42/100)*IF(입력란!$C$9=1,IF(입력란!$C$15=0,1.05,IF(입력란!$C$15=1,1.05*1.05,IF(입력란!$C$15=2,1.05*1.12,IF(입력란!$C$15=3,1.05*1.25)))),1)</f>
        <v>186359.33560598205</v>
      </c>
      <c r="U344" s="30">
        <f>AP344*IF(G344="근접",IF(MID(E344,1,1)="1",트라이포드!$D$18,트라이포드!$C$18),1)*IF(MID(E344,1,1)="2",트라이포드!$F$18,트라이포드!$E$18)*IF(MID(E344,3,1)="1",트라이포드!$J$18,트라이포드!$I$18)*IF(MID(E344,5,1)="2",트라이포드!$R$18,트라이포드!$Q$18)*(1+입력란!$C$42/100)*IF(입력란!$C$9=1,IF(입력란!$C$15=0,1.05,IF(입력란!$C$15=1,1.05*1.05,IF(입력란!$C$15=2,1.05*1.12,IF(입력란!$C$15=3,1.05*1.25)))),1)</f>
        <v>248478.17760014374</v>
      </c>
      <c r="V344" s="30">
        <f>IF(MID(E344,5,1)="1",(S344+T344+U344)*트라이포드!$P$18,트라이포드!$O$18)</f>
        <v>372718.1092872647</v>
      </c>
      <c r="W344" s="30"/>
      <c r="X344" s="39"/>
      <c r="Y344" s="39"/>
      <c r="Z344" s="27"/>
      <c r="AA344" s="30">
        <f t="shared" si="48"/>
        <v>1242393.6976242156</v>
      </c>
      <c r="AB344" s="30">
        <f t="shared" si="49"/>
        <v>372718.6712119641</v>
      </c>
      <c r="AC344" s="30">
        <f t="shared" si="50"/>
        <v>372718.6712119641</v>
      </c>
      <c r="AD344" s="30">
        <f t="shared" si="45"/>
        <v>496956.35520028748</v>
      </c>
      <c r="AE344" s="30"/>
      <c r="AF344" s="39"/>
      <c r="AG344" s="39"/>
      <c r="AH344" s="39"/>
      <c r="AI344" s="27"/>
      <c r="AJ344" s="26">
        <f>(AQ344-IF(MID(E344,3,1)="3",트라이포드!$N$18,트라이포드!$M$18))*(1-입력란!$C$35/100)</f>
        <v>24.7101760195</v>
      </c>
      <c r="AK3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4" s="26">
        <f>입력란!$C$47+IF(입력란!$C$18=1,10,IF(입력란!$C$18=2,25,IF(입력란!$C$18=3,50,0)))+IF(입력란!$C$23&lt;&gt;0,-12)</f>
        <v>200</v>
      </c>
      <c r="AM344" s="30">
        <f t="shared" si="51"/>
        <v>353753.78914395336</v>
      </c>
      <c r="AN344" s="30">
        <f>(VLOOKUP(C344,$B$4:$AJ$7,20,FALSE)+VLOOKUP(C344,$B$8:$AJ$11,20,FALSE)*입력란!$C$29)*IF(G344="근접",입력란!$C$50,IF(MID(E344,1,1)="2",입력란!$C$50,입력란!$C$49))*입력란!$C$48/100</f>
        <v>106126.296743186</v>
      </c>
      <c r="AO344" s="30">
        <f>(VLOOKUP(C344,$B$4:$AJ$7,21,FALSE)+VLOOKUP(C344,$B$8:$AJ$11,21,FALSE)*입력란!$C$29)*IF(G344="근접",입력란!$C$50,IF(MID(E344,1,1)="2",입력란!$C$50,입력란!$C$49))*입력란!$C$48/100</f>
        <v>106126.296743186</v>
      </c>
      <c r="AP344" s="30">
        <f>(VLOOKUP(C344,$B$4:$AJ$7,22,FALSE)+VLOOKUP(C344,$B$8:$AJ$11,22,FALSE)*입력란!$C$29)*IF(G344="근접",입력란!$C$50,IF(MID(E344,1,1)="2",입력란!$C$50,입력란!$C$49))*입력란!$C$48/100</f>
        <v>141501.19565758132</v>
      </c>
      <c r="AQ344" s="29">
        <v>36</v>
      </c>
    </row>
    <row r="345" spans="2:43" ht="13.5" customHeight="1" x14ac:dyDescent="0.3">
      <c r="B345" s="31">
        <v>330</v>
      </c>
      <c r="C345" s="36">
        <v>10</v>
      </c>
      <c r="D345" s="43" t="s">
        <v>212</v>
      </c>
      <c r="E345" s="38" t="s">
        <v>200</v>
      </c>
      <c r="F345" s="40"/>
      <c r="G345" s="40" t="s">
        <v>203</v>
      </c>
      <c r="H345" s="52">
        <f t="shared" si="46"/>
        <v>22194.742532515935</v>
      </c>
      <c r="I345" s="53">
        <f>SUM(J345:Q345)*IF(입력란!$C$16=1,1.04,IF(입력란!$C$16=2,1.1,IF(입력란!$C$16=3,1.2,1)))*IF(입력란!$C$21=1,1+입력란!$C$38*0.001,IF(입력란!$C$21=2,1+입력란!$C$38*0.0022,IF(입력란!$C$21=3,1+입력란!$C$38*0.0045,1)))*IF(입력란!$C$18&lt;&gt;0,0.98,1)</f>
        <v>548435.99468595197</v>
      </c>
      <c r="J345" s="30">
        <f>S345*(1+IF($AK345+IF(입력란!$C$9=1,10,0)+IF(입력란!$C$26=1,10,0)&gt;100,100,$AK345+IF(입력란!$C$9=1,10,0)+IF(입력란!$C$26=1,10,0))/100*($AL345/100-1))</f>
        <v>102831.90403686556</v>
      </c>
      <c r="K345" s="30">
        <f>T345*(1+IF($AK345+IF(입력란!$C$9=1,10,0)+IF(입력란!$C$26=1,10,0)&gt;100,100,$AK345+IF(입력란!$C$9=1,10,0)+IF(입력란!$C$26=1,10,0))/100*($AL345/100-1))</f>
        <v>102831.90403686556</v>
      </c>
      <c r="L345" s="30">
        <f>U345*(1+IF($AK345+IF(입력란!$C$9=1,10,0)+IF(입력란!$C$26=1,10,0)&gt;100,100,$AK345+IF(입력란!$C$9=1,10,0)+IF(입력란!$C$26=1,10,0))/100*($AL345/100-1))</f>
        <v>137108.68860498891</v>
      </c>
      <c r="M345" s="30">
        <f>V345*(1+IF($AK345+IF(입력란!$C$9=1,10,0)+IF(입력란!$C$26=1,10,0)&gt;100,100,$AK345+IF(입력란!$C$9=1,10,0)+IF(입력란!$C$26=1,10,0))/100*($AL345/100-1))</f>
        <v>205663.498007232</v>
      </c>
      <c r="N345" s="39"/>
      <c r="O345" s="39"/>
      <c r="P345" s="39"/>
      <c r="Q345" s="35"/>
      <c r="R345" s="24">
        <f t="shared" si="47"/>
        <v>451779.52640880569</v>
      </c>
      <c r="S345" s="30">
        <f>AN345*IF(G345="근접",IF(MID(E345,1,1)="1",트라이포드!$D$18,트라이포드!$C$18),1)*IF(MID(E345,1,1)="2",트라이포드!$F$18,트라이포드!$E$18)*IF(MID(E345,3,1)="1",트라이포드!$J$18,트라이포드!$I$18)*IF(MID(E345,5,1)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T345" s="30">
        <f>AO345*IF(G345="근접",IF(MID(E345,1,1)="1",트라이포드!$D$18,트라이포드!$C$18),1)*IF(MID(E345,1,1)="2",트라이포드!$F$18,트라이포드!$E$18)*IF(MID(E345,3,1)="1",트라이포드!$J$18,트라이포드!$I$18)*IF(MID(E345,5,1)="2",트라이포드!$R$18,트라이포드!$Q$18)*(1+입력란!$C$42/100)*IF(입력란!$C$9=1,IF(입력란!$C$15=0,1.05,IF(입력란!$C$15=1,1.05*1.05,IF(입력란!$C$15=2,1.05*1.12,IF(입력란!$C$15=3,1.05*1.25)))),1)</f>
        <v>84708.788911810014</v>
      </c>
      <c r="U345" s="30">
        <f>AP345*IF(G345="근접",IF(MID(E345,1,1)="1",트라이포드!$D$18,트라이포드!$C$18),1)*IF(MID(E345,1,1)="2",트라이포드!$F$18,트라이포드!$E$18)*IF(MID(E345,3,1)="1",트라이포드!$J$18,트라이포드!$I$18)*IF(MID(E345,5,1)="2",트라이포드!$R$18,트라이포드!$Q$18)*(1+입력란!$C$42/100)*IF(입력란!$C$9=1,IF(입력란!$C$15=0,1.05,IF(입력란!$C$15=1,1.05*1.05,IF(입력란!$C$15=2,1.05*1.12,IF(입력란!$C$15=3,1.05*1.25)))),1)</f>
        <v>112944.6261818835</v>
      </c>
      <c r="V345" s="30">
        <f>IF(MID(E345,5,1)="1",(S345+T345+U345)*트라이포드!$P$18,트라이포드!$O$18)</f>
        <v>169417.32240330213</v>
      </c>
      <c r="W345" s="30"/>
      <c r="X345" s="39"/>
      <c r="Y345" s="39"/>
      <c r="Z345" s="27"/>
      <c r="AA345" s="30">
        <f t="shared" si="48"/>
        <v>564724.40801100712</v>
      </c>
      <c r="AB345" s="30">
        <f t="shared" si="49"/>
        <v>169417.57782362003</v>
      </c>
      <c r="AC345" s="30">
        <f t="shared" si="50"/>
        <v>169417.57782362003</v>
      </c>
      <c r="AD345" s="30">
        <f t="shared" si="45"/>
        <v>225889.25236376701</v>
      </c>
      <c r="AE345" s="30"/>
      <c r="AF345" s="39"/>
      <c r="AG345" s="39"/>
      <c r="AH345" s="39"/>
      <c r="AI345" s="27"/>
      <c r="AJ345" s="26">
        <f>(AQ345-IF(MID(E345,3,1)="3",트라이포드!$N$18,트라이포드!$M$18))*(1-입력란!$C$35/100)</f>
        <v>24.7101760195</v>
      </c>
      <c r="AK34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5" s="26">
        <f>입력란!$C$47+IF(입력란!$C$18=1,10,IF(입력란!$C$18=2,25,IF(입력란!$C$18=3,50,0)))+IF(입력란!$C$23&lt;&gt;0,-12)</f>
        <v>200</v>
      </c>
      <c r="AM345" s="30">
        <f t="shared" si="51"/>
        <v>176876.89457197668</v>
      </c>
      <c r="AN345" s="30">
        <f>(VLOOKUP(C345,$B$4:$AJ$7,20,FALSE)+VLOOKUP(C345,$B$8:$AJ$11,20,FALSE)*입력란!$C$29)*IF(G345="근접",입력란!$C$50,IF(MID(E345,1,1)="2",입력란!$C$50,입력란!$C$49))*입력란!$C$48/100</f>
        <v>53063.148371593001</v>
      </c>
      <c r="AO345" s="30">
        <f>(VLOOKUP(C345,$B$4:$AJ$7,21,FALSE)+VLOOKUP(C345,$B$8:$AJ$11,21,FALSE)*입력란!$C$29)*IF(G345="근접",입력란!$C$50,IF(MID(E345,1,1)="2",입력란!$C$50,입력란!$C$49))*입력란!$C$48/100</f>
        <v>53063.148371593001</v>
      </c>
      <c r="AP345" s="30">
        <f>(VLOOKUP(C345,$B$4:$AJ$7,22,FALSE)+VLOOKUP(C345,$B$8:$AJ$11,22,FALSE)*입력란!$C$29)*IF(G345="근접",입력란!$C$50,IF(MID(E345,1,1)="2",입력란!$C$50,입력란!$C$49))*입력란!$C$48/100</f>
        <v>70750.597828790662</v>
      </c>
      <c r="AQ345" s="29">
        <v>36</v>
      </c>
    </row>
    <row r="346" spans="2:43" ht="13.5" customHeight="1" x14ac:dyDescent="0.3">
      <c r="B346" s="31">
        <v>331</v>
      </c>
      <c r="C346" s="36">
        <v>10</v>
      </c>
      <c r="D346" s="43" t="s">
        <v>50</v>
      </c>
      <c r="E346" s="38" t="s">
        <v>106</v>
      </c>
      <c r="F346" s="40" t="s">
        <v>138</v>
      </c>
      <c r="G346" s="40" t="s">
        <v>38</v>
      </c>
      <c r="H346" s="52">
        <f t="shared" si="46"/>
        <v>54931.987767976949</v>
      </c>
      <c r="I346" s="53">
        <f>SUM(J346:Q346)*IF(입력란!$C$16=1,1.04,IF(입력란!$C$16=2,1.1,IF(입력란!$C$16=3,1.2,1)))*IF(입력란!$C$21=1,1+입력란!$C$38*0.001,IF(입력란!$C$21=2,1+입력란!$C$38*0.0022,IF(입력란!$C$21=3,1+입력란!$C$38*0.0045,1)))*IF(입력란!$C$18&lt;&gt;0,0.98,1)</f>
        <v>1357379.0868477314</v>
      </c>
      <c r="J346" s="30">
        <f>S346*(1+IF($AK346+IF(입력란!$C$9=1,10,0)+IF(입력란!$C$26=1,10,0)&gt;100,100,$AK346+IF(입력란!$C$9=1,10,0)+IF(입력란!$C$26=1,10,0))/100*($AL346/100-1))</f>
        <v>407214.33998598764</v>
      </c>
      <c r="K346" s="30">
        <f>T346*(1+IF($AK346+IF(입력란!$C$9=1,10,0)+IF(입력란!$C$26=1,10,0)&gt;100,100,$AK346+IF(입력란!$C$9=1,10,0)+IF(입력란!$C$26=1,10,0))/100*($AL346/100-1))</f>
        <v>407214.33998598764</v>
      </c>
      <c r="L346" s="30">
        <f>U346*(1+IF($AK346+IF(입력란!$C$9=1,10,0)+IF(입력란!$C$26=1,10,0)&gt;100,100,$AK346+IF(입력란!$C$9=1,10,0)+IF(입력란!$C$26=1,10,0))/100*($AL346/100-1))</f>
        <v>542950.40687575622</v>
      </c>
      <c r="M346" s="30">
        <f>V346*(1+IF($AK346+IF(입력란!$C$9=1,10,0)+IF(입력란!$C$26=1,10,0)&gt;100,100,$AK346+IF(입력란!$C$9=1,10,0)+IF(입력란!$C$26=1,10,0))/100*($AL346/100-1))</f>
        <v>0</v>
      </c>
      <c r="N346" s="39"/>
      <c r="O346" s="39"/>
      <c r="P346" s="39"/>
      <c r="Q346" s="35"/>
      <c r="R346" s="24">
        <f t="shared" si="47"/>
        <v>1118154.3278617943</v>
      </c>
      <c r="S346" s="30">
        <f>AN346*IF(G346="근접",IF(MID(E346,1,1)="1",트라이포드!$D$18,트라이포드!$C$18),1)*IF(MID(E346,1,1)="2",트라이포드!$F$18,트라이포드!$E$18)*IF(MID(E346,3,1)="1",트라이포드!$J$18,트라이포드!$I$18)*IF(MID(E346,5,1)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T346" s="30">
        <f>AO346*IF(G346="근접",IF(MID(E346,1,1)="1",트라이포드!$D$18,트라이포드!$C$18),1)*IF(MID(E346,1,1)="2",트라이포드!$F$18,트라이포드!$E$18)*IF(MID(E346,3,1)="1",트라이포드!$J$18,트라이포드!$I$18)*IF(MID(E346,5,1)="2",트라이포드!$R$18,트라이포드!$Q$18)*(1+입력란!$C$42/100)*IF(입력란!$C$9=1,IF(입력란!$C$15=0,1.05,IF(입력란!$C$15=1,1.05*1.05,IF(입력란!$C$15=2,1.05*1.12,IF(입력란!$C$15=3,1.05*1.25)))),1)</f>
        <v>335446.80409076769</v>
      </c>
      <c r="U346" s="30">
        <f>AP346*IF(G346="근접",IF(MID(E346,1,1)="1",트라이포드!$D$18,트라이포드!$C$18),1)*IF(MID(E346,1,1)="2",트라이포드!$F$18,트라이포드!$E$18)*IF(MID(E346,3,1)="1",트라이포드!$J$18,트라이포드!$I$18)*IF(MID(E346,5,1)="2",트라이포드!$R$18,트라이포드!$Q$18)*(1+입력란!$C$42/100)*IF(입력란!$C$9=1,IF(입력란!$C$15=0,1.05,IF(입력란!$C$15=1,1.05*1.05,IF(입력란!$C$15=2,1.05*1.12,IF(입력란!$C$15=3,1.05*1.25)))),1)</f>
        <v>447260.71968025877</v>
      </c>
      <c r="V346" s="30">
        <f>IF(MID(E346,5,1)="1",(S346+T346+U346)*트라이포드!$P$18,트라이포드!$O$18)</f>
        <v>0</v>
      </c>
      <c r="W346" s="30"/>
      <c r="X346" s="39"/>
      <c r="Y346" s="39"/>
      <c r="Z346" s="27"/>
      <c r="AA346" s="30">
        <f t="shared" si="48"/>
        <v>2236308.6557235885</v>
      </c>
      <c r="AB346" s="30">
        <f t="shared" si="49"/>
        <v>670893.60818153538</v>
      </c>
      <c r="AC346" s="30">
        <f t="shared" si="50"/>
        <v>670893.60818153538</v>
      </c>
      <c r="AD346" s="30">
        <f t="shared" si="45"/>
        <v>894521.43936051754</v>
      </c>
      <c r="AE346" s="30"/>
      <c r="AF346" s="39"/>
      <c r="AG346" s="39"/>
      <c r="AH346" s="39"/>
      <c r="AI346" s="27"/>
      <c r="AJ346" s="26">
        <f>(AQ346-IF(MID(E346,3,1)="3",트라이포드!$N$18,트라이포드!$M$18))*(1-입력란!$C$35/100)</f>
        <v>24.7101760195</v>
      </c>
      <c r="AK34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6" s="26">
        <f>입력란!$C$47+IF(입력란!$C$18=1,10,IF(입력란!$C$18=2,25,IF(입력란!$C$18=3,50,0)))+IF(입력란!$C$23&lt;&gt;0,-12)</f>
        <v>200</v>
      </c>
      <c r="AM346" s="30">
        <f t="shared" si="51"/>
        <v>353753.78914395336</v>
      </c>
      <c r="AN346" s="30">
        <f>(VLOOKUP(C346,$B$4:$AJ$7,20,FALSE)+VLOOKUP(C346,$B$8:$AJ$11,20,FALSE)*입력란!$C$29)*IF(G346="근접",입력란!$C$50,IF(MID(E346,1,1)="2",입력란!$C$50,입력란!$C$49))*입력란!$C$48/100</f>
        <v>106126.296743186</v>
      </c>
      <c r="AO346" s="30">
        <f>(VLOOKUP(C346,$B$4:$AJ$7,21,FALSE)+VLOOKUP(C346,$B$8:$AJ$11,21,FALSE)*입력란!$C$29)*IF(G346="근접",입력란!$C$50,IF(MID(E346,1,1)="2",입력란!$C$50,입력란!$C$49))*입력란!$C$48/100</f>
        <v>106126.296743186</v>
      </c>
      <c r="AP346" s="30">
        <f>(VLOOKUP(C346,$B$4:$AJ$7,22,FALSE)+VLOOKUP(C346,$B$8:$AJ$11,22,FALSE)*입력란!$C$29)*IF(G346="근접",입력란!$C$50,IF(MID(E346,1,1)="2",입력란!$C$50,입력란!$C$49))*입력란!$C$48/100</f>
        <v>141501.19565758132</v>
      </c>
      <c r="AQ346" s="29">
        <v>36</v>
      </c>
    </row>
    <row r="347" spans="2:43" ht="13.5" customHeight="1" x14ac:dyDescent="0.3">
      <c r="B347" s="31">
        <v>332</v>
      </c>
      <c r="C347" s="36">
        <v>10</v>
      </c>
      <c r="D347" s="43" t="s">
        <v>212</v>
      </c>
      <c r="E347" s="38" t="s">
        <v>201</v>
      </c>
      <c r="F347" s="40" t="s">
        <v>223</v>
      </c>
      <c r="G347" s="40" t="s">
        <v>203</v>
      </c>
      <c r="H347" s="52">
        <f t="shared" si="46"/>
        <v>24969.085349080429</v>
      </c>
      <c r="I347" s="53">
        <f>SUM(J347:Q347)*IF(입력란!$C$16=1,1.04,IF(입력란!$C$16=2,1.1,IF(입력란!$C$16=3,1.2,1)))*IF(입력란!$C$21=1,1+입력란!$C$38*0.001,IF(입력란!$C$21=2,1+입력란!$C$38*0.0022,IF(입력란!$C$21=3,1+입력란!$C$38*0.0045,1)))*IF(입력란!$C$18&lt;&gt;0,0.98,1)</f>
        <v>616990.49402169604</v>
      </c>
      <c r="J347" s="30">
        <f>S347*(1+IF($AK347+IF(입력란!$C$9=1,10,0)+IF(입력란!$C$26=1,10,0)&gt;100,100,$AK347+IF(입력란!$C$9=1,10,0)+IF(입력란!$C$26=1,10,0))/100*($AL347/100-1))</f>
        <v>185097.42726635799</v>
      </c>
      <c r="K347" s="30">
        <f>T347*(1+IF($AK347+IF(입력란!$C$9=1,10,0)+IF(입력란!$C$26=1,10,0)&gt;100,100,$AK347+IF(입력란!$C$9=1,10,0)+IF(입력란!$C$26=1,10,0))/100*($AL347/100-1))</f>
        <v>185097.42726635799</v>
      </c>
      <c r="L347" s="30">
        <f>U347*(1+IF($AK347+IF(입력란!$C$9=1,10,0)+IF(입력란!$C$26=1,10,0)&gt;100,100,$AK347+IF(입력란!$C$9=1,10,0)+IF(입력란!$C$26=1,10,0))/100*($AL347/100-1))</f>
        <v>246795.63948898003</v>
      </c>
      <c r="M347" s="30">
        <f>V347*(1+IF($AK347+IF(입력란!$C$9=1,10,0)+IF(입력란!$C$26=1,10,0)&gt;100,100,$AK347+IF(입력란!$C$9=1,10,0)+IF(입력란!$C$26=1,10,0))/100*($AL347/100-1))</f>
        <v>0</v>
      </c>
      <c r="N347" s="39"/>
      <c r="O347" s="39"/>
      <c r="P347" s="39"/>
      <c r="Q347" s="35"/>
      <c r="R347" s="24">
        <f t="shared" si="47"/>
        <v>508251.96720990638</v>
      </c>
      <c r="S347" s="30">
        <f>AN347*IF(G347="근접",IF(MID(E347,1,1)="1",트라이포드!$D$18,트라이포드!$C$18),1)*IF(MID(E347,1,1)="2",트라이포드!$F$18,트라이포드!$E$18)*IF(MID(E347,3,1)="1",트라이포드!$J$18,트라이포드!$I$18)*IF(MID(E347,5,1)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T347" s="30">
        <f>AO347*IF(G347="근접",IF(MID(E347,1,1)="1",트라이포드!$D$18,트라이포드!$C$18),1)*IF(MID(E347,1,1)="2",트라이포드!$F$18,트라이포드!$E$18)*IF(MID(E347,3,1)="1",트라이포드!$J$18,트라이포드!$I$18)*IF(MID(E347,5,1)="2",트라이포드!$R$18,트라이포드!$Q$18)*(1+입력란!$C$42/100)*IF(입력란!$C$9=1,IF(입력란!$C$15=0,1.05,IF(입력란!$C$15=1,1.05*1.05,IF(입력란!$C$15=2,1.05*1.12,IF(입력란!$C$15=3,1.05*1.25)))),1)</f>
        <v>152475.82004125803</v>
      </c>
      <c r="U347" s="30">
        <f>AP347*IF(G347="근접",IF(MID(E347,1,1)="1",트라이포드!$D$18,트라이포드!$C$18),1)*IF(MID(E347,1,1)="2",트라이포드!$F$18,트라이포드!$E$18)*IF(MID(E347,3,1)="1",트라이포드!$J$18,트라이포드!$I$18)*IF(MID(E347,5,1)="2",트라이포드!$R$18,트라이포드!$Q$18)*(1+입력란!$C$42/100)*IF(입력란!$C$9=1,IF(입력란!$C$15=0,1.05,IF(입력란!$C$15=1,1.05*1.05,IF(입력란!$C$15=2,1.05*1.12,IF(입력란!$C$15=3,1.05*1.25)))),1)</f>
        <v>203300.32712739031</v>
      </c>
      <c r="V347" s="30">
        <f>IF(MID(E347,5,1)="1",(S347+T347+U347)*트라이포드!$P$18,트라이포드!$O$18)</f>
        <v>0</v>
      </c>
      <c r="W347" s="30"/>
      <c r="X347" s="39"/>
      <c r="Y347" s="39"/>
      <c r="Z347" s="27"/>
      <c r="AA347" s="30">
        <f t="shared" si="48"/>
        <v>1016503.9344198128</v>
      </c>
      <c r="AB347" s="30">
        <f t="shared" si="49"/>
        <v>304951.64008251607</v>
      </c>
      <c r="AC347" s="30">
        <f t="shared" si="50"/>
        <v>304951.64008251607</v>
      </c>
      <c r="AD347" s="30">
        <f t="shared" si="45"/>
        <v>406600.65425478062</v>
      </c>
      <c r="AE347" s="30"/>
      <c r="AF347" s="39"/>
      <c r="AG347" s="39"/>
      <c r="AH347" s="39"/>
      <c r="AI347" s="27"/>
      <c r="AJ347" s="26">
        <f>(AQ347-IF(MID(E347,3,1)="3",트라이포드!$N$18,트라이포드!$M$18))*(1-입력란!$C$35/100)</f>
        <v>24.7101760195</v>
      </c>
      <c r="AK34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7" s="26">
        <f>입력란!$C$47+IF(입력란!$C$18=1,10,IF(입력란!$C$18=2,25,IF(입력란!$C$18=3,50,0)))+IF(입력란!$C$23&lt;&gt;0,-12)</f>
        <v>200</v>
      </c>
      <c r="AM347" s="30">
        <f t="shared" si="51"/>
        <v>176876.89457197668</v>
      </c>
      <c r="AN347" s="30">
        <f>(VLOOKUP(C347,$B$4:$AJ$7,20,FALSE)+VLOOKUP(C347,$B$8:$AJ$11,20,FALSE)*입력란!$C$29)*IF(G347="근접",입력란!$C$50,IF(MID(E347,1,1)="2",입력란!$C$50,입력란!$C$49))*입력란!$C$48/100</f>
        <v>53063.148371593001</v>
      </c>
      <c r="AO347" s="30">
        <f>(VLOOKUP(C347,$B$4:$AJ$7,21,FALSE)+VLOOKUP(C347,$B$8:$AJ$11,21,FALSE)*입력란!$C$29)*IF(G347="근접",입력란!$C$50,IF(MID(E347,1,1)="2",입력란!$C$50,입력란!$C$49))*입력란!$C$48/100</f>
        <v>53063.148371593001</v>
      </c>
      <c r="AP347" s="30">
        <f>(VLOOKUP(C347,$B$4:$AJ$7,22,FALSE)+VLOOKUP(C347,$B$8:$AJ$11,22,FALSE)*입력란!$C$29)*IF(G347="근접",입력란!$C$50,IF(MID(E347,1,1)="2",입력란!$C$50,입력란!$C$49))*입력란!$C$48/100</f>
        <v>70750.597828790662</v>
      </c>
      <c r="AQ347" s="29">
        <v>36</v>
      </c>
    </row>
    <row r="348" spans="2:43" ht="13.5" customHeight="1" x14ac:dyDescent="0.3">
      <c r="B348" s="31">
        <v>333</v>
      </c>
      <c r="C348" s="36">
        <v>1</v>
      </c>
      <c r="D348" s="43" t="s">
        <v>217</v>
      </c>
      <c r="E348" s="38" t="s">
        <v>186</v>
      </c>
      <c r="F348" s="40"/>
      <c r="G348" s="40" t="s">
        <v>202</v>
      </c>
      <c r="H348" s="52">
        <f t="shared" si="46"/>
        <v>19445.410741083295</v>
      </c>
      <c r="I348" s="53">
        <f>SUM(J348:Q348)*IF(입력란!$C$16=1,1.04,IF(입력란!$C$16=2,1.1,IF(입력란!$C$16=3,1.2,1)))*IF(입력란!$C$21=1,1+입력란!$C$38*0.001,IF(입력란!$C$21=2,1+입력란!$C$38*0.0022,IF(입력란!$C$21=3,1+입력란!$C$38*0.0045,1)))*IF(입력란!$C$18&lt;&gt;0,0.98,1)</f>
        <v>461279.54129629838</v>
      </c>
      <c r="J348" s="30">
        <f>S348*(1+IF($AK348+IF(입력란!$C$9=1,10,0)+IF(입력란!$C$26=1,10,0)&gt;100,100,$AK348+IF(입력란!$C$9=1,10,0)+IF(입력란!$C$26=1,10,0))/100*($AL348/100-1))</f>
        <v>276760.16495312785</v>
      </c>
      <c r="K348" s="30">
        <f>T348*(1+IF($AK348+IF(입력란!$C$9=1,10,0)+IF(입력란!$C$26=1,10,0)&gt;100,100,$AK348+IF(입력란!$C$9=1,10,0)+IF(입력란!$C$26=1,10,0))/100*($AL348/100-1))</f>
        <v>184519.37634317053</v>
      </c>
      <c r="L348" s="30"/>
      <c r="M348" s="30"/>
      <c r="N348" s="39"/>
      <c r="O348" s="39"/>
      <c r="P348" s="39"/>
      <c r="Q348" s="35"/>
      <c r="R348" s="24">
        <f t="shared" si="47"/>
        <v>379983.54361887905</v>
      </c>
      <c r="S348" s="30">
        <f>AN348*IF(G348="근접",IF(MID(E348,1,1)="3",트라이포드!$H$19,트라이포드!$G$19),1)*IF(MID(E348,1,1)="1",트라이포드!$D$19,트라이포드!$C$19)*IF(MID(E348,3,1)="1",트라이포드!$J$19,트라이포드!$I$19)*IF(MID(E348,3,1)="2",트라이포드!$L$19,트라이포드!$K$19)*IF(MID(E348,5,1)="1",트라이포드!$P$19,트라이포드!$O$19)*(1+입력란!$C$42/100)*IF(입력란!$C$9=1,IF(입력란!$C$15=0,1.05,IF(입력란!$C$15=1,1.05*1.05,IF(입력란!$C$15=2,1.05*1.12,IF(입력란!$C$15=3,1.05*1.25)))),1)</f>
        <v>227983.8986916694</v>
      </c>
      <c r="T348" s="30">
        <f>AO348*IF(G348="근접",IF(MID(E348,1,1)="3",트라이포드!$H$19,트라이포드!$G$19),1)*IF(MID(E348,1,1)="1",트라이포드!$D$19,트라이포드!$C$19)*IF(MID(E348,3,1)="1",트라이포드!$J$19,트라이포드!$I$19)*IF(MID(E348,3,1)="2",트라이포드!$L$19,트라이포드!$K$19)*IF(MID(E348,5,1)="1",0,IF(MID(E348,5,1)="2",트라이포드!$R$19,트라이포드!$Q$19))*(1+입력란!$C$42/100)*IF(입력란!$C$9=1,IF(입력란!$C$15=0,1.05,IF(입력란!$C$15=1,1.05*1.05,IF(입력란!$C$15=2,1.05*1.12,IF(입력란!$C$15=3,1.05*1.25)))),1)</f>
        <v>151999.64492720968</v>
      </c>
      <c r="U348" s="30"/>
      <c r="V348" s="30"/>
      <c r="W348" s="30"/>
      <c r="X348" s="39"/>
      <c r="Y348" s="39"/>
      <c r="Z348" s="27"/>
      <c r="AA348" s="30">
        <f t="shared" si="48"/>
        <v>759967.0872377581</v>
      </c>
      <c r="AB348" s="30">
        <f t="shared" si="49"/>
        <v>455967.7973833388</v>
      </c>
      <c r="AC348" s="30">
        <f t="shared" si="50"/>
        <v>303999.28985441936</v>
      </c>
      <c r="AD348" s="30"/>
      <c r="AE348" s="30"/>
      <c r="AF348" s="39"/>
      <c r="AG348" s="39"/>
      <c r="AH348" s="39"/>
      <c r="AI348" s="27"/>
      <c r="AJ348" s="26">
        <f>AQ348*(1-입력란!$C$35/100)</f>
        <v>23.72176897872</v>
      </c>
      <c r="AK34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8" s="26">
        <f>입력란!$C$47+IF(입력란!$C$18=1,10,IF(입력란!$C$18=2,25,IF(입력란!$C$18=3,50,0)))+IF(입력란!$C$23&lt;&gt;0,-12)</f>
        <v>200</v>
      </c>
      <c r="AM348" s="30">
        <f t="shared" si="51"/>
        <v>238028.70295789509</v>
      </c>
      <c r="AN348" s="30">
        <f>(VLOOKUP(C348,$B$4:$AJ$7,23,FALSE)+VLOOKUP(C348,$B$8:$AJ$11,23,FALSE)*입력란!$C$29)*IF(G348="근접",입력란!$C$50,IF(MID(E348,1,1)="1",입력란!$C$50,입력란!$C$49))*입력란!$C$48/100</f>
        <v>142813.32076657342</v>
      </c>
      <c r="AO348" s="30">
        <f>(VLOOKUP(C348,$B$4:$AJ$7,24,FALSE)+VLOOKUP(C348,$B$8:$AJ$11,24,FALSE)*입력란!$C$29)*IF(G348="근접",입력란!$C$50,IF(MID(E348,1,1)="1",입력란!$C$50,입력란!$C$49))*입력란!$C$48/100</f>
        <v>95215.382191321667</v>
      </c>
      <c r="AP348" s="30"/>
      <c r="AQ348" s="29">
        <v>24</v>
      </c>
    </row>
    <row r="349" spans="2:43" ht="13.5" customHeight="1" x14ac:dyDescent="0.3">
      <c r="B349" s="31">
        <v>334</v>
      </c>
      <c r="C349" s="36">
        <v>4</v>
      </c>
      <c r="D349" s="43" t="s">
        <v>217</v>
      </c>
      <c r="E349" s="38" t="s">
        <v>186</v>
      </c>
      <c r="F349" s="40"/>
      <c r="G349" s="40" t="s">
        <v>202</v>
      </c>
      <c r="H349" s="52">
        <f t="shared" si="46"/>
        <v>19487.760679569328</v>
      </c>
      <c r="I349" s="53">
        <f>SUM(J349:Q349)*IF(입력란!$C$16=1,1.04,IF(입력란!$C$16=2,1.1,IF(입력란!$C$16=3,1.2,1)))*IF(입력란!$C$21=1,1+입력란!$C$38*0.001,IF(입력란!$C$21=2,1+입력란!$C$38*0.0022,IF(입력란!$C$21=3,1+입력란!$C$38*0.0045,1)))*IF(입력란!$C$18&lt;&gt;0,0.98,1)</f>
        <v>462284.15675332712</v>
      </c>
      <c r="J349" s="30">
        <f>S349*(1+IF($AK349+IF(입력란!$C$9=1,10,0)+IF(입력란!$C$26=1,10,0)&gt;100,100,$AK349+IF(입력란!$C$9=1,10,0)+IF(입력란!$C$26=1,10,0))/100*($AL349/100-1))</f>
        <v>277364.79462633957</v>
      </c>
      <c r="K349" s="30">
        <f>T349*(1+IF($AK349+IF(입력란!$C$9=1,10,0)+IF(입력란!$C$26=1,10,0)&gt;100,100,$AK349+IF(입력란!$C$9=1,10,0)+IF(입력란!$C$26=1,10,0))/100*($AL349/100-1))</f>
        <v>184919.36212698751</v>
      </c>
      <c r="L349" s="30"/>
      <c r="M349" s="30"/>
      <c r="N349" s="39"/>
      <c r="O349" s="39"/>
      <c r="P349" s="39"/>
      <c r="Q349" s="35"/>
      <c r="R349" s="24">
        <f t="shared" si="47"/>
        <v>380811.10544887767</v>
      </c>
      <c r="S349" s="30">
        <f>AN349*IF(G349="근접",IF(MID(E349,1,1)="3",트라이포드!$H$19,트라이포드!$G$19),1)*IF(MID(E349,1,1)="1",트라이포드!$D$19,트라이포드!$C$19)*IF(MID(E349,3,1)="1",트라이포드!$J$19,트라이포드!$I$19)*IF(MID(E349,3,1)="2",트라이포드!$L$19,트라이포드!$K$19)*IF(MID(E349,5,1)="1",트라이포드!$P$19,트라이포드!$O$19)*(1+입력란!$C$42/100)*IF(입력란!$C$9=1,IF(입력란!$C$15=0,1.05,IF(입력란!$C$15=1,1.05*1.05,IF(입력란!$C$15=2,1.05*1.12,IF(입력란!$C$15=3,1.05*1.25)))),1)</f>
        <v>228481.96831157597</v>
      </c>
      <c r="T349" s="30">
        <f>AO349*IF(G349="근접",IF(MID(E349,1,1)="3",트라이포드!$H$19,트라이포드!$G$19),1)*IF(MID(E349,1,1)="1",트라이포드!$D$19,트라이포드!$C$19)*IF(MID(E349,3,1)="1",트라이포드!$J$19,트라이포드!$I$19)*IF(MID(E349,3,1)="2",트라이포드!$L$19,트라이포드!$K$19)*IF(MID(E349,5,1)="1",0,IF(MID(E349,5,1)="2",트라이포드!$R$19,트라이포드!$Q$19))*(1+입력란!$C$42/100)*IF(입력란!$C$9=1,IF(입력란!$C$15=0,1.05,IF(입력란!$C$15=1,1.05*1.05,IF(입력란!$C$15=2,1.05*1.12,IF(입력란!$C$15=3,1.05*1.25)))),1)</f>
        <v>152329.1371373017</v>
      </c>
      <c r="U349" s="30"/>
      <c r="V349" s="30"/>
      <c r="W349" s="30"/>
      <c r="X349" s="39"/>
      <c r="Y349" s="39"/>
      <c r="Z349" s="27"/>
      <c r="AA349" s="30">
        <f t="shared" si="48"/>
        <v>761622.21089775534</v>
      </c>
      <c r="AB349" s="30">
        <f t="shared" si="49"/>
        <v>456963.93662315194</v>
      </c>
      <c r="AC349" s="30">
        <f t="shared" si="50"/>
        <v>304658.27427460341</v>
      </c>
      <c r="AD349" s="30"/>
      <c r="AE349" s="30"/>
      <c r="AF349" s="39"/>
      <c r="AG349" s="39"/>
      <c r="AH349" s="39"/>
      <c r="AI349" s="27"/>
      <c r="AJ349" s="26">
        <f>AQ349*(1-입력란!$C$35/100)</f>
        <v>23.72176897872</v>
      </c>
      <c r="AK34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49" s="26">
        <f>입력란!$C$47+IF(입력란!$C$18=1,10,IF(입력란!$C$18=2,25,IF(입력란!$C$18=3,50,0)))+IF(입력란!$C$23&lt;&gt;0,-12)</f>
        <v>200</v>
      </c>
      <c r="AM349" s="30">
        <f t="shared" si="51"/>
        <v>238547.10295789508</v>
      </c>
      <c r="AN349" s="30">
        <f>(VLOOKUP(C349,$B$4:$AJ$7,23,FALSE)+VLOOKUP(C349,$B$8:$AJ$11,23,FALSE)*입력란!$C$29)*IF(G349="근접",입력란!$C$50,IF(MID(E349,1,1)="1",입력란!$C$50,입력란!$C$49))*입력란!$C$48/100</f>
        <v>143125.32076657342</v>
      </c>
      <c r="AO349" s="30">
        <f>(VLOOKUP(C349,$B$4:$AJ$7,24,FALSE)+VLOOKUP(C349,$B$8:$AJ$11,24,FALSE)*입력란!$C$29)*IF(G349="근접",입력란!$C$50,IF(MID(E349,1,1)="1",입력란!$C$50,입력란!$C$49))*입력란!$C$48/100</f>
        <v>95421.782191321661</v>
      </c>
      <c r="AP349" s="30"/>
      <c r="AQ349" s="29">
        <v>24</v>
      </c>
    </row>
    <row r="350" spans="2:43" ht="13.5" customHeight="1" x14ac:dyDescent="0.3">
      <c r="B350" s="31">
        <v>335</v>
      </c>
      <c r="C350" s="36">
        <v>4</v>
      </c>
      <c r="D350" s="43" t="s">
        <v>217</v>
      </c>
      <c r="E350" s="38" t="s">
        <v>187</v>
      </c>
      <c r="F350" s="40"/>
      <c r="G350" s="40" t="s">
        <v>202</v>
      </c>
      <c r="H350" s="52">
        <f t="shared" si="46"/>
        <v>21436.536747526261</v>
      </c>
      <c r="I350" s="53">
        <f>SUM(J350:Q350)*IF(입력란!$C$16=1,1.04,IF(입력란!$C$16=2,1.1,IF(입력란!$C$16=3,1.2,1)))*IF(입력란!$C$21=1,1+입력란!$C$38*0.001,IF(입력란!$C$21=2,1+입력란!$C$38*0.0022,IF(입력란!$C$21=3,1+입력란!$C$38*0.0045,1)))*IF(입력란!$C$18&lt;&gt;0,0.98,1)</f>
        <v>508512.57242865977</v>
      </c>
      <c r="J350" s="30">
        <f>S350*(1+IF($AK350+IF(입력란!$C$9=1,10,0)+IF(입력란!$C$26=1,10,0)&gt;100,100,$AK350+IF(입력란!$C$9=1,10,0)+IF(입력란!$C$26=1,10,0))/100*($AL350/100-1))</f>
        <v>305101.27408897353</v>
      </c>
      <c r="K350" s="30">
        <f>T350*(1+IF($AK350+IF(입력란!$C$9=1,10,0)+IF(입력란!$C$26=1,10,0)&gt;100,100,$AK350+IF(입력란!$C$9=1,10,0)+IF(입력란!$C$26=1,10,0))/100*($AL350/100-1))</f>
        <v>203411.29833968627</v>
      </c>
      <c r="L350" s="30"/>
      <c r="M350" s="30"/>
      <c r="N350" s="39"/>
      <c r="O350" s="39"/>
      <c r="P350" s="39"/>
      <c r="Q350" s="35"/>
      <c r="R350" s="24">
        <f t="shared" si="47"/>
        <v>418892.21599376545</v>
      </c>
      <c r="S350" s="30">
        <f>AN350*IF(G350="근접",IF(MID(E350,1,1)="3",트라이포드!$H$19,트라이포드!$G$19),1)*IF(MID(E350,1,1)="1",트라이포드!$D$19,트라이포드!$C$19)*IF(MID(E350,3,1)="1",트라이포드!$J$19,트라이포드!$I$19)*IF(MID(E350,3,1)="2",트라이포드!$L$19,트라이포드!$K$19)*IF(MID(E350,5,1)="1",트라이포드!$P$19,트라이포드!$O$19)*(1+입력란!$C$42/100)*IF(입력란!$C$9=1,IF(입력란!$C$15=0,1.05,IF(입력란!$C$15=1,1.05*1.05,IF(입력란!$C$15=2,1.05*1.12,IF(입력란!$C$15=3,1.05*1.25)))),1)</f>
        <v>251330.16514273357</v>
      </c>
      <c r="T350" s="30">
        <f>AO350*IF(G350="근접",IF(MID(E350,1,1)="3",트라이포드!$H$19,트라이포드!$G$19),1)*IF(MID(E350,1,1)="1",트라이포드!$D$19,트라이포드!$C$19)*IF(MID(E350,3,1)="1",트라이포드!$J$19,트라이포드!$I$19)*IF(MID(E350,3,1)="2",트라이포드!$L$19,트라이포드!$K$19)*IF(MID(E350,5,1)="1",0,IF(MID(E350,5,1)="2",트라이포드!$R$19,트라이포드!$Q$19))*(1+입력란!$C$42/100)*IF(입력란!$C$9=1,IF(입력란!$C$15=0,1.05,IF(입력란!$C$15=1,1.05*1.05,IF(입력란!$C$15=2,1.05*1.12,IF(입력란!$C$15=3,1.05*1.25)))),1)</f>
        <v>167562.05085103188</v>
      </c>
      <c r="U350" s="30"/>
      <c r="V350" s="30"/>
      <c r="W350" s="30"/>
      <c r="X350" s="39"/>
      <c r="Y350" s="39"/>
      <c r="Z350" s="27"/>
      <c r="AA350" s="30">
        <f t="shared" si="48"/>
        <v>837784.4319875309</v>
      </c>
      <c r="AB350" s="30">
        <f t="shared" si="49"/>
        <v>502660.33028546715</v>
      </c>
      <c r="AC350" s="30">
        <f t="shared" si="50"/>
        <v>335124.10170206375</v>
      </c>
      <c r="AD350" s="30"/>
      <c r="AE350" s="30"/>
      <c r="AF350" s="39"/>
      <c r="AG350" s="39"/>
      <c r="AH350" s="39"/>
      <c r="AI350" s="27"/>
      <c r="AJ350" s="26">
        <f>AQ350*(1-입력란!$C$35/100)</f>
        <v>23.72176897872</v>
      </c>
      <c r="AK35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0" s="26">
        <f>입력란!$C$47+IF(입력란!$C$18=1,10,IF(입력란!$C$18=2,25,IF(입력란!$C$18=3,50,0)))+IF(입력란!$C$23&lt;&gt;0,-12)</f>
        <v>200</v>
      </c>
      <c r="AM350" s="30">
        <f t="shared" si="51"/>
        <v>238547.10295789508</v>
      </c>
      <c r="AN350" s="30">
        <f>(VLOOKUP(C350,$B$4:$AJ$7,23,FALSE)+VLOOKUP(C350,$B$8:$AJ$11,23,FALSE)*입력란!$C$29)*IF(G350="근접",입력란!$C$50,IF(MID(E350,1,1)="1",입력란!$C$50,입력란!$C$49))*입력란!$C$48/100</f>
        <v>143125.32076657342</v>
      </c>
      <c r="AO350" s="30">
        <f>(VLOOKUP(C350,$B$4:$AJ$7,24,FALSE)+VLOOKUP(C350,$B$8:$AJ$11,24,FALSE)*입력란!$C$29)*IF(G350="근접",입력란!$C$50,IF(MID(E350,1,1)="1",입력란!$C$50,입력란!$C$49))*입력란!$C$48/100</f>
        <v>95421.782191321661</v>
      </c>
      <c r="AP350" s="30"/>
      <c r="AQ350" s="29">
        <v>24</v>
      </c>
    </row>
    <row r="351" spans="2:43" ht="13.5" customHeight="1" x14ac:dyDescent="0.3">
      <c r="B351" s="31">
        <v>336</v>
      </c>
      <c r="C351" s="36">
        <v>4</v>
      </c>
      <c r="D351" s="43" t="s">
        <v>217</v>
      </c>
      <c r="E351" s="38" t="s">
        <v>218</v>
      </c>
      <c r="F351" s="40"/>
      <c r="G351" s="40" t="s">
        <v>202</v>
      </c>
      <c r="H351" s="52">
        <f t="shared" si="46"/>
        <v>24359.700849461664</v>
      </c>
      <c r="I351" s="53">
        <f>SUM(J351:Q351)*IF(입력란!$C$16=1,1.04,IF(입력란!$C$16=2,1.1,IF(입력란!$C$16=3,1.2,1)))*IF(입력란!$C$21=1,1+입력란!$C$38*0.001,IF(입력란!$C$21=2,1+입력란!$C$38*0.0022,IF(입력란!$C$21=3,1+입력란!$C$38*0.0045,1)))*IF(입력란!$C$18&lt;&gt;0,0.98,1)</f>
        <v>577855.19594165892</v>
      </c>
      <c r="J351" s="30">
        <f>S351*(1+IF($AK351+IF(입력란!$C$9=1,10,0)+IF(입력란!$C$26=1,10,0)&gt;100,100,$AK351+IF(입력란!$C$9=1,10,0)+IF(입력란!$C$26=1,10,0))/100*($AL351/100-1))</f>
        <v>346705.99328292446</v>
      </c>
      <c r="K351" s="30">
        <f>T351*(1+IF($AK351+IF(입력란!$C$9=1,10,0)+IF(입력란!$C$26=1,10,0)&gt;100,100,$AK351+IF(입력란!$C$9=1,10,0)+IF(입력란!$C$26=1,10,0))/100*($AL351/100-1))</f>
        <v>231149.2026587344</v>
      </c>
      <c r="L351" s="30"/>
      <c r="M351" s="30"/>
      <c r="N351" s="39"/>
      <c r="O351" s="39"/>
      <c r="P351" s="39"/>
      <c r="Q351" s="35"/>
      <c r="R351" s="24">
        <f t="shared" si="47"/>
        <v>476013.88181109715</v>
      </c>
      <c r="S351" s="30">
        <f>AN351*IF(G351="근접",IF(MID(E351,1,1)="3",트라이포드!$H$19,트라이포드!$G$19),1)*IF(MID(E351,1,1)="1",트라이포드!$D$19,트라이포드!$C$19)*IF(MID(E351,3,1)="1",트라이포드!$J$19,트라이포드!$I$19)*IF(MID(E351,3,1)="2",트라이포드!$L$19,트라이포드!$K$19)*IF(MID(E351,5,1)="1",트라이포드!$P$19,트라이포드!$O$19)*(1+입력란!$C$42/100)*IF(입력란!$C$9=1,IF(입력란!$C$15=0,1.05,IF(입력란!$C$15=1,1.05*1.05,IF(입력란!$C$15=2,1.05*1.12,IF(입력란!$C$15=3,1.05*1.25)))),1)</f>
        <v>285602.46038946998</v>
      </c>
      <c r="T351" s="30">
        <f>AO351*IF(G351="근접",IF(MID(E351,1,1)="3",트라이포드!$H$19,트라이포드!$G$19),1)*IF(MID(E351,1,1)="1",트라이포드!$D$19,트라이포드!$C$19)*IF(MID(E351,3,1)="1",트라이포드!$J$19,트라이포드!$I$19)*IF(MID(E351,3,1)="2",트라이포드!$L$19,트라이포드!$K$19)*IF(MID(E351,5,1)="1",0,IF(MID(E351,5,1)="2",트라이포드!$R$19,트라이포드!$Q$19))*(1+입력란!$C$42/100)*IF(입력란!$C$9=1,IF(입력란!$C$15=0,1.05,IF(입력란!$C$15=1,1.05*1.05,IF(입력란!$C$15=2,1.05*1.12,IF(입력란!$C$15=3,1.05*1.25)))),1)</f>
        <v>190411.42142162714</v>
      </c>
      <c r="U351" s="30"/>
      <c r="V351" s="30"/>
      <c r="W351" s="30"/>
      <c r="X351" s="39"/>
      <c r="Y351" s="39"/>
      <c r="Z351" s="27"/>
      <c r="AA351" s="30">
        <f t="shared" si="48"/>
        <v>952027.7636221943</v>
      </c>
      <c r="AB351" s="30">
        <f t="shared" si="49"/>
        <v>571204.92077893997</v>
      </c>
      <c r="AC351" s="30">
        <f t="shared" si="50"/>
        <v>380822.84284325427</v>
      </c>
      <c r="AD351" s="30"/>
      <c r="AE351" s="30"/>
      <c r="AF351" s="39"/>
      <c r="AG351" s="39"/>
      <c r="AH351" s="39"/>
      <c r="AI351" s="27"/>
      <c r="AJ351" s="26">
        <f>AQ351*(1-입력란!$C$35/100)</f>
        <v>23.72176897872</v>
      </c>
      <c r="AK35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1" s="26">
        <f>입력란!$C$47+IF(입력란!$C$18=1,10,IF(입력란!$C$18=2,25,IF(입력란!$C$18=3,50,0)))+IF(입력란!$C$23&lt;&gt;0,-12)</f>
        <v>200</v>
      </c>
      <c r="AM351" s="30">
        <f t="shared" si="51"/>
        <v>238547.10295789508</v>
      </c>
      <c r="AN351" s="30">
        <f>(VLOOKUP(C351,$B$4:$AJ$7,23,FALSE)+VLOOKUP(C351,$B$8:$AJ$11,23,FALSE)*입력란!$C$29)*IF(G351="근접",입력란!$C$50,IF(MID(E351,1,1)="1",입력란!$C$50,입력란!$C$49))*입력란!$C$48/100</f>
        <v>143125.32076657342</v>
      </c>
      <c r="AO351" s="30">
        <f>(VLOOKUP(C351,$B$4:$AJ$7,24,FALSE)+VLOOKUP(C351,$B$8:$AJ$11,24,FALSE)*입력란!$C$29)*IF(G351="근접",입력란!$C$50,IF(MID(E351,1,1)="1",입력란!$C$50,입력란!$C$49))*입력란!$C$48/100</f>
        <v>95421.782191321661</v>
      </c>
      <c r="AP351" s="30"/>
      <c r="AQ351" s="29">
        <v>24</v>
      </c>
    </row>
    <row r="352" spans="2:43" ht="13.5" customHeight="1" x14ac:dyDescent="0.3">
      <c r="B352" s="31">
        <v>337</v>
      </c>
      <c r="C352" s="36">
        <v>7</v>
      </c>
      <c r="D352" s="43" t="s">
        <v>217</v>
      </c>
      <c r="E352" s="38" t="s">
        <v>186</v>
      </c>
      <c r="F352" s="40"/>
      <c r="G352" s="40" t="s">
        <v>202</v>
      </c>
      <c r="H352" s="52">
        <f t="shared" si="46"/>
        <v>19507.563197102154</v>
      </c>
      <c r="I352" s="53">
        <f>SUM(J352:Q352)*IF(입력란!$C$16=1,1.04,IF(입력란!$C$16=2,1.1,IF(입력란!$C$16=3,1.2,1)))*IF(입력란!$C$21=1,1+입력란!$C$38*0.001,IF(입력란!$C$21=2,1+입력란!$C$38*0.0022,IF(입력란!$C$21=3,1+입력란!$C$38*0.0045,1)))*IF(입력란!$C$18&lt;&gt;0,0.98,1)</f>
        <v>462753.9074994378</v>
      </c>
      <c r="J352" s="30">
        <f>S352*(1+IF($AK352+IF(입력란!$C$9=1,10,0)+IF(입력란!$C$26=1,10,0)&gt;100,100,$AK352+IF(입력란!$C$9=1,10,0)+IF(입력란!$C$26=1,10,0))/100*($AL352/100-1))</f>
        <v>277646.95514050504</v>
      </c>
      <c r="K352" s="30">
        <f>T352*(1+IF($AK352+IF(입력란!$C$9=1,10,0)+IF(입력란!$C$26=1,10,0)&gt;100,100,$AK352+IF(입력란!$C$9=1,10,0)+IF(입력란!$C$26=1,10,0))/100*($AL352/100-1))</f>
        <v>185106.95235893273</v>
      </c>
      <c r="L352" s="30"/>
      <c r="M352" s="30"/>
      <c r="N352" s="39"/>
      <c r="O352" s="39"/>
      <c r="P352" s="39"/>
      <c r="Q352" s="35"/>
      <c r="R352" s="24">
        <f t="shared" si="47"/>
        <v>381198.06723049737</v>
      </c>
      <c r="S352" s="30">
        <f>AN352*IF(G352="근접",IF(MID(E352,1,1)="3",트라이포드!$H$19,트라이포드!$G$19),1)*IF(MID(E352,1,1)="1",트라이포드!$D$19,트라이포드!$C$19)*IF(MID(E352,3,1)="1",트라이포드!$J$19,트라이포드!$I$19)*IF(MID(E352,3,1)="2",트라이포드!$L$19,트라이포드!$K$19)*IF(MID(E352,5,1)="1",트라이포드!$P$19,트라이포드!$O$19)*(1+입력란!$C$42/100)*IF(입력란!$C$9=1,IF(입력란!$C$15=0,1.05,IF(입력란!$C$15=1,1.05*1.05,IF(입력란!$C$15=2,1.05*1.12,IF(입력란!$C$15=3,1.05*1.25)))),1)</f>
        <v>228714.4008008657</v>
      </c>
      <c r="T352" s="30">
        <f>AO352*IF(G352="근접",IF(MID(E352,1,1)="3",트라이포드!$H$19,트라이포드!$G$19),1)*IF(MID(E352,1,1)="1",트라이포드!$D$19,트라이포드!$C$19)*IF(MID(E352,3,1)="1",트라이포드!$J$19,트라이포드!$I$19)*IF(MID(E352,3,1)="2",트라이포드!$L$19,트라이포드!$K$19)*IF(MID(E352,5,1)="1",0,IF(MID(E352,5,1)="2",트라이포드!$R$19,트라이포드!$Q$19))*(1+입력란!$C$42/100)*IF(입력란!$C$9=1,IF(입력란!$C$15=0,1.05,IF(입력란!$C$15=1,1.05*1.05,IF(입력란!$C$15=2,1.05*1.12,IF(입력란!$C$15=3,1.05*1.25)))),1)</f>
        <v>152483.6664296317</v>
      </c>
      <c r="U352" s="30"/>
      <c r="V352" s="30"/>
      <c r="W352" s="30"/>
      <c r="X352" s="39"/>
      <c r="Y352" s="39"/>
      <c r="Z352" s="27"/>
      <c r="AA352" s="30">
        <f t="shared" si="48"/>
        <v>762396.13446099474</v>
      </c>
      <c r="AB352" s="30">
        <f t="shared" si="49"/>
        <v>457428.80160173139</v>
      </c>
      <c r="AC352" s="30">
        <f t="shared" si="50"/>
        <v>304967.33285926341</v>
      </c>
      <c r="AD352" s="30"/>
      <c r="AE352" s="30"/>
      <c r="AF352" s="39"/>
      <c r="AG352" s="39"/>
      <c r="AH352" s="39"/>
      <c r="AI352" s="27"/>
      <c r="AJ352" s="26">
        <f>AQ352*(1-입력란!$C$35/100)</f>
        <v>23.72176897872</v>
      </c>
      <c r="AK35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2" s="26">
        <f>입력란!$C$47+IF(입력란!$C$18=1,10,IF(입력란!$C$18=2,25,IF(입력란!$C$18=3,50,0)))+IF(입력란!$C$23&lt;&gt;0,-12)</f>
        <v>200</v>
      </c>
      <c r="AM352" s="30">
        <f t="shared" si="51"/>
        <v>238789.50295789511</v>
      </c>
      <c r="AN352" s="30">
        <f>(VLOOKUP(C352,$B$4:$AJ$7,23,FALSE)+VLOOKUP(C352,$B$8:$AJ$11,23,FALSE)*입력란!$C$29)*IF(G352="근접",입력란!$C$50,IF(MID(E352,1,1)="1",입력란!$C$50,입력란!$C$49))*입력란!$C$48/100</f>
        <v>143270.92076657343</v>
      </c>
      <c r="AO352" s="30">
        <f>(VLOOKUP(C352,$B$4:$AJ$7,24,FALSE)+VLOOKUP(C352,$B$8:$AJ$11,24,FALSE)*입력란!$C$29)*IF(G352="근접",입력란!$C$50,IF(MID(E352,1,1)="1",입력란!$C$50,입력란!$C$49))*입력란!$C$48/100</f>
        <v>95518.582191321664</v>
      </c>
      <c r="AP352" s="30"/>
      <c r="AQ352" s="29">
        <v>24</v>
      </c>
    </row>
    <row r="353" spans="2:43" ht="13.5" customHeight="1" x14ac:dyDescent="0.3">
      <c r="B353" s="31">
        <v>338</v>
      </c>
      <c r="C353" s="36">
        <v>7</v>
      </c>
      <c r="D353" s="43" t="s">
        <v>217</v>
      </c>
      <c r="E353" s="38" t="s">
        <v>188</v>
      </c>
      <c r="F353" s="40" t="s">
        <v>223</v>
      </c>
      <c r="G353" s="40" t="s">
        <v>202</v>
      </c>
      <c r="H353" s="52">
        <f t="shared" si="46"/>
        <v>27310.588475943012</v>
      </c>
      <c r="I353" s="53">
        <f>SUM(J353:Q353)*IF(입력란!$C$16=1,1.04,IF(입력란!$C$16=2,1.1,IF(입력란!$C$16=3,1.2,1)))*IF(입력란!$C$21=1,1+입력란!$C$38*0.001,IF(입력란!$C$21=2,1+입력란!$C$38*0.0022,IF(입력란!$C$21=3,1+입력란!$C$38*0.0045,1)))*IF(입력란!$C$18&lt;&gt;0,0.98,1)</f>
        <v>647855.47049921285</v>
      </c>
      <c r="J353" s="30">
        <f>S353*(1+IF($AK353+IF(입력란!$C$9=1,10,0)+IF(입력란!$C$26=1,10,0)&gt;100,100,$AK353+IF(입력란!$C$9=1,10,0)+IF(입력란!$C$26=1,10,0))/100*($AL353/100-1))</f>
        <v>388705.73719670705</v>
      </c>
      <c r="K353" s="30">
        <f>T353*(1+IF($AK353+IF(입력란!$C$9=1,10,0)+IF(입력란!$C$26=1,10,0)&gt;100,100,$AK353+IF(입력란!$C$9=1,10,0)+IF(입력란!$C$26=1,10,0))/100*($AL353/100-1))</f>
        <v>259149.7333025058</v>
      </c>
      <c r="L353" s="30"/>
      <c r="M353" s="30"/>
      <c r="N353" s="39"/>
      <c r="O353" s="39"/>
      <c r="P353" s="39"/>
      <c r="Q353" s="35"/>
      <c r="R353" s="24">
        <f t="shared" si="47"/>
        <v>533677.29412269639</v>
      </c>
      <c r="S353" s="30">
        <f>AN353*IF(G353="근접",IF(MID(E353,1,1)="3",트라이포드!$H$19,트라이포드!$G$19),1)*IF(MID(E353,1,1)="1",트라이포드!$D$19,트라이포드!$C$19)*IF(MID(E353,3,1)="1",트라이포드!$J$19,트라이포드!$I$19)*IF(MID(E353,3,1)="2",트라이포드!$L$19,트라이포드!$K$19)*IF(MID(E353,5,1)="1",트라이포드!$P$19,트라이포드!$O$19)*(1+입력란!$C$42/100)*IF(입력란!$C$9=1,IF(입력란!$C$15=0,1.05,IF(입력란!$C$15=1,1.05*1.05,IF(입력란!$C$15=2,1.05*1.12,IF(입력란!$C$15=3,1.05*1.25)))),1)</f>
        <v>320200.16112121195</v>
      </c>
      <c r="T353" s="30">
        <f>AO353*IF(G353="근접",IF(MID(E353,1,1)="3",트라이포드!$H$19,트라이포드!$G$19),1)*IF(MID(E353,1,1)="1",트라이포드!$D$19,트라이포드!$C$19)*IF(MID(E353,3,1)="1",트라이포드!$J$19,트라이포드!$I$19)*IF(MID(E353,3,1)="2",트라이포드!$L$19,트라이포드!$K$19)*IF(MID(E353,5,1)="1",0,IF(MID(E353,5,1)="2",트라이포드!$R$19,트라이포드!$Q$19))*(1+입력란!$C$42/100)*IF(입력란!$C$9=1,IF(입력란!$C$15=0,1.05,IF(입력란!$C$15=1,1.05*1.05,IF(입력란!$C$15=2,1.05*1.12,IF(입력란!$C$15=3,1.05*1.25)))),1)</f>
        <v>213477.13300148438</v>
      </c>
      <c r="U353" s="30"/>
      <c r="V353" s="30"/>
      <c r="W353" s="30"/>
      <c r="X353" s="39"/>
      <c r="Y353" s="39"/>
      <c r="Z353" s="27"/>
      <c r="AA353" s="30">
        <f t="shared" si="48"/>
        <v>1067354.5882453928</v>
      </c>
      <c r="AB353" s="30">
        <f t="shared" si="49"/>
        <v>640400.32224242389</v>
      </c>
      <c r="AC353" s="30">
        <f t="shared" si="50"/>
        <v>426954.26600296877</v>
      </c>
      <c r="AD353" s="30"/>
      <c r="AE353" s="30"/>
      <c r="AF353" s="39"/>
      <c r="AG353" s="39"/>
      <c r="AH353" s="39"/>
      <c r="AI353" s="27"/>
      <c r="AJ353" s="26">
        <f>AQ353*(1-입력란!$C$35/100)</f>
        <v>23.72176897872</v>
      </c>
      <c r="AK35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3" s="26">
        <f>입력란!$C$47+IF(입력란!$C$18=1,10,IF(입력란!$C$18=2,25,IF(입력란!$C$18=3,50,0)))+IF(입력란!$C$23&lt;&gt;0,-12)</f>
        <v>200</v>
      </c>
      <c r="AM353" s="30">
        <f t="shared" si="51"/>
        <v>238789.50295789511</v>
      </c>
      <c r="AN353" s="30">
        <f>(VLOOKUP(C353,$B$4:$AJ$7,23,FALSE)+VLOOKUP(C353,$B$8:$AJ$11,23,FALSE)*입력란!$C$29)*IF(G353="근접",입력란!$C$50,IF(MID(E353,1,1)="1",입력란!$C$50,입력란!$C$49))*입력란!$C$48/100</f>
        <v>143270.92076657343</v>
      </c>
      <c r="AO353" s="30">
        <f>(VLOOKUP(C353,$B$4:$AJ$7,24,FALSE)+VLOOKUP(C353,$B$8:$AJ$11,24,FALSE)*입력란!$C$29)*IF(G353="근접",입력란!$C$50,IF(MID(E353,1,1)="1",입력란!$C$50,입력란!$C$49))*입력란!$C$48/100</f>
        <v>95518.582191321664</v>
      </c>
      <c r="AP353" s="30"/>
      <c r="AQ353" s="29">
        <v>24</v>
      </c>
    </row>
    <row r="354" spans="2:43" ht="13.5" customHeight="1" x14ac:dyDescent="0.3">
      <c r="B354" s="31">
        <v>339</v>
      </c>
      <c r="C354" s="36">
        <v>7</v>
      </c>
      <c r="D354" s="43" t="s">
        <v>217</v>
      </c>
      <c r="E354" s="38" t="s">
        <v>190</v>
      </c>
      <c r="F354" s="40" t="s">
        <v>223</v>
      </c>
      <c r="G354" s="40" t="s">
        <v>202</v>
      </c>
      <c r="H354" s="52">
        <f t="shared" si="46"/>
        <v>30041.64732353732</v>
      </c>
      <c r="I354" s="53">
        <f>SUM(J354:Q354)*IF(입력란!$C$16=1,1.04,IF(입력란!$C$16=2,1.1,IF(입력란!$C$16=3,1.2,1)))*IF(입력란!$C$21=1,1+입력란!$C$38*0.001,IF(입력란!$C$21=2,1+입력란!$C$38*0.0022,IF(입력란!$C$21=3,1+입력란!$C$38*0.0045,1)))*IF(입력란!$C$18&lt;&gt;0,0.98,1)</f>
        <v>712641.01754913433</v>
      </c>
      <c r="J354" s="30">
        <f>S354*(1+IF($AK354+IF(입력란!$C$9=1,10,0)+IF(입력란!$C$26=1,10,0)&gt;100,100,$AK354+IF(입력란!$C$9=1,10,0)+IF(입력란!$C$26=1,10,0))/100*($AL354/100-1))</f>
        <v>427576.31091637787</v>
      </c>
      <c r="K354" s="30">
        <f>T354*(1+IF($AK354+IF(입력란!$C$9=1,10,0)+IF(입력란!$C$26=1,10,0)&gt;100,100,$AK354+IF(입력란!$C$9=1,10,0)+IF(입력란!$C$26=1,10,0))/100*($AL354/100-1))</f>
        <v>285064.7066327564</v>
      </c>
      <c r="L354" s="30"/>
      <c r="M354" s="30"/>
      <c r="N354" s="39"/>
      <c r="O354" s="39"/>
      <c r="P354" s="39"/>
      <c r="Q354" s="35"/>
      <c r="R354" s="24">
        <f t="shared" si="47"/>
        <v>587045.02353496605</v>
      </c>
      <c r="S354" s="30">
        <f>AN354*IF(G354="근접",IF(MID(E354,1,1)="3",트라이포드!$H$19,트라이포드!$G$19),1)*IF(MID(E354,1,1)="1",트라이포드!$D$19,트라이포드!$C$19)*IF(MID(E354,3,1)="1",트라이포드!$J$19,트라이포드!$I$19)*IF(MID(E354,3,1)="2",트라이포드!$L$19,트라이포드!$K$19)*IF(MID(E354,5,1)="1",트라이포드!$P$19,트라이포드!$O$19)*(1+입력란!$C$42/100)*IF(입력란!$C$9=1,IF(입력란!$C$15=0,1.05,IF(입력란!$C$15=1,1.05*1.05,IF(입력란!$C$15=2,1.05*1.12,IF(입력란!$C$15=3,1.05*1.25)))),1)</f>
        <v>352220.17723333323</v>
      </c>
      <c r="T354" s="30">
        <f>AO354*IF(G354="근접",IF(MID(E354,1,1)="3",트라이포드!$H$19,트라이포드!$G$19),1)*IF(MID(E354,1,1)="1",트라이포드!$D$19,트라이포드!$C$19)*IF(MID(E354,3,1)="1",트라이포드!$J$19,트라이포드!$I$19)*IF(MID(E354,3,1)="2",트라이포드!$L$19,트라이포드!$K$19)*IF(MID(E354,5,1)="1",0,IF(MID(E354,5,1)="2",트라이포드!$R$19,트라이포드!$Q$19))*(1+입력란!$C$42/100)*IF(입력란!$C$9=1,IF(입력란!$C$15=0,1.05,IF(입력란!$C$15=1,1.05*1.05,IF(입력란!$C$15=2,1.05*1.12,IF(입력란!$C$15=3,1.05*1.25)))),1)</f>
        <v>234824.84630163285</v>
      </c>
      <c r="U354" s="30"/>
      <c r="V354" s="30"/>
      <c r="W354" s="30"/>
      <c r="X354" s="39"/>
      <c r="Y354" s="39"/>
      <c r="Z354" s="27"/>
      <c r="AA354" s="30">
        <f t="shared" si="48"/>
        <v>1174090.0470699321</v>
      </c>
      <c r="AB354" s="30">
        <f t="shared" si="49"/>
        <v>704440.35446666647</v>
      </c>
      <c r="AC354" s="30">
        <f t="shared" si="50"/>
        <v>469649.69260326569</v>
      </c>
      <c r="AD354" s="30"/>
      <c r="AE354" s="30"/>
      <c r="AF354" s="39"/>
      <c r="AG354" s="39"/>
      <c r="AH354" s="39"/>
      <c r="AI354" s="27"/>
      <c r="AJ354" s="26">
        <f>AQ354*(1-입력란!$C$35/100)</f>
        <v>23.72176897872</v>
      </c>
      <c r="AK35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4" s="26">
        <f>입력란!$C$47+IF(입력란!$C$18=1,10,IF(입력란!$C$18=2,25,IF(입력란!$C$18=3,50,0)))+IF(입력란!$C$23&lt;&gt;0,-12)</f>
        <v>200</v>
      </c>
      <c r="AM354" s="30">
        <f t="shared" si="51"/>
        <v>238789.50295789511</v>
      </c>
      <c r="AN354" s="30">
        <f>(VLOOKUP(C354,$B$4:$AJ$7,23,FALSE)+VLOOKUP(C354,$B$8:$AJ$11,23,FALSE)*입력란!$C$29)*IF(G354="근접",입력란!$C$50,IF(MID(E354,1,1)="1",입력란!$C$50,입력란!$C$49))*입력란!$C$48/100</f>
        <v>143270.92076657343</v>
      </c>
      <c r="AO354" s="30">
        <f>(VLOOKUP(C354,$B$4:$AJ$7,24,FALSE)+VLOOKUP(C354,$B$8:$AJ$11,24,FALSE)*입력란!$C$29)*IF(G354="근접",입력란!$C$50,IF(MID(E354,1,1)="1",입력란!$C$50,입력란!$C$49))*입력란!$C$48/100</f>
        <v>95518.582191321664</v>
      </c>
      <c r="AP354" s="30"/>
      <c r="AQ354" s="29">
        <v>24</v>
      </c>
    </row>
    <row r="355" spans="2:43" ht="13.5" customHeight="1" x14ac:dyDescent="0.3">
      <c r="B355" s="31">
        <v>340</v>
      </c>
      <c r="C355" s="36">
        <v>7</v>
      </c>
      <c r="D355" s="43" t="s">
        <v>217</v>
      </c>
      <c r="E355" s="38" t="s">
        <v>220</v>
      </c>
      <c r="F355" s="40" t="s">
        <v>223</v>
      </c>
      <c r="G355" s="40" t="s">
        <v>202</v>
      </c>
      <c r="H355" s="52">
        <f t="shared" si="46"/>
        <v>34138.235594928767</v>
      </c>
      <c r="I355" s="53">
        <f>SUM(J355:Q355)*IF(입력란!$C$16=1,1.04,IF(입력란!$C$16=2,1.1,IF(입력란!$C$16=3,1.2,1)))*IF(입력란!$C$21=1,1+입력란!$C$38*0.001,IF(입력란!$C$21=2,1+입력란!$C$38*0.0022,IF(입력란!$C$21=3,1+입력란!$C$38*0.0045,1)))*IF(입력란!$C$18&lt;&gt;0,0.98,1)</f>
        <v>809819.33812401607</v>
      </c>
      <c r="J355" s="30">
        <f>S355*(1+IF($AK355+IF(입력란!$C$9=1,10,0)+IF(입력란!$C$26=1,10,0)&gt;100,100,$AK355+IF(입력란!$C$9=1,10,0)+IF(입력란!$C$26=1,10,0))/100*($AL355/100-1))</f>
        <v>485882.17149588378</v>
      </c>
      <c r="K355" s="30">
        <f>T355*(1+IF($AK355+IF(입력란!$C$9=1,10,0)+IF(입력란!$C$26=1,10,0)&gt;100,100,$AK355+IF(입력란!$C$9=1,10,0)+IF(입력란!$C$26=1,10,0))/100*($AL355/100-1))</f>
        <v>323937.16662813223</v>
      </c>
      <c r="L355" s="30"/>
      <c r="M355" s="30"/>
      <c r="N355" s="39"/>
      <c r="O355" s="39"/>
      <c r="P355" s="39"/>
      <c r="Q355" s="35"/>
      <c r="R355" s="24">
        <f t="shared" si="47"/>
        <v>667096.61765337037</v>
      </c>
      <c r="S355" s="30">
        <f>AN355*IF(G355="근접",IF(MID(E355,1,1)="3",트라이포드!$H$19,트라이포드!$G$19),1)*IF(MID(E355,1,1)="1",트라이포드!$D$19,트라이포드!$C$19)*IF(MID(E355,3,1)="1",트라이포드!$J$19,트라이포드!$I$19)*IF(MID(E355,3,1)="2",트라이포드!$L$19,트라이포드!$K$19)*IF(MID(E355,5,1)="1",트라이포드!$P$19,트라이포드!$O$19)*(1+입력란!$C$42/100)*IF(입력란!$C$9=1,IF(입력란!$C$15=0,1.05,IF(입력란!$C$15=1,1.05*1.05,IF(입력란!$C$15=2,1.05*1.12,IF(입력란!$C$15=3,1.05*1.25)))),1)</f>
        <v>400250.20140151493</v>
      </c>
      <c r="T355" s="30">
        <f>AO355*IF(G355="근접",IF(MID(E355,1,1)="3",트라이포드!$H$19,트라이포드!$G$19),1)*IF(MID(E355,1,1)="1",트라이포드!$D$19,트라이포드!$C$19)*IF(MID(E355,3,1)="1",트라이포드!$J$19,트라이포드!$I$19)*IF(MID(E355,3,1)="2",트라이포드!$L$19,트라이포드!$K$19)*IF(MID(E355,5,1)="1",0,IF(MID(E355,5,1)="2",트라이포드!$R$19,트라이포드!$Q$19))*(1+입력란!$C$42/100)*IF(입력란!$C$9=1,IF(입력란!$C$15=0,1.05,IF(입력란!$C$15=1,1.05*1.05,IF(입력란!$C$15=2,1.05*1.12,IF(입력란!$C$15=3,1.05*1.25)))),1)</f>
        <v>266846.41625185544</v>
      </c>
      <c r="U355" s="30"/>
      <c r="V355" s="30"/>
      <c r="W355" s="30"/>
      <c r="X355" s="39"/>
      <c r="Y355" s="39"/>
      <c r="Z355" s="27"/>
      <c r="AA355" s="30">
        <f t="shared" si="48"/>
        <v>1334193.2353067407</v>
      </c>
      <c r="AB355" s="30">
        <f t="shared" si="49"/>
        <v>800500.40280302987</v>
      </c>
      <c r="AC355" s="30">
        <f t="shared" si="50"/>
        <v>533692.83250371087</v>
      </c>
      <c r="AD355" s="30"/>
      <c r="AE355" s="30"/>
      <c r="AF355" s="39"/>
      <c r="AG355" s="39"/>
      <c r="AH355" s="39"/>
      <c r="AI355" s="27"/>
      <c r="AJ355" s="26">
        <f>AQ355*(1-입력란!$C$35/100)</f>
        <v>23.72176897872</v>
      </c>
      <c r="AK35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5" s="26">
        <f>입력란!$C$47+IF(입력란!$C$18=1,10,IF(입력란!$C$18=2,25,IF(입력란!$C$18=3,50,0)))+IF(입력란!$C$23&lt;&gt;0,-12)</f>
        <v>200</v>
      </c>
      <c r="AM355" s="30">
        <f t="shared" si="51"/>
        <v>238789.50295789511</v>
      </c>
      <c r="AN355" s="30">
        <f>(VLOOKUP(C355,$B$4:$AJ$7,23,FALSE)+VLOOKUP(C355,$B$8:$AJ$11,23,FALSE)*입력란!$C$29)*IF(G355="근접",입력란!$C$50,IF(MID(E355,1,1)="1",입력란!$C$50,입력란!$C$49))*입력란!$C$48/100</f>
        <v>143270.92076657343</v>
      </c>
      <c r="AO355" s="30">
        <f>(VLOOKUP(C355,$B$4:$AJ$7,24,FALSE)+VLOOKUP(C355,$B$8:$AJ$11,24,FALSE)*입력란!$C$29)*IF(G355="근접",입력란!$C$50,IF(MID(E355,1,1)="1",입력란!$C$50,입력란!$C$49))*입력란!$C$48/100</f>
        <v>95518.582191321664</v>
      </c>
      <c r="AP355" s="30"/>
      <c r="AQ355" s="29">
        <v>24</v>
      </c>
    </row>
    <row r="356" spans="2:43" ht="13.5" customHeight="1" x14ac:dyDescent="0.3">
      <c r="B356" s="31">
        <v>341</v>
      </c>
      <c r="C356" s="36">
        <v>10</v>
      </c>
      <c r="D356" s="43" t="s">
        <v>217</v>
      </c>
      <c r="E356" s="38" t="s">
        <v>186</v>
      </c>
      <c r="F356" s="40"/>
      <c r="G356" s="40" t="s">
        <v>202</v>
      </c>
      <c r="H356" s="52">
        <f t="shared" si="46"/>
        <v>19520.242036710628</v>
      </c>
      <c r="I356" s="53">
        <f>SUM(J356:Q356)*IF(입력란!$C$16=1,1.04,IF(입력란!$C$16=2,1.1,IF(입력란!$C$16=3,1.2,1)))*IF(입력란!$C$21=1,1+입력란!$C$38*0.001,IF(입력란!$C$21=2,1+입력란!$C$38*0.0022,IF(입력란!$C$21=3,1+입력란!$C$38*0.0045,1)))*IF(입력란!$C$18&lt;&gt;0,0.98,1)</f>
        <v>463054.67200354824</v>
      </c>
      <c r="J356" s="30">
        <f>S356*(1+IF($AK356+IF(입력란!$C$9=1,10,0)+IF(입력란!$C$26=1,10,0)&gt;100,100,$AK356+IF(입력란!$C$9=1,10,0)+IF(입력란!$C$26=1,10,0))/100*($AL356/100-1))</f>
        <v>277826.79370997322</v>
      </c>
      <c r="K356" s="30">
        <f>T356*(1+IF($AK356+IF(입력란!$C$9=1,10,0)+IF(입력란!$C$26=1,10,0)&gt;100,100,$AK356+IF(입력란!$C$9=1,10,0)+IF(입력란!$C$26=1,10,0))/100*($AL356/100-1))</f>
        <v>185227.87829357505</v>
      </c>
      <c r="L356" s="30"/>
      <c r="M356" s="30"/>
      <c r="N356" s="39"/>
      <c r="O356" s="39"/>
      <c r="P356" s="39"/>
      <c r="Q356" s="35"/>
      <c r="R356" s="24">
        <f t="shared" si="47"/>
        <v>381445.82493886119</v>
      </c>
      <c r="S356" s="30">
        <f>AN356*IF(G356="근접",IF(MID(E356,1,1)="3",트라이포드!$H$19,트라이포드!$G$19),1)*IF(MID(E356,1,1)="1",트라이포드!$D$19,트라이포드!$C$19)*IF(MID(E356,3,1)="1",트라이포드!$J$19,트라이포드!$I$19)*IF(MID(E356,3,1)="2",트라이포드!$L$19,트라이포드!$K$19)*IF(MID(E356,5,1)="1",트라이포드!$P$19,트라이포드!$O$19)*(1+입력란!$C$42/100)*IF(입력란!$C$9=1,IF(입력란!$C$15=0,1.05,IF(입력란!$C$15=1,1.05*1.05,IF(입력란!$C$15=2,1.05*1.12,IF(입력란!$C$15=3,1.05*1.25)))),1)</f>
        <v>228862.54458524819</v>
      </c>
      <c r="T356" s="30">
        <f>AO356*IF(G356="근접",IF(MID(E356,1,1)="3",트라이포드!$H$19,트라이포드!$G$19),1)*IF(MID(E356,1,1)="1",트라이포드!$D$19,트라이포드!$C$19)*IF(MID(E356,3,1)="1",트라이포드!$J$19,트라이포드!$I$19)*IF(MID(E356,3,1)="2",트라이포드!$L$19,트라이포드!$K$19)*IF(MID(E356,5,1)="1",0,IF(MID(E356,5,1)="2",트라이포드!$R$19,트라이포드!$Q$19))*(1+입력란!$C$42/100)*IF(입력란!$C$9=1,IF(입력란!$C$15=0,1.05,IF(입력란!$C$15=1,1.05*1.05,IF(입력란!$C$15=2,1.05*1.12,IF(입력란!$C$15=3,1.05*1.25)))),1)</f>
        <v>152583.28035361299</v>
      </c>
      <c r="U356" s="30"/>
      <c r="V356" s="30"/>
      <c r="W356" s="30"/>
      <c r="X356" s="39"/>
      <c r="Y356" s="39"/>
      <c r="Z356" s="27"/>
      <c r="AA356" s="30">
        <f t="shared" si="48"/>
        <v>762891.64987772238</v>
      </c>
      <c r="AB356" s="30">
        <f t="shared" si="49"/>
        <v>457725.08917049639</v>
      </c>
      <c r="AC356" s="30">
        <f t="shared" si="50"/>
        <v>305166.56070722599</v>
      </c>
      <c r="AD356" s="30"/>
      <c r="AE356" s="30"/>
      <c r="AF356" s="39"/>
      <c r="AG356" s="39"/>
      <c r="AH356" s="39"/>
      <c r="AI356" s="27"/>
      <c r="AJ356" s="26">
        <f>AQ356*(1-입력란!$C$35/100)</f>
        <v>23.72176897872</v>
      </c>
      <c r="AK35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6" s="26">
        <f>입력란!$C$47+IF(입력란!$C$18=1,10,IF(입력란!$C$18=2,25,IF(입력란!$C$18=3,50,0)))+IF(입력란!$C$23&lt;&gt;0,-12)</f>
        <v>200</v>
      </c>
      <c r="AM356" s="30">
        <f t="shared" si="51"/>
        <v>238944.70295789512</v>
      </c>
      <c r="AN356" s="30">
        <f>(VLOOKUP(C356,$B$4:$AJ$7,23,FALSE)+VLOOKUP(C356,$B$8:$AJ$11,23,FALSE)*입력란!$C$29)*IF(G356="근접",입력란!$C$50,IF(MID(E356,1,1)="1",입력란!$C$50,입력란!$C$49))*입력란!$C$48/100</f>
        <v>143363.72076657345</v>
      </c>
      <c r="AO356" s="30">
        <f>(VLOOKUP(C356,$B$4:$AJ$7,24,FALSE)+VLOOKUP(C356,$B$8:$AJ$11,24,FALSE)*입력란!$C$29)*IF(G356="근접",입력란!$C$50,IF(MID(E356,1,1)="1",입력란!$C$50,입력란!$C$49))*입력란!$C$48/100</f>
        <v>95580.982191321658</v>
      </c>
      <c r="AP356" s="30"/>
      <c r="AQ356" s="29">
        <v>24</v>
      </c>
    </row>
    <row r="357" spans="2:43" ht="13.5" customHeight="1" x14ac:dyDescent="0.3">
      <c r="B357" s="31">
        <v>342</v>
      </c>
      <c r="C357" s="36">
        <v>10</v>
      </c>
      <c r="D357" s="43" t="s">
        <v>217</v>
      </c>
      <c r="E357" s="38" t="s">
        <v>192</v>
      </c>
      <c r="F357" s="40"/>
      <c r="G357" s="40" t="s">
        <v>202</v>
      </c>
      <c r="H357" s="52">
        <f t="shared" si="46"/>
        <v>32793.297291014271</v>
      </c>
      <c r="I357" s="53">
        <f>SUM(J357:Q357)*IF(입력란!$C$16=1,1.04,IF(입력란!$C$16=2,1.1,IF(입력란!$C$16=3,1.2,1)))*IF(입력란!$C$21=1,1+입력란!$C$38*0.001,IF(입력란!$C$21=2,1+입력란!$C$38*0.0022,IF(입력란!$C$21=3,1+입력란!$C$38*0.0045,1)))*IF(입력란!$C$18&lt;&gt;0,0.98,1)</f>
        <v>777915.02238792495</v>
      </c>
      <c r="J357" s="30">
        <f>S357*(1+IF($AK357+IF(입력란!$C$9=1,10,0)+IF(입력란!$C$26=1,10,0)&gt;100,100,$AK357+IF(입력란!$C$9=1,10,0)+IF(입력란!$C$26=1,10,0))/100*($AL357/100-1))</f>
        <v>777915.02238792495</v>
      </c>
      <c r="K357" s="30">
        <f>T357*(1+IF($AK357+IF(입력란!$C$9=1,10,0)+IF(입력란!$C$26=1,10,0)&gt;100,100,$AK357+IF(입력란!$C$9=1,10,0)+IF(입력란!$C$26=1,10,0))/100*($AL357/100-1))</f>
        <v>0</v>
      </c>
      <c r="L357" s="30"/>
      <c r="M357" s="30"/>
      <c r="N357" s="39"/>
      <c r="O357" s="39"/>
      <c r="P357" s="39"/>
      <c r="Q357" s="35"/>
      <c r="R357" s="24">
        <f t="shared" si="47"/>
        <v>640815.12483869493</v>
      </c>
      <c r="S357" s="30">
        <f>AN357*IF(G357="근접",IF(MID(E357,1,1)="3",트라이포드!$H$19,트라이포드!$G$19),1)*IF(MID(E357,1,1)="1",트라이포드!$D$19,트라이포드!$C$19)*IF(MID(E357,3,1)="1",트라이포드!$J$19,트라이포드!$I$19)*IF(MID(E357,3,1)="2",트라이포드!$L$19,트라이포드!$K$19)*IF(MID(E357,5,1)="1",트라이포드!$P$19,트라이포드!$O$19)*(1+입력란!$C$42/100)*IF(입력란!$C$9=1,IF(입력란!$C$15=0,1.05,IF(입력란!$C$15=1,1.05*1.05,IF(입력란!$C$15=2,1.05*1.12,IF(입력란!$C$15=3,1.05*1.25)))),1)</f>
        <v>640815.12483869493</v>
      </c>
      <c r="T357" s="30">
        <f>AO357*IF(G357="근접",IF(MID(E357,1,1)="3",트라이포드!$H$19,트라이포드!$G$19),1)*IF(MID(E357,1,1)="1",트라이포드!$D$19,트라이포드!$C$19)*IF(MID(E357,3,1)="1",트라이포드!$J$19,트라이포드!$I$19)*IF(MID(E357,3,1)="2",트라이포드!$L$19,트라이포드!$K$19)*IF(MID(E357,5,1)="1",0,IF(MID(E357,5,1)="2",트라이포드!$R$19,트라이포드!$Q$19))*(1+입력란!$C$42/100)*IF(입력란!$C$9=1,IF(입력란!$C$15=0,1.05,IF(입력란!$C$15=1,1.05*1.05,IF(입력란!$C$15=2,1.05*1.12,IF(입력란!$C$15=3,1.05*1.25)))),1)</f>
        <v>0</v>
      </c>
      <c r="U357" s="30"/>
      <c r="V357" s="30"/>
      <c r="W357" s="30"/>
      <c r="X357" s="39"/>
      <c r="Y357" s="39"/>
      <c r="Z357" s="27"/>
      <c r="AA357" s="30">
        <f t="shared" si="48"/>
        <v>1281630.2496773899</v>
      </c>
      <c r="AB357" s="30">
        <f t="shared" si="49"/>
        <v>1281630.2496773899</v>
      </c>
      <c r="AC357" s="30">
        <f t="shared" si="50"/>
        <v>0</v>
      </c>
      <c r="AD357" s="30"/>
      <c r="AE357" s="30"/>
      <c r="AF357" s="39"/>
      <c r="AG357" s="39"/>
      <c r="AH357" s="39"/>
      <c r="AI357" s="27"/>
      <c r="AJ357" s="26">
        <f>AQ357*(1-입력란!$C$35/100)</f>
        <v>23.72176897872</v>
      </c>
      <c r="AK35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7" s="26">
        <f>입력란!$C$47+IF(입력란!$C$18=1,10,IF(입력란!$C$18=2,25,IF(입력란!$C$18=3,50,0)))+IF(입력란!$C$23&lt;&gt;0,-12)</f>
        <v>200</v>
      </c>
      <c r="AM357" s="30">
        <f t="shared" si="51"/>
        <v>238944.70295789512</v>
      </c>
      <c r="AN357" s="30">
        <f>(VLOOKUP(C357,$B$4:$AJ$7,23,FALSE)+VLOOKUP(C357,$B$8:$AJ$11,23,FALSE)*입력란!$C$29)*IF(G357="근접",입력란!$C$50,IF(MID(E357,1,1)="1",입력란!$C$50,입력란!$C$49))*입력란!$C$48/100</f>
        <v>143363.72076657345</v>
      </c>
      <c r="AO357" s="30">
        <f>(VLOOKUP(C357,$B$4:$AJ$7,24,FALSE)+VLOOKUP(C357,$B$8:$AJ$11,24,FALSE)*입력란!$C$29)*IF(G357="근접",입력란!$C$50,IF(MID(E357,1,1)="1",입력란!$C$50,입력란!$C$49))*입력란!$C$48/100</f>
        <v>95580.982191321658</v>
      </c>
      <c r="AP357" s="30"/>
      <c r="AQ357" s="29">
        <v>24</v>
      </c>
    </row>
    <row r="358" spans="2:43" ht="13.5" customHeight="1" x14ac:dyDescent="0.3">
      <c r="B358" s="31">
        <v>343</v>
      </c>
      <c r="C358" s="36">
        <v>10</v>
      </c>
      <c r="D358" s="43" t="s">
        <v>217</v>
      </c>
      <c r="E358" s="38" t="s">
        <v>208</v>
      </c>
      <c r="F358" s="40"/>
      <c r="G358" s="40" t="s">
        <v>202</v>
      </c>
      <c r="H358" s="52">
        <f t="shared" si="46"/>
        <v>35136.942330835976</v>
      </c>
      <c r="I358" s="53">
        <f>SUM(J358:Q358)*IF(입력란!$C$16=1,1.04,IF(입력란!$C$16=2,1.1,IF(입력란!$C$16=3,1.2,1)))*IF(입력란!$C$21=1,1+입력란!$C$38*0.001,IF(입력란!$C$21=2,1+입력란!$C$38*0.0022,IF(입력란!$C$21=3,1+입력란!$C$38*0.0045,1)))*IF(입력란!$C$18&lt;&gt;0,0.98,1)</f>
        <v>833510.4285906984</v>
      </c>
      <c r="J358" s="30">
        <f>S358*(1+IF($AK358+IF(입력란!$C$9=1,10,0)+IF(입력란!$C$26=1,10,0)&gt;100,100,$AK358+IF(입력란!$C$9=1,10,0)+IF(입력란!$C$26=1,10,0))/100*($AL358/100-1))</f>
        <v>277826.79370997322</v>
      </c>
      <c r="K358" s="30">
        <f>T358*(1+IF($AK358+IF(입력란!$C$9=1,10,0)+IF(입력란!$C$26=1,10,0)&gt;100,100,$AK358+IF(입력란!$C$9=1,10,0)+IF(입력란!$C$26=1,10,0))/100*($AL358/100-1))</f>
        <v>555683.63488072518</v>
      </c>
      <c r="L358" s="30"/>
      <c r="M358" s="30"/>
      <c r="N358" s="39"/>
      <c r="O358" s="39"/>
      <c r="P358" s="39"/>
      <c r="Q358" s="35"/>
      <c r="R358" s="24">
        <f t="shared" si="47"/>
        <v>686612.38564608723</v>
      </c>
      <c r="S358" s="30">
        <f>AN358*IF(G358="근접",IF(MID(E358,1,1)="3",트라이포드!$H$19,트라이포드!$G$19),1)*IF(MID(E358,1,1)="1",트라이포드!$D$19,트라이포드!$C$19)*IF(MID(E358,3,1)="1",트라이포드!$J$19,트라이포드!$I$19)*IF(MID(E358,3,1)="2",트라이포드!$L$19,트라이포드!$K$19)*IF(MID(E358,5,1)="1",트라이포드!$P$19,트라이포드!$O$19)*(1+입력란!$C$42/100)*IF(입력란!$C$9=1,IF(입력란!$C$15=0,1.05,IF(입력란!$C$15=1,1.05*1.05,IF(입력란!$C$15=2,1.05*1.12,IF(입력란!$C$15=3,1.05*1.25)))),1)</f>
        <v>228862.54458524819</v>
      </c>
      <c r="T358" s="30">
        <f>AO358*IF(G358="근접",IF(MID(E358,1,1)="3",트라이포드!$H$19,트라이포드!$G$19),1)*IF(MID(E358,1,1)="1",트라이포드!$D$19,트라이포드!$C$19)*IF(MID(E358,3,1)="1",트라이포드!$J$19,트라이포드!$I$19)*IF(MID(E358,3,1)="2",트라이포드!$L$19,트라이포드!$K$19)*IF(MID(E358,5,1)="1",0,IF(MID(E358,5,1)="2",트라이포드!$R$19,트라이포드!$Q$19))*(1+입력란!$C$42/100)*IF(입력란!$C$9=1,IF(입력란!$C$15=0,1.05,IF(입력란!$C$15=1,1.05*1.05,IF(입력란!$C$15=2,1.05*1.12,IF(입력란!$C$15=3,1.05*1.25)))),1)</f>
        <v>457749.84106083901</v>
      </c>
      <c r="U358" s="30"/>
      <c r="V358" s="30"/>
      <c r="W358" s="30"/>
      <c r="X358" s="39"/>
      <c r="Y358" s="39"/>
      <c r="Z358" s="27"/>
      <c r="AA358" s="30">
        <f t="shared" si="48"/>
        <v>1373224.7712921745</v>
      </c>
      <c r="AB358" s="30">
        <f t="shared" si="49"/>
        <v>457725.08917049639</v>
      </c>
      <c r="AC358" s="30">
        <f t="shared" si="50"/>
        <v>915499.68212167802</v>
      </c>
      <c r="AD358" s="30"/>
      <c r="AE358" s="30"/>
      <c r="AF358" s="39"/>
      <c r="AG358" s="39"/>
      <c r="AH358" s="39"/>
      <c r="AI358" s="27"/>
      <c r="AJ358" s="26">
        <f>AQ358*(1-입력란!$C$35/100)</f>
        <v>23.72176897872</v>
      </c>
      <c r="AK35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8" s="26">
        <f>입력란!$C$47+IF(입력란!$C$18=1,10,IF(입력란!$C$18=2,25,IF(입력란!$C$18=3,50,0)))+IF(입력란!$C$23&lt;&gt;0,-12)</f>
        <v>200</v>
      </c>
      <c r="AM358" s="30">
        <f t="shared" si="51"/>
        <v>238944.70295789512</v>
      </c>
      <c r="AN358" s="30">
        <f>(VLOOKUP(C358,$B$4:$AJ$7,23,FALSE)+VLOOKUP(C358,$B$8:$AJ$11,23,FALSE)*입력란!$C$29)*IF(G358="근접",입력란!$C$50,IF(MID(E358,1,1)="1",입력란!$C$50,입력란!$C$49))*입력란!$C$48/100</f>
        <v>143363.72076657345</v>
      </c>
      <c r="AO358" s="30">
        <f>(VLOOKUP(C358,$B$4:$AJ$7,24,FALSE)+VLOOKUP(C358,$B$8:$AJ$11,24,FALSE)*입력란!$C$29)*IF(G358="근접",입력란!$C$50,IF(MID(E358,1,1)="1",입력란!$C$50,입력란!$C$49))*입력란!$C$48/100</f>
        <v>95580.982191321658</v>
      </c>
      <c r="AP358" s="30"/>
      <c r="AQ358" s="29">
        <v>24</v>
      </c>
    </row>
    <row r="359" spans="2:43" ht="13.5" customHeight="1" x14ac:dyDescent="0.3">
      <c r="B359" s="31">
        <v>344</v>
      </c>
      <c r="C359" s="36">
        <v>10</v>
      </c>
      <c r="D359" s="43" t="s">
        <v>217</v>
      </c>
      <c r="E359" s="38" t="s">
        <v>194</v>
      </c>
      <c r="F359" s="40" t="s">
        <v>223</v>
      </c>
      <c r="G359" s="40" t="s">
        <v>202</v>
      </c>
      <c r="H359" s="52">
        <f t="shared" si="46"/>
        <v>45910.616207419975</v>
      </c>
      <c r="I359" s="53">
        <f>SUM(J359:Q359)*IF(입력란!$C$16=1,1.04,IF(입력란!$C$16=2,1.1,IF(입력란!$C$16=3,1.2,1)))*IF(입력란!$C$21=1,1+입력란!$C$38*0.001,IF(입력란!$C$21=2,1+입력란!$C$38*0.0022,IF(입력란!$C$21=3,1+입력란!$C$38*0.0045,1)))*IF(입력란!$C$18&lt;&gt;0,0.98,1)</f>
        <v>1089081.0313430948</v>
      </c>
      <c r="J359" s="30">
        <f>S359*(1+IF($AK359+IF(입력란!$C$9=1,10,0)+IF(입력란!$C$26=1,10,0)&gt;100,100,$AK359+IF(입력란!$C$9=1,10,0)+IF(입력란!$C$26=1,10,0))/100*($AL359/100-1))</f>
        <v>1089081.0313430948</v>
      </c>
      <c r="K359" s="30">
        <f>T359*(1+IF($AK359+IF(입력란!$C$9=1,10,0)+IF(입력란!$C$26=1,10,0)&gt;100,100,$AK359+IF(입력란!$C$9=1,10,0)+IF(입력란!$C$26=1,10,0))/100*($AL359/100-1))</f>
        <v>0</v>
      </c>
      <c r="L359" s="30"/>
      <c r="M359" s="30"/>
      <c r="N359" s="39"/>
      <c r="O359" s="39"/>
      <c r="P359" s="39"/>
      <c r="Q359" s="35"/>
      <c r="R359" s="24">
        <f t="shared" si="47"/>
        <v>897141.17477417283</v>
      </c>
      <c r="S359" s="30">
        <f>AN359*IF(G359="근접",IF(MID(E359,1,1)="3",트라이포드!$H$19,트라이포드!$G$19),1)*IF(MID(E359,1,1)="1",트라이포드!$D$19,트라이포드!$C$19)*IF(MID(E359,3,1)="1",트라이포드!$J$19,트라이포드!$I$19)*IF(MID(E359,3,1)="2",트라이포드!$L$19,트라이포드!$K$19)*IF(MID(E359,5,1)="1",트라이포드!$P$19,트라이포드!$O$19)*(1+입력란!$C$42/100)*IF(입력란!$C$9=1,IF(입력란!$C$15=0,1.05,IF(입력란!$C$15=1,1.05*1.05,IF(입력란!$C$15=2,1.05*1.12,IF(입력란!$C$15=3,1.05*1.25)))),1)</f>
        <v>897141.17477417283</v>
      </c>
      <c r="T359" s="30">
        <f>AO359*IF(G359="근접",IF(MID(E359,1,1)="3",트라이포드!$H$19,트라이포드!$G$19),1)*IF(MID(E359,1,1)="1",트라이포드!$D$19,트라이포드!$C$19)*IF(MID(E359,3,1)="1",트라이포드!$J$19,트라이포드!$I$19)*IF(MID(E359,3,1)="2",트라이포드!$L$19,트라이포드!$K$19)*IF(MID(E359,5,1)="1",0,IF(MID(E359,5,1)="2",트라이포드!$R$19,트라이포드!$Q$19))*(1+입력란!$C$42/100)*IF(입력란!$C$9=1,IF(입력란!$C$15=0,1.05,IF(입력란!$C$15=1,1.05*1.05,IF(입력란!$C$15=2,1.05*1.12,IF(입력란!$C$15=3,1.05*1.25)))),1)</f>
        <v>0</v>
      </c>
      <c r="U359" s="30"/>
      <c r="V359" s="30"/>
      <c r="W359" s="30"/>
      <c r="X359" s="39"/>
      <c r="Y359" s="39"/>
      <c r="Z359" s="27"/>
      <c r="AA359" s="30">
        <f t="shared" si="48"/>
        <v>1794282.3495483457</v>
      </c>
      <c r="AB359" s="30">
        <f t="shared" si="49"/>
        <v>1794282.3495483457</v>
      </c>
      <c r="AC359" s="30">
        <f t="shared" si="50"/>
        <v>0</v>
      </c>
      <c r="AD359" s="30"/>
      <c r="AE359" s="30"/>
      <c r="AF359" s="39"/>
      <c r="AG359" s="39"/>
      <c r="AH359" s="39"/>
      <c r="AI359" s="27"/>
      <c r="AJ359" s="26">
        <f>AQ359*(1-입력란!$C$35/100)</f>
        <v>23.72176897872</v>
      </c>
      <c r="AK35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59" s="26">
        <f>입력란!$C$47+IF(입력란!$C$18=1,10,IF(입력란!$C$18=2,25,IF(입력란!$C$18=3,50,0)))+IF(입력란!$C$23&lt;&gt;0,-12)</f>
        <v>200</v>
      </c>
      <c r="AM359" s="30">
        <f t="shared" si="51"/>
        <v>238944.70295789512</v>
      </c>
      <c r="AN359" s="30">
        <f>(VLOOKUP(C359,$B$4:$AJ$7,23,FALSE)+VLOOKUP(C359,$B$8:$AJ$11,23,FALSE)*입력란!$C$29)*IF(G359="근접",입력란!$C$50,IF(MID(E359,1,1)="1",입력란!$C$50,입력란!$C$49))*입력란!$C$48/100</f>
        <v>143363.72076657345</v>
      </c>
      <c r="AO359" s="30">
        <f>(VLOOKUP(C359,$B$4:$AJ$7,24,FALSE)+VLOOKUP(C359,$B$8:$AJ$11,24,FALSE)*입력란!$C$29)*IF(G359="근접",입력란!$C$50,IF(MID(E359,1,1)="1",입력란!$C$50,입력란!$C$49))*입력란!$C$48/100</f>
        <v>95580.982191321658</v>
      </c>
      <c r="AP359" s="30"/>
      <c r="AQ359" s="29">
        <v>24</v>
      </c>
    </row>
    <row r="360" spans="2:43" ht="13.5" customHeight="1" x14ac:dyDescent="0.3">
      <c r="B360" s="31">
        <v>345</v>
      </c>
      <c r="C360" s="36">
        <v>10</v>
      </c>
      <c r="D360" s="43" t="s">
        <v>217</v>
      </c>
      <c r="E360" s="38" t="s">
        <v>195</v>
      </c>
      <c r="F360" s="40" t="s">
        <v>223</v>
      </c>
      <c r="G360" s="40" t="s">
        <v>202</v>
      </c>
      <c r="H360" s="52">
        <f t="shared" si="46"/>
        <v>49191.719263170351</v>
      </c>
      <c r="I360" s="53">
        <f>SUM(J360:Q360)*IF(입력란!$C$16=1,1.04,IF(입력란!$C$16=2,1.1,IF(입력란!$C$16=3,1.2,1)))*IF(입력란!$C$21=1,1+입력란!$C$38*0.001,IF(입력란!$C$21=2,1+입력란!$C$38*0.0022,IF(입력란!$C$21=3,1+입력란!$C$38*0.0045,1)))*IF(입력란!$C$18&lt;&gt;0,0.98,1)</f>
        <v>1166914.6000269775</v>
      </c>
      <c r="J360" s="30">
        <f>S360*(1+IF($AK360+IF(입력란!$C$9=1,10,0)+IF(입력란!$C$26=1,10,0)&gt;100,100,$AK360+IF(입력란!$C$9=1,10,0)+IF(입력란!$C$26=1,10,0))/100*($AL360/100-1))</f>
        <v>388957.51119396248</v>
      </c>
      <c r="K360" s="30">
        <f>T360*(1+IF($AK360+IF(입력란!$C$9=1,10,0)+IF(입력란!$C$26=1,10,0)&gt;100,100,$AK360+IF(입력란!$C$9=1,10,0)+IF(입력란!$C$26=1,10,0))/100*($AL360/100-1))</f>
        <v>777957.08883301506</v>
      </c>
      <c r="L360" s="30"/>
      <c r="M360" s="30"/>
      <c r="N360" s="39"/>
      <c r="O360" s="39"/>
      <c r="P360" s="39"/>
      <c r="Q360" s="35"/>
      <c r="R360" s="24">
        <f t="shared" si="47"/>
        <v>961257.33990452194</v>
      </c>
      <c r="S360" s="30">
        <f>AN360*IF(G360="근접",IF(MID(E360,1,1)="3",트라이포드!$H$19,트라이포드!$G$19),1)*IF(MID(E360,1,1)="1",트라이포드!$D$19,트라이포드!$C$19)*IF(MID(E360,3,1)="1",트라이포드!$J$19,트라이포드!$I$19)*IF(MID(E360,3,1)="2",트라이포드!$L$19,트라이포드!$K$19)*IF(MID(E360,5,1)="1",트라이포드!$P$19,트라이포드!$O$19)*(1+입력란!$C$42/100)*IF(입력란!$C$9=1,IF(입력란!$C$15=0,1.05,IF(입력란!$C$15=1,1.05*1.05,IF(입력란!$C$15=2,1.05*1.12,IF(입력란!$C$15=3,1.05*1.25)))),1)</f>
        <v>320407.56241934747</v>
      </c>
      <c r="T360" s="30">
        <f>AO360*IF(G360="근접",IF(MID(E360,1,1)="3",트라이포드!$H$19,트라이포드!$G$19),1)*IF(MID(E360,1,1)="1",트라이포드!$D$19,트라이포드!$C$19)*IF(MID(E360,3,1)="1",트라이포드!$J$19,트라이포드!$I$19)*IF(MID(E360,3,1)="2",트라이포드!$L$19,트라이포드!$K$19)*IF(MID(E360,5,1)="1",0,IF(MID(E360,5,1)="2",트라이포드!$R$19,트라이포드!$Q$19))*(1+입력란!$C$42/100)*IF(입력란!$C$9=1,IF(입력란!$C$15=0,1.05,IF(입력란!$C$15=1,1.05*1.05,IF(입력란!$C$15=2,1.05*1.12,IF(입력란!$C$15=3,1.05*1.25)))),1)</f>
        <v>640849.77748517448</v>
      </c>
      <c r="U360" s="30"/>
      <c r="V360" s="30"/>
      <c r="W360" s="30"/>
      <c r="X360" s="39"/>
      <c r="Y360" s="39"/>
      <c r="Z360" s="27"/>
      <c r="AA360" s="30">
        <f t="shared" si="48"/>
        <v>1922514.6798090439</v>
      </c>
      <c r="AB360" s="30">
        <f t="shared" si="49"/>
        <v>640815.12483869493</v>
      </c>
      <c r="AC360" s="30">
        <f t="shared" si="50"/>
        <v>1281699.554970349</v>
      </c>
      <c r="AD360" s="30"/>
      <c r="AE360" s="30"/>
      <c r="AF360" s="39"/>
      <c r="AG360" s="39"/>
      <c r="AH360" s="39"/>
      <c r="AI360" s="27"/>
      <c r="AJ360" s="26">
        <f>AQ360*(1-입력란!$C$35/100)</f>
        <v>23.72176897872</v>
      </c>
      <c r="AK36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0" s="26">
        <f>입력란!$C$47+IF(입력란!$C$18=1,10,IF(입력란!$C$18=2,25,IF(입력란!$C$18=3,50,0)))+IF(입력란!$C$23&lt;&gt;0,-12)</f>
        <v>200</v>
      </c>
      <c r="AM360" s="30">
        <f t="shared" si="51"/>
        <v>238944.70295789512</v>
      </c>
      <c r="AN360" s="30">
        <f>(VLOOKUP(C360,$B$4:$AJ$7,23,FALSE)+VLOOKUP(C360,$B$8:$AJ$11,23,FALSE)*입력란!$C$29)*IF(G360="근접",입력란!$C$50,IF(MID(E360,1,1)="1",입력란!$C$50,입력란!$C$49))*입력란!$C$48/100</f>
        <v>143363.72076657345</v>
      </c>
      <c r="AO360" s="30">
        <f>(VLOOKUP(C360,$B$4:$AJ$7,24,FALSE)+VLOOKUP(C360,$B$8:$AJ$11,24,FALSE)*입력란!$C$29)*IF(G360="근접",입력란!$C$50,IF(MID(E360,1,1)="1",입력란!$C$50,입력란!$C$49))*입력란!$C$48/100</f>
        <v>95580.982191321658</v>
      </c>
      <c r="AP360" s="30"/>
      <c r="AQ360" s="29">
        <v>24</v>
      </c>
    </row>
    <row r="361" spans="2:43" ht="13.5" customHeight="1" x14ac:dyDescent="0.3">
      <c r="B361" s="31">
        <v>346</v>
      </c>
      <c r="C361" s="36">
        <v>10</v>
      </c>
      <c r="D361" s="43" t="s">
        <v>217</v>
      </c>
      <c r="E361" s="38" t="s">
        <v>198</v>
      </c>
      <c r="F361" s="40" t="s">
        <v>223</v>
      </c>
      <c r="G361" s="40" t="s">
        <v>202</v>
      </c>
      <c r="H361" s="52">
        <f t="shared" si="46"/>
        <v>50501.677828161977</v>
      </c>
      <c r="I361" s="53">
        <f>SUM(J361:Q361)*IF(입력란!$C$16=1,1.04,IF(입력란!$C$16=2,1.1,IF(입력란!$C$16=3,1.2,1)))*IF(입력란!$C$21=1,1+입력란!$C$38*0.001,IF(입력란!$C$21=2,1+입력란!$C$38*0.0022,IF(입력란!$C$21=3,1+입력란!$C$38*0.0045,1)))*IF(입력란!$C$18&lt;&gt;0,0.98,1)</f>
        <v>1197989.1344774044</v>
      </c>
      <c r="J361" s="30">
        <f>S361*(1+IF($AK361+IF(입력란!$C$9=1,10,0)+IF(입력란!$C$26=1,10,0)&gt;100,100,$AK361+IF(입력란!$C$9=1,10,0)+IF(입력란!$C$26=1,10,0))/100*($AL361/100-1))</f>
        <v>1197989.1344774044</v>
      </c>
      <c r="K361" s="30">
        <f>T361*(1+IF($AK361+IF(입력란!$C$9=1,10,0)+IF(입력란!$C$26=1,10,0)&gt;100,100,$AK361+IF(입력란!$C$9=1,10,0)+IF(입력란!$C$26=1,10,0))/100*($AL361/100-1))</f>
        <v>0</v>
      </c>
      <c r="L361" s="30"/>
      <c r="M361" s="30"/>
      <c r="N361" s="39"/>
      <c r="O361" s="39"/>
      <c r="P361" s="39"/>
      <c r="Q361" s="35"/>
      <c r="R361" s="24">
        <f t="shared" si="47"/>
        <v>986855.29225159029</v>
      </c>
      <c r="S361" s="30">
        <f>AN361*IF(G361="근접",IF(MID(E361,1,1)="3",트라이포드!$H$19,트라이포드!$G$19),1)*IF(MID(E361,1,1)="1",트라이포드!$D$19,트라이포드!$C$19)*IF(MID(E361,3,1)="1",트라이포드!$J$19,트라이포드!$I$19)*IF(MID(E361,3,1)="2",트라이포드!$L$19,트라이포드!$K$19)*IF(MID(E361,5,1)="1",트라이포드!$P$19,트라이포드!$O$19)*(1+입력란!$C$42/100)*IF(입력란!$C$9=1,IF(입력란!$C$15=0,1.05,IF(입력란!$C$15=1,1.05*1.05,IF(입력란!$C$15=2,1.05*1.12,IF(입력란!$C$15=3,1.05*1.25)))),1)</f>
        <v>986855.29225159029</v>
      </c>
      <c r="T361" s="30">
        <f>AO361*IF(G361="근접",IF(MID(E361,1,1)="3",트라이포드!$H$19,트라이포드!$G$19),1)*IF(MID(E361,1,1)="1",트라이포드!$D$19,트라이포드!$C$19)*IF(MID(E361,3,1)="1",트라이포드!$J$19,트라이포드!$I$19)*IF(MID(E361,3,1)="2",트라이포드!$L$19,트라이포드!$K$19)*IF(MID(E361,5,1)="1",0,IF(MID(E361,5,1)="2",트라이포드!$R$19,트라이포드!$Q$19))*(1+입력란!$C$42/100)*IF(입력란!$C$9=1,IF(입력란!$C$15=0,1.05,IF(입력란!$C$15=1,1.05*1.05,IF(입력란!$C$15=2,1.05*1.12,IF(입력란!$C$15=3,1.05*1.25)))),1)</f>
        <v>0</v>
      </c>
      <c r="U361" s="30"/>
      <c r="V361" s="30"/>
      <c r="W361" s="30"/>
      <c r="X361" s="39"/>
      <c r="Y361" s="39"/>
      <c r="Z361" s="27"/>
      <c r="AA361" s="30">
        <f t="shared" si="48"/>
        <v>1973710.5845031806</v>
      </c>
      <c r="AB361" s="30">
        <f t="shared" si="49"/>
        <v>1973710.5845031806</v>
      </c>
      <c r="AC361" s="30">
        <f t="shared" si="50"/>
        <v>0</v>
      </c>
      <c r="AD361" s="30"/>
      <c r="AE361" s="30"/>
      <c r="AF361" s="39"/>
      <c r="AG361" s="39"/>
      <c r="AH361" s="39"/>
      <c r="AI361" s="27"/>
      <c r="AJ361" s="26">
        <f>AQ361*(1-입력란!$C$35/100)</f>
        <v>23.72176897872</v>
      </c>
      <c r="AK36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1" s="26">
        <f>입력란!$C$47+IF(입력란!$C$18=1,10,IF(입력란!$C$18=2,25,IF(입력란!$C$18=3,50,0)))+IF(입력란!$C$23&lt;&gt;0,-12)</f>
        <v>200</v>
      </c>
      <c r="AM361" s="30">
        <f t="shared" si="51"/>
        <v>238944.70295789512</v>
      </c>
      <c r="AN361" s="30">
        <f>(VLOOKUP(C361,$B$4:$AJ$7,23,FALSE)+VLOOKUP(C361,$B$8:$AJ$11,23,FALSE)*입력란!$C$29)*IF(G361="근접",입력란!$C$50,IF(MID(E361,1,1)="1",입력란!$C$50,입력란!$C$49))*입력란!$C$48/100</f>
        <v>143363.72076657345</v>
      </c>
      <c r="AO361" s="30">
        <f>(VLOOKUP(C361,$B$4:$AJ$7,24,FALSE)+VLOOKUP(C361,$B$8:$AJ$11,24,FALSE)*입력란!$C$29)*IF(G361="근접",입력란!$C$50,IF(MID(E361,1,1)="1",입력란!$C$50,입력란!$C$49))*입력란!$C$48/100</f>
        <v>95580.982191321658</v>
      </c>
      <c r="AP361" s="30"/>
      <c r="AQ361" s="29">
        <v>24</v>
      </c>
    </row>
    <row r="362" spans="2:43" ht="13.5" customHeight="1" x14ac:dyDescent="0.3">
      <c r="B362" s="31">
        <v>347</v>
      </c>
      <c r="C362" s="36">
        <v>10</v>
      </c>
      <c r="D362" s="43" t="s">
        <v>217</v>
      </c>
      <c r="E362" s="38" t="s">
        <v>199</v>
      </c>
      <c r="F362" s="40" t="s">
        <v>223</v>
      </c>
      <c r="G362" s="40" t="s">
        <v>202</v>
      </c>
      <c r="H362" s="52">
        <f t="shared" si="46"/>
        <v>54110.891189487396</v>
      </c>
      <c r="I362" s="53">
        <f>SUM(J362:Q362)*IF(입력란!$C$16=1,1.04,IF(입력란!$C$16=2,1.1,IF(입력란!$C$16=3,1.2,1)))*IF(입력란!$C$21=1,1+입력란!$C$38*0.001,IF(입력란!$C$21=2,1+입력란!$C$38*0.0022,IF(입력란!$C$21=3,1+입력란!$C$38*0.0045,1)))*IF(입력란!$C$18&lt;&gt;0,0.98,1)</f>
        <v>1283606.0600296755</v>
      </c>
      <c r="J362" s="30">
        <f>S362*(1+IF($AK362+IF(입력란!$C$9=1,10,0)+IF(입력란!$C$26=1,10,0)&gt;100,100,$AK362+IF(입력란!$C$9=1,10,0)+IF(입력란!$C$26=1,10,0))/100*($AL362/100-1))</f>
        <v>427853.26231335878</v>
      </c>
      <c r="K362" s="30">
        <f>T362*(1+IF($AK362+IF(입력란!$C$9=1,10,0)+IF(입력란!$C$26=1,10,0)&gt;100,100,$AK362+IF(입력란!$C$9=1,10,0)+IF(입력란!$C$26=1,10,0))/100*($AL362/100-1))</f>
        <v>855752.79771631665</v>
      </c>
      <c r="L362" s="30"/>
      <c r="M362" s="30"/>
      <c r="N362" s="39"/>
      <c r="O362" s="39"/>
      <c r="P362" s="39"/>
      <c r="Q362" s="35"/>
      <c r="R362" s="24">
        <f t="shared" si="47"/>
        <v>1057383.0738949743</v>
      </c>
      <c r="S362" s="30">
        <f>AN362*IF(G362="근접",IF(MID(E362,1,1)="3",트라이포드!$H$19,트라이포드!$G$19),1)*IF(MID(E362,1,1)="1",트라이포드!$D$19,트라이포드!$C$19)*IF(MID(E362,3,1)="1",트라이포드!$J$19,트라이포드!$I$19)*IF(MID(E362,3,1)="2",트라이포드!$L$19,트라이포드!$K$19)*IF(MID(E362,5,1)="1",트라이포드!$P$19,트라이포드!$O$19)*(1+입력란!$C$42/100)*IF(입력란!$C$9=1,IF(입력란!$C$15=0,1.05,IF(입력란!$C$15=1,1.05*1.05,IF(입력란!$C$15=2,1.05*1.12,IF(입력란!$C$15=3,1.05*1.25)))),1)</f>
        <v>352448.31866128225</v>
      </c>
      <c r="T362" s="30">
        <f>AO362*IF(G362="근접",IF(MID(E362,1,1)="3",트라이포드!$H$19,트라이포드!$G$19),1)*IF(MID(E362,1,1)="1",트라이포드!$D$19,트라이포드!$C$19)*IF(MID(E362,3,1)="1",트라이포드!$J$19,트라이포드!$I$19)*IF(MID(E362,3,1)="2",트라이포드!$L$19,트라이포드!$K$19)*IF(MID(E362,5,1)="1",0,IF(MID(E362,5,1)="2",트라이포드!$R$19,트라이포드!$Q$19))*(1+입력란!$C$42/100)*IF(입력란!$C$9=1,IF(입력란!$C$15=0,1.05,IF(입력란!$C$15=1,1.05*1.05,IF(입력란!$C$15=2,1.05*1.12,IF(입력란!$C$15=3,1.05*1.25)))),1)</f>
        <v>704934.75523369201</v>
      </c>
      <c r="U362" s="30"/>
      <c r="V362" s="30"/>
      <c r="W362" s="30"/>
      <c r="X362" s="39"/>
      <c r="Y362" s="39"/>
      <c r="Z362" s="27"/>
      <c r="AA362" s="30">
        <f t="shared" si="48"/>
        <v>2114766.1477899486</v>
      </c>
      <c r="AB362" s="30">
        <f t="shared" si="49"/>
        <v>704896.63732256449</v>
      </c>
      <c r="AC362" s="30">
        <f t="shared" si="50"/>
        <v>1409869.510467384</v>
      </c>
      <c r="AD362" s="30"/>
      <c r="AE362" s="30"/>
      <c r="AF362" s="39"/>
      <c r="AG362" s="39"/>
      <c r="AH362" s="39"/>
      <c r="AI362" s="27"/>
      <c r="AJ362" s="26">
        <f>AQ362*(1-입력란!$C$35/100)</f>
        <v>23.72176897872</v>
      </c>
      <c r="AK3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2" s="26">
        <f>입력란!$C$47+IF(입력란!$C$18=1,10,IF(입력란!$C$18=2,25,IF(입력란!$C$18=3,50,0)))+IF(입력란!$C$23&lt;&gt;0,-12)</f>
        <v>200</v>
      </c>
      <c r="AM362" s="30">
        <f t="shared" si="51"/>
        <v>238944.70295789512</v>
      </c>
      <c r="AN362" s="30">
        <f>(VLOOKUP(C362,$B$4:$AJ$7,23,FALSE)+VLOOKUP(C362,$B$8:$AJ$11,23,FALSE)*입력란!$C$29)*IF(G362="근접",입력란!$C$50,IF(MID(E362,1,1)="1",입력란!$C$50,입력란!$C$49))*입력란!$C$48/100</f>
        <v>143363.72076657345</v>
      </c>
      <c r="AO362" s="30">
        <f>(VLOOKUP(C362,$B$4:$AJ$7,24,FALSE)+VLOOKUP(C362,$B$8:$AJ$11,24,FALSE)*입력란!$C$29)*IF(G362="근접",입력란!$C$50,IF(MID(E362,1,1)="1",입력란!$C$50,입력란!$C$49))*입력란!$C$48/100</f>
        <v>95580.982191321658</v>
      </c>
      <c r="AP362" s="30"/>
      <c r="AQ362" s="29">
        <v>24</v>
      </c>
    </row>
    <row r="363" spans="2:43" ht="13.5" customHeight="1" x14ac:dyDescent="0.3">
      <c r="B363" s="31">
        <v>348</v>
      </c>
      <c r="C363" s="36">
        <v>10</v>
      </c>
      <c r="D363" s="43" t="s">
        <v>217</v>
      </c>
      <c r="E363" s="38" t="s">
        <v>225</v>
      </c>
      <c r="F363" s="40" t="s">
        <v>223</v>
      </c>
      <c r="G363" s="40" t="s">
        <v>202</v>
      </c>
      <c r="H363" s="52">
        <f t="shared" si="46"/>
        <v>57388.270259274956</v>
      </c>
      <c r="I363" s="53">
        <f>SUM(J363:Q363)*IF(입력란!$C$16=1,1.04,IF(입력란!$C$16=2,1.1,IF(입력란!$C$16=3,1.2,1)))*IF(입력란!$C$21=1,1+입력란!$C$38*0.001,IF(입력란!$C$21=2,1+입력란!$C$38*0.0022,IF(입력란!$C$21=3,1+입력란!$C$38*0.0045,1)))*IF(입력란!$C$18&lt;&gt;0,0.98,1)</f>
        <v>1361351.2891788683</v>
      </c>
      <c r="J363" s="30">
        <f>S363*(1+IF($AK363+IF(입력란!$C$9=1,10,0)+IF(입력란!$C$26=1,10,0)&gt;100,100,$AK363+IF(입력란!$C$9=1,10,0)+IF(입력란!$C$26=1,10,0))/100*($AL363/100-1))</f>
        <v>1361351.2891788683</v>
      </c>
      <c r="K363" s="30">
        <f>T363*(1+IF($AK363+IF(입력란!$C$9=1,10,0)+IF(입력란!$C$26=1,10,0)&gt;100,100,$AK363+IF(입력란!$C$9=1,10,0)+IF(입력란!$C$26=1,10,0))/100*($AL363/100-1))</f>
        <v>0</v>
      </c>
      <c r="L363" s="30"/>
      <c r="M363" s="30"/>
      <c r="N363" s="39"/>
      <c r="O363" s="39"/>
      <c r="P363" s="39"/>
      <c r="Q363" s="35"/>
      <c r="R363" s="24">
        <f t="shared" si="47"/>
        <v>1121426.4684677159</v>
      </c>
      <c r="S363" s="30">
        <f>AN363*IF(G363="근접",IF(MID(E363,1,1)="3",트라이포드!$H$19,트라이포드!$G$19),1)*IF(MID(E363,1,1)="1",트라이포드!$D$19,트라이포드!$C$19)*IF(MID(E363,3,1)="1",트라이포드!$J$19,트라이포드!$I$19)*IF(MID(E363,3,1)="2",트라이포드!$L$19,트라이포드!$K$19)*IF(MID(E363,5,1)="1",트라이포드!$P$19,트라이포드!$O$19)*(1+입력란!$C$42/100)*IF(입력란!$C$9=1,IF(입력란!$C$15=0,1.05,IF(입력란!$C$15=1,1.05*1.05,IF(입력란!$C$15=2,1.05*1.12,IF(입력란!$C$15=3,1.05*1.25)))),1)</f>
        <v>1121426.4684677159</v>
      </c>
      <c r="T363" s="30">
        <f>AO363*IF(G363="근접",IF(MID(E363,1,1)="3",트라이포드!$H$19,트라이포드!$G$19),1)*IF(MID(E363,1,1)="1",트라이포드!$D$19,트라이포드!$C$19)*IF(MID(E363,3,1)="1",트라이포드!$J$19,트라이포드!$I$19)*IF(MID(E363,3,1)="2",트라이포드!$L$19,트라이포드!$K$19)*IF(MID(E363,5,1)="1",0,IF(MID(E363,5,1)="2",트라이포드!$R$19,트라이포드!$Q$19))*(1+입력란!$C$42/100)*IF(입력란!$C$9=1,IF(입력란!$C$15=0,1.05,IF(입력란!$C$15=1,1.05*1.05,IF(입력란!$C$15=2,1.05*1.12,IF(입력란!$C$15=3,1.05*1.25)))),1)</f>
        <v>0</v>
      </c>
      <c r="U363" s="30"/>
      <c r="V363" s="30"/>
      <c r="W363" s="30"/>
      <c r="X363" s="39"/>
      <c r="Y363" s="39"/>
      <c r="Z363" s="27"/>
      <c r="AA363" s="30">
        <f t="shared" si="48"/>
        <v>2242852.9369354318</v>
      </c>
      <c r="AB363" s="30">
        <f t="shared" si="49"/>
        <v>2242852.9369354318</v>
      </c>
      <c r="AC363" s="30">
        <f t="shared" si="50"/>
        <v>0</v>
      </c>
      <c r="AD363" s="30"/>
      <c r="AE363" s="30"/>
      <c r="AF363" s="39"/>
      <c r="AG363" s="39"/>
      <c r="AH363" s="39"/>
      <c r="AI363" s="27"/>
      <c r="AJ363" s="26">
        <f>AQ363*(1-입력란!$C$35/100)</f>
        <v>23.72176897872</v>
      </c>
      <c r="AK3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3" s="26">
        <f>입력란!$C$47+IF(입력란!$C$18=1,10,IF(입력란!$C$18=2,25,IF(입력란!$C$18=3,50,0)))+IF(입력란!$C$23&lt;&gt;0,-12)</f>
        <v>200</v>
      </c>
      <c r="AM363" s="30">
        <f t="shared" si="51"/>
        <v>238944.70295789512</v>
      </c>
      <c r="AN363" s="30">
        <f>(VLOOKUP(C363,$B$4:$AJ$7,23,FALSE)+VLOOKUP(C363,$B$8:$AJ$11,23,FALSE)*입력란!$C$29)*IF(G363="근접",입력란!$C$50,IF(MID(E363,1,1)="1",입력란!$C$50,입력란!$C$49))*입력란!$C$48/100</f>
        <v>143363.72076657345</v>
      </c>
      <c r="AO363" s="30">
        <f>(VLOOKUP(C363,$B$4:$AJ$7,24,FALSE)+VLOOKUP(C363,$B$8:$AJ$11,24,FALSE)*입력란!$C$29)*IF(G363="근접",입력란!$C$50,IF(MID(E363,1,1)="1",입력란!$C$50,입력란!$C$49))*입력란!$C$48/100</f>
        <v>95580.982191321658</v>
      </c>
      <c r="AP363" s="30"/>
      <c r="AQ363" s="29">
        <v>24</v>
      </c>
    </row>
    <row r="364" spans="2:43" ht="13.5" customHeight="1" x14ac:dyDescent="0.3">
      <c r="B364" s="31">
        <v>349</v>
      </c>
      <c r="C364" s="36">
        <v>10</v>
      </c>
      <c r="D364" s="43" t="s">
        <v>217</v>
      </c>
      <c r="E364" s="38" t="s">
        <v>226</v>
      </c>
      <c r="F364" s="40" t="s">
        <v>223</v>
      </c>
      <c r="G364" s="40" t="s">
        <v>202</v>
      </c>
      <c r="H364" s="52">
        <f t="shared" si="46"/>
        <v>61489.649078962953</v>
      </c>
      <c r="I364" s="53">
        <f>SUM(J364:Q364)*IF(입력란!$C$16=1,1.04,IF(입력란!$C$16=2,1.1,IF(입력란!$C$16=3,1.2,1)))*IF(입력란!$C$21=1,1+입력란!$C$38*0.001,IF(입력란!$C$21=2,1+입력란!$C$38*0.0022,IF(입력란!$C$21=3,1+입력란!$C$38*0.0045,1)))*IF(입력란!$C$18&lt;&gt;0,0.98,1)</f>
        <v>1458643.2500337223</v>
      </c>
      <c r="J364" s="30">
        <f>S364*(1+IF($AK364+IF(입력란!$C$9=1,10,0)+IF(입력란!$C$26=1,10,0)&gt;100,100,$AK364+IF(입력란!$C$9=1,10,0)+IF(입력란!$C$26=1,10,0))/100*($AL364/100-1))</f>
        <v>486196.88899245299</v>
      </c>
      <c r="K364" s="30">
        <f>T364*(1+IF($AK364+IF(입력란!$C$9=1,10,0)+IF(입력란!$C$26=1,10,0)&gt;100,100,$AK364+IF(입력란!$C$9=1,10,0)+IF(입력란!$C$26=1,10,0))/100*($AL364/100-1))</f>
        <v>972446.36104126915</v>
      </c>
      <c r="L364" s="30"/>
      <c r="M364" s="30"/>
      <c r="N364" s="39"/>
      <c r="O364" s="39"/>
      <c r="P364" s="39"/>
      <c r="Q364" s="35"/>
      <c r="R364" s="24">
        <f t="shared" si="47"/>
        <v>1201571.6748806527</v>
      </c>
      <c r="S364" s="30">
        <f>AN364*IF(G364="근접",IF(MID(E364,1,1)="3",트라이포드!$H$19,트라이포드!$G$19),1)*IF(MID(E364,1,1)="1",트라이포드!$D$19,트라이포드!$C$19)*IF(MID(E364,3,1)="1",트라이포드!$J$19,트라이포드!$I$19)*IF(MID(E364,3,1)="2",트라이포드!$L$19,트라이포드!$K$19)*IF(MID(E364,5,1)="1",트라이포드!$P$19,트라이포드!$O$19)*(1+입력란!$C$42/100)*IF(입력란!$C$9=1,IF(입력란!$C$15=0,1.05,IF(입력란!$C$15=1,1.05*1.05,IF(입력란!$C$15=2,1.05*1.12,IF(입력란!$C$15=3,1.05*1.25)))),1)</f>
        <v>400509.45302418427</v>
      </c>
      <c r="T364" s="30">
        <f>AO364*IF(G364="근접",IF(MID(E364,1,1)="3",트라이포드!$H$19,트라이포드!$G$19),1)*IF(MID(E364,1,1)="1",트라이포드!$D$19,트라이포드!$C$19)*IF(MID(E364,3,1)="1",트라이포드!$J$19,트라이포드!$I$19)*IF(MID(E364,3,1)="2",트라이포드!$L$19,트라이포드!$K$19)*IF(MID(E364,5,1)="1",0,IF(MID(E364,5,1)="2",트라이포드!$R$19,트라이포드!$Q$19))*(1+입력란!$C$42/100)*IF(입력란!$C$9=1,IF(입력란!$C$15=0,1.05,IF(입력란!$C$15=1,1.05*1.05,IF(입력란!$C$15=2,1.05*1.12,IF(입력란!$C$15=3,1.05*1.25)))),1)</f>
        <v>801062.22185646836</v>
      </c>
      <c r="U364" s="30"/>
      <c r="V364" s="30"/>
      <c r="W364" s="30"/>
      <c r="X364" s="39"/>
      <c r="Y364" s="39"/>
      <c r="Z364" s="27"/>
      <c r="AA364" s="30">
        <f t="shared" si="48"/>
        <v>2403143.3497613054</v>
      </c>
      <c r="AB364" s="30">
        <f t="shared" si="49"/>
        <v>801018.90604836855</v>
      </c>
      <c r="AC364" s="30">
        <f t="shared" si="50"/>
        <v>1602124.4437129367</v>
      </c>
      <c r="AD364" s="30"/>
      <c r="AE364" s="30"/>
      <c r="AF364" s="39"/>
      <c r="AG364" s="39"/>
      <c r="AH364" s="39"/>
      <c r="AI364" s="27"/>
      <c r="AJ364" s="26">
        <f>AQ364*(1-입력란!$C$35/100)</f>
        <v>23.72176897872</v>
      </c>
      <c r="AK3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4" s="26">
        <f>입력란!$C$47+IF(입력란!$C$18=1,10,IF(입력란!$C$18=2,25,IF(입력란!$C$18=3,50,0)))+IF(입력란!$C$23&lt;&gt;0,-12)</f>
        <v>200</v>
      </c>
      <c r="AM364" s="30">
        <f t="shared" si="51"/>
        <v>238944.70295789512</v>
      </c>
      <c r="AN364" s="30">
        <f>(VLOOKUP(C364,$B$4:$AJ$7,23,FALSE)+VLOOKUP(C364,$B$8:$AJ$11,23,FALSE)*입력란!$C$29)*IF(G364="근접",입력란!$C$50,IF(MID(E364,1,1)="1",입력란!$C$50,입력란!$C$49))*입력란!$C$48/100</f>
        <v>143363.72076657345</v>
      </c>
      <c r="AO364" s="30">
        <f>(VLOOKUP(C364,$B$4:$AJ$7,24,FALSE)+VLOOKUP(C364,$B$8:$AJ$11,24,FALSE)*입력란!$C$29)*IF(G364="근접",입력란!$C$50,IF(MID(E364,1,1)="1",입력란!$C$50,입력란!$C$49))*입력란!$C$48/100</f>
        <v>95580.982191321658</v>
      </c>
      <c r="AP364" s="30"/>
      <c r="AQ364" s="29">
        <v>24</v>
      </c>
    </row>
    <row r="365" spans="2:43" ht="13.5" customHeight="1" x14ac:dyDescent="0.3">
      <c r="B365" s="31">
        <v>350</v>
      </c>
      <c r="C365" s="36">
        <v>1</v>
      </c>
      <c r="D365" s="43" t="s">
        <v>217</v>
      </c>
      <c r="E365" s="38" t="s">
        <v>186</v>
      </c>
      <c r="F365" s="40"/>
      <c r="G365" s="40" t="s">
        <v>203</v>
      </c>
      <c r="H365" s="52">
        <f t="shared" si="46"/>
        <v>9722.7053705416474</v>
      </c>
      <c r="I365" s="53">
        <f>SUM(J365:Q365)*IF(입력란!$C$16=1,1.04,IF(입력란!$C$16=2,1.1,IF(입력란!$C$16=3,1.2,1)))*IF(입력란!$C$21=1,1+입력란!$C$38*0.001,IF(입력란!$C$21=2,1+입력란!$C$38*0.0022,IF(입력란!$C$21=3,1+입력란!$C$38*0.0045,1)))*IF(입력란!$C$18&lt;&gt;0,0.98,1)</f>
        <v>230639.77064814919</v>
      </c>
      <c r="J365" s="30">
        <f>S365*(1+IF($AK365+IF(입력란!$C$9=1,10,0)+IF(입력란!$C$26=1,10,0)&gt;100,100,$AK365+IF(입력란!$C$9=1,10,0)+IF(입력란!$C$26=1,10,0))/100*($AL365/100-1))</f>
        <v>138380.08247656393</v>
      </c>
      <c r="K365" s="30">
        <f>T365*(1+IF($AK365+IF(입력란!$C$9=1,10,0)+IF(입력란!$C$26=1,10,0)&gt;100,100,$AK365+IF(입력란!$C$9=1,10,0)+IF(입력란!$C$26=1,10,0))/100*($AL365/100-1))</f>
        <v>92259.688171585265</v>
      </c>
      <c r="L365" s="30"/>
      <c r="M365" s="30"/>
      <c r="N365" s="39"/>
      <c r="O365" s="39"/>
      <c r="P365" s="39"/>
      <c r="Q365" s="35"/>
      <c r="R365" s="24">
        <f t="shared" si="47"/>
        <v>189991.77180943952</v>
      </c>
      <c r="S365" s="30">
        <f>AN365*IF(G365="근접",IF(MID(E365,1,1)="3",트라이포드!$H$19,트라이포드!$G$19),1)*IF(MID(E365,1,1)="1",트라이포드!$D$19,트라이포드!$C$19)*IF(MID(E365,3,1)="1",트라이포드!$J$19,트라이포드!$I$19)*IF(MID(E365,3,1)="2",트라이포드!$L$19,트라이포드!$K$19)*IF(MID(E365,5,1)="1",트라이포드!$P$19,트라이포드!$O$19)*(1+입력란!$C$42/100)*IF(입력란!$C$9=1,IF(입력란!$C$15=0,1.05,IF(입력란!$C$15=1,1.05*1.05,IF(입력란!$C$15=2,1.05*1.12,IF(입력란!$C$15=3,1.05*1.25)))),1)</f>
        <v>113991.9493458347</v>
      </c>
      <c r="T365" s="30">
        <f>AO365*IF(G365="근접",IF(MID(E365,1,1)="3",트라이포드!$H$19,트라이포드!$G$19),1)*IF(MID(E365,1,1)="1",트라이포드!$D$19,트라이포드!$C$19)*IF(MID(E365,3,1)="1",트라이포드!$J$19,트라이포드!$I$19)*IF(MID(E365,3,1)="2",트라이포드!$L$19,트라이포드!$K$19)*IF(MID(E365,5,1)="1",0,IF(MID(E365,5,1)="2",트라이포드!$R$19,트라이포드!$Q$19))*(1+입력란!$C$42/100)*IF(입력란!$C$9=1,IF(입력란!$C$15=0,1.05,IF(입력란!$C$15=1,1.05*1.05,IF(입력란!$C$15=2,1.05*1.12,IF(입력란!$C$15=3,1.05*1.25)))),1)</f>
        <v>75999.82246360484</v>
      </c>
      <c r="U365" s="30"/>
      <c r="V365" s="30"/>
      <c r="W365" s="30"/>
      <c r="X365" s="39"/>
      <c r="Y365" s="39"/>
      <c r="Z365" s="27"/>
      <c r="AA365" s="30">
        <f t="shared" si="48"/>
        <v>379983.54361887905</v>
      </c>
      <c r="AB365" s="30">
        <f t="shared" si="49"/>
        <v>227983.8986916694</v>
      </c>
      <c r="AC365" s="30">
        <f t="shared" si="50"/>
        <v>151999.64492720968</v>
      </c>
      <c r="AD365" s="30"/>
      <c r="AE365" s="30"/>
      <c r="AF365" s="39"/>
      <c r="AG365" s="39"/>
      <c r="AH365" s="39"/>
      <c r="AI365" s="27"/>
      <c r="AJ365" s="26">
        <f>AQ365*(1-입력란!$C$35/100)</f>
        <v>23.72176897872</v>
      </c>
      <c r="AK3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5" s="26">
        <f>입력란!$C$47+IF(입력란!$C$18=1,10,IF(입력란!$C$18=2,25,IF(입력란!$C$18=3,50,0)))+IF(입력란!$C$23&lt;&gt;0,-12)</f>
        <v>200</v>
      </c>
      <c r="AM365" s="30">
        <f t="shared" si="51"/>
        <v>119014.35147894754</v>
      </c>
      <c r="AN365" s="30">
        <f>(VLOOKUP(C365,$B$4:$AJ$7,23,FALSE)+VLOOKUP(C365,$B$8:$AJ$11,23,FALSE)*입력란!$C$29)*IF(G365="근접",입력란!$C$50,IF(MID(E365,1,1)="1",입력란!$C$50,입력란!$C$49))*입력란!$C$48/100</f>
        <v>71406.660383286711</v>
      </c>
      <c r="AO365" s="30">
        <f>(VLOOKUP(C365,$B$4:$AJ$7,24,FALSE)+VLOOKUP(C365,$B$8:$AJ$11,24,FALSE)*입력란!$C$29)*IF(G365="근접",입력란!$C$50,IF(MID(E365,1,1)="1",입력란!$C$50,입력란!$C$49))*입력란!$C$48/100</f>
        <v>47607.691095660834</v>
      </c>
      <c r="AP365" s="30"/>
      <c r="AQ365" s="29">
        <v>24</v>
      </c>
    </row>
    <row r="366" spans="2:43" ht="13.5" customHeight="1" x14ac:dyDescent="0.3">
      <c r="B366" s="31">
        <v>351</v>
      </c>
      <c r="C366" s="36">
        <v>4</v>
      </c>
      <c r="D366" s="43" t="s">
        <v>217</v>
      </c>
      <c r="E366" s="38" t="s">
        <v>186</v>
      </c>
      <c r="F366" s="40"/>
      <c r="G366" s="40" t="s">
        <v>203</v>
      </c>
      <c r="H366" s="52">
        <f t="shared" si="46"/>
        <v>9743.8803397846641</v>
      </c>
      <c r="I366" s="53">
        <f>SUM(J366:Q366)*IF(입력란!$C$16=1,1.04,IF(입력란!$C$16=2,1.1,IF(입력란!$C$16=3,1.2,1)))*IF(입력란!$C$21=1,1+입력란!$C$38*0.001,IF(입력란!$C$21=2,1+입력란!$C$38*0.0022,IF(입력란!$C$21=3,1+입력란!$C$38*0.0045,1)))*IF(입력란!$C$18&lt;&gt;0,0.98,1)</f>
        <v>231142.07837666356</v>
      </c>
      <c r="J366" s="30">
        <f>S366*(1+IF($AK366+IF(입력란!$C$9=1,10,0)+IF(입력란!$C$26=1,10,0)&gt;100,100,$AK366+IF(입력란!$C$9=1,10,0)+IF(입력란!$C$26=1,10,0))/100*($AL366/100-1))</f>
        <v>138682.39731316979</v>
      </c>
      <c r="K366" s="30">
        <f>T366*(1+IF($AK366+IF(입력란!$C$9=1,10,0)+IF(입력란!$C$26=1,10,0)&gt;100,100,$AK366+IF(입력란!$C$9=1,10,0)+IF(입력란!$C$26=1,10,0))/100*($AL366/100-1))</f>
        <v>92459.681063493757</v>
      </c>
      <c r="L366" s="30"/>
      <c r="M366" s="30"/>
      <c r="N366" s="39"/>
      <c r="O366" s="39"/>
      <c r="P366" s="39"/>
      <c r="Q366" s="35"/>
      <c r="R366" s="24">
        <f t="shared" si="47"/>
        <v>190405.55272443884</v>
      </c>
      <c r="S366" s="30">
        <f>AN366*IF(G366="근접",IF(MID(E366,1,1)="3",트라이포드!$H$19,트라이포드!$G$19),1)*IF(MID(E366,1,1)="1",트라이포드!$D$19,트라이포드!$C$19)*IF(MID(E366,3,1)="1",트라이포드!$J$19,트라이포드!$I$19)*IF(MID(E366,3,1)="2",트라이포드!$L$19,트라이포드!$K$19)*IF(MID(E366,5,1)="1",트라이포드!$P$19,트라이포드!$O$19)*(1+입력란!$C$42/100)*IF(입력란!$C$9=1,IF(입력란!$C$15=0,1.05,IF(입력란!$C$15=1,1.05*1.05,IF(입력란!$C$15=2,1.05*1.12,IF(입력란!$C$15=3,1.05*1.25)))),1)</f>
        <v>114240.98415578798</v>
      </c>
      <c r="T366" s="30">
        <f>AO366*IF(G366="근접",IF(MID(E366,1,1)="3",트라이포드!$H$19,트라이포드!$G$19),1)*IF(MID(E366,1,1)="1",트라이포드!$D$19,트라이포드!$C$19)*IF(MID(E366,3,1)="1",트라이포드!$J$19,트라이포드!$I$19)*IF(MID(E366,3,1)="2",트라이포드!$L$19,트라이포드!$K$19)*IF(MID(E366,5,1)="1",0,IF(MID(E366,5,1)="2",트라이포드!$R$19,트라이포드!$Q$19))*(1+입력란!$C$42/100)*IF(입력란!$C$9=1,IF(입력란!$C$15=0,1.05,IF(입력란!$C$15=1,1.05*1.05,IF(입력란!$C$15=2,1.05*1.12,IF(입력란!$C$15=3,1.05*1.25)))),1)</f>
        <v>76164.568568650851</v>
      </c>
      <c r="U366" s="30"/>
      <c r="V366" s="30"/>
      <c r="W366" s="30"/>
      <c r="X366" s="39"/>
      <c r="Y366" s="39"/>
      <c r="Z366" s="27"/>
      <c r="AA366" s="30">
        <f t="shared" si="48"/>
        <v>380811.10544887767</v>
      </c>
      <c r="AB366" s="30">
        <f t="shared" si="49"/>
        <v>228481.96831157597</v>
      </c>
      <c r="AC366" s="30">
        <f t="shared" si="50"/>
        <v>152329.1371373017</v>
      </c>
      <c r="AD366" s="30"/>
      <c r="AE366" s="30"/>
      <c r="AF366" s="39"/>
      <c r="AG366" s="39"/>
      <c r="AH366" s="39"/>
      <c r="AI366" s="27"/>
      <c r="AJ366" s="26">
        <f>AQ366*(1-입력란!$C$35/100)</f>
        <v>23.72176897872</v>
      </c>
      <c r="AK3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6" s="26">
        <f>입력란!$C$47+IF(입력란!$C$18=1,10,IF(입력란!$C$18=2,25,IF(입력란!$C$18=3,50,0)))+IF(입력란!$C$23&lt;&gt;0,-12)</f>
        <v>200</v>
      </c>
      <c r="AM366" s="30">
        <f t="shared" si="51"/>
        <v>119273.55147894754</v>
      </c>
      <c r="AN366" s="30">
        <f>(VLOOKUP(C366,$B$4:$AJ$7,23,FALSE)+VLOOKUP(C366,$B$8:$AJ$11,23,FALSE)*입력란!$C$29)*IF(G366="근접",입력란!$C$50,IF(MID(E366,1,1)="1",입력란!$C$50,입력란!$C$49))*입력란!$C$48/100</f>
        <v>71562.660383286711</v>
      </c>
      <c r="AO366" s="30">
        <f>(VLOOKUP(C366,$B$4:$AJ$7,24,FALSE)+VLOOKUP(C366,$B$8:$AJ$11,24,FALSE)*입력란!$C$29)*IF(G366="근접",입력란!$C$50,IF(MID(E366,1,1)="1",입력란!$C$50,입력란!$C$49))*입력란!$C$48/100</f>
        <v>47710.891095660831</v>
      </c>
      <c r="AP366" s="30"/>
      <c r="AQ366" s="29">
        <v>24</v>
      </c>
    </row>
    <row r="367" spans="2:43" ht="13.5" customHeight="1" x14ac:dyDescent="0.3">
      <c r="B367" s="31">
        <v>352</v>
      </c>
      <c r="C367" s="36">
        <v>4</v>
      </c>
      <c r="D367" s="43" t="s">
        <v>217</v>
      </c>
      <c r="E367" s="38" t="s">
        <v>187</v>
      </c>
      <c r="F367" s="40"/>
      <c r="G367" s="40" t="s">
        <v>203</v>
      </c>
      <c r="H367" s="52">
        <f t="shared" si="46"/>
        <v>21436.536747526261</v>
      </c>
      <c r="I367" s="53">
        <f>SUM(J367:Q367)*IF(입력란!$C$16=1,1.04,IF(입력란!$C$16=2,1.1,IF(입력란!$C$16=3,1.2,1)))*IF(입력란!$C$21=1,1+입력란!$C$38*0.001,IF(입력란!$C$21=2,1+입력란!$C$38*0.0022,IF(입력란!$C$21=3,1+입력란!$C$38*0.0045,1)))*IF(입력란!$C$18&lt;&gt;0,0.98,1)</f>
        <v>508512.57242865977</v>
      </c>
      <c r="J367" s="30">
        <f>S367*(1+IF($AK367+IF(입력란!$C$9=1,10,0)+IF(입력란!$C$26=1,10,0)&gt;100,100,$AK367+IF(입력란!$C$9=1,10,0)+IF(입력란!$C$26=1,10,0))/100*($AL367/100-1))</f>
        <v>305101.27408897353</v>
      </c>
      <c r="K367" s="30">
        <f>T367*(1+IF($AK367+IF(입력란!$C$9=1,10,0)+IF(입력란!$C$26=1,10,0)&gt;100,100,$AK367+IF(입력란!$C$9=1,10,0)+IF(입력란!$C$26=1,10,0))/100*($AL367/100-1))</f>
        <v>203411.29833968627</v>
      </c>
      <c r="L367" s="30"/>
      <c r="M367" s="30"/>
      <c r="N367" s="39"/>
      <c r="O367" s="39"/>
      <c r="P367" s="39"/>
      <c r="Q367" s="35"/>
      <c r="R367" s="24">
        <f t="shared" si="47"/>
        <v>418892.21599376545</v>
      </c>
      <c r="S367" s="30">
        <f>AN367*IF(G367="근접",IF(MID(E367,1,1)="3",트라이포드!$H$19,트라이포드!$G$19),1)*IF(MID(E367,1,1)="1",트라이포드!$D$19,트라이포드!$C$19)*IF(MID(E367,3,1)="1",트라이포드!$J$19,트라이포드!$I$19)*IF(MID(E367,3,1)="2",트라이포드!$L$19,트라이포드!$K$19)*IF(MID(E367,5,1)="1",트라이포드!$P$19,트라이포드!$O$19)*(1+입력란!$C$42/100)*IF(입력란!$C$9=1,IF(입력란!$C$15=0,1.05,IF(입력란!$C$15=1,1.05*1.05,IF(입력란!$C$15=2,1.05*1.12,IF(입력란!$C$15=3,1.05*1.25)))),1)</f>
        <v>251330.16514273357</v>
      </c>
      <c r="T367" s="30">
        <f>AO367*IF(G367="근접",IF(MID(E367,1,1)="3",트라이포드!$H$19,트라이포드!$G$19),1)*IF(MID(E367,1,1)="1",트라이포드!$D$19,트라이포드!$C$19)*IF(MID(E367,3,1)="1",트라이포드!$J$19,트라이포드!$I$19)*IF(MID(E367,3,1)="2",트라이포드!$L$19,트라이포드!$K$19)*IF(MID(E367,5,1)="1",0,IF(MID(E367,5,1)="2",트라이포드!$R$19,트라이포드!$Q$19))*(1+입력란!$C$42/100)*IF(입력란!$C$9=1,IF(입력란!$C$15=0,1.05,IF(입력란!$C$15=1,1.05*1.05,IF(입력란!$C$15=2,1.05*1.12,IF(입력란!$C$15=3,1.05*1.25)))),1)</f>
        <v>167562.05085103188</v>
      </c>
      <c r="U367" s="30"/>
      <c r="V367" s="30"/>
      <c r="W367" s="30"/>
      <c r="X367" s="39"/>
      <c r="Y367" s="39"/>
      <c r="Z367" s="27"/>
      <c r="AA367" s="30">
        <f t="shared" si="48"/>
        <v>837784.4319875309</v>
      </c>
      <c r="AB367" s="30">
        <f t="shared" si="49"/>
        <v>502660.33028546715</v>
      </c>
      <c r="AC367" s="30">
        <f t="shared" si="50"/>
        <v>335124.10170206375</v>
      </c>
      <c r="AD367" s="30"/>
      <c r="AE367" s="30"/>
      <c r="AF367" s="39"/>
      <c r="AG367" s="39"/>
      <c r="AH367" s="39"/>
      <c r="AI367" s="27"/>
      <c r="AJ367" s="26">
        <f>AQ367*(1-입력란!$C$35/100)</f>
        <v>23.72176897872</v>
      </c>
      <c r="AK3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7" s="26">
        <f>입력란!$C$47+IF(입력란!$C$18=1,10,IF(입력란!$C$18=2,25,IF(입력란!$C$18=3,50,0)))+IF(입력란!$C$23&lt;&gt;0,-12)</f>
        <v>200</v>
      </c>
      <c r="AM367" s="30">
        <f t="shared" si="51"/>
        <v>238547.10295789508</v>
      </c>
      <c r="AN367" s="30">
        <f>(VLOOKUP(C367,$B$4:$AJ$7,23,FALSE)+VLOOKUP(C367,$B$8:$AJ$11,23,FALSE)*입력란!$C$29)*IF(G367="근접",입력란!$C$50,IF(MID(E367,1,1)="1",입력란!$C$50,입력란!$C$49))*입력란!$C$48/100</f>
        <v>143125.32076657342</v>
      </c>
      <c r="AO367" s="30">
        <f>(VLOOKUP(C367,$B$4:$AJ$7,24,FALSE)+VLOOKUP(C367,$B$8:$AJ$11,24,FALSE)*입력란!$C$29)*IF(G367="근접",입력란!$C$50,IF(MID(E367,1,1)="1",입력란!$C$50,입력란!$C$49))*입력란!$C$48/100</f>
        <v>95421.782191321661</v>
      </c>
      <c r="AP367" s="30"/>
      <c r="AQ367" s="29">
        <v>24</v>
      </c>
    </row>
    <row r="368" spans="2:43" ht="13.5" customHeight="1" x14ac:dyDescent="0.3">
      <c r="B368" s="31">
        <v>353</v>
      </c>
      <c r="C368" s="36">
        <v>4</v>
      </c>
      <c r="D368" s="43" t="s">
        <v>217</v>
      </c>
      <c r="E368" s="38" t="s">
        <v>218</v>
      </c>
      <c r="F368" s="40"/>
      <c r="G368" s="40" t="s">
        <v>203</v>
      </c>
      <c r="H368" s="52">
        <f t="shared" si="46"/>
        <v>9743.8803397846641</v>
      </c>
      <c r="I368" s="53">
        <f>SUM(J368:Q368)*IF(입력란!$C$16=1,1.04,IF(입력란!$C$16=2,1.1,IF(입력란!$C$16=3,1.2,1)))*IF(입력란!$C$21=1,1+입력란!$C$38*0.001,IF(입력란!$C$21=2,1+입력란!$C$38*0.0022,IF(입력란!$C$21=3,1+입력란!$C$38*0.0045,1)))*IF(입력란!$C$18&lt;&gt;0,0.98,1)</f>
        <v>231142.07837666356</v>
      </c>
      <c r="J368" s="30">
        <f>S368*(1+IF($AK368+IF(입력란!$C$9=1,10,0)+IF(입력란!$C$26=1,10,0)&gt;100,100,$AK368+IF(입력란!$C$9=1,10,0)+IF(입력란!$C$26=1,10,0))/100*($AL368/100-1))</f>
        <v>138682.39731316979</v>
      </c>
      <c r="K368" s="30">
        <f>T368*(1+IF($AK368+IF(입력란!$C$9=1,10,0)+IF(입력란!$C$26=1,10,0)&gt;100,100,$AK368+IF(입력란!$C$9=1,10,0)+IF(입력란!$C$26=1,10,0))/100*($AL368/100-1))</f>
        <v>92459.681063493757</v>
      </c>
      <c r="L368" s="30"/>
      <c r="M368" s="30"/>
      <c r="N368" s="39"/>
      <c r="O368" s="39"/>
      <c r="P368" s="39"/>
      <c r="Q368" s="35"/>
      <c r="R368" s="24">
        <f t="shared" si="47"/>
        <v>190405.55272443884</v>
      </c>
      <c r="S368" s="30">
        <f>AN368*IF(G368="근접",IF(MID(E368,1,1)="3",트라이포드!$H$19,트라이포드!$G$19),1)*IF(MID(E368,1,1)="1",트라이포드!$D$19,트라이포드!$C$19)*IF(MID(E368,3,1)="1",트라이포드!$J$19,트라이포드!$I$19)*IF(MID(E368,3,1)="2",트라이포드!$L$19,트라이포드!$K$19)*IF(MID(E368,5,1)="1",트라이포드!$P$19,트라이포드!$O$19)*(1+입력란!$C$42/100)*IF(입력란!$C$9=1,IF(입력란!$C$15=0,1.05,IF(입력란!$C$15=1,1.05*1.05,IF(입력란!$C$15=2,1.05*1.12,IF(입력란!$C$15=3,1.05*1.25)))),1)</f>
        <v>114240.98415578798</v>
      </c>
      <c r="T368" s="30">
        <f>AO368*IF(G368="근접",IF(MID(E368,1,1)="3",트라이포드!$H$19,트라이포드!$G$19),1)*IF(MID(E368,1,1)="1",트라이포드!$D$19,트라이포드!$C$19)*IF(MID(E368,3,1)="1",트라이포드!$J$19,트라이포드!$I$19)*IF(MID(E368,3,1)="2",트라이포드!$L$19,트라이포드!$K$19)*IF(MID(E368,5,1)="1",0,IF(MID(E368,5,1)="2",트라이포드!$R$19,트라이포드!$Q$19))*(1+입력란!$C$42/100)*IF(입력란!$C$9=1,IF(입력란!$C$15=0,1.05,IF(입력란!$C$15=1,1.05*1.05,IF(입력란!$C$15=2,1.05*1.12,IF(입력란!$C$15=3,1.05*1.25)))),1)</f>
        <v>76164.568568650851</v>
      </c>
      <c r="U368" s="30"/>
      <c r="V368" s="30"/>
      <c r="W368" s="30"/>
      <c r="X368" s="39"/>
      <c r="Y368" s="39"/>
      <c r="Z368" s="27"/>
      <c r="AA368" s="30">
        <f t="shared" si="48"/>
        <v>380811.10544887767</v>
      </c>
      <c r="AB368" s="30">
        <f t="shared" si="49"/>
        <v>228481.96831157597</v>
      </c>
      <c r="AC368" s="30">
        <f t="shared" si="50"/>
        <v>152329.1371373017</v>
      </c>
      <c r="AD368" s="30"/>
      <c r="AE368" s="30"/>
      <c r="AF368" s="39"/>
      <c r="AG368" s="39"/>
      <c r="AH368" s="39"/>
      <c r="AI368" s="27"/>
      <c r="AJ368" s="26">
        <f>AQ368*(1-입력란!$C$35/100)</f>
        <v>23.72176897872</v>
      </c>
      <c r="AK3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8" s="26">
        <f>입력란!$C$47+IF(입력란!$C$18=1,10,IF(입력란!$C$18=2,25,IF(입력란!$C$18=3,50,0)))+IF(입력란!$C$23&lt;&gt;0,-12)</f>
        <v>200</v>
      </c>
      <c r="AM368" s="30">
        <f t="shared" si="51"/>
        <v>119273.55147894754</v>
      </c>
      <c r="AN368" s="30">
        <f>(VLOOKUP(C368,$B$4:$AJ$7,23,FALSE)+VLOOKUP(C368,$B$8:$AJ$11,23,FALSE)*입력란!$C$29)*IF(G368="근접",입력란!$C$50,IF(MID(E368,1,1)="1",입력란!$C$50,입력란!$C$49))*입력란!$C$48/100</f>
        <v>71562.660383286711</v>
      </c>
      <c r="AO368" s="30">
        <f>(VLOOKUP(C368,$B$4:$AJ$7,24,FALSE)+VLOOKUP(C368,$B$8:$AJ$11,24,FALSE)*입력란!$C$29)*IF(G368="근접",입력란!$C$50,IF(MID(E368,1,1)="1",입력란!$C$50,입력란!$C$49))*입력란!$C$48/100</f>
        <v>47710.891095660831</v>
      </c>
      <c r="AP368" s="30"/>
      <c r="AQ368" s="29">
        <v>24</v>
      </c>
    </row>
    <row r="369" spans="2:43" ht="13.5" customHeight="1" x14ac:dyDescent="0.3">
      <c r="B369" s="31">
        <v>354</v>
      </c>
      <c r="C369" s="36">
        <v>7</v>
      </c>
      <c r="D369" s="43" t="s">
        <v>217</v>
      </c>
      <c r="E369" s="38" t="s">
        <v>186</v>
      </c>
      <c r="F369" s="40"/>
      <c r="G369" s="40" t="s">
        <v>203</v>
      </c>
      <c r="H369" s="52">
        <f t="shared" si="46"/>
        <v>9753.781598551077</v>
      </c>
      <c r="I369" s="53">
        <f>SUM(J369:Q369)*IF(입력란!$C$16=1,1.04,IF(입력란!$C$16=2,1.1,IF(입력란!$C$16=3,1.2,1)))*IF(입력란!$C$21=1,1+입력란!$C$38*0.001,IF(입력란!$C$21=2,1+입력란!$C$38*0.0022,IF(입력란!$C$21=3,1+입력란!$C$38*0.0045,1)))*IF(입력란!$C$18&lt;&gt;0,0.98,1)</f>
        <v>231376.9537497189</v>
      </c>
      <c r="J369" s="30">
        <f>S369*(1+IF($AK369+IF(입력란!$C$9=1,10,0)+IF(입력란!$C$26=1,10,0)&gt;100,100,$AK369+IF(입력란!$C$9=1,10,0)+IF(입력란!$C$26=1,10,0))/100*($AL369/100-1))</f>
        <v>138823.47757025252</v>
      </c>
      <c r="K369" s="30">
        <f>T369*(1+IF($AK369+IF(입력란!$C$9=1,10,0)+IF(입력란!$C$26=1,10,0)&gt;100,100,$AK369+IF(입력란!$C$9=1,10,0)+IF(입력란!$C$26=1,10,0))/100*($AL369/100-1))</f>
        <v>92553.476179466365</v>
      </c>
      <c r="L369" s="30"/>
      <c r="M369" s="30"/>
      <c r="N369" s="39"/>
      <c r="O369" s="39"/>
      <c r="P369" s="39"/>
      <c r="Q369" s="35"/>
      <c r="R369" s="24">
        <f t="shared" si="47"/>
        <v>190599.03361524869</v>
      </c>
      <c r="S369" s="30">
        <f>AN369*IF(G369="근접",IF(MID(E369,1,1)="3",트라이포드!$H$19,트라이포드!$G$19),1)*IF(MID(E369,1,1)="1",트라이포드!$D$19,트라이포드!$C$19)*IF(MID(E369,3,1)="1",트라이포드!$J$19,트라이포드!$I$19)*IF(MID(E369,3,1)="2",트라이포드!$L$19,트라이포드!$K$19)*IF(MID(E369,5,1)="1",트라이포드!$P$19,트라이포드!$O$19)*(1+입력란!$C$42/100)*IF(입력란!$C$9=1,IF(입력란!$C$15=0,1.05,IF(입력란!$C$15=1,1.05*1.05,IF(입력란!$C$15=2,1.05*1.12,IF(입력란!$C$15=3,1.05*1.25)))),1)</f>
        <v>114357.20040043285</v>
      </c>
      <c r="T369" s="30">
        <f>AO369*IF(G369="근접",IF(MID(E369,1,1)="3",트라이포드!$H$19,트라이포드!$G$19),1)*IF(MID(E369,1,1)="1",트라이포드!$D$19,트라이포드!$C$19)*IF(MID(E369,3,1)="1",트라이포드!$J$19,트라이포드!$I$19)*IF(MID(E369,3,1)="2",트라이포드!$L$19,트라이포드!$K$19)*IF(MID(E369,5,1)="1",0,IF(MID(E369,5,1)="2",트라이포드!$R$19,트라이포드!$Q$19))*(1+입력란!$C$42/100)*IF(입력란!$C$9=1,IF(입력란!$C$15=0,1.05,IF(입력란!$C$15=1,1.05*1.05,IF(입력란!$C$15=2,1.05*1.12,IF(입력란!$C$15=3,1.05*1.25)))),1)</f>
        <v>76241.833214815852</v>
      </c>
      <c r="U369" s="30"/>
      <c r="V369" s="30"/>
      <c r="W369" s="30"/>
      <c r="X369" s="39"/>
      <c r="Y369" s="39"/>
      <c r="Z369" s="27"/>
      <c r="AA369" s="30">
        <f t="shared" si="48"/>
        <v>381198.06723049737</v>
      </c>
      <c r="AB369" s="30">
        <f t="shared" si="49"/>
        <v>228714.4008008657</v>
      </c>
      <c r="AC369" s="30">
        <f t="shared" si="50"/>
        <v>152483.6664296317</v>
      </c>
      <c r="AD369" s="30"/>
      <c r="AE369" s="30"/>
      <c r="AF369" s="39"/>
      <c r="AG369" s="39"/>
      <c r="AH369" s="39"/>
      <c r="AI369" s="27"/>
      <c r="AJ369" s="26">
        <f>AQ369*(1-입력란!$C$35/100)</f>
        <v>23.72176897872</v>
      </c>
      <c r="AK3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69" s="26">
        <f>입력란!$C$47+IF(입력란!$C$18=1,10,IF(입력란!$C$18=2,25,IF(입력란!$C$18=3,50,0)))+IF(입력란!$C$23&lt;&gt;0,-12)</f>
        <v>200</v>
      </c>
      <c r="AM369" s="30">
        <f t="shared" si="51"/>
        <v>119394.75147894755</v>
      </c>
      <c r="AN369" s="30">
        <f>(VLOOKUP(C369,$B$4:$AJ$7,23,FALSE)+VLOOKUP(C369,$B$8:$AJ$11,23,FALSE)*입력란!$C$29)*IF(G369="근접",입력란!$C$50,IF(MID(E369,1,1)="1",입력란!$C$50,입력란!$C$49))*입력란!$C$48/100</f>
        <v>71635.460383286714</v>
      </c>
      <c r="AO369" s="30">
        <f>(VLOOKUP(C369,$B$4:$AJ$7,24,FALSE)+VLOOKUP(C369,$B$8:$AJ$11,24,FALSE)*입력란!$C$29)*IF(G369="근접",입력란!$C$50,IF(MID(E369,1,1)="1",입력란!$C$50,입력란!$C$49))*입력란!$C$48/100</f>
        <v>47759.291095660832</v>
      </c>
      <c r="AP369" s="30"/>
      <c r="AQ369" s="29">
        <v>24</v>
      </c>
    </row>
    <row r="370" spans="2:43" ht="13.5" customHeight="1" x14ac:dyDescent="0.3">
      <c r="B370" s="31">
        <v>355</v>
      </c>
      <c r="C370" s="36">
        <v>7</v>
      </c>
      <c r="D370" s="43" t="s">
        <v>217</v>
      </c>
      <c r="E370" s="38" t="s">
        <v>188</v>
      </c>
      <c r="F370" s="40" t="s">
        <v>223</v>
      </c>
      <c r="G370" s="40" t="s">
        <v>203</v>
      </c>
      <c r="H370" s="52">
        <f t="shared" si="46"/>
        <v>13655.294237971506</v>
      </c>
      <c r="I370" s="53">
        <f>SUM(J370:Q370)*IF(입력란!$C$16=1,1.04,IF(입력란!$C$16=2,1.1,IF(입력란!$C$16=3,1.2,1)))*IF(입력란!$C$21=1,1+입력란!$C$38*0.001,IF(입력란!$C$21=2,1+입력란!$C$38*0.0022,IF(입력란!$C$21=3,1+입력란!$C$38*0.0045,1)))*IF(입력란!$C$18&lt;&gt;0,0.98,1)</f>
        <v>323927.73524960643</v>
      </c>
      <c r="J370" s="30">
        <f>S370*(1+IF($AK370+IF(입력란!$C$9=1,10,0)+IF(입력란!$C$26=1,10,0)&gt;100,100,$AK370+IF(입력란!$C$9=1,10,0)+IF(입력란!$C$26=1,10,0))/100*($AL370/100-1))</f>
        <v>194352.86859835353</v>
      </c>
      <c r="K370" s="30">
        <f>T370*(1+IF($AK370+IF(입력란!$C$9=1,10,0)+IF(입력란!$C$26=1,10,0)&gt;100,100,$AK370+IF(입력란!$C$9=1,10,0)+IF(입력란!$C$26=1,10,0))/100*($AL370/100-1))</f>
        <v>129574.8666512529</v>
      </c>
      <c r="L370" s="30"/>
      <c r="M370" s="30"/>
      <c r="N370" s="39"/>
      <c r="O370" s="39"/>
      <c r="P370" s="39"/>
      <c r="Q370" s="35"/>
      <c r="R370" s="24">
        <f t="shared" si="47"/>
        <v>266838.64706134819</v>
      </c>
      <c r="S370" s="30">
        <f>AN370*IF(G370="근접",IF(MID(E370,1,1)="3",트라이포드!$H$19,트라이포드!$G$19),1)*IF(MID(E370,1,1)="1",트라이포드!$D$19,트라이포드!$C$19)*IF(MID(E370,3,1)="1",트라이포드!$J$19,트라이포드!$I$19)*IF(MID(E370,3,1)="2",트라이포드!$L$19,트라이포드!$K$19)*IF(MID(E370,5,1)="1",트라이포드!$P$19,트라이포드!$O$19)*(1+입력란!$C$42/100)*IF(입력란!$C$9=1,IF(입력란!$C$15=0,1.05,IF(입력란!$C$15=1,1.05*1.05,IF(입력란!$C$15=2,1.05*1.12,IF(입력란!$C$15=3,1.05*1.25)))),1)</f>
        <v>160100.08056060597</v>
      </c>
      <c r="T370" s="30">
        <f>AO370*IF(G370="근접",IF(MID(E370,1,1)="3",트라이포드!$H$19,트라이포드!$G$19),1)*IF(MID(E370,1,1)="1",트라이포드!$D$19,트라이포드!$C$19)*IF(MID(E370,3,1)="1",트라이포드!$J$19,트라이포드!$I$19)*IF(MID(E370,3,1)="2",트라이포드!$L$19,트라이포드!$K$19)*IF(MID(E370,5,1)="1",0,IF(MID(E370,5,1)="2",트라이포드!$R$19,트라이포드!$Q$19))*(1+입력란!$C$42/100)*IF(입력란!$C$9=1,IF(입력란!$C$15=0,1.05,IF(입력란!$C$15=1,1.05*1.05,IF(입력란!$C$15=2,1.05*1.12,IF(입력란!$C$15=3,1.05*1.25)))),1)</f>
        <v>106738.56650074219</v>
      </c>
      <c r="U370" s="30"/>
      <c r="V370" s="30"/>
      <c r="W370" s="30"/>
      <c r="X370" s="39"/>
      <c r="Y370" s="39"/>
      <c r="Z370" s="27"/>
      <c r="AA370" s="30">
        <f t="shared" si="48"/>
        <v>533677.29412269639</v>
      </c>
      <c r="AB370" s="30">
        <f t="shared" si="49"/>
        <v>320200.16112121195</v>
      </c>
      <c r="AC370" s="30">
        <f t="shared" si="50"/>
        <v>213477.13300148438</v>
      </c>
      <c r="AD370" s="30"/>
      <c r="AE370" s="30"/>
      <c r="AF370" s="39"/>
      <c r="AG370" s="39"/>
      <c r="AH370" s="39"/>
      <c r="AI370" s="27"/>
      <c r="AJ370" s="26">
        <f>AQ370*(1-입력란!$C$35/100)</f>
        <v>23.72176897872</v>
      </c>
      <c r="AK3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0" s="26">
        <f>입력란!$C$47+IF(입력란!$C$18=1,10,IF(입력란!$C$18=2,25,IF(입력란!$C$18=3,50,0)))+IF(입력란!$C$23&lt;&gt;0,-12)</f>
        <v>200</v>
      </c>
      <c r="AM370" s="30">
        <f t="shared" si="51"/>
        <v>119394.75147894755</v>
      </c>
      <c r="AN370" s="30">
        <f>(VLOOKUP(C370,$B$4:$AJ$7,23,FALSE)+VLOOKUP(C370,$B$8:$AJ$11,23,FALSE)*입력란!$C$29)*IF(G370="근접",입력란!$C$50,IF(MID(E370,1,1)="1",입력란!$C$50,입력란!$C$49))*입력란!$C$48/100</f>
        <v>71635.460383286714</v>
      </c>
      <c r="AO370" s="30">
        <f>(VLOOKUP(C370,$B$4:$AJ$7,24,FALSE)+VLOOKUP(C370,$B$8:$AJ$11,24,FALSE)*입력란!$C$29)*IF(G370="근접",입력란!$C$50,IF(MID(E370,1,1)="1",입력란!$C$50,입력란!$C$49))*입력란!$C$48/100</f>
        <v>47759.291095660832</v>
      </c>
      <c r="AP370" s="30"/>
      <c r="AQ370" s="29">
        <v>24</v>
      </c>
    </row>
    <row r="371" spans="2:43" ht="13.5" customHeight="1" x14ac:dyDescent="0.3">
      <c r="B371" s="31">
        <v>356</v>
      </c>
      <c r="C371" s="36">
        <v>7</v>
      </c>
      <c r="D371" s="43" t="s">
        <v>217</v>
      </c>
      <c r="E371" s="38" t="s">
        <v>190</v>
      </c>
      <c r="F371" s="40" t="s">
        <v>223</v>
      </c>
      <c r="G371" s="40" t="s">
        <v>203</v>
      </c>
      <c r="H371" s="52">
        <f t="shared" si="46"/>
        <v>30041.64732353732</v>
      </c>
      <c r="I371" s="53">
        <f>SUM(J371:Q371)*IF(입력란!$C$16=1,1.04,IF(입력란!$C$16=2,1.1,IF(입력란!$C$16=3,1.2,1)))*IF(입력란!$C$21=1,1+입력란!$C$38*0.001,IF(입력란!$C$21=2,1+입력란!$C$38*0.0022,IF(입력란!$C$21=3,1+입력란!$C$38*0.0045,1)))*IF(입력란!$C$18&lt;&gt;0,0.98,1)</f>
        <v>712641.01754913433</v>
      </c>
      <c r="J371" s="30">
        <f>S371*(1+IF($AK371+IF(입력란!$C$9=1,10,0)+IF(입력란!$C$26=1,10,0)&gt;100,100,$AK371+IF(입력란!$C$9=1,10,0)+IF(입력란!$C$26=1,10,0))/100*($AL371/100-1))</f>
        <v>427576.31091637787</v>
      </c>
      <c r="K371" s="30">
        <f>T371*(1+IF($AK371+IF(입력란!$C$9=1,10,0)+IF(입력란!$C$26=1,10,0)&gt;100,100,$AK371+IF(입력란!$C$9=1,10,0)+IF(입력란!$C$26=1,10,0))/100*($AL371/100-1))</f>
        <v>285064.7066327564</v>
      </c>
      <c r="L371" s="30"/>
      <c r="M371" s="30"/>
      <c r="N371" s="39"/>
      <c r="O371" s="39"/>
      <c r="P371" s="39"/>
      <c r="Q371" s="35"/>
      <c r="R371" s="24">
        <f t="shared" si="47"/>
        <v>587045.02353496605</v>
      </c>
      <c r="S371" s="30">
        <f>AN371*IF(G371="근접",IF(MID(E371,1,1)="3",트라이포드!$H$19,트라이포드!$G$19),1)*IF(MID(E371,1,1)="1",트라이포드!$D$19,트라이포드!$C$19)*IF(MID(E371,3,1)="1",트라이포드!$J$19,트라이포드!$I$19)*IF(MID(E371,3,1)="2",트라이포드!$L$19,트라이포드!$K$19)*IF(MID(E371,5,1)="1",트라이포드!$P$19,트라이포드!$O$19)*(1+입력란!$C$42/100)*IF(입력란!$C$9=1,IF(입력란!$C$15=0,1.05,IF(입력란!$C$15=1,1.05*1.05,IF(입력란!$C$15=2,1.05*1.12,IF(입력란!$C$15=3,1.05*1.25)))),1)</f>
        <v>352220.17723333323</v>
      </c>
      <c r="T371" s="30">
        <f>AO371*IF(G371="근접",IF(MID(E371,1,1)="3",트라이포드!$H$19,트라이포드!$G$19),1)*IF(MID(E371,1,1)="1",트라이포드!$D$19,트라이포드!$C$19)*IF(MID(E371,3,1)="1",트라이포드!$J$19,트라이포드!$I$19)*IF(MID(E371,3,1)="2",트라이포드!$L$19,트라이포드!$K$19)*IF(MID(E371,5,1)="1",0,IF(MID(E371,5,1)="2",트라이포드!$R$19,트라이포드!$Q$19))*(1+입력란!$C$42/100)*IF(입력란!$C$9=1,IF(입력란!$C$15=0,1.05,IF(입력란!$C$15=1,1.05*1.05,IF(입력란!$C$15=2,1.05*1.12,IF(입력란!$C$15=3,1.05*1.25)))),1)</f>
        <v>234824.84630163285</v>
      </c>
      <c r="U371" s="30"/>
      <c r="V371" s="30"/>
      <c r="W371" s="30"/>
      <c r="X371" s="39"/>
      <c r="Y371" s="39"/>
      <c r="Z371" s="27"/>
      <c r="AA371" s="30">
        <f t="shared" si="48"/>
        <v>1174090.0470699321</v>
      </c>
      <c r="AB371" s="30">
        <f t="shared" si="49"/>
        <v>704440.35446666647</v>
      </c>
      <c r="AC371" s="30">
        <f t="shared" si="50"/>
        <v>469649.69260326569</v>
      </c>
      <c r="AD371" s="30"/>
      <c r="AE371" s="30"/>
      <c r="AF371" s="39"/>
      <c r="AG371" s="39"/>
      <c r="AH371" s="39"/>
      <c r="AI371" s="27"/>
      <c r="AJ371" s="26">
        <f>AQ371*(1-입력란!$C$35/100)</f>
        <v>23.72176897872</v>
      </c>
      <c r="AK3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1" s="26">
        <f>입력란!$C$47+IF(입력란!$C$18=1,10,IF(입력란!$C$18=2,25,IF(입력란!$C$18=3,50,0)))+IF(입력란!$C$23&lt;&gt;0,-12)</f>
        <v>200</v>
      </c>
      <c r="AM371" s="30">
        <f t="shared" si="51"/>
        <v>238789.50295789511</v>
      </c>
      <c r="AN371" s="30">
        <f>(VLOOKUP(C371,$B$4:$AJ$7,23,FALSE)+VLOOKUP(C371,$B$8:$AJ$11,23,FALSE)*입력란!$C$29)*IF(G371="근접",입력란!$C$50,IF(MID(E371,1,1)="1",입력란!$C$50,입력란!$C$49))*입력란!$C$48/100</f>
        <v>143270.92076657343</v>
      </c>
      <c r="AO371" s="30">
        <f>(VLOOKUP(C371,$B$4:$AJ$7,24,FALSE)+VLOOKUP(C371,$B$8:$AJ$11,24,FALSE)*입력란!$C$29)*IF(G371="근접",입력란!$C$50,IF(MID(E371,1,1)="1",입력란!$C$50,입력란!$C$49))*입력란!$C$48/100</f>
        <v>95518.582191321664</v>
      </c>
      <c r="AP371" s="30"/>
      <c r="AQ371" s="29">
        <v>24</v>
      </c>
    </row>
    <row r="372" spans="2:43" ht="13.5" customHeight="1" x14ac:dyDescent="0.3">
      <c r="B372" s="31">
        <v>357</v>
      </c>
      <c r="C372" s="36">
        <v>7</v>
      </c>
      <c r="D372" s="43" t="s">
        <v>217</v>
      </c>
      <c r="E372" s="38" t="s">
        <v>220</v>
      </c>
      <c r="F372" s="40" t="s">
        <v>223</v>
      </c>
      <c r="G372" s="40" t="s">
        <v>203</v>
      </c>
      <c r="H372" s="52">
        <f t="shared" si="46"/>
        <v>13655.294237971506</v>
      </c>
      <c r="I372" s="53">
        <f>SUM(J372:Q372)*IF(입력란!$C$16=1,1.04,IF(입력란!$C$16=2,1.1,IF(입력란!$C$16=3,1.2,1)))*IF(입력란!$C$21=1,1+입력란!$C$38*0.001,IF(입력란!$C$21=2,1+입력란!$C$38*0.0022,IF(입력란!$C$21=3,1+입력란!$C$38*0.0045,1)))*IF(입력란!$C$18&lt;&gt;0,0.98,1)</f>
        <v>323927.73524960643</v>
      </c>
      <c r="J372" s="30">
        <f>S372*(1+IF($AK372+IF(입력란!$C$9=1,10,0)+IF(입력란!$C$26=1,10,0)&gt;100,100,$AK372+IF(입력란!$C$9=1,10,0)+IF(입력란!$C$26=1,10,0))/100*($AL372/100-1))</f>
        <v>194352.86859835353</v>
      </c>
      <c r="K372" s="30">
        <f>T372*(1+IF($AK372+IF(입력란!$C$9=1,10,0)+IF(입력란!$C$26=1,10,0)&gt;100,100,$AK372+IF(입력란!$C$9=1,10,0)+IF(입력란!$C$26=1,10,0))/100*($AL372/100-1))</f>
        <v>129574.8666512529</v>
      </c>
      <c r="L372" s="30"/>
      <c r="M372" s="30"/>
      <c r="N372" s="39"/>
      <c r="O372" s="39"/>
      <c r="P372" s="39"/>
      <c r="Q372" s="35"/>
      <c r="R372" s="24">
        <f t="shared" si="47"/>
        <v>266838.64706134819</v>
      </c>
      <c r="S372" s="30">
        <f>AN372*IF(G372="근접",IF(MID(E372,1,1)="3",트라이포드!$H$19,트라이포드!$G$19),1)*IF(MID(E372,1,1)="1",트라이포드!$D$19,트라이포드!$C$19)*IF(MID(E372,3,1)="1",트라이포드!$J$19,트라이포드!$I$19)*IF(MID(E372,3,1)="2",트라이포드!$L$19,트라이포드!$K$19)*IF(MID(E372,5,1)="1",트라이포드!$P$19,트라이포드!$O$19)*(1+입력란!$C$42/100)*IF(입력란!$C$9=1,IF(입력란!$C$15=0,1.05,IF(입력란!$C$15=1,1.05*1.05,IF(입력란!$C$15=2,1.05*1.12,IF(입력란!$C$15=3,1.05*1.25)))),1)</f>
        <v>160100.08056060597</v>
      </c>
      <c r="T372" s="30">
        <f>AO372*IF(G372="근접",IF(MID(E372,1,1)="3",트라이포드!$H$19,트라이포드!$G$19),1)*IF(MID(E372,1,1)="1",트라이포드!$D$19,트라이포드!$C$19)*IF(MID(E372,3,1)="1",트라이포드!$J$19,트라이포드!$I$19)*IF(MID(E372,3,1)="2",트라이포드!$L$19,트라이포드!$K$19)*IF(MID(E372,5,1)="1",0,IF(MID(E372,5,1)="2",트라이포드!$R$19,트라이포드!$Q$19))*(1+입력란!$C$42/100)*IF(입력란!$C$9=1,IF(입력란!$C$15=0,1.05,IF(입력란!$C$15=1,1.05*1.05,IF(입력란!$C$15=2,1.05*1.12,IF(입력란!$C$15=3,1.05*1.25)))),1)</f>
        <v>106738.56650074219</v>
      </c>
      <c r="U372" s="30"/>
      <c r="V372" s="30"/>
      <c r="W372" s="30"/>
      <c r="X372" s="39"/>
      <c r="Y372" s="39"/>
      <c r="Z372" s="27"/>
      <c r="AA372" s="30">
        <f t="shared" si="48"/>
        <v>533677.29412269639</v>
      </c>
      <c r="AB372" s="30">
        <f t="shared" si="49"/>
        <v>320200.16112121195</v>
      </c>
      <c r="AC372" s="30">
        <f t="shared" si="50"/>
        <v>213477.13300148438</v>
      </c>
      <c r="AD372" s="30"/>
      <c r="AE372" s="30"/>
      <c r="AF372" s="39"/>
      <c r="AG372" s="39"/>
      <c r="AH372" s="39"/>
      <c r="AI372" s="27"/>
      <c r="AJ372" s="26">
        <f>AQ372*(1-입력란!$C$35/100)</f>
        <v>23.72176897872</v>
      </c>
      <c r="AK3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2" s="26">
        <f>입력란!$C$47+IF(입력란!$C$18=1,10,IF(입력란!$C$18=2,25,IF(입력란!$C$18=3,50,0)))+IF(입력란!$C$23&lt;&gt;0,-12)</f>
        <v>200</v>
      </c>
      <c r="AM372" s="30">
        <f t="shared" si="51"/>
        <v>119394.75147894755</v>
      </c>
      <c r="AN372" s="30">
        <f>(VLOOKUP(C372,$B$4:$AJ$7,23,FALSE)+VLOOKUP(C372,$B$8:$AJ$11,23,FALSE)*입력란!$C$29)*IF(G372="근접",입력란!$C$50,IF(MID(E372,1,1)="1",입력란!$C$50,입력란!$C$49))*입력란!$C$48/100</f>
        <v>71635.460383286714</v>
      </c>
      <c r="AO372" s="30">
        <f>(VLOOKUP(C372,$B$4:$AJ$7,24,FALSE)+VLOOKUP(C372,$B$8:$AJ$11,24,FALSE)*입력란!$C$29)*IF(G372="근접",입력란!$C$50,IF(MID(E372,1,1)="1",입력란!$C$50,입력란!$C$49))*입력란!$C$48/100</f>
        <v>47759.291095660832</v>
      </c>
      <c r="AP372" s="30"/>
      <c r="AQ372" s="29">
        <v>24</v>
      </c>
    </row>
    <row r="373" spans="2:43" ht="13.5" customHeight="1" x14ac:dyDescent="0.3">
      <c r="B373" s="31">
        <v>358</v>
      </c>
      <c r="C373" s="36">
        <v>10</v>
      </c>
      <c r="D373" s="43" t="s">
        <v>217</v>
      </c>
      <c r="E373" s="38" t="s">
        <v>186</v>
      </c>
      <c r="F373" s="40"/>
      <c r="G373" s="40" t="s">
        <v>203</v>
      </c>
      <c r="H373" s="52">
        <f t="shared" si="46"/>
        <v>9760.1210183553139</v>
      </c>
      <c r="I373" s="53">
        <f>SUM(J373:Q373)*IF(입력란!$C$16=1,1.04,IF(입력란!$C$16=2,1.1,IF(입력란!$C$16=3,1.2,1)))*IF(입력란!$C$21=1,1+입력란!$C$38*0.001,IF(입력란!$C$21=2,1+입력란!$C$38*0.0022,IF(입력란!$C$21=3,1+입력란!$C$38*0.0045,1)))*IF(입력란!$C$18&lt;&gt;0,0.98,1)</f>
        <v>231527.33600177412</v>
      </c>
      <c r="J373" s="30">
        <f>S373*(1+IF($AK373+IF(입력란!$C$9=1,10,0)+IF(입력란!$C$26=1,10,0)&gt;100,100,$AK373+IF(입력란!$C$9=1,10,0)+IF(입력란!$C$26=1,10,0))/100*($AL373/100-1))</f>
        <v>138913.39685498661</v>
      </c>
      <c r="K373" s="30">
        <f>T373*(1+IF($AK373+IF(입력란!$C$9=1,10,0)+IF(입력란!$C$26=1,10,0)&gt;100,100,$AK373+IF(입력란!$C$9=1,10,0)+IF(입력란!$C$26=1,10,0))/100*($AL373/100-1))</f>
        <v>92613.939146787525</v>
      </c>
      <c r="L373" s="30"/>
      <c r="M373" s="30"/>
      <c r="N373" s="39"/>
      <c r="O373" s="39"/>
      <c r="P373" s="39"/>
      <c r="Q373" s="35"/>
      <c r="R373" s="24">
        <f t="shared" si="47"/>
        <v>190722.91246943059</v>
      </c>
      <c r="S373" s="30">
        <f>AN373*IF(G373="근접",IF(MID(E373,1,1)="3",트라이포드!$H$19,트라이포드!$G$19),1)*IF(MID(E373,1,1)="1",트라이포드!$D$19,트라이포드!$C$19)*IF(MID(E373,3,1)="1",트라이포드!$J$19,트라이포드!$I$19)*IF(MID(E373,3,1)="2",트라이포드!$L$19,트라이포드!$K$19)*IF(MID(E373,5,1)="1",트라이포드!$P$19,트라이포드!$O$19)*(1+입력란!$C$42/100)*IF(입력란!$C$9=1,IF(입력란!$C$15=0,1.05,IF(입력란!$C$15=1,1.05*1.05,IF(입력란!$C$15=2,1.05*1.12,IF(입력란!$C$15=3,1.05*1.25)))),1)</f>
        <v>114431.2722926241</v>
      </c>
      <c r="T373" s="30">
        <f>AO373*IF(G373="근접",IF(MID(E373,1,1)="3",트라이포드!$H$19,트라이포드!$G$19),1)*IF(MID(E373,1,1)="1",트라이포드!$D$19,트라이포드!$C$19)*IF(MID(E373,3,1)="1",트라이포드!$J$19,트라이포드!$I$19)*IF(MID(E373,3,1)="2",트라이포드!$L$19,트라이포드!$K$19)*IF(MID(E373,5,1)="1",0,IF(MID(E373,5,1)="2",트라이포드!$R$19,트라이포드!$Q$19))*(1+입력란!$C$42/100)*IF(입력란!$C$9=1,IF(입력란!$C$15=0,1.05,IF(입력란!$C$15=1,1.05*1.05,IF(입력란!$C$15=2,1.05*1.12,IF(입력란!$C$15=3,1.05*1.25)))),1)</f>
        <v>76291.640176806497</v>
      </c>
      <c r="U373" s="30"/>
      <c r="V373" s="30"/>
      <c r="W373" s="30"/>
      <c r="X373" s="39"/>
      <c r="Y373" s="39"/>
      <c r="Z373" s="27"/>
      <c r="AA373" s="30">
        <f t="shared" si="48"/>
        <v>381445.82493886119</v>
      </c>
      <c r="AB373" s="30">
        <f t="shared" si="49"/>
        <v>228862.54458524819</v>
      </c>
      <c r="AC373" s="30">
        <f t="shared" si="50"/>
        <v>152583.28035361299</v>
      </c>
      <c r="AD373" s="30"/>
      <c r="AE373" s="30"/>
      <c r="AF373" s="39"/>
      <c r="AG373" s="39"/>
      <c r="AH373" s="39"/>
      <c r="AI373" s="27"/>
      <c r="AJ373" s="26">
        <f>AQ373*(1-입력란!$C$35/100)</f>
        <v>23.72176897872</v>
      </c>
      <c r="AK3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3" s="26">
        <f>입력란!$C$47+IF(입력란!$C$18=1,10,IF(입력란!$C$18=2,25,IF(입력란!$C$18=3,50,0)))+IF(입력란!$C$23&lt;&gt;0,-12)</f>
        <v>200</v>
      </c>
      <c r="AM373" s="30">
        <f t="shared" si="51"/>
        <v>119472.35147894756</v>
      </c>
      <c r="AN373" s="30">
        <f>(VLOOKUP(C373,$B$4:$AJ$7,23,FALSE)+VLOOKUP(C373,$B$8:$AJ$11,23,FALSE)*입력란!$C$29)*IF(G373="근접",입력란!$C$50,IF(MID(E373,1,1)="1",입력란!$C$50,입력란!$C$49))*입력란!$C$48/100</f>
        <v>71681.860383286723</v>
      </c>
      <c r="AO373" s="30">
        <f>(VLOOKUP(C373,$B$4:$AJ$7,24,FALSE)+VLOOKUP(C373,$B$8:$AJ$11,24,FALSE)*입력란!$C$29)*IF(G373="근접",입력란!$C$50,IF(MID(E373,1,1)="1",입력란!$C$50,입력란!$C$49))*입력란!$C$48/100</f>
        <v>47790.491095660829</v>
      </c>
      <c r="AP373" s="30"/>
      <c r="AQ373" s="29">
        <v>24</v>
      </c>
    </row>
    <row r="374" spans="2:43" ht="13.5" customHeight="1" x14ac:dyDescent="0.3">
      <c r="B374" s="31">
        <v>359</v>
      </c>
      <c r="C374" s="36">
        <v>10</v>
      </c>
      <c r="D374" s="43" t="s">
        <v>217</v>
      </c>
      <c r="E374" s="38" t="s">
        <v>192</v>
      </c>
      <c r="F374" s="40"/>
      <c r="G374" s="40" t="s">
        <v>203</v>
      </c>
      <c r="H374" s="52">
        <f t="shared" si="46"/>
        <v>16396.648645507135</v>
      </c>
      <c r="I374" s="53">
        <f>SUM(J374:Q374)*IF(입력란!$C$16=1,1.04,IF(입력란!$C$16=2,1.1,IF(입력란!$C$16=3,1.2,1)))*IF(입력란!$C$21=1,1+입력란!$C$38*0.001,IF(입력란!$C$21=2,1+입력란!$C$38*0.0022,IF(입력란!$C$21=3,1+입력란!$C$38*0.0045,1)))*IF(입력란!$C$18&lt;&gt;0,0.98,1)</f>
        <v>388957.51119396248</v>
      </c>
      <c r="J374" s="30">
        <f>S374*(1+IF($AK374+IF(입력란!$C$9=1,10,0)+IF(입력란!$C$26=1,10,0)&gt;100,100,$AK374+IF(입력란!$C$9=1,10,0)+IF(입력란!$C$26=1,10,0))/100*($AL374/100-1))</f>
        <v>388957.51119396248</v>
      </c>
      <c r="K374" s="30">
        <f>T374*(1+IF($AK374+IF(입력란!$C$9=1,10,0)+IF(입력란!$C$26=1,10,0)&gt;100,100,$AK374+IF(입력란!$C$9=1,10,0)+IF(입력란!$C$26=1,10,0))/100*($AL374/100-1))</f>
        <v>0</v>
      </c>
      <c r="L374" s="30"/>
      <c r="M374" s="30"/>
      <c r="N374" s="39"/>
      <c r="O374" s="39"/>
      <c r="P374" s="39"/>
      <c r="Q374" s="35"/>
      <c r="R374" s="24">
        <f t="shared" si="47"/>
        <v>320407.56241934747</v>
      </c>
      <c r="S374" s="30">
        <f>AN374*IF(G374="근접",IF(MID(E374,1,1)="3",트라이포드!$H$19,트라이포드!$G$19),1)*IF(MID(E374,1,1)="1",트라이포드!$D$19,트라이포드!$C$19)*IF(MID(E374,3,1)="1",트라이포드!$J$19,트라이포드!$I$19)*IF(MID(E374,3,1)="2",트라이포드!$L$19,트라이포드!$K$19)*IF(MID(E374,5,1)="1",트라이포드!$P$19,트라이포드!$O$19)*(1+입력란!$C$42/100)*IF(입력란!$C$9=1,IF(입력란!$C$15=0,1.05,IF(입력란!$C$15=1,1.05*1.05,IF(입력란!$C$15=2,1.05*1.12,IF(입력란!$C$15=3,1.05*1.25)))),1)</f>
        <v>320407.56241934747</v>
      </c>
      <c r="T374" s="30">
        <f>AO374*IF(G374="근접",IF(MID(E374,1,1)="3",트라이포드!$H$19,트라이포드!$G$19),1)*IF(MID(E374,1,1)="1",트라이포드!$D$19,트라이포드!$C$19)*IF(MID(E374,3,1)="1",트라이포드!$J$19,트라이포드!$I$19)*IF(MID(E374,3,1)="2",트라이포드!$L$19,트라이포드!$K$19)*IF(MID(E374,5,1)="1",0,IF(MID(E374,5,1)="2",트라이포드!$R$19,트라이포드!$Q$19))*(1+입력란!$C$42/100)*IF(입력란!$C$9=1,IF(입력란!$C$15=0,1.05,IF(입력란!$C$15=1,1.05*1.05,IF(입력란!$C$15=2,1.05*1.12,IF(입력란!$C$15=3,1.05*1.25)))),1)</f>
        <v>0</v>
      </c>
      <c r="U374" s="30"/>
      <c r="V374" s="30"/>
      <c r="W374" s="30"/>
      <c r="X374" s="39"/>
      <c r="Y374" s="39"/>
      <c r="Z374" s="27"/>
      <c r="AA374" s="30">
        <f t="shared" si="48"/>
        <v>640815.12483869493</v>
      </c>
      <c r="AB374" s="30">
        <f t="shared" si="49"/>
        <v>640815.12483869493</v>
      </c>
      <c r="AC374" s="30">
        <f t="shared" si="50"/>
        <v>0</v>
      </c>
      <c r="AD374" s="30"/>
      <c r="AE374" s="30"/>
      <c r="AF374" s="39"/>
      <c r="AG374" s="39"/>
      <c r="AH374" s="39"/>
      <c r="AI374" s="27"/>
      <c r="AJ374" s="26">
        <f>AQ374*(1-입력란!$C$35/100)</f>
        <v>23.72176897872</v>
      </c>
      <c r="AK3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4" s="26">
        <f>입력란!$C$47+IF(입력란!$C$18=1,10,IF(입력란!$C$18=2,25,IF(입력란!$C$18=3,50,0)))+IF(입력란!$C$23&lt;&gt;0,-12)</f>
        <v>200</v>
      </c>
      <c r="AM374" s="30">
        <f t="shared" si="51"/>
        <v>119472.35147894756</v>
      </c>
      <c r="AN374" s="30">
        <f>(VLOOKUP(C374,$B$4:$AJ$7,23,FALSE)+VLOOKUP(C374,$B$8:$AJ$11,23,FALSE)*입력란!$C$29)*IF(G374="근접",입력란!$C$50,IF(MID(E374,1,1)="1",입력란!$C$50,입력란!$C$49))*입력란!$C$48/100</f>
        <v>71681.860383286723</v>
      </c>
      <c r="AO374" s="30">
        <f>(VLOOKUP(C374,$B$4:$AJ$7,24,FALSE)+VLOOKUP(C374,$B$8:$AJ$11,24,FALSE)*입력란!$C$29)*IF(G374="근접",입력란!$C$50,IF(MID(E374,1,1)="1",입력란!$C$50,입력란!$C$49))*입력란!$C$48/100</f>
        <v>47790.491095660829</v>
      </c>
      <c r="AP374" s="30"/>
      <c r="AQ374" s="29">
        <v>24</v>
      </c>
    </row>
    <row r="375" spans="2:43" ht="13.5" customHeight="1" x14ac:dyDescent="0.3">
      <c r="B375" s="31">
        <v>360</v>
      </c>
      <c r="C375" s="36">
        <v>10</v>
      </c>
      <c r="D375" s="43" t="s">
        <v>217</v>
      </c>
      <c r="E375" s="38" t="s">
        <v>208</v>
      </c>
      <c r="F375" s="40"/>
      <c r="G375" s="40" t="s">
        <v>203</v>
      </c>
      <c r="H375" s="52">
        <f t="shared" si="46"/>
        <v>17568.471165417988</v>
      </c>
      <c r="I375" s="53">
        <f>SUM(J375:Q375)*IF(입력란!$C$16=1,1.04,IF(입력란!$C$16=2,1.1,IF(입력란!$C$16=3,1.2,1)))*IF(입력란!$C$21=1,1+입력란!$C$38*0.001,IF(입력란!$C$21=2,1+입력란!$C$38*0.0022,IF(입력란!$C$21=3,1+입력란!$C$38*0.0045,1)))*IF(입력란!$C$18&lt;&gt;0,0.98,1)</f>
        <v>416755.2142953492</v>
      </c>
      <c r="J375" s="30">
        <f>S375*(1+IF($AK375+IF(입력란!$C$9=1,10,0)+IF(입력란!$C$26=1,10,0)&gt;100,100,$AK375+IF(입력란!$C$9=1,10,0)+IF(입력란!$C$26=1,10,0))/100*($AL375/100-1))</f>
        <v>138913.39685498661</v>
      </c>
      <c r="K375" s="30">
        <f>T375*(1+IF($AK375+IF(입력란!$C$9=1,10,0)+IF(입력란!$C$26=1,10,0)&gt;100,100,$AK375+IF(입력란!$C$9=1,10,0)+IF(입력란!$C$26=1,10,0))/100*($AL375/100-1))</f>
        <v>277841.81744036259</v>
      </c>
      <c r="L375" s="30"/>
      <c r="M375" s="30"/>
      <c r="N375" s="39"/>
      <c r="O375" s="39"/>
      <c r="P375" s="39"/>
      <c r="Q375" s="35"/>
      <c r="R375" s="24">
        <f t="shared" si="47"/>
        <v>343306.19282304362</v>
      </c>
      <c r="S375" s="30">
        <f>AN375*IF(G375="근접",IF(MID(E375,1,1)="3",트라이포드!$H$19,트라이포드!$G$19),1)*IF(MID(E375,1,1)="1",트라이포드!$D$19,트라이포드!$C$19)*IF(MID(E375,3,1)="1",트라이포드!$J$19,트라이포드!$I$19)*IF(MID(E375,3,1)="2",트라이포드!$L$19,트라이포드!$K$19)*IF(MID(E375,5,1)="1",트라이포드!$P$19,트라이포드!$O$19)*(1+입력란!$C$42/100)*IF(입력란!$C$9=1,IF(입력란!$C$15=0,1.05,IF(입력란!$C$15=1,1.05*1.05,IF(입력란!$C$15=2,1.05*1.12,IF(입력란!$C$15=3,1.05*1.25)))),1)</f>
        <v>114431.2722926241</v>
      </c>
      <c r="T375" s="30">
        <f>AO375*IF(G375="근접",IF(MID(E375,1,1)="3",트라이포드!$H$19,트라이포드!$G$19),1)*IF(MID(E375,1,1)="1",트라이포드!$D$19,트라이포드!$C$19)*IF(MID(E375,3,1)="1",트라이포드!$J$19,트라이포드!$I$19)*IF(MID(E375,3,1)="2",트라이포드!$L$19,트라이포드!$K$19)*IF(MID(E375,5,1)="1",0,IF(MID(E375,5,1)="2",트라이포드!$R$19,트라이포드!$Q$19))*(1+입력란!$C$42/100)*IF(입력란!$C$9=1,IF(입력란!$C$15=0,1.05,IF(입력란!$C$15=1,1.05*1.05,IF(입력란!$C$15=2,1.05*1.12,IF(입력란!$C$15=3,1.05*1.25)))),1)</f>
        <v>228874.92053041951</v>
      </c>
      <c r="U375" s="30"/>
      <c r="V375" s="30"/>
      <c r="W375" s="30"/>
      <c r="X375" s="39"/>
      <c r="Y375" s="39"/>
      <c r="Z375" s="27"/>
      <c r="AA375" s="30">
        <f t="shared" si="48"/>
        <v>686612.38564608723</v>
      </c>
      <c r="AB375" s="30">
        <f t="shared" si="49"/>
        <v>228862.54458524819</v>
      </c>
      <c r="AC375" s="30">
        <f t="shared" si="50"/>
        <v>457749.84106083901</v>
      </c>
      <c r="AD375" s="30"/>
      <c r="AE375" s="30"/>
      <c r="AF375" s="39"/>
      <c r="AG375" s="39"/>
      <c r="AH375" s="39"/>
      <c r="AI375" s="27"/>
      <c r="AJ375" s="26">
        <f>AQ375*(1-입력란!$C$35/100)</f>
        <v>23.72176897872</v>
      </c>
      <c r="AK3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5" s="26">
        <f>입력란!$C$47+IF(입력란!$C$18=1,10,IF(입력란!$C$18=2,25,IF(입력란!$C$18=3,50,0)))+IF(입력란!$C$23&lt;&gt;0,-12)</f>
        <v>200</v>
      </c>
      <c r="AM375" s="30">
        <f t="shared" si="51"/>
        <v>119472.35147894756</v>
      </c>
      <c r="AN375" s="30">
        <f>(VLOOKUP(C375,$B$4:$AJ$7,23,FALSE)+VLOOKUP(C375,$B$8:$AJ$11,23,FALSE)*입력란!$C$29)*IF(G375="근접",입력란!$C$50,IF(MID(E375,1,1)="1",입력란!$C$50,입력란!$C$49))*입력란!$C$48/100</f>
        <v>71681.860383286723</v>
      </c>
      <c r="AO375" s="30">
        <f>(VLOOKUP(C375,$B$4:$AJ$7,24,FALSE)+VLOOKUP(C375,$B$8:$AJ$11,24,FALSE)*입력란!$C$29)*IF(G375="근접",입력란!$C$50,IF(MID(E375,1,1)="1",입력란!$C$50,입력란!$C$49))*입력란!$C$48/100</f>
        <v>47790.491095660829</v>
      </c>
      <c r="AP375" s="30"/>
      <c r="AQ375" s="29">
        <v>24</v>
      </c>
    </row>
    <row r="376" spans="2:43" ht="13.5" customHeight="1" x14ac:dyDescent="0.3">
      <c r="B376" s="31">
        <v>361</v>
      </c>
      <c r="C376" s="36">
        <v>10</v>
      </c>
      <c r="D376" s="43" t="s">
        <v>217</v>
      </c>
      <c r="E376" s="38" t="s">
        <v>194</v>
      </c>
      <c r="F376" s="40" t="s">
        <v>223</v>
      </c>
      <c r="G376" s="40" t="s">
        <v>203</v>
      </c>
      <c r="H376" s="52">
        <f t="shared" si="46"/>
        <v>22955.308103709987</v>
      </c>
      <c r="I376" s="53">
        <f>SUM(J376:Q376)*IF(입력란!$C$16=1,1.04,IF(입력란!$C$16=2,1.1,IF(입력란!$C$16=3,1.2,1)))*IF(입력란!$C$21=1,1+입력란!$C$38*0.001,IF(입력란!$C$21=2,1+입력란!$C$38*0.0022,IF(입력란!$C$21=3,1+입력란!$C$38*0.0045,1)))*IF(입력란!$C$18&lt;&gt;0,0.98,1)</f>
        <v>544540.51567154739</v>
      </c>
      <c r="J376" s="30">
        <f>S376*(1+IF($AK376+IF(입력란!$C$9=1,10,0)+IF(입력란!$C$26=1,10,0)&gt;100,100,$AK376+IF(입력란!$C$9=1,10,0)+IF(입력란!$C$26=1,10,0))/100*($AL376/100-1))</f>
        <v>544540.51567154739</v>
      </c>
      <c r="K376" s="30">
        <f>T376*(1+IF($AK376+IF(입력란!$C$9=1,10,0)+IF(입력란!$C$26=1,10,0)&gt;100,100,$AK376+IF(입력란!$C$9=1,10,0)+IF(입력란!$C$26=1,10,0))/100*($AL376/100-1))</f>
        <v>0</v>
      </c>
      <c r="L376" s="30"/>
      <c r="M376" s="30"/>
      <c r="N376" s="39"/>
      <c r="O376" s="39"/>
      <c r="P376" s="39"/>
      <c r="Q376" s="35"/>
      <c r="R376" s="24">
        <f t="shared" si="47"/>
        <v>448570.58738708642</v>
      </c>
      <c r="S376" s="30">
        <f>AN376*IF(G376="근접",IF(MID(E376,1,1)="3",트라이포드!$H$19,트라이포드!$G$19),1)*IF(MID(E376,1,1)="1",트라이포드!$D$19,트라이포드!$C$19)*IF(MID(E376,3,1)="1",트라이포드!$J$19,트라이포드!$I$19)*IF(MID(E376,3,1)="2",트라이포드!$L$19,트라이포드!$K$19)*IF(MID(E376,5,1)="1",트라이포드!$P$19,트라이포드!$O$19)*(1+입력란!$C$42/100)*IF(입력란!$C$9=1,IF(입력란!$C$15=0,1.05,IF(입력란!$C$15=1,1.05*1.05,IF(입력란!$C$15=2,1.05*1.12,IF(입력란!$C$15=3,1.05*1.25)))),1)</f>
        <v>448570.58738708642</v>
      </c>
      <c r="T376" s="30">
        <f>AO376*IF(G376="근접",IF(MID(E376,1,1)="3",트라이포드!$H$19,트라이포드!$G$19),1)*IF(MID(E376,1,1)="1",트라이포드!$D$19,트라이포드!$C$19)*IF(MID(E376,3,1)="1",트라이포드!$J$19,트라이포드!$I$19)*IF(MID(E376,3,1)="2",트라이포드!$L$19,트라이포드!$K$19)*IF(MID(E376,5,1)="1",0,IF(MID(E376,5,1)="2",트라이포드!$R$19,트라이포드!$Q$19))*(1+입력란!$C$42/100)*IF(입력란!$C$9=1,IF(입력란!$C$15=0,1.05,IF(입력란!$C$15=1,1.05*1.05,IF(입력란!$C$15=2,1.05*1.12,IF(입력란!$C$15=3,1.05*1.25)))),1)</f>
        <v>0</v>
      </c>
      <c r="U376" s="30"/>
      <c r="V376" s="30"/>
      <c r="W376" s="30"/>
      <c r="X376" s="39"/>
      <c r="Y376" s="39"/>
      <c r="Z376" s="27"/>
      <c r="AA376" s="30">
        <f t="shared" si="48"/>
        <v>897141.17477417283</v>
      </c>
      <c r="AB376" s="30">
        <f t="shared" si="49"/>
        <v>897141.17477417283</v>
      </c>
      <c r="AC376" s="30">
        <f t="shared" si="50"/>
        <v>0</v>
      </c>
      <c r="AD376" s="30"/>
      <c r="AE376" s="30"/>
      <c r="AF376" s="39"/>
      <c r="AG376" s="39"/>
      <c r="AH376" s="39"/>
      <c r="AI376" s="27"/>
      <c r="AJ376" s="26">
        <f>AQ376*(1-입력란!$C$35/100)</f>
        <v>23.72176897872</v>
      </c>
      <c r="AK3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6" s="26">
        <f>입력란!$C$47+IF(입력란!$C$18=1,10,IF(입력란!$C$18=2,25,IF(입력란!$C$18=3,50,0)))+IF(입력란!$C$23&lt;&gt;0,-12)</f>
        <v>200</v>
      </c>
      <c r="AM376" s="30">
        <f t="shared" si="51"/>
        <v>119472.35147894756</v>
      </c>
      <c r="AN376" s="30">
        <f>(VLOOKUP(C376,$B$4:$AJ$7,23,FALSE)+VLOOKUP(C376,$B$8:$AJ$11,23,FALSE)*입력란!$C$29)*IF(G376="근접",입력란!$C$50,IF(MID(E376,1,1)="1",입력란!$C$50,입력란!$C$49))*입력란!$C$48/100</f>
        <v>71681.860383286723</v>
      </c>
      <c r="AO376" s="30">
        <f>(VLOOKUP(C376,$B$4:$AJ$7,24,FALSE)+VLOOKUP(C376,$B$8:$AJ$11,24,FALSE)*입력란!$C$29)*IF(G376="근접",입력란!$C$50,IF(MID(E376,1,1)="1",입력란!$C$50,입력란!$C$49))*입력란!$C$48/100</f>
        <v>47790.491095660829</v>
      </c>
      <c r="AP376" s="30"/>
      <c r="AQ376" s="29">
        <v>24</v>
      </c>
    </row>
    <row r="377" spans="2:43" ht="13.5" customHeight="1" x14ac:dyDescent="0.3">
      <c r="B377" s="31">
        <v>362</v>
      </c>
      <c r="C377" s="36">
        <v>10</v>
      </c>
      <c r="D377" s="43" t="s">
        <v>217</v>
      </c>
      <c r="E377" s="38" t="s">
        <v>195</v>
      </c>
      <c r="F377" s="40" t="s">
        <v>223</v>
      </c>
      <c r="G377" s="40" t="s">
        <v>203</v>
      </c>
      <c r="H377" s="52">
        <f t="shared" si="46"/>
        <v>24595.859631585176</v>
      </c>
      <c r="I377" s="53">
        <f>SUM(J377:Q377)*IF(입력란!$C$16=1,1.04,IF(입력란!$C$16=2,1.1,IF(입력란!$C$16=3,1.2,1)))*IF(입력란!$C$21=1,1+입력란!$C$38*0.001,IF(입력란!$C$21=2,1+입력란!$C$38*0.0022,IF(입력란!$C$21=3,1+입력란!$C$38*0.0045,1)))*IF(입력란!$C$18&lt;&gt;0,0.98,1)</f>
        <v>583457.30001348874</v>
      </c>
      <c r="J377" s="30">
        <f>S377*(1+IF($AK377+IF(입력란!$C$9=1,10,0)+IF(입력란!$C$26=1,10,0)&gt;100,100,$AK377+IF(입력란!$C$9=1,10,0)+IF(입력란!$C$26=1,10,0))/100*($AL377/100-1))</f>
        <v>194478.75559698124</v>
      </c>
      <c r="K377" s="30">
        <f>T377*(1+IF($AK377+IF(입력란!$C$9=1,10,0)+IF(입력란!$C$26=1,10,0)&gt;100,100,$AK377+IF(입력란!$C$9=1,10,0)+IF(입력란!$C$26=1,10,0))/100*($AL377/100-1))</f>
        <v>388978.54441650753</v>
      </c>
      <c r="L377" s="30"/>
      <c r="M377" s="30"/>
      <c r="N377" s="39"/>
      <c r="O377" s="39"/>
      <c r="P377" s="39"/>
      <c r="Q377" s="35"/>
      <c r="R377" s="24">
        <f t="shared" si="47"/>
        <v>480628.66995226097</v>
      </c>
      <c r="S377" s="30">
        <f>AN377*IF(G377="근접",IF(MID(E377,1,1)="3",트라이포드!$H$19,트라이포드!$G$19),1)*IF(MID(E377,1,1)="1",트라이포드!$D$19,트라이포드!$C$19)*IF(MID(E377,3,1)="1",트라이포드!$J$19,트라이포드!$I$19)*IF(MID(E377,3,1)="2",트라이포드!$L$19,트라이포드!$K$19)*IF(MID(E377,5,1)="1",트라이포드!$P$19,트라이포드!$O$19)*(1+입력란!$C$42/100)*IF(입력란!$C$9=1,IF(입력란!$C$15=0,1.05,IF(입력란!$C$15=1,1.05*1.05,IF(입력란!$C$15=2,1.05*1.12,IF(입력란!$C$15=3,1.05*1.25)))),1)</f>
        <v>160203.78120967373</v>
      </c>
      <c r="T377" s="30">
        <f>AO377*IF(G377="근접",IF(MID(E377,1,1)="3",트라이포드!$H$19,트라이포드!$G$19),1)*IF(MID(E377,1,1)="1",트라이포드!$D$19,트라이포드!$C$19)*IF(MID(E377,3,1)="1",트라이포드!$J$19,트라이포드!$I$19)*IF(MID(E377,3,1)="2",트라이포드!$L$19,트라이포드!$K$19)*IF(MID(E377,5,1)="1",0,IF(MID(E377,5,1)="2",트라이포드!$R$19,트라이포드!$Q$19))*(1+입력란!$C$42/100)*IF(입력란!$C$9=1,IF(입력란!$C$15=0,1.05,IF(입력란!$C$15=1,1.05*1.05,IF(입력란!$C$15=2,1.05*1.12,IF(입력란!$C$15=3,1.05*1.25)))),1)</f>
        <v>320424.88874258724</v>
      </c>
      <c r="U377" s="30"/>
      <c r="V377" s="30"/>
      <c r="W377" s="30"/>
      <c r="X377" s="39"/>
      <c r="Y377" s="39"/>
      <c r="Z377" s="27"/>
      <c r="AA377" s="30">
        <f t="shared" si="48"/>
        <v>961257.33990452194</v>
      </c>
      <c r="AB377" s="30">
        <f t="shared" si="49"/>
        <v>320407.56241934747</v>
      </c>
      <c r="AC377" s="30">
        <f t="shared" si="50"/>
        <v>640849.77748517448</v>
      </c>
      <c r="AD377" s="30"/>
      <c r="AE377" s="30"/>
      <c r="AF377" s="39"/>
      <c r="AG377" s="39"/>
      <c r="AH377" s="39"/>
      <c r="AI377" s="27"/>
      <c r="AJ377" s="26">
        <f>AQ377*(1-입력란!$C$35/100)</f>
        <v>23.72176897872</v>
      </c>
      <c r="AK3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7" s="26">
        <f>입력란!$C$47+IF(입력란!$C$18=1,10,IF(입력란!$C$18=2,25,IF(입력란!$C$18=3,50,0)))+IF(입력란!$C$23&lt;&gt;0,-12)</f>
        <v>200</v>
      </c>
      <c r="AM377" s="30">
        <f t="shared" si="51"/>
        <v>119472.35147894756</v>
      </c>
      <c r="AN377" s="30">
        <f>(VLOOKUP(C377,$B$4:$AJ$7,23,FALSE)+VLOOKUP(C377,$B$8:$AJ$11,23,FALSE)*입력란!$C$29)*IF(G377="근접",입력란!$C$50,IF(MID(E377,1,1)="1",입력란!$C$50,입력란!$C$49))*입력란!$C$48/100</f>
        <v>71681.860383286723</v>
      </c>
      <c r="AO377" s="30">
        <f>(VLOOKUP(C377,$B$4:$AJ$7,24,FALSE)+VLOOKUP(C377,$B$8:$AJ$11,24,FALSE)*입력란!$C$29)*IF(G377="근접",입력란!$C$50,IF(MID(E377,1,1)="1",입력란!$C$50,입력란!$C$49))*입력란!$C$48/100</f>
        <v>47790.491095660829</v>
      </c>
      <c r="AP377" s="30"/>
      <c r="AQ377" s="29">
        <v>24</v>
      </c>
    </row>
    <row r="378" spans="2:43" ht="13.5" customHeight="1" x14ac:dyDescent="0.3">
      <c r="B378" s="31">
        <v>363</v>
      </c>
      <c r="C378" s="36">
        <v>10</v>
      </c>
      <c r="D378" s="43" t="s">
        <v>217</v>
      </c>
      <c r="E378" s="38" t="s">
        <v>198</v>
      </c>
      <c r="F378" s="40" t="s">
        <v>223</v>
      </c>
      <c r="G378" s="40" t="s">
        <v>203</v>
      </c>
      <c r="H378" s="52">
        <f t="shared" si="46"/>
        <v>50501.677828161977</v>
      </c>
      <c r="I378" s="53">
        <f>SUM(J378:Q378)*IF(입력란!$C$16=1,1.04,IF(입력란!$C$16=2,1.1,IF(입력란!$C$16=3,1.2,1)))*IF(입력란!$C$21=1,1+입력란!$C$38*0.001,IF(입력란!$C$21=2,1+입력란!$C$38*0.0022,IF(입력란!$C$21=3,1+입력란!$C$38*0.0045,1)))*IF(입력란!$C$18&lt;&gt;0,0.98,1)</f>
        <v>1197989.1344774044</v>
      </c>
      <c r="J378" s="30">
        <f>S378*(1+IF($AK378+IF(입력란!$C$9=1,10,0)+IF(입력란!$C$26=1,10,0)&gt;100,100,$AK378+IF(입력란!$C$9=1,10,0)+IF(입력란!$C$26=1,10,0))/100*($AL378/100-1))</f>
        <v>1197989.1344774044</v>
      </c>
      <c r="K378" s="30">
        <f>T378*(1+IF($AK378+IF(입력란!$C$9=1,10,0)+IF(입력란!$C$26=1,10,0)&gt;100,100,$AK378+IF(입력란!$C$9=1,10,0)+IF(입력란!$C$26=1,10,0))/100*($AL378/100-1))</f>
        <v>0</v>
      </c>
      <c r="L378" s="30"/>
      <c r="M378" s="30"/>
      <c r="N378" s="39"/>
      <c r="O378" s="39"/>
      <c r="P378" s="39"/>
      <c r="Q378" s="35"/>
      <c r="R378" s="24">
        <f t="shared" si="47"/>
        <v>986855.29225159029</v>
      </c>
      <c r="S378" s="30">
        <f>AN378*IF(G378="근접",IF(MID(E378,1,1)="3",트라이포드!$H$19,트라이포드!$G$19),1)*IF(MID(E378,1,1)="1",트라이포드!$D$19,트라이포드!$C$19)*IF(MID(E378,3,1)="1",트라이포드!$J$19,트라이포드!$I$19)*IF(MID(E378,3,1)="2",트라이포드!$L$19,트라이포드!$K$19)*IF(MID(E378,5,1)="1",트라이포드!$P$19,트라이포드!$O$19)*(1+입력란!$C$42/100)*IF(입력란!$C$9=1,IF(입력란!$C$15=0,1.05,IF(입력란!$C$15=1,1.05*1.05,IF(입력란!$C$15=2,1.05*1.12,IF(입력란!$C$15=3,1.05*1.25)))),1)</f>
        <v>986855.29225159029</v>
      </c>
      <c r="T378" s="30">
        <f>AO378*IF(G378="근접",IF(MID(E378,1,1)="3",트라이포드!$H$19,트라이포드!$G$19),1)*IF(MID(E378,1,1)="1",트라이포드!$D$19,트라이포드!$C$19)*IF(MID(E378,3,1)="1",트라이포드!$J$19,트라이포드!$I$19)*IF(MID(E378,3,1)="2",트라이포드!$L$19,트라이포드!$K$19)*IF(MID(E378,5,1)="1",0,IF(MID(E378,5,1)="2",트라이포드!$R$19,트라이포드!$Q$19))*(1+입력란!$C$42/100)*IF(입력란!$C$9=1,IF(입력란!$C$15=0,1.05,IF(입력란!$C$15=1,1.05*1.05,IF(입력란!$C$15=2,1.05*1.12,IF(입력란!$C$15=3,1.05*1.25)))),1)</f>
        <v>0</v>
      </c>
      <c r="U378" s="30"/>
      <c r="V378" s="30"/>
      <c r="W378" s="30"/>
      <c r="X378" s="39"/>
      <c r="Y378" s="39"/>
      <c r="Z378" s="27"/>
      <c r="AA378" s="30">
        <f t="shared" si="48"/>
        <v>1973710.5845031806</v>
      </c>
      <c r="AB378" s="30">
        <f t="shared" si="49"/>
        <v>1973710.5845031806</v>
      </c>
      <c r="AC378" s="30">
        <f t="shared" si="50"/>
        <v>0</v>
      </c>
      <c r="AD378" s="30"/>
      <c r="AE378" s="30"/>
      <c r="AF378" s="39"/>
      <c r="AG378" s="39"/>
      <c r="AH378" s="39"/>
      <c r="AI378" s="27"/>
      <c r="AJ378" s="26">
        <f>AQ378*(1-입력란!$C$35/100)</f>
        <v>23.72176897872</v>
      </c>
      <c r="AK3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8" s="26">
        <f>입력란!$C$47+IF(입력란!$C$18=1,10,IF(입력란!$C$18=2,25,IF(입력란!$C$18=3,50,0)))+IF(입력란!$C$23&lt;&gt;0,-12)</f>
        <v>200</v>
      </c>
      <c r="AM378" s="30">
        <f t="shared" si="51"/>
        <v>238944.70295789512</v>
      </c>
      <c r="AN378" s="30">
        <f>(VLOOKUP(C378,$B$4:$AJ$7,23,FALSE)+VLOOKUP(C378,$B$8:$AJ$11,23,FALSE)*입력란!$C$29)*IF(G378="근접",입력란!$C$50,IF(MID(E378,1,1)="1",입력란!$C$50,입력란!$C$49))*입력란!$C$48/100</f>
        <v>143363.72076657345</v>
      </c>
      <c r="AO378" s="30">
        <f>(VLOOKUP(C378,$B$4:$AJ$7,24,FALSE)+VLOOKUP(C378,$B$8:$AJ$11,24,FALSE)*입력란!$C$29)*IF(G378="근접",입력란!$C$50,IF(MID(E378,1,1)="1",입력란!$C$50,입력란!$C$49))*입력란!$C$48/100</f>
        <v>95580.982191321658</v>
      </c>
      <c r="AP378" s="30"/>
      <c r="AQ378" s="29">
        <v>24</v>
      </c>
    </row>
    <row r="379" spans="2:43" ht="13.5" customHeight="1" x14ac:dyDescent="0.3">
      <c r="B379" s="31">
        <v>364</v>
      </c>
      <c r="C379" s="36">
        <v>10</v>
      </c>
      <c r="D379" s="43" t="s">
        <v>217</v>
      </c>
      <c r="E379" s="38" t="s">
        <v>199</v>
      </c>
      <c r="F379" s="40" t="s">
        <v>223</v>
      </c>
      <c r="G379" s="40" t="s">
        <v>203</v>
      </c>
      <c r="H379" s="52">
        <f t="shared" si="46"/>
        <v>54110.891189487396</v>
      </c>
      <c r="I379" s="53">
        <f>SUM(J379:Q379)*IF(입력란!$C$16=1,1.04,IF(입력란!$C$16=2,1.1,IF(입력란!$C$16=3,1.2,1)))*IF(입력란!$C$21=1,1+입력란!$C$38*0.001,IF(입력란!$C$21=2,1+입력란!$C$38*0.0022,IF(입력란!$C$21=3,1+입력란!$C$38*0.0045,1)))*IF(입력란!$C$18&lt;&gt;0,0.98,1)</f>
        <v>1283606.0600296755</v>
      </c>
      <c r="J379" s="30">
        <f>S379*(1+IF($AK379+IF(입력란!$C$9=1,10,0)+IF(입력란!$C$26=1,10,0)&gt;100,100,$AK379+IF(입력란!$C$9=1,10,0)+IF(입력란!$C$26=1,10,0))/100*($AL379/100-1))</f>
        <v>427853.26231335878</v>
      </c>
      <c r="K379" s="30">
        <f>T379*(1+IF($AK379+IF(입력란!$C$9=1,10,0)+IF(입력란!$C$26=1,10,0)&gt;100,100,$AK379+IF(입력란!$C$9=1,10,0)+IF(입력란!$C$26=1,10,0))/100*($AL379/100-1))</f>
        <v>855752.79771631665</v>
      </c>
      <c r="L379" s="30"/>
      <c r="M379" s="30"/>
      <c r="N379" s="39"/>
      <c r="O379" s="39"/>
      <c r="P379" s="39"/>
      <c r="Q379" s="35"/>
      <c r="R379" s="24">
        <f t="shared" si="47"/>
        <v>1057383.0738949743</v>
      </c>
      <c r="S379" s="30">
        <f>AN379*IF(G379="근접",IF(MID(E379,1,1)="3",트라이포드!$H$19,트라이포드!$G$19),1)*IF(MID(E379,1,1)="1",트라이포드!$D$19,트라이포드!$C$19)*IF(MID(E379,3,1)="1",트라이포드!$J$19,트라이포드!$I$19)*IF(MID(E379,3,1)="2",트라이포드!$L$19,트라이포드!$K$19)*IF(MID(E379,5,1)="1",트라이포드!$P$19,트라이포드!$O$19)*(1+입력란!$C$42/100)*IF(입력란!$C$9=1,IF(입력란!$C$15=0,1.05,IF(입력란!$C$15=1,1.05*1.05,IF(입력란!$C$15=2,1.05*1.12,IF(입력란!$C$15=3,1.05*1.25)))),1)</f>
        <v>352448.31866128225</v>
      </c>
      <c r="T379" s="30">
        <f>AO379*IF(G379="근접",IF(MID(E379,1,1)="3",트라이포드!$H$19,트라이포드!$G$19),1)*IF(MID(E379,1,1)="1",트라이포드!$D$19,트라이포드!$C$19)*IF(MID(E379,3,1)="1",트라이포드!$J$19,트라이포드!$I$19)*IF(MID(E379,3,1)="2",트라이포드!$L$19,트라이포드!$K$19)*IF(MID(E379,5,1)="1",0,IF(MID(E379,5,1)="2",트라이포드!$R$19,트라이포드!$Q$19))*(1+입력란!$C$42/100)*IF(입력란!$C$9=1,IF(입력란!$C$15=0,1.05,IF(입력란!$C$15=1,1.05*1.05,IF(입력란!$C$15=2,1.05*1.12,IF(입력란!$C$15=3,1.05*1.25)))),1)</f>
        <v>704934.75523369201</v>
      </c>
      <c r="U379" s="30"/>
      <c r="V379" s="30"/>
      <c r="W379" s="30"/>
      <c r="X379" s="39"/>
      <c r="Y379" s="39"/>
      <c r="Z379" s="27"/>
      <c r="AA379" s="30">
        <f t="shared" si="48"/>
        <v>2114766.1477899486</v>
      </c>
      <c r="AB379" s="30">
        <f t="shared" si="49"/>
        <v>704896.63732256449</v>
      </c>
      <c r="AC379" s="30">
        <f t="shared" si="50"/>
        <v>1409869.510467384</v>
      </c>
      <c r="AD379" s="30"/>
      <c r="AE379" s="30"/>
      <c r="AF379" s="39"/>
      <c r="AG379" s="39"/>
      <c r="AH379" s="39"/>
      <c r="AI379" s="27"/>
      <c r="AJ379" s="26">
        <f>AQ379*(1-입력란!$C$35/100)</f>
        <v>23.72176897872</v>
      </c>
      <c r="AK37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79" s="26">
        <f>입력란!$C$47+IF(입력란!$C$18=1,10,IF(입력란!$C$18=2,25,IF(입력란!$C$18=3,50,0)))+IF(입력란!$C$23&lt;&gt;0,-12)</f>
        <v>200</v>
      </c>
      <c r="AM379" s="30">
        <f t="shared" si="51"/>
        <v>238944.70295789512</v>
      </c>
      <c r="AN379" s="30">
        <f>(VLOOKUP(C379,$B$4:$AJ$7,23,FALSE)+VLOOKUP(C379,$B$8:$AJ$11,23,FALSE)*입력란!$C$29)*IF(G379="근접",입력란!$C$50,IF(MID(E379,1,1)="1",입력란!$C$50,입력란!$C$49))*입력란!$C$48/100</f>
        <v>143363.72076657345</v>
      </c>
      <c r="AO379" s="30">
        <f>(VLOOKUP(C379,$B$4:$AJ$7,24,FALSE)+VLOOKUP(C379,$B$8:$AJ$11,24,FALSE)*입력란!$C$29)*IF(G379="근접",입력란!$C$50,IF(MID(E379,1,1)="1",입력란!$C$50,입력란!$C$49))*입력란!$C$48/100</f>
        <v>95580.982191321658</v>
      </c>
      <c r="AP379" s="30"/>
      <c r="AQ379" s="29">
        <v>24</v>
      </c>
    </row>
    <row r="380" spans="2:43" ht="13.5" customHeight="1" x14ac:dyDescent="0.3">
      <c r="B380" s="31">
        <v>365</v>
      </c>
      <c r="C380" s="36">
        <v>10</v>
      </c>
      <c r="D380" s="43" t="s">
        <v>217</v>
      </c>
      <c r="E380" s="38" t="s">
        <v>225</v>
      </c>
      <c r="F380" s="40" t="s">
        <v>223</v>
      </c>
      <c r="G380" s="40" t="s">
        <v>203</v>
      </c>
      <c r="H380" s="52">
        <f t="shared" si="46"/>
        <v>22955.308103709987</v>
      </c>
      <c r="I380" s="53">
        <f>SUM(J380:Q380)*IF(입력란!$C$16=1,1.04,IF(입력란!$C$16=2,1.1,IF(입력란!$C$16=3,1.2,1)))*IF(입력란!$C$21=1,1+입력란!$C$38*0.001,IF(입력란!$C$21=2,1+입력란!$C$38*0.0022,IF(입력란!$C$21=3,1+입력란!$C$38*0.0045,1)))*IF(입력란!$C$18&lt;&gt;0,0.98,1)</f>
        <v>544540.51567154739</v>
      </c>
      <c r="J380" s="30">
        <f>S380*(1+IF($AK380+IF(입력란!$C$9=1,10,0)+IF(입력란!$C$26=1,10,0)&gt;100,100,$AK380+IF(입력란!$C$9=1,10,0)+IF(입력란!$C$26=1,10,0))/100*($AL380/100-1))</f>
        <v>544540.51567154739</v>
      </c>
      <c r="K380" s="30">
        <f>T380*(1+IF($AK380+IF(입력란!$C$9=1,10,0)+IF(입력란!$C$26=1,10,0)&gt;100,100,$AK380+IF(입력란!$C$9=1,10,0)+IF(입력란!$C$26=1,10,0))/100*($AL380/100-1))</f>
        <v>0</v>
      </c>
      <c r="L380" s="30"/>
      <c r="M380" s="30"/>
      <c r="N380" s="39"/>
      <c r="O380" s="39"/>
      <c r="P380" s="39"/>
      <c r="Q380" s="35"/>
      <c r="R380" s="24">
        <f t="shared" si="47"/>
        <v>448570.58738708642</v>
      </c>
      <c r="S380" s="30">
        <f>AN380*IF(G380="근접",IF(MID(E380,1,1)="3",트라이포드!$H$19,트라이포드!$G$19),1)*IF(MID(E380,1,1)="1",트라이포드!$D$19,트라이포드!$C$19)*IF(MID(E380,3,1)="1",트라이포드!$J$19,트라이포드!$I$19)*IF(MID(E380,3,1)="2",트라이포드!$L$19,트라이포드!$K$19)*IF(MID(E380,5,1)="1",트라이포드!$P$19,트라이포드!$O$19)*(1+입력란!$C$42/100)*IF(입력란!$C$9=1,IF(입력란!$C$15=0,1.05,IF(입력란!$C$15=1,1.05*1.05,IF(입력란!$C$15=2,1.05*1.12,IF(입력란!$C$15=3,1.05*1.25)))),1)</f>
        <v>448570.58738708642</v>
      </c>
      <c r="T380" s="30">
        <f>AO380*IF(G380="근접",IF(MID(E380,1,1)="3",트라이포드!$H$19,트라이포드!$G$19),1)*IF(MID(E380,1,1)="1",트라이포드!$D$19,트라이포드!$C$19)*IF(MID(E380,3,1)="1",트라이포드!$J$19,트라이포드!$I$19)*IF(MID(E380,3,1)="2",트라이포드!$L$19,트라이포드!$K$19)*IF(MID(E380,5,1)="1",0,IF(MID(E380,5,1)="2",트라이포드!$R$19,트라이포드!$Q$19))*(1+입력란!$C$42/100)*IF(입력란!$C$9=1,IF(입력란!$C$15=0,1.05,IF(입력란!$C$15=1,1.05*1.05,IF(입력란!$C$15=2,1.05*1.12,IF(입력란!$C$15=3,1.05*1.25)))),1)</f>
        <v>0</v>
      </c>
      <c r="U380" s="30"/>
      <c r="V380" s="30"/>
      <c r="W380" s="30"/>
      <c r="X380" s="39"/>
      <c r="Y380" s="39"/>
      <c r="Z380" s="27"/>
      <c r="AA380" s="30">
        <f t="shared" si="48"/>
        <v>897141.17477417283</v>
      </c>
      <c r="AB380" s="30">
        <f t="shared" si="49"/>
        <v>897141.17477417283</v>
      </c>
      <c r="AC380" s="30">
        <f t="shared" si="50"/>
        <v>0</v>
      </c>
      <c r="AD380" s="30"/>
      <c r="AE380" s="30"/>
      <c r="AF380" s="39"/>
      <c r="AG380" s="39"/>
      <c r="AH380" s="39"/>
      <c r="AI380" s="27"/>
      <c r="AJ380" s="26">
        <f>AQ380*(1-입력란!$C$35/100)</f>
        <v>23.72176897872</v>
      </c>
      <c r="AK38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0" s="26">
        <f>입력란!$C$47+IF(입력란!$C$18=1,10,IF(입력란!$C$18=2,25,IF(입력란!$C$18=3,50,0)))+IF(입력란!$C$23&lt;&gt;0,-12)</f>
        <v>200</v>
      </c>
      <c r="AM380" s="30">
        <f t="shared" si="51"/>
        <v>119472.35147894756</v>
      </c>
      <c r="AN380" s="30">
        <f>(VLOOKUP(C380,$B$4:$AJ$7,23,FALSE)+VLOOKUP(C380,$B$8:$AJ$11,23,FALSE)*입력란!$C$29)*IF(G380="근접",입력란!$C$50,IF(MID(E380,1,1)="1",입력란!$C$50,입력란!$C$49))*입력란!$C$48/100</f>
        <v>71681.860383286723</v>
      </c>
      <c r="AO380" s="30">
        <f>(VLOOKUP(C380,$B$4:$AJ$7,24,FALSE)+VLOOKUP(C380,$B$8:$AJ$11,24,FALSE)*입력란!$C$29)*IF(G380="근접",입력란!$C$50,IF(MID(E380,1,1)="1",입력란!$C$50,입력란!$C$49))*입력란!$C$48/100</f>
        <v>47790.491095660829</v>
      </c>
      <c r="AP380" s="30"/>
      <c r="AQ380" s="29">
        <v>24</v>
      </c>
    </row>
    <row r="381" spans="2:43" ht="13.5" customHeight="1" x14ac:dyDescent="0.3">
      <c r="B381" s="31">
        <v>366</v>
      </c>
      <c r="C381" s="36">
        <v>10</v>
      </c>
      <c r="D381" s="43" t="s">
        <v>217</v>
      </c>
      <c r="E381" s="38" t="s">
        <v>226</v>
      </c>
      <c r="F381" s="40" t="s">
        <v>223</v>
      </c>
      <c r="G381" s="40" t="s">
        <v>203</v>
      </c>
      <c r="H381" s="52">
        <f t="shared" si="46"/>
        <v>24595.859631585176</v>
      </c>
      <c r="I381" s="53">
        <f>SUM(J381:Q381)*IF(입력란!$C$16=1,1.04,IF(입력란!$C$16=2,1.1,IF(입력란!$C$16=3,1.2,1)))*IF(입력란!$C$21=1,1+입력란!$C$38*0.001,IF(입력란!$C$21=2,1+입력란!$C$38*0.0022,IF(입력란!$C$21=3,1+입력란!$C$38*0.0045,1)))*IF(입력란!$C$18&lt;&gt;0,0.98,1)</f>
        <v>583457.30001348874</v>
      </c>
      <c r="J381" s="30">
        <f>S381*(1+IF($AK381+IF(입력란!$C$9=1,10,0)+IF(입력란!$C$26=1,10,0)&gt;100,100,$AK381+IF(입력란!$C$9=1,10,0)+IF(입력란!$C$26=1,10,0))/100*($AL381/100-1))</f>
        <v>194478.75559698124</v>
      </c>
      <c r="K381" s="30">
        <f>T381*(1+IF($AK381+IF(입력란!$C$9=1,10,0)+IF(입력란!$C$26=1,10,0)&gt;100,100,$AK381+IF(입력란!$C$9=1,10,0)+IF(입력란!$C$26=1,10,0))/100*($AL381/100-1))</f>
        <v>388978.54441650753</v>
      </c>
      <c r="L381" s="30"/>
      <c r="M381" s="30"/>
      <c r="N381" s="39"/>
      <c r="O381" s="39"/>
      <c r="P381" s="39"/>
      <c r="Q381" s="35"/>
      <c r="R381" s="24">
        <f t="shared" si="47"/>
        <v>480628.66995226097</v>
      </c>
      <c r="S381" s="30">
        <f>AN381*IF(G381="근접",IF(MID(E381,1,1)="3",트라이포드!$H$19,트라이포드!$G$19),1)*IF(MID(E381,1,1)="1",트라이포드!$D$19,트라이포드!$C$19)*IF(MID(E381,3,1)="1",트라이포드!$J$19,트라이포드!$I$19)*IF(MID(E381,3,1)="2",트라이포드!$L$19,트라이포드!$K$19)*IF(MID(E381,5,1)="1",트라이포드!$P$19,트라이포드!$O$19)*(1+입력란!$C$42/100)*IF(입력란!$C$9=1,IF(입력란!$C$15=0,1.05,IF(입력란!$C$15=1,1.05*1.05,IF(입력란!$C$15=2,1.05*1.12,IF(입력란!$C$15=3,1.05*1.25)))),1)</f>
        <v>160203.78120967373</v>
      </c>
      <c r="T381" s="30">
        <f>AO381*IF(G381="근접",IF(MID(E381,1,1)="3",트라이포드!$H$19,트라이포드!$G$19),1)*IF(MID(E381,1,1)="1",트라이포드!$D$19,트라이포드!$C$19)*IF(MID(E381,3,1)="1",트라이포드!$J$19,트라이포드!$I$19)*IF(MID(E381,3,1)="2",트라이포드!$L$19,트라이포드!$K$19)*IF(MID(E381,5,1)="1",0,IF(MID(E381,5,1)="2",트라이포드!$R$19,트라이포드!$Q$19))*(1+입력란!$C$42/100)*IF(입력란!$C$9=1,IF(입력란!$C$15=0,1.05,IF(입력란!$C$15=1,1.05*1.05,IF(입력란!$C$15=2,1.05*1.12,IF(입력란!$C$15=3,1.05*1.25)))),1)</f>
        <v>320424.88874258724</v>
      </c>
      <c r="U381" s="30"/>
      <c r="V381" s="30"/>
      <c r="W381" s="30"/>
      <c r="X381" s="39"/>
      <c r="Y381" s="39"/>
      <c r="Z381" s="27"/>
      <c r="AA381" s="30">
        <f t="shared" si="48"/>
        <v>961257.33990452194</v>
      </c>
      <c r="AB381" s="30">
        <f t="shared" si="49"/>
        <v>320407.56241934747</v>
      </c>
      <c r="AC381" s="30">
        <f t="shared" si="50"/>
        <v>640849.77748517448</v>
      </c>
      <c r="AD381" s="30"/>
      <c r="AE381" s="30"/>
      <c r="AF381" s="39"/>
      <c r="AG381" s="39"/>
      <c r="AH381" s="39"/>
      <c r="AI381" s="27"/>
      <c r="AJ381" s="26">
        <f>AQ381*(1-입력란!$C$35/100)</f>
        <v>23.72176897872</v>
      </c>
      <c r="AK38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1" s="26">
        <f>입력란!$C$47+IF(입력란!$C$18=1,10,IF(입력란!$C$18=2,25,IF(입력란!$C$18=3,50,0)))+IF(입력란!$C$23&lt;&gt;0,-12)</f>
        <v>200</v>
      </c>
      <c r="AM381" s="30">
        <f t="shared" si="51"/>
        <v>119472.35147894756</v>
      </c>
      <c r="AN381" s="30">
        <f>(VLOOKUP(C381,$B$4:$AJ$7,23,FALSE)+VLOOKUP(C381,$B$8:$AJ$11,23,FALSE)*입력란!$C$29)*IF(G381="근접",입력란!$C$50,IF(MID(E381,1,1)="1",입력란!$C$50,입력란!$C$49))*입력란!$C$48/100</f>
        <v>71681.860383286723</v>
      </c>
      <c r="AO381" s="30">
        <f>(VLOOKUP(C381,$B$4:$AJ$7,24,FALSE)+VLOOKUP(C381,$B$8:$AJ$11,24,FALSE)*입력란!$C$29)*IF(G381="근접",입력란!$C$50,IF(MID(E381,1,1)="1",입력란!$C$50,입력란!$C$49))*입력란!$C$48/100</f>
        <v>47790.491095660829</v>
      </c>
      <c r="AP381" s="30"/>
      <c r="AQ381" s="29">
        <v>24</v>
      </c>
    </row>
    <row r="382" spans="2:43" ht="13.5" customHeight="1" x14ac:dyDescent="0.3">
      <c r="B382" s="31">
        <v>367</v>
      </c>
      <c r="C382" s="36">
        <v>1</v>
      </c>
      <c r="D382" s="43" t="s">
        <v>227</v>
      </c>
      <c r="E382" s="38" t="s">
        <v>186</v>
      </c>
      <c r="F382" s="40"/>
      <c r="G382" s="40"/>
      <c r="H382" s="81">
        <f t="shared" si="46"/>
        <v>13938.691347193484</v>
      </c>
      <c r="I382" s="53">
        <f>SUM(J382:Q382)*IF(입력란!$C$16=1,1.04,IF(입력란!$C$16=2,1.1,IF(입력란!$C$16=3,1.2,1)))*IF(입력란!$C$21=1,1+입력란!$C$38*0.001,IF(입력란!$C$21=2,1+입력란!$C$38*0.0022,IF(입력란!$C$21=3,1+입력란!$C$38*0.0045,1)))*IF(입력란!$C$18&lt;&gt;0,0.98,1)</f>
        <v>495975.62400571088</v>
      </c>
      <c r="J382" s="30">
        <f>S382*(1+IF($AK382+IF(입력란!$C$10=1,0,IF(입력란!$C$9=1,10,0))+IF(입력란!$C$26=1,10,0)&gt;100,100,$AK382+IF(입력란!$C$10=1,0,IF(입력란!$C$9=1,10,0))+IF(입력란!$C$26=1,10,0))/100*($AL382/100-1))</f>
        <v>495975.62400571088</v>
      </c>
      <c r="K382" s="30">
        <f>T382*(1+IF($AK382+IF(입력란!$C$26=1,10,0)&gt;100,100,$AK382+IF(입력란!$C$26=1,10,0))/100*($AL382/100-1))</f>
        <v>0</v>
      </c>
      <c r="L382" s="30"/>
      <c r="M382" s="30"/>
      <c r="N382" s="39"/>
      <c r="O382" s="39"/>
      <c r="P382" s="39"/>
      <c r="Q382" s="35">
        <f>Z382*(1+IF($AK382+IF(입력란!$C$26=1,10,0)&gt;100,100,$AK382+IF(입력란!$C$26=1,10,0))/100*($AL382/100-1))</f>
        <v>0</v>
      </c>
      <c r="R382" s="24">
        <f t="shared" si="47"/>
        <v>408564.7818428126</v>
      </c>
      <c r="S382" s="30">
        <f>AN382*IF(MID(E382,3,1)="2",트라이포드!$L$20,트라이포드!$K$20)*IF(MID(E382,3,1)="3",트라이포드!$N$20,트라이포드!$M$20)*IF(MID(E382,5,1)="1",트라이포드!$P$20,트라이포드!$O$20)*IF(MID(E382,5,1)="2",트라이포드!$R$20,트라이포드!$Q$20)*(1+입력란!$C$42/100)*IF(입력란!$C$10=1,1.2,IF(입력란!$C$9=1,IF(입력란!$C$15=0,1.05,IF(입력란!$C$15=1,1.05*1.05,IF(입력란!$C$15=2,1.05*1.12,IF(입력란!$C$15=3,1.05*1.25)))),1))</f>
        <v>408564.7818428126</v>
      </c>
      <c r="T382" s="30">
        <f>AN382*IF(MID(E382,3,1)="1",트라이포드!$J$20,트라이포드!$I$20)*IF(MID(E382,5,1)="1",2,1)*(1+입력란!$C$42/100)</f>
        <v>0</v>
      </c>
      <c r="U382" s="30"/>
      <c r="V382" s="30"/>
      <c r="W382" s="30"/>
      <c r="X382" s="39"/>
      <c r="Y382" s="39"/>
      <c r="Z382" s="27">
        <f>AN382*IF(MID(E382,1,1)="2",트라이포드!$F$20,트라이포드!$E$20)*IF(MID(E382,5,1)="1",2,1)*(1+입력란!$C$42/100)</f>
        <v>0</v>
      </c>
      <c r="AA382" s="30">
        <f t="shared" si="48"/>
        <v>817129.56368562521</v>
      </c>
      <c r="AB382" s="30">
        <f t="shared" si="49"/>
        <v>817129.56368562521</v>
      </c>
      <c r="AC382" s="30">
        <f t="shared" si="50"/>
        <v>0</v>
      </c>
      <c r="AD382" s="30"/>
      <c r="AE382" s="30"/>
      <c r="AF382" s="39"/>
      <c r="AG382" s="39"/>
      <c r="AH382" s="39"/>
      <c r="AI382" s="27">
        <f t="shared" ref="AI382:AI413" si="52">Z382*2</f>
        <v>0</v>
      </c>
      <c r="AJ382" s="26">
        <f>(AQ382-IF(MID(E382,1,1)="1",트라이포드!$D$20,트라이포드!$C$20))*(1-입력란!$C$35/100)</f>
        <v>35.582653468079997</v>
      </c>
      <c r="AK38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2" s="26">
        <f>입력란!$C$47+IF(입력란!$C$18=1,10,IF(입력란!$C$18=2,25,IF(입력란!$C$18=3,50,0)))+IF(입력란!$C$23&lt;&gt;0,-12)</f>
        <v>200</v>
      </c>
      <c r="AM382" s="30">
        <f t="shared" si="51"/>
        <v>255932.51794572789</v>
      </c>
      <c r="AN382" s="30">
        <f>(VLOOKUP(C382,$B$4:$AJ$7,25,FALSE)+VLOOKUP(C382,$B$8:$AJ$11,25,FALSE)*입력란!$C$29)*입력란!$C$48/100</f>
        <v>255932.51794572789</v>
      </c>
      <c r="AO382" s="30"/>
      <c r="AP382" s="30"/>
      <c r="AQ382" s="23">
        <v>36</v>
      </c>
    </row>
    <row r="383" spans="2:43" ht="13.5" customHeight="1" x14ac:dyDescent="0.3">
      <c r="B383" s="31">
        <v>368</v>
      </c>
      <c r="C383" s="36">
        <v>4</v>
      </c>
      <c r="D383" s="43" t="s">
        <v>227</v>
      </c>
      <c r="E383" s="38" t="s">
        <v>186</v>
      </c>
      <c r="F383" s="40"/>
      <c r="G383" s="40"/>
      <c r="H383" s="81">
        <f t="shared" si="46"/>
        <v>13968.664666465695</v>
      </c>
      <c r="I383" s="53">
        <f>SUM(J383:Q383)*IF(입력란!$C$16=1,1.04,IF(입력란!$C$16=2,1.1,IF(입력란!$C$16=3,1.2,1)))*IF(입력란!$C$21=1,1+입력란!$C$38*0.001,IF(입력란!$C$21=2,1+입력란!$C$38*0.0022,IF(입력란!$C$21=3,1+입력란!$C$38*0.0045,1)))*IF(입력란!$C$18&lt;&gt;0,0.98,1)</f>
        <v>497042.15423866204</v>
      </c>
      <c r="J383" s="30">
        <f>S383*(1+IF($AK383+IF(입력란!$C$10=1,0,IF(입력란!$C$9=1,10,0))+IF(입력란!$C$26=1,10,0)&gt;100,100,$AK383+IF(입력란!$C$10=1,0,IF(입력란!$C$9=1,10,0))+IF(입력란!$C$26=1,10,0))/100*($AL383/100-1))</f>
        <v>497042.15423866204</v>
      </c>
      <c r="K383" s="30">
        <f>T383*(1+IF($AK383+IF(입력란!$C$26=1,10,0)&gt;100,100,$AK383+IF(입력란!$C$26=1,10,0))/100*($AL383/100-1))</f>
        <v>0</v>
      </c>
      <c r="L383" s="30"/>
      <c r="M383" s="30"/>
      <c r="N383" s="39"/>
      <c r="O383" s="39"/>
      <c r="P383" s="39"/>
      <c r="Q383" s="35">
        <f>Z383*(1+IF($AK383+IF(입력란!$C$26=1,10,0)&gt;100,100,$AK383+IF(입력란!$C$26=1,10,0))/100*($AL383/100-1))</f>
        <v>0</v>
      </c>
      <c r="R383" s="24">
        <f t="shared" si="47"/>
        <v>409443.3465763678</v>
      </c>
      <c r="S383" s="30">
        <f>AN383*IF(MID(E383,3,1)="2",트라이포드!$L$20,트라이포드!$K$20)*IF(MID(E383,3,1)="3",트라이포드!$N$20,트라이포드!$M$20)*IF(MID(E383,5,1)="1",트라이포드!$P$20,트라이포드!$O$20)*IF(MID(E383,5,1)="2",트라이포드!$R$20,트라이포드!$Q$20)*(1+입력란!$C$42/100)*IF(입력란!$C$10=1,1.2,IF(입력란!$C$9=1,IF(입력란!$C$15=0,1.05,IF(입력란!$C$15=1,1.05*1.05,IF(입력란!$C$15=2,1.05*1.12,IF(입력란!$C$15=3,1.05*1.25)))),1))</f>
        <v>409443.3465763678</v>
      </c>
      <c r="T383" s="30">
        <f>AN383*IF(MID(E383,3,1)="1",트라이포드!$J$20,트라이포드!$I$20)*IF(MID(E383,5,1)="1",2,1)*(1+입력란!$C$42/100)</f>
        <v>0</v>
      </c>
      <c r="U383" s="30"/>
      <c r="V383" s="30"/>
      <c r="W383" s="30"/>
      <c r="X383" s="39"/>
      <c r="Y383" s="39"/>
      <c r="Z383" s="27">
        <f>AN383*IF(MID(E383,1,1)="2",트라이포드!$F$20,트라이포드!$E$20)*IF(MID(E383,5,1)="1",2,1)*(1+입력란!$C$42/100)</f>
        <v>0</v>
      </c>
      <c r="AA383" s="30">
        <f t="shared" si="48"/>
        <v>818886.69315273559</v>
      </c>
      <c r="AB383" s="30">
        <f t="shared" si="49"/>
        <v>818886.69315273559</v>
      </c>
      <c r="AC383" s="30">
        <f t="shared" si="50"/>
        <v>0</v>
      </c>
      <c r="AD383" s="30"/>
      <c r="AE383" s="30"/>
      <c r="AF383" s="39"/>
      <c r="AG383" s="39"/>
      <c r="AH383" s="39"/>
      <c r="AI383" s="27">
        <f t="shared" si="52"/>
        <v>0</v>
      </c>
      <c r="AJ383" s="26">
        <f>(AQ383-IF(MID(E383,1,1)="1",트라이포드!$D$20,트라이포드!$C$20))*(1-입력란!$C$35/100)</f>
        <v>35.582653468079997</v>
      </c>
      <c r="AK38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3" s="26">
        <f>입력란!$C$47+IF(입력란!$C$18=1,10,IF(입력란!$C$18=2,25,IF(입력란!$C$18=3,50,0)))+IF(입력란!$C$23&lt;&gt;0,-12)</f>
        <v>200</v>
      </c>
      <c r="AM383" s="30">
        <f t="shared" si="51"/>
        <v>256482.86710559161</v>
      </c>
      <c r="AN383" s="30">
        <f>(VLOOKUP(C383,$B$4:$AJ$7,25,FALSE)+VLOOKUP(C383,$B$8:$AJ$11,25,FALSE)*입력란!$C$29)*입력란!$C$48/100</f>
        <v>256482.86710559161</v>
      </c>
      <c r="AO383" s="30"/>
      <c r="AP383" s="30"/>
      <c r="AQ383" s="23">
        <v>36</v>
      </c>
    </row>
    <row r="384" spans="2:43" ht="13.5" customHeight="1" x14ac:dyDescent="0.3">
      <c r="B384" s="31">
        <v>369</v>
      </c>
      <c r="C384" s="36">
        <v>4</v>
      </c>
      <c r="D384" s="43" t="s">
        <v>227</v>
      </c>
      <c r="E384" s="38" t="s">
        <v>187</v>
      </c>
      <c r="F384" s="40"/>
      <c r="G384" s="40"/>
      <c r="H384" s="81">
        <f t="shared" si="46"/>
        <v>17340.411310095344</v>
      </c>
      <c r="I384" s="53">
        <f>SUM(J384:Q384)*IF(입력란!$C$16=1,1.04,IF(입력란!$C$16=2,1.1,IF(입력란!$C$16=3,1.2,1)))*IF(입력란!$C$21=1,1+입력란!$C$38*0.001,IF(입력란!$C$21=2,1+입력란!$C$38*0.0022,IF(입력란!$C$21=3,1+입력란!$C$38*0.0045,1)))*IF(입력란!$C$18&lt;&gt;0,0.98,1)</f>
        <v>497042.15423866204</v>
      </c>
      <c r="J384" s="30">
        <f>S384*(1+IF($AK384+IF(입력란!$C$10=1,0,IF(입력란!$C$9=1,10,0))+IF(입력란!$C$26=1,10,0)&gt;100,100,$AK384+IF(입력란!$C$10=1,0,IF(입력란!$C$9=1,10,0))+IF(입력란!$C$26=1,10,0))/100*($AL384/100-1))</f>
        <v>497042.15423866204</v>
      </c>
      <c r="K384" s="30">
        <f>T384*(1+IF($AK384+IF(입력란!$C$26=1,10,0)&gt;100,100,$AK384+IF(입력란!$C$26=1,10,0))/100*($AL384/100-1))</f>
        <v>0</v>
      </c>
      <c r="L384" s="30"/>
      <c r="M384" s="30"/>
      <c r="N384" s="39"/>
      <c r="O384" s="39"/>
      <c r="P384" s="39"/>
      <c r="Q384" s="35">
        <f>Z384*(1+IF($AK384+IF(입력란!$C$26=1,10,0)&gt;100,100,$AK384+IF(입력란!$C$26=1,10,0))/100*($AL384/100-1))</f>
        <v>0</v>
      </c>
      <c r="R384" s="24">
        <f t="shared" si="47"/>
        <v>409443.3465763678</v>
      </c>
      <c r="S384" s="30">
        <f>AN384*IF(MID(E384,3,1)="2",트라이포드!$L$20,트라이포드!$K$20)*IF(MID(E384,3,1)="3",트라이포드!$N$20,트라이포드!$M$20)*IF(MID(E384,5,1)="1",트라이포드!$P$20,트라이포드!$O$20)*IF(MID(E384,5,1)="2",트라이포드!$R$20,트라이포드!$Q$20)*(1+입력란!$C$42/100)*IF(입력란!$C$10=1,1.2,IF(입력란!$C$9=1,IF(입력란!$C$15=0,1.05,IF(입력란!$C$15=1,1.05*1.05,IF(입력란!$C$15=2,1.05*1.12,IF(입력란!$C$15=3,1.05*1.25)))),1))</f>
        <v>409443.3465763678</v>
      </c>
      <c r="T384" s="30">
        <f>AN384*IF(MID(E384,3,1)="1",트라이포드!$J$20,트라이포드!$I$20)*IF(MID(E384,5,1)="1",2,1)*(1+입력란!$C$42/100)</f>
        <v>0</v>
      </c>
      <c r="U384" s="30"/>
      <c r="V384" s="30"/>
      <c r="W384" s="30"/>
      <c r="X384" s="39"/>
      <c r="Y384" s="39"/>
      <c r="Z384" s="27">
        <f>AN384*IF(MID(E384,1,1)="2",트라이포드!$F$20,트라이포드!$E$20)*IF(MID(E384,5,1)="1",2,1)*(1+입력란!$C$42/100)</f>
        <v>0</v>
      </c>
      <c r="AA384" s="30">
        <f t="shared" si="48"/>
        <v>818886.69315273559</v>
      </c>
      <c r="AB384" s="30">
        <f t="shared" si="49"/>
        <v>818886.69315273559</v>
      </c>
      <c r="AC384" s="30">
        <f t="shared" si="50"/>
        <v>0</v>
      </c>
      <c r="AD384" s="30"/>
      <c r="AE384" s="30"/>
      <c r="AF384" s="39"/>
      <c r="AG384" s="39"/>
      <c r="AH384" s="39"/>
      <c r="AI384" s="27">
        <f t="shared" si="52"/>
        <v>0</v>
      </c>
      <c r="AJ384" s="26">
        <f>(AQ384-IF(MID(E384,1,1)="1",트라이포드!$D$20,트라이포드!$C$20))*(1-입력란!$C$35/100)</f>
        <v>28.663804182619998</v>
      </c>
      <c r="AK38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4" s="26">
        <f>입력란!$C$47+IF(입력란!$C$18=1,10,IF(입력란!$C$18=2,25,IF(입력란!$C$18=3,50,0)))+IF(입력란!$C$23&lt;&gt;0,-12)</f>
        <v>200</v>
      </c>
      <c r="AM384" s="30">
        <f t="shared" si="51"/>
        <v>256482.86710559161</v>
      </c>
      <c r="AN384" s="30">
        <f>(VLOOKUP(C384,$B$4:$AJ$7,25,FALSE)+VLOOKUP(C384,$B$8:$AJ$11,25,FALSE)*입력란!$C$29)*입력란!$C$48/100</f>
        <v>256482.86710559161</v>
      </c>
      <c r="AO384" s="30"/>
      <c r="AP384" s="30"/>
      <c r="AQ384" s="23">
        <v>36</v>
      </c>
    </row>
    <row r="385" spans="2:43" ht="13.5" customHeight="1" x14ac:dyDescent="0.3">
      <c r="B385" s="31">
        <v>370</v>
      </c>
      <c r="C385" s="36">
        <v>4</v>
      </c>
      <c r="D385" s="43" t="s">
        <v>227</v>
      </c>
      <c r="E385" s="38" t="s">
        <v>205</v>
      </c>
      <c r="F385" s="40" t="s">
        <v>222</v>
      </c>
      <c r="G385" s="40"/>
      <c r="H385" s="81">
        <f t="shared" si="46"/>
        <v>16762.397599758831</v>
      </c>
      <c r="I385" s="53">
        <f>SUM(J385:Q385)*IF(입력란!$C$16=1,1.04,IF(입력란!$C$16=2,1.1,IF(입력란!$C$16=3,1.2,1)))*IF(입력란!$C$21=1,1+입력란!$C$38*0.001,IF(입력란!$C$21=2,1+입력란!$C$38*0.0022,IF(입력란!$C$21=3,1+입력란!$C$38*0.0045,1)))*IF(입력란!$C$18&lt;&gt;0,0.98,1)</f>
        <v>596450.58508639445</v>
      </c>
      <c r="J385" s="30">
        <f>S385*(1+IF($AK385+IF(입력란!$C$10=1,0,IF(입력란!$C$9=1,10,0))+IF(입력란!$C$26=1,10,0)&gt;100,100,$AK385+IF(입력란!$C$10=1,0,IF(입력란!$C$9=1,10,0))+IF(입력란!$C$26=1,10,0))/100*($AL385/100-1))</f>
        <v>497042.15423866204</v>
      </c>
      <c r="K385" s="30">
        <f>T385*(1+IF($AK385+IF(입력란!$C$26=1,10,0)&gt;100,100,$AK385+IF(입력란!$C$26=1,10,0))/100*($AL385/100-1))</f>
        <v>0</v>
      </c>
      <c r="L385" s="30"/>
      <c r="M385" s="30"/>
      <c r="N385" s="39"/>
      <c r="O385" s="39"/>
      <c r="P385" s="39"/>
      <c r="Q385" s="35">
        <f>Z385*(1+IF($AK385+IF(입력란!$C$26=1,10,0)&gt;100,100,$AK385+IF(입력란!$C$26=1,10,0))/100*($AL385/100-1))</f>
        <v>99408.430847732394</v>
      </c>
      <c r="R385" s="24">
        <f t="shared" si="47"/>
        <v>491332.01589164138</v>
      </c>
      <c r="S385" s="30">
        <f>AN385*IF(MID(E385,3,1)="2",트라이포드!$L$20,트라이포드!$K$20)*IF(MID(E385,3,1)="3",트라이포드!$N$20,트라이포드!$M$20)*IF(MID(E385,5,1)="1",트라이포드!$P$20,트라이포드!$O$20)*IF(MID(E385,5,1)="2",트라이포드!$R$20,트라이포드!$Q$20)*(1+입력란!$C$42/100)*IF(입력란!$C$10=1,1.2,IF(입력란!$C$9=1,IF(입력란!$C$15=0,1.05,IF(입력란!$C$15=1,1.05*1.05,IF(입력란!$C$15=2,1.05*1.12,IF(입력란!$C$15=3,1.05*1.25)))),1))</f>
        <v>409443.3465763678</v>
      </c>
      <c r="T385" s="30">
        <f>AN385*IF(MID(E385,3,1)="1",트라이포드!$J$20,트라이포드!$I$20)*IF(MID(E385,5,1)="1",2,1)*(1+입력란!$C$42/100)</f>
        <v>0</v>
      </c>
      <c r="U385" s="30"/>
      <c r="V385" s="30"/>
      <c r="W385" s="30"/>
      <c r="X385" s="39"/>
      <c r="Y385" s="39"/>
      <c r="Z385" s="27">
        <f>AN385*IF(MID(E385,1,1)="2",트라이포드!$F$20,트라이포드!$E$20)*IF(MID(E385,5,1)="1",2,1)*(1+입력란!$C$42/100)</f>
        <v>81888.669315273553</v>
      </c>
      <c r="AA385" s="30">
        <f t="shared" si="48"/>
        <v>982664.03178328276</v>
      </c>
      <c r="AB385" s="30">
        <f t="shared" si="49"/>
        <v>818886.69315273559</v>
      </c>
      <c r="AC385" s="30">
        <f t="shared" si="50"/>
        <v>0</v>
      </c>
      <c r="AD385" s="30"/>
      <c r="AE385" s="30"/>
      <c r="AF385" s="39"/>
      <c r="AG385" s="39"/>
      <c r="AH385" s="39"/>
      <c r="AI385" s="27">
        <f t="shared" si="52"/>
        <v>163777.33863054711</v>
      </c>
      <c r="AJ385" s="26">
        <f>(AQ385-IF(MID(E385,1,1)="1",트라이포드!$D$20,트라이포드!$C$20))*(1-입력란!$C$35/100)</f>
        <v>35.582653468079997</v>
      </c>
      <c r="AK38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5" s="26">
        <f>입력란!$C$47+IF(입력란!$C$18=1,10,IF(입력란!$C$18=2,25,IF(입력란!$C$18=3,50,0)))+IF(입력란!$C$23&lt;&gt;0,-12)</f>
        <v>200</v>
      </c>
      <c r="AM385" s="30">
        <f t="shared" si="51"/>
        <v>256482.86710559161</v>
      </c>
      <c r="AN385" s="30">
        <f>(VLOOKUP(C385,$B$4:$AJ$7,25,FALSE)+VLOOKUP(C385,$B$8:$AJ$11,25,FALSE)*입력란!$C$29)*입력란!$C$48/100</f>
        <v>256482.86710559161</v>
      </c>
      <c r="AO385" s="30"/>
      <c r="AP385" s="30"/>
      <c r="AQ385" s="23">
        <v>36</v>
      </c>
    </row>
    <row r="386" spans="2:43" ht="13.5" customHeight="1" x14ac:dyDescent="0.3">
      <c r="B386" s="31">
        <v>371</v>
      </c>
      <c r="C386" s="36">
        <v>7</v>
      </c>
      <c r="D386" s="43" t="s">
        <v>227</v>
      </c>
      <c r="E386" s="38" t="s">
        <v>186</v>
      </c>
      <c r="F386" s="40"/>
      <c r="G386" s="40"/>
      <c r="H386" s="81">
        <f t="shared" si="46"/>
        <v>13982.672387888799</v>
      </c>
      <c r="I386" s="53">
        <f>SUM(J386:Q386)*IF(입력란!$C$16=1,1.04,IF(입력란!$C$16=2,1.1,IF(입력란!$C$16=3,1.2,1)))*IF(입력란!$C$21=1,1+입력란!$C$38*0.001,IF(입력란!$C$21=2,1+입력란!$C$38*0.0022,IF(입력란!$C$21=3,1+입력란!$C$38*0.0045,1)))*IF(입력란!$C$18&lt;&gt;0,0.98,1)</f>
        <v>497540.58613593777</v>
      </c>
      <c r="J386" s="30">
        <f>S386*(1+IF($AK386+IF(입력란!$C$10=1,0,IF(입력란!$C$9=1,10,0))+IF(입력란!$C$26=1,10,0)&gt;100,100,$AK386+IF(입력란!$C$10=1,0,IF(입력란!$C$9=1,10,0))+IF(입력란!$C$26=1,10,0))/100*($AL386/100-1))</f>
        <v>497540.58613593777</v>
      </c>
      <c r="K386" s="30">
        <f>T386*(1+IF($AK386+IF(입력란!$C$26=1,10,0)&gt;100,100,$AK386+IF(입력란!$C$26=1,10,0))/100*($AL386/100-1))</f>
        <v>0</v>
      </c>
      <c r="L386" s="30"/>
      <c r="M386" s="30"/>
      <c r="N386" s="39"/>
      <c r="O386" s="39"/>
      <c r="P386" s="39"/>
      <c r="Q386" s="35">
        <f>Z386*(1+IF($AK386+IF(입력란!$C$26=1,10,0)&gt;100,100,$AK386+IF(입력란!$C$26=1,10,0))/100*($AL386/100-1))</f>
        <v>0</v>
      </c>
      <c r="R386" s="24">
        <f t="shared" si="47"/>
        <v>409853.93473739328</v>
      </c>
      <c r="S386" s="30">
        <f>AN386*IF(MID(E386,3,1)="2",트라이포드!$L$20,트라이포드!$K$20)*IF(MID(E386,3,1)="3",트라이포드!$N$20,트라이포드!$M$20)*IF(MID(E386,5,1)="1",트라이포드!$P$20,트라이포드!$O$20)*IF(MID(E386,5,1)="2",트라이포드!$R$20,트라이포드!$Q$20)*(1+입력란!$C$42/100)*IF(입력란!$C$10=1,1.2,IF(입력란!$C$9=1,IF(입력란!$C$15=0,1.05,IF(입력란!$C$15=1,1.05*1.05,IF(입력란!$C$15=2,1.05*1.12,IF(입력란!$C$15=3,1.05*1.25)))),1))</f>
        <v>409853.93473739328</v>
      </c>
      <c r="T386" s="30">
        <f>AN386*IF(MID(E386,3,1)="1",트라이포드!$J$20,트라이포드!$I$20)*IF(MID(E386,5,1)="1",2,1)*(1+입력란!$C$42/100)</f>
        <v>0</v>
      </c>
      <c r="U386" s="30"/>
      <c r="V386" s="30"/>
      <c r="W386" s="30"/>
      <c r="X386" s="39"/>
      <c r="Y386" s="39"/>
      <c r="Z386" s="27">
        <f>AN386*IF(MID(E386,1,1)="2",트라이포드!$F$20,트라이포드!$E$20)*IF(MID(E386,5,1)="1",2,1)*(1+입력란!$C$42/100)</f>
        <v>0</v>
      </c>
      <c r="AA386" s="30">
        <f t="shared" si="48"/>
        <v>819707.86947478657</v>
      </c>
      <c r="AB386" s="30">
        <f t="shared" si="49"/>
        <v>819707.86947478657</v>
      </c>
      <c r="AC386" s="30">
        <f t="shared" si="50"/>
        <v>0</v>
      </c>
      <c r="AD386" s="30"/>
      <c r="AE386" s="30"/>
      <c r="AF386" s="39"/>
      <c r="AG386" s="39"/>
      <c r="AH386" s="39"/>
      <c r="AI386" s="27">
        <f t="shared" si="52"/>
        <v>0</v>
      </c>
      <c r="AJ386" s="26">
        <f>(AQ386-IF(MID(E386,1,1)="1",트라이포드!$D$20,트라이포드!$C$20))*(1-입력란!$C$35/100)</f>
        <v>35.582653468079997</v>
      </c>
      <c r="AK38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6" s="26">
        <f>입력란!$C$47+IF(입력란!$C$18=1,10,IF(입력란!$C$18=2,25,IF(입력란!$C$18=3,50,0)))+IF(입력란!$C$23&lt;&gt;0,-12)</f>
        <v>200</v>
      </c>
      <c r="AM386" s="30">
        <f t="shared" si="51"/>
        <v>256740.06710559159</v>
      </c>
      <c r="AN386" s="30">
        <f>(VLOOKUP(C386,$B$4:$AJ$7,25,FALSE)+VLOOKUP(C386,$B$8:$AJ$11,25,FALSE)*입력란!$C$29)*입력란!$C$48/100</f>
        <v>256740.06710559159</v>
      </c>
      <c r="AO386" s="30"/>
      <c r="AP386" s="30"/>
      <c r="AQ386" s="23">
        <v>36</v>
      </c>
    </row>
    <row r="387" spans="2:43" ht="13.5" customHeight="1" x14ac:dyDescent="0.3">
      <c r="B387" s="31">
        <v>372</v>
      </c>
      <c r="C387" s="36">
        <v>7</v>
      </c>
      <c r="D387" s="43" t="s">
        <v>227</v>
      </c>
      <c r="E387" s="38" t="s">
        <v>188</v>
      </c>
      <c r="F387" s="40"/>
      <c r="G387" s="40"/>
      <c r="H387" s="81">
        <f t="shared" si="46"/>
        <v>18177.474104255438</v>
      </c>
      <c r="I387" s="53">
        <f>SUM(J387:Q387)*IF(입력란!$C$16=1,1.04,IF(입력란!$C$16=2,1.1,IF(입력란!$C$16=3,1.2,1)))*IF(입력란!$C$21=1,1+입력란!$C$38*0.001,IF(입력란!$C$21=2,1+입력란!$C$38*0.0022,IF(입력란!$C$21=3,1+입력란!$C$38*0.0045,1)))*IF(입력란!$C$18&lt;&gt;0,0.98,1)</f>
        <v>646802.76197671914</v>
      </c>
      <c r="J387" s="30">
        <f>S387*(1+IF($AK387+IF(입력란!$C$10=1,0,IF(입력란!$C$9=1,10,0))+IF(입력란!$C$26=1,10,0)&gt;100,100,$AK387+IF(입력란!$C$10=1,0,IF(입력란!$C$9=1,10,0))+IF(입력란!$C$26=1,10,0))/100*($AL387/100-1))</f>
        <v>497540.58613593777</v>
      </c>
      <c r="K387" s="30">
        <f>T387*(1+IF($AK387+IF(입력란!$C$26=1,10,0)&gt;100,100,$AK387+IF(입력란!$C$26=1,10,0))/100*($AL387/100-1))</f>
        <v>149262.17584078133</v>
      </c>
      <c r="L387" s="30"/>
      <c r="M387" s="30"/>
      <c r="N387" s="39"/>
      <c r="O387" s="39"/>
      <c r="P387" s="39"/>
      <c r="Q387" s="35">
        <f>Z387*(1+IF($AK387+IF(입력란!$C$26=1,10,0)&gt;100,100,$AK387+IF(입력란!$C$26=1,10,0))/100*($AL387/100-1))</f>
        <v>0</v>
      </c>
      <c r="R387" s="24">
        <f t="shared" si="47"/>
        <v>532810.11515861121</v>
      </c>
      <c r="S387" s="30">
        <f>AN387*IF(MID(E387,3,1)="2",트라이포드!$L$20,트라이포드!$K$20)*IF(MID(E387,3,1)="3",트라이포드!$N$20,트라이포드!$M$20)*IF(MID(E387,5,1)="1",트라이포드!$P$20,트라이포드!$O$20)*IF(MID(E387,5,1)="2",트라이포드!$R$20,트라이포드!$Q$20)*(1+입력란!$C$42/100)*IF(입력란!$C$10=1,1.2,IF(입력란!$C$9=1,IF(입력란!$C$15=0,1.05,IF(입력란!$C$15=1,1.05*1.05,IF(입력란!$C$15=2,1.05*1.12,IF(입력란!$C$15=3,1.05*1.25)))),1))</f>
        <v>409853.93473739328</v>
      </c>
      <c r="T387" s="30">
        <f>AN387*IF(MID(E387,3,1)="1",트라이포드!$J$20,트라이포드!$I$20)*IF(MID(E387,5,1)="1",2,1)*(1+입력란!$C$42/100)</f>
        <v>122956.18042121798</v>
      </c>
      <c r="U387" s="30"/>
      <c r="V387" s="30"/>
      <c r="W387" s="30"/>
      <c r="X387" s="39"/>
      <c r="Y387" s="39"/>
      <c r="Z387" s="27">
        <f>AN387*IF(MID(E387,1,1)="2",트라이포드!$F$20,트라이포드!$E$20)*IF(MID(E387,5,1)="1",2,1)*(1+입력란!$C$42/100)</f>
        <v>0</v>
      </c>
      <c r="AA387" s="30">
        <f t="shared" si="48"/>
        <v>1065620.2303172224</v>
      </c>
      <c r="AB387" s="30">
        <f t="shared" si="49"/>
        <v>819707.86947478657</v>
      </c>
      <c r="AC387" s="30">
        <f t="shared" si="50"/>
        <v>245912.36084243597</v>
      </c>
      <c r="AD387" s="30"/>
      <c r="AE387" s="30"/>
      <c r="AF387" s="39"/>
      <c r="AG387" s="39"/>
      <c r="AH387" s="39"/>
      <c r="AI387" s="27">
        <f t="shared" si="52"/>
        <v>0</v>
      </c>
      <c r="AJ387" s="26">
        <f>(AQ387-IF(MID(E387,1,1)="1",트라이포드!$D$20,트라이포드!$C$20))*(1-입력란!$C$35/100)</f>
        <v>35.582653468079997</v>
      </c>
      <c r="AK38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7" s="26">
        <f>입력란!$C$47+IF(입력란!$C$18=1,10,IF(입력란!$C$18=2,25,IF(입력란!$C$18=3,50,0)))+IF(입력란!$C$23&lt;&gt;0,-12)</f>
        <v>200</v>
      </c>
      <c r="AM387" s="30">
        <f t="shared" si="51"/>
        <v>256740.06710559159</v>
      </c>
      <c r="AN387" s="30">
        <f>(VLOOKUP(C387,$B$4:$AJ$7,25,FALSE)+VLOOKUP(C387,$B$8:$AJ$11,25,FALSE)*입력란!$C$29)*입력란!$C$48/100</f>
        <v>256740.06710559159</v>
      </c>
      <c r="AO387" s="30"/>
      <c r="AP387" s="30"/>
      <c r="AQ387" s="23">
        <v>36</v>
      </c>
    </row>
    <row r="388" spans="2:43" ht="13.5" customHeight="1" x14ac:dyDescent="0.3">
      <c r="B388" s="31">
        <v>373</v>
      </c>
      <c r="C388" s="36">
        <v>7</v>
      </c>
      <c r="D388" s="43" t="s">
        <v>227</v>
      </c>
      <c r="E388" s="38" t="s">
        <v>219</v>
      </c>
      <c r="F388" s="40"/>
      <c r="G388" s="40"/>
      <c r="H388" s="81">
        <f t="shared" si="46"/>
        <v>16779.20686546656</v>
      </c>
      <c r="I388" s="53">
        <f>SUM(J388:Q388)*IF(입력란!$C$16=1,1.04,IF(입력란!$C$16=2,1.1,IF(입력란!$C$16=3,1.2,1)))*IF(입력란!$C$21=1,1+입력란!$C$38*0.001,IF(입력란!$C$21=2,1+입력란!$C$38*0.0022,IF(입력란!$C$21=3,1+입력란!$C$38*0.0045,1)))*IF(입력란!$C$18&lt;&gt;0,0.98,1)</f>
        <v>597048.70336312533</v>
      </c>
      <c r="J388" s="30">
        <f>S388*(1+IF($AK388+IF(입력란!$C$10=1,0,IF(입력란!$C$9=1,10,0))+IF(입력란!$C$26=1,10,0)&gt;100,100,$AK388+IF(입력란!$C$10=1,0,IF(입력란!$C$9=1,10,0))+IF(입력란!$C$26=1,10,0))/100*($AL388/100-1))</f>
        <v>597048.70336312533</v>
      </c>
      <c r="K388" s="30">
        <f>T388*(1+IF($AK388+IF(입력란!$C$26=1,10,0)&gt;100,100,$AK388+IF(입력란!$C$26=1,10,0))/100*($AL388/100-1))</f>
        <v>0</v>
      </c>
      <c r="L388" s="30"/>
      <c r="M388" s="30"/>
      <c r="N388" s="39"/>
      <c r="O388" s="39"/>
      <c r="P388" s="39"/>
      <c r="Q388" s="35">
        <f>Z388*(1+IF($AK388+IF(입력란!$C$26=1,10,0)&gt;100,100,$AK388+IF(입력란!$C$26=1,10,0))/100*($AL388/100-1))</f>
        <v>0</v>
      </c>
      <c r="R388" s="24">
        <f t="shared" si="47"/>
        <v>491824.72168487194</v>
      </c>
      <c r="S388" s="30">
        <f>AN388*IF(MID(E388,3,1)="2",트라이포드!$L$20,트라이포드!$K$20)*IF(MID(E388,3,1)="3",트라이포드!$N$20,트라이포드!$M$20)*IF(MID(E388,5,1)="1",트라이포드!$P$20,트라이포드!$O$20)*IF(MID(E388,5,1)="2",트라이포드!$R$20,트라이포드!$Q$20)*(1+입력란!$C$42/100)*IF(입력란!$C$10=1,1.2,IF(입력란!$C$9=1,IF(입력란!$C$15=0,1.05,IF(입력란!$C$15=1,1.05*1.05,IF(입력란!$C$15=2,1.05*1.12,IF(입력란!$C$15=3,1.05*1.25)))),1))</f>
        <v>491824.72168487194</v>
      </c>
      <c r="T388" s="30">
        <f>AN388*IF(MID(E388,3,1)="1",트라이포드!$J$20,트라이포드!$I$20)*IF(MID(E388,5,1)="1",2,1)*(1+입력란!$C$42/100)</f>
        <v>0</v>
      </c>
      <c r="U388" s="30"/>
      <c r="V388" s="30"/>
      <c r="W388" s="30"/>
      <c r="X388" s="39"/>
      <c r="Y388" s="39"/>
      <c r="Z388" s="27">
        <f>AN388*IF(MID(E388,1,1)="2",트라이포드!$F$20,트라이포드!$E$20)*IF(MID(E388,5,1)="1",2,1)*(1+입력란!$C$42/100)</f>
        <v>0</v>
      </c>
      <c r="AA388" s="30">
        <f t="shared" si="48"/>
        <v>983649.44336974388</v>
      </c>
      <c r="AB388" s="30">
        <f t="shared" si="49"/>
        <v>983649.44336974388</v>
      </c>
      <c r="AC388" s="30">
        <f t="shared" si="50"/>
        <v>0</v>
      </c>
      <c r="AD388" s="30"/>
      <c r="AE388" s="30"/>
      <c r="AF388" s="39"/>
      <c r="AG388" s="39"/>
      <c r="AH388" s="39"/>
      <c r="AI388" s="27">
        <f t="shared" si="52"/>
        <v>0</v>
      </c>
      <c r="AJ388" s="26">
        <f>(AQ388-IF(MID(E388,1,1)="1",트라이포드!$D$20,트라이포드!$C$20))*(1-입력란!$C$35/100)</f>
        <v>35.582653468079997</v>
      </c>
      <c r="AK38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8" s="26">
        <f>입력란!$C$47+IF(입력란!$C$18=1,10,IF(입력란!$C$18=2,25,IF(입력란!$C$18=3,50,0)))+IF(입력란!$C$23&lt;&gt;0,-12)</f>
        <v>200</v>
      </c>
      <c r="AM388" s="30">
        <f t="shared" si="51"/>
        <v>256740.06710559159</v>
      </c>
      <c r="AN388" s="30">
        <f>(VLOOKUP(C388,$B$4:$AJ$7,25,FALSE)+VLOOKUP(C388,$B$8:$AJ$11,25,FALSE)*입력란!$C$29)*입력란!$C$48/100</f>
        <v>256740.06710559159</v>
      </c>
      <c r="AO388" s="30"/>
      <c r="AP388" s="30"/>
      <c r="AQ388" s="23">
        <v>36</v>
      </c>
    </row>
    <row r="389" spans="2:43" ht="13.5" customHeight="1" x14ac:dyDescent="0.3">
      <c r="B389" s="31">
        <v>374</v>
      </c>
      <c r="C389" s="36">
        <v>7</v>
      </c>
      <c r="D389" s="43" t="s">
        <v>227</v>
      </c>
      <c r="E389" s="38" t="s">
        <v>213</v>
      </c>
      <c r="F389" s="40" t="s">
        <v>236</v>
      </c>
      <c r="G389" s="40"/>
      <c r="H389" s="81">
        <f t="shared" si="46"/>
        <v>20974.008581833201</v>
      </c>
      <c r="I389" s="53">
        <f>SUM(J389:Q389)*IF(입력란!$C$16=1,1.04,IF(입력란!$C$16=2,1.1,IF(입력란!$C$16=3,1.2,1)))*IF(입력란!$C$21=1,1+입력란!$C$38*0.001,IF(입력란!$C$21=2,1+입력란!$C$38*0.0022,IF(입력란!$C$21=3,1+입력란!$C$38*0.0045,1)))*IF(입력란!$C$18&lt;&gt;0,0.98,1)</f>
        <v>746310.87920390675</v>
      </c>
      <c r="J389" s="30">
        <f>S389*(1+IF($AK389+IF(입력란!$C$10=1,0,IF(입력란!$C$9=1,10,0))+IF(입력란!$C$26=1,10,0)&gt;100,100,$AK389+IF(입력란!$C$10=1,0,IF(입력란!$C$9=1,10,0))+IF(입력란!$C$26=1,10,0))/100*($AL389/100-1))</f>
        <v>746310.87920390675</v>
      </c>
      <c r="K389" s="30">
        <f>T389*(1+IF($AK389+IF(입력란!$C$26=1,10,0)&gt;100,100,$AK389+IF(입력란!$C$26=1,10,0))/100*($AL389/100-1))</f>
        <v>0</v>
      </c>
      <c r="L389" s="30"/>
      <c r="M389" s="30"/>
      <c r="N389" s="39"/>
      <c r="O389" s="39"/>
      <c r="P389" s="39"/>
      <c r="Q389" s="35">
        <f>Z389*(1+IF($AK389+IF(입력란!$C$26=1,10,0)&gt;100,100,$AK389+IF(입력란!$C$26=1,10,0))/100*($AL389/100-1))</f>
        <v>0</v>
      </c>
      <c r="R389" s="24">
        <f t="shared" si="47"/>
        <v>614780.90210608998</v>
      </c>
      <c r="S389" s="30">
        <f>AN389*IF(MID(E389,3,1)="2",트라이포드!$L$20,트라이포드!$K$20)*IF(MID(E389,3,1)="3",트라이포드!$N$20,트라이포드!$M$20)*IF(MID(E389,5,1)="1",트라이포드!$P$20,트라이포드!$O$20)*IF(MID(E389,5,1)="2",트라이포드!$R$20,트라이포드!$Q$20)*(1+입력란!$C$42/100)*IF(입력란!$C$10=1,1.2,IF(입력란!$C$9=1,IF(입력란!$C$15=0,1.05,IF(입력란!$C$15=1,1.05*1.05,IF(입력란!$C$15=2,1.05*1.12,IF(입력란!$C$15=3,1.05*1.25)))),1))</f>
        <v>614780.90210608998</v>
      </c>
      <c r="T389" s="30">
        <f>AN389*IF(MID(E389,3,1)="1",트라이포드!$J$20,트라이포드!$I$20)*IF(MID(E389,5,1)="1",2,1)*(1+입력란!$C$42/100)</f>
        <v>0</v>
      </c>
      <c r="U389" s="30"/>
      <c r="V389" s="30"/>
      <c r="W389" s="30"/>
      <c r="X389" s="39"/>
      <c r="Y389" s="39"/>
      <c r="Z389" s="27">
        <f>AN389*IF(MID(E389,1,1)="2",트라이포드!$F$20,트라이포드!$E$20)*IF(MID(E389,5,1)="1",2,1)*(1+입력란!$C$42/100)</f>
        <v>0</v>
      </c>
      <c r="AA389" s="30">
        <f t="shared" si="48"/>
        <v>1229561.80421218</v>
      </c>
      <c r="AB389" s="30">
        <f t="shared" si="49"/>
        <v>1229561.80421218</v>
      </c>
      <c r="AC389" s="30">
        <f t="shared" si="50"/>
        <v>0</v>
      </c>
      <c r="AD389" s="30"/>
      <c r="AE389" s="30"/>
      <c r="AF389" s="39"/>
      <c r="AG389" s="39"/>
      <c r="AH389" s="39"/>
      <c r="AI389" s="27">
        <f t="shared" si="52"/>
        <v>0</v>
      </c>
      <c r="AJ389" s="26">
        <f>(AQ389-IF(MID(E389,1,1)="1",트라이포드!$D$20,트라이포드!$C$20))*(1-입력란!$C$35/100)</f>
        <v>35.582653468079997</v>
      </c>
      <c r="AK38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89" s="26">
        <f>입력란!$C$47+IF(입력란!$C$18=1,10,IF(입력란!$C$18=2,25,IF(입력란!$C$18=3,50,0)))+IF(입력란!$C$23&lt;&gt;0,-12)</f>
        <v>200</v>
      </c>
      <c r="AM389" s="30">
        <f t="shared" si="51"/>
        <v>256740.06710559159</v>
      </c>
      <c r="AN389" s="30">
        <f>(VLOOKUP(C389,$B$4:$AJ$7,25,FALSE)+VLOOKUP(C389,$B$8:$AJ$11,25,FALSE)*입력란!$C$29)*입력란!$C$48/100</f>
        <v>256740.06710559159</v>
      </c>
      <c r="AO389" s="30"/>
      <c r="AP389" s="30"/>
      <c r="AQ389" s="23">
        <v>36</v>
      </c>
    </row>
    <row r="390" spans="2:43" ht="13.5" customHeight="1" x14ac:dyDescent="0.3">
      <c r="B390" s="31">
        <v>375</v>
      </c>
      <c r="C390" s="36">
        <v>7</v>
      </c>
      <c r="D390" s="43" t="s">
        <v>227</v>
      </c>
      <c r="E390" s="38" t="s">
        <v>190</v>
      </c>
      <c r="F390" s="40"/>
      <c r="G390" s="40"/>
      <c r="H390" s="81">
        <f t="shared" si="46"/>
        <v>22565.14026735158</v>
      </c>
      <c r="I390" s="53">
        <f>SUM(J390:Q390)*IF(입력란!$C$16=1,1.04,IF(입력란!$C$16=2,1.1,IF(입력란!$C$16=3,1.2,1)))*IF(입력란!$C$21=1,1+입력란!$C$38*0.001,IF(입력란!$C$21=2,1+입력란!$C$38*0.0022,IF(입력란!$C$21=3,1+입력란!$C$38*0.0045,1)))*IF(입력란!$C$18&lt;&gt;0,0.98,1)</f>
        <v>646802.76197671914</v>
      </c>
      <c r="J390" s="30">
        <f>S390*(1+IF($AK390+IF(입력란!$C$10=1,0,IF(입력란!$C$9=1,10,0))+IF(입력란!$C$26=1,10,0)&gt;100,100,$AK390+IF(입력란!$C$10=1,0,IF(입력란!$C$9=1,10,0))+IF(입력란!$C$26=1,10,0))/100*($AL390/100-1))</f>
        <v>497540.58613593777</v>
      </c>
      <c r="K390" s="30">
        <f>T390*(1+IF($AK390+IF(입력란!$C$26=1,10,0)&gt;100,100,$AK390+IF(입력란!$C$26=1,10,0))/100*($AL390/100-1))</f>
        <v>149262.17584078133</v>
      </c>
      <c r="L390" s="30"/>
      <c r="M390" s="30"/>
      <c r="N390" s="39"/>
      <c r="O390" s="39"/>
      <c r="P390" s="39"/>
      <c r="Q390" s="35">
        <f>Z390*(1+IF($AK390+IF(입력란!$C$26=1,10,0)&gt;100,100,$AK390+IF(입력란!$C$26=1,10,0))/100*($AL390/100-1))</f>
        <v>0</v>
      </c>
      <c r="R390" s="24">
        <f t="shared" si="47"/>
        <v>532810.11515861121</v>
      </c>
      <c r="S390" s="30">
        <f>AN390*IF(MID(E390,3,1)="2",트라이포드!$L$20,트라이포드!$K$20)*IF(MID(E390,3,1)="3",트라이포드!$N$20,트라이포드!$M$20)*IF(MID(E390,5,1)="1",트라이포드!$P$20,트라이포드!$O$20)*IF(MID(E390,5,1)="2",트라이포드!$R$20,트라이포드!$Q$20)*(1+입력란!$C$42/100)*IF(입력란!$C$10=1,1.2,IF(입력란!$C$9=1,IF(입력란!$C$15=0,1.05,IF(입력란!$C$15=1,1.05*1.05,IF(입력란!$C$15=2,1.05*1.12,IF(입력란!$C$15=3,1.05*1.25)))),1))</f>
        <v>409853.93473739328</v>
      </c>
      <c r="T390" s="30">
        <f>AN390*IF(MID(E390,3,1)="1",트라이포드!$J$20,트라이포드!$I$20)*IF(MID(E390,5,1)="1",2,1)*(1+입력란!$C$42/100)</f>
        <v>122956.18042121798</v>
      </c>
      <c r="U390" s="30"/>
      <c r="V390" s="30"/>
      <c r="W390" s="30"/>
      <c r="X390" s="39"/>
      <c r="Y390" s="39"/>
      <c r="Z390" s="27">
        <f>AN390*IF(MID(E390,1,1)="2",트라이포드!$F$20,트라이포드!$E$20)*IF(MID(E390,5,1)="1",2,1)*(1+입력란!$C$42/100)</f>
        <v>0</v>
      </c>
      <c r="AA390" s="30">
        <f t="shared" si="48"/>
        <v>1065620.2303172224</v>
      </c>
      <c r="AB390" s="30">
        <f t="shared" si="49"/>
        <v>819707.86947478657</v>
      </c>
      <c r="AC390" s="30">
        <f t="shared" si="50"/>
        <v>245912.36084243597</v>
      </c>
      <c r="AD390" s="30"/>
      <c r="AE390" s="30"/>
      <c r="AF390" s="39"/>
      <c r="AG390" s="39"/>
      <c r="AH390" s="39"/>
      <c r="AI390" s="27">
        <f t="shared" si="52"/>
        <v>0</v>
      </c>
      <c r="AJ390" s="26">
        <f>(AQ390-IF(MID(E390,1,1)="1",트라이포드!$D$20,트라이포드!$C$20))*(1-입력란!$C$35/100)</f>
        <v>28.663804182619998</v>
      </c>
      <c r="AK39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0" s="26">
        <f>입력란!$C$47+IF(입력란!$C$18=1,10,IF(입력란!$C$18=2,25,IF(입력란!$C$18=3,50,0)))+IF(입력란!$C$23&lt;&gt;0,-12)</f>
        <v>200</v>
      </c>
      <c r="AM390" s="30">
        <f t="shared" si="51"/>
        <v>256740.06710559159</v>
      </c>
      <c r="AN390" s="30">
        <f>(VLOOKUP(C390,$B$4:$AJ$7,25,FALSE)+VLOOKUP(C390,$B$8:$AJ$11,25,FALSE)*입력란!$C$29)*입력란!$C$48/100</f>
        <v>256740.06710559159</v>
      </c>
      <c r="AO390" s="30"/>
      <c r="AP390" s="30"/>
      <c r="AQ390" s="23">
        <v>36</v>
      </c>
    </row>
    <row r="391" spans="2:43" ht="13.5" customHeight="1" x14ac:dyDescent="0.3">
      <c r="B391" s="31">
        <v>376</v>
      </c>
      <c r="C391" s="36">
        <v>7</v>
      </c>
      <c r="D391" s="43" t="s">
        <v>227</v>
      </c>
      <c r="E391" s="38" t="s">
        <v>206</v>
      </c>
      <c r="F391" s="40"/>
      <c r="G391" s="40"/>
      <c r="H391" s="81">
        <f t="shared" si="46"/>
        <v>20829.360246786073</v>
      </c>
      <c r="I391" s="53">
        <f>SUM(J391:Q391)*IF(입력란!$C$16=1,1.04,IF(입력란!$C$16=2,1.1,IF(입력란!$C$16=3,1.2,1)))*IF(입력란!$C$21=1,1+입력란!$C$38*0.001,IF(입력란!$C$21=2,1+입력란!$C$38*0.0022,IF(입력란!$C$21=3,1+입력란!$C$38*0.0045,1)))*IF(입력란!$C$18&lt;&gt;0,0.98,1)</f>
        <v>597048.70336312533</v>
      </c>
      <c r="J391" s="30">
        <f>S391*(1+IF($AK391+IF(입력란!$C$10=1,0,IF(입력란!$C$9=1,10,0))+IF(입력란!$C$26=1,10,0)&gt;100,100,$AK391+IF(입력란!$C$10=1,0,IF(입력란!$C$9=1,10,0))+IF(입력란!$C$26=1,10,0))/100*($AL391/100-1))</f>
        <v>597048.70336312533</v>
      </c>
      <c r="K391" s="30">
        <f>T391*(1+IF($AK391+IF(입력란!$C$26=1,10,0)&gt;100,100,$AK391+IF(입력란!$C$26=1,10,0))/100*($AL391/100-1))</f>
        <v>0</v>
      </c>
      <c r="L391" s="30"/>
      <c r="M391" s="30"/>
      <c r="N391" s="39"/>
      <c r="O391" s="39"/>
      <c r="P391" s="39"/>
      <c r="Q391" s="35">
        <f>Z391*(1+IF($AK391+IF(입력란!$C$26=1,10,0)&gt;100,100,$AK391+IF(입력란!$C$26=1,10,0))/100*($AL391/100-1))</f>
        <v>0</v>
      </c>
      <c r="R391" s="24">
        <f t="shared" si="47"/>
        <v>491824.72168487194</v>
      </c>
      <c r="S391" s="30">
        <f>AN391*IF(MID(E391,3,1)="2",트라이포드!$L$20,트라이포드!$K$20)*IF(MID(E391,3,1)="3",트라이포드!$N$20,트라이포드!$M$20)*IF(MID(E391,5,1)="1",트라이포드!$P$20,트라이포드!$O$20)*IF(MID(E391,5,1)="2",트라이포드!$R$20,트라이포드!$Q$20)*(1+입력란!$C$42/100)*IF(입력란!$C$10=1,1.2,IF(입력란!$C$9=1,IF(입력란!$C$15=0,1.05,IF(입력란!$C$15=1,1.05*1.05,IF(입력란!$C$15=2,1.05*1.12,IF(입력란!$C$15=3,1.05*1.25)))),1))</f>
        <v>491824.72168487194</v>
      </c>
      <c r="T391" s="30">
        <f>AN391*IF(MID(E391,3,1)="1",트라이포드!$J$20,트라이포드!$I$20)*IF(MID(E391,5,1)="1",2,1)*(1+입력란!$C$42/100)</f>
        <v>0</v>
      </c>
      <c r="U391" s="30"/>
      <c r="V391" s="30"/>
      <c r="W391" s="30"/>
      <c r="X391" s="39"/>
      <c r="Y391" s="39"/>
      <c r="Z391" s="27">
        <f>AN391*IF(MID(E391,1,1)="2",트라이포드!$F$20,트라이포드!$E$20)*IF(MID(E391,5,1)="1",2,1)*(1+입력란!$C$42/100)</f>
        <v>0</v>
      </c>
      <c r="AA391" s="30">
        <f t="shared" si="48"/>
        <v>983649.44336974388</v>
      </c>
      <c r="AB391" s="30">
        <f t="shared" si="49"/>
        <v>983649.44336974388</v>
      </c>
      <c r="AC391" s="30">
        <f t="shared" si="50"/>
        <v>0</v>
      </c>
      <c r="AD391" s="30"/>
      <c r="AE391" s="30"/>
      <c r="AF391" s="39"/>
      <c r="AG391" s="39"/>
      <c r="AH391" s="39"/>
      <c r="AI391" s="27">
        <f t="shared" si="52"/>
        <v>0</v>
      </c>
      <c r="AJ391" s="26">
        <f>(AQ391-IF(MID(E391,1,1)="1",트라이포드!$D$20,트라이포드!$C$20))*(1-입력란!$C$35/100)</f>
        <v>28.663804182619998</v>
      </c>
      <c r="AK39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1" s="26">
        <f>입력란!$C$47+IF(입력란!$C$18=1,10,IF(입력란!$C$18=2,25,IF(입력란!$C$18=3,50,0)))+IF(입력란!$C$23&lt;&gt;0,-12)</f>
        <v>200</v>
      </c>
      <c r="AM391" s="30">
        <f t="shared" si="51"/>
        <v>256740.06710559159</v>
      </c>
      <c r="AN391" s="30">
        <f>(VLOOKUP(C391,$B$4:$AJ$7,25,FALSE)+VLOOKUP(C391,$B$8:$AJ$11,25,FALSE)*입력란!$C$29)*입력란!$C$48/100</f>
        <v>256740.06710559159</v>
      </c>
      <c r="AO391" s="30"/>
      <c r="AP391" s="30"/>
      <c r="AQ391" s="23">
        <v>36</v>
      </c>
    </row>
    <row r="392" spans="2:43" ht="13.5" customHeight="1" x14ac:dyDescent="0.3">
      <c r="B392" s="31">
        <v>377</v>
      </c>
      <c r="C392" s="36">
        <v>7</v>
      </c>
      <c r="D392" s="43" t="s">
        <v>227</v>
      </c>
      <c r="E392" s="38" t="s">
        <v>191</v>
      </c>
      <c r="F392" s="40" t="s">
        <v>236</v>
      </c>
      <c r="G392" s="40"/>
      <c r="H392" s="81">
        <f t="shared" si="46"/>
        <v>26036.700308482592</v>
      </c>
      <c r="I392" s="53">
        <f>SUM(J392:Q392)*IF(입력란!$C$16=1,1.04,IF(입력란!$C$16=2,1.1,IF(입력란!$C$16=3,1.2,1)))*IF(입력란!$C$21=1,1+입력란!$C$38*0.001,IF(입력란!$C$21=2,1+입력란!$C$38*0.0022,IF(입력란!$C$21=3,1+입력란!$C$38*0.0045,1)))*IF(입력란!$C$18&lt;&gt;0,0.98,1)</f>
        <v>746310.87920390675</v>
      </c>
      <c r="J392" s="30">
        <f>S392*(1+IF($AK392+IF(입력란!$C$10=1,0,IF(입력란!$C$9=1,10,0))+IF(입력란!$C$26=1,10,0)&gt;100,100,$AK392+IF(입력란!$C$10=1,0,IF(입력란!$C$9=1,10,0))+IF(입력란!$C$26=1,10,0))/100*($AL392/100-1))</f>
        <v>746310.87920390675</v>
      </c>
      <c r="K392" s="30">
        <f>T392*(1+IF($AK392+IF(입력란!$C$26=1,10,0)&gt;100,100,$AK392+IF(입력란!$C$26=1,10,0))/100*($AL392/100-1))</f>
        <v>0</v>
      </c>
      <c r="L392" s="30"/>
      <c r="M392" s="30"/>
      <c r="N392" s="39"/>
      <c r="O392" s="39"/>
      <c r="P392" s="39"/>
      <c r="Q392" s="35">
        <f>Z392*(1+IF($AK392+IF(입력란!$C$26=1,10,0)&gt;100,100,$AK392+IF(입력란!$C$26=1,10,0))/100*($AL392/100-1))</f>
        <v>0</v>
      </c>
      <c r="R392" s="24">
        <f t="shared" si="47"/>
        <v>614780.90210608998</v>
      </c>
      <c r="S392" s="30">
        <f>AN392*IF(MID(E392,3,1)="2",트라이포드!$L$20,트라이포드!$K$20)*IF(MID(E392,3,1)="3",트라이포드!$N$20,트라이포드!$M$20)*IF(MID(E392,5,1)="1",트라이포드!$P$20,트라이포드!$O$20)*IF(MID(E392,5,1)="2",트라이포드!$R$20,트라이포드!$Q$20)*(1+입력란!$C$42/100)*IF(입력란!$C$10=1,1.2,IF(입력란!$C$9=1,IF(입력란!$C$15=0,1.05,IF(입력란!$C$15=1,1.05*1.05,IF(입력란!$C$15=2,1.05*1.12,IF(입력란!$C$15=3,1.05*1.25)))),1))</f>
        <v>614780.90210608998</v>
      </c>
      <c r="T392" s="30">
        <f>AN392*IF(MID(E392,3,1)="1",트라이포드!$J$20,트라이포드!$I$20)*IF(MID(E392,5,1)="1",2,1)*(1+입력란!$C$42/100)</f>
        <v>0</v>
      </c>
      <c r="U392" s="30"/>
      <c r="V392" s="30"/>
      <c r="W392" s="30"/>
      <c r="X392" s="39"/>
      <c r="Y392" s="39"/>
      <c r="Z392" s="27">
        <f>AN392*IF(MID(E392,1,1)="2",트라이포드!$F$20,트라이포드!$E$20)*IF(MID(E392,5,1)="1",2,1)*(1+입력란!$C$42/100)</f>
        <v>0</v>
      </c>
      <c r="AA392" s="30">
        <f t="shared" si="48"/>
        <v>1229561.80421218</v>
      </c>
      <c r="AB392" s="30">
        <f t="shared" si="49"/>
        <v>1229561.80421218</v>
      </c>
      <c r="AC392" s="30">
        <f t="shared" si="50"/>
        <v>0</v>
      </c>
      <c r="AD392" s="30"/>
      <c r="AE392" s="30"/>
      <c r="AF392" s="39"/>
      <c r="AG392" s="39"/>
      <c r="AH392" s="39"/>
      <c r="AI392" s="27">
        <f t="shared" si="52"/>
        <v>0</v>
      </c>
      <c r="AJ392" s="26">
        <f>(AQ392-IF(MID(E392,1,1)="1",트라이포드!$D$20,트라이포드!$C$20))*(1-입력란!$C$35/100)</f>
        <v>28.663804182619998</v>
      </c>
      <c r="AK39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2" s="26">
        <f>입력란!$C$47+IF(입력란!$C$18=1,10,IF(입력란!$C$18=2,25,IF(입력란!$C$18=3,50,0)))+IF(입력란!$C$23&lt;&gt;0,-12)</f>
        <v>200</v>
      </c>
      <c r="AM392" s="30">
        <f t="shared" si="51"/>
        <v>256740.06710559159</v>
      </c>
      <c r="AN392" s="30">
        <f>(VLOOKUP(C392,$B$4:$AJ$7,25,FALSE)+VLOOKUP(C392,$B$8:$AJ$11,25,FALSE)*입력란!$C$29)*입력란!$C$48/100</f>
        <v>256740.06710559159</v>
      </c>
      <c r="AO392" s="30"/>
      <c r="AP392" s="30"/>
      <c r="AQ392" s="23">
        <v>36</v>
      </c>
    </row>
    <row r="393" spans="2:43" ht="13.5" customHeight="1" x14ac:dyDescent="0.3">
      <c r="B393" s="31">
        <v>378</v>
      </c>
      <c r="C393" s="36">
        <v>7</v>
      </c>
      <c r="D393" s="43" t="s">
        <v>227</v>
      </c>
      <c r="E393" s="38" t="s">
        <v>228</v>
      </c>
      <c r="F393" s="40" t="s">
        <v>222</v>
      </c>
      <c r="G393" s="40"/>
      <c r="H393" s="81">
        <f t="shared" si="46"/>
        <v>20974.008581833201</v>
      </c>
      <c r="I393" s="53">
        <f>SUM(J393:Q393)*IF(입력란!$C$16=1,1.04,IF(입력란!$C$16=2,1.1,IF(입력란!$C$16=3,1.2,1)))*IF(입력란!$C$21=1,1+입력란!$C$38*0.001,IF(입력란!$C$21=2,1+입력란!$C$38*0.0022,IF(입력란!$C$21=3,1+입력란!$C$38*0.0045,1)))*IF(입력란!$C$18&lt;&gt;0,0.98,1)</f>
        <v>746310.87920390675</v>
      </c>
      <c r="J393" s="30">
        <f>S393*(1+IF($AK393+IF(입력란!$C$10=1,0,IF(입력란!$C$9=1,10,0))+IF(입력란!$C$26=1,10,0)&gt;100,100,$AK393+IF(입력란!$C$10=1,0,IF(입력란!$C$9=1,10,0))+IF(입력란!$C$26=1,10,0))/100*($AL393/100-1))</f>
        <v>497540.58613593777</v>
      </c>
      <c r="K393" s="30">
        <f>T393*(1+IF($AK393+IF(입력란!$C$26=1,10,0)&gt;100,100,$AK393+IF(입력란!$C$26=1,10,0))/100*($AL393/100-1))</f>
        <v>149262.17584078133</v>
      </c>
      <c r="L393" s="30"/>
      <c r="M393" s="30"/>
      <c r="N393" s="39"/>
      <c r="O393" s="39"/>
      <c r="P393" s="39"/>
      <c r="Q393" s="35">
        <f>Z393*(1+IF($AK393+IF(입력란!$C$26=1,10,0)&gt;100,100,$AK393+IF(입력란!$C$26=1,10,0))/100*($AL393/100-1))</f>
        <v>99508.117227187555</v>
      </c>
      <c r="R393" s="24">
        <f t="shared" si="47"/>
        <v>614780.90210608987</v>
      </c>
      <c r="S393" s="30">
        <f>AN393*IF(MID(E393,3,1)="2",트라이포드!$L$20,트라이포드!$K$20)*IF(MID(E393,3,1)="3",트라이포드!$N$20,트라이포드!$M$20)*IF(MID(E393,5,1)="1",트라이포드!$P$20,트라이포드!$O$20)*IF(MID(E393,5,1)="2",트라이포드!$R$20,트라이포드!$Q$20)*(1+입력란!$C$42/100)*IF(입력란!$C$10=1,1.2,IF(입력란!$C$9=1,IF(입력란!$C$15=0,1.05,IF(입력란!$C$15=1,1.05*1.05,IF(입력란!$C$15=2,1.05*1.12,IF(입력란!$C$15=3,1.05*1.25)))),1))</f>
        <v>409853.93473739328</v>
      </c>
      <c r="T393" s="30">
        <f>AN393*IF(MID(E393,3,1)="1",트라이포드!$J$20,트라이포드!$I$20)*IF(MID(E393,5,1)="1",2,1)*(1+입력란!$C$42/100)</f>
        <v>122956.18042121798</v>
      </c>
      <c r="U393" s="30"/>
      <c r="V393" s="30"/>
      <c r="W393" s="30"/>
      <c r="X393" s="39"/>
      <c r="Y393" s="39"/>
      <c r="Z393" s="27">
        <f>AN393*IF(MID(E393,1,1)="2",트라이포드!$F$20,트라이포드!$E$20)*IF(MID(E393,5,1)="1",2,1)*(1+입력란!$C$42/100)</f>
        <v>81970.786947478657</v>
      </c>
      <c r="AA393" s="30">
        <f t="shared" si="48"/>
        <v>1229561.8042121797</v>
      </c>
      <c r="AB393" s="30">
        <f t="shared" si="49"/>
        <v>819707.86947478657</v>
      </c>
      <c r="AC393" s="30">
        <f t="shared" si="50"/>
        <v>245912.36084243597</v>
      </c>
      <c r="AD393" s="30"/>
      <c r="AE393" s="30"/>
      <c r="AF393" s="39"/>
      <c r="AG393" s="39"/>
      <c r="AH393" s="39"/>
      <c r="AI393" s="27">
        <f t="shared" si="52"/>
        <v>163941.57389495731</v>
      </c>
      <c r="AJ393" s="26">
        <f>(AQ393-IF(MID(E393,1,1)="1",트라이포드!$D$20,트라이포드!$C$20))*(1-입력란!$C$35/100)</f>
        <v>35.582653468079997</v>
      </c>
      <c r="AK39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3" s="26">
        <f>입력란!$C$47+IF(입력란!$C$18=1,10,IF(입력란!$C$18=2,25,IF(입력란!$C$18=3,50,0)))+IF(입력란!$C$23&lt;&gt;0,-12)</f>
        <v>200</v>
      </c>
      <c r="AM393" s="30">
        <f t="shared" si="51"/>
        <v>256740.06710559159</v>
      </c>
      <c r="AN393" s="30">
        <f>(VLOOKUP(C393,$B$4:$AJ$7,25,FALSE)+VLOOKUP(C393,$B$8:$AJ$11,25,FALSE)*입력란!$C$29)*입력란!$C$48/100</f>
        <v>256740.06710559159</v>
      </c>
      <c r="AO393" s="30"/>
      <c r="AP393" s="30"/>
      <c r="AQ393" s="23">
        <v>36</v>
      </c>
    </row>
    <row r="394" spans="2:43" ht="13.5" customHeight="1" x14ac:dyDescent="0.3">
      <c r="B394" s="31">
        <v>379</v>
      </c>
      <c r="C394" s="36">
        <v>7</v>
      </c>
      <c r="D394" s="43" t="s">
        <v>227</v>
      </c>
      <c r="E394" s="38" t="s">
        <v>207</v>
      </c>
      <c r="F394" s="40" t="s">
        <v>222</v>
      </c>
      <c r="G394" s="40"/>
      <c r="H394" s="81">
        <f t="shared" si="46"/>
        <v>19575.741343044316</v>
      </c>
      <c r="I394" s="53">
        <f>SUM(J394:Q394)*IF(입력란!$C$16=1,1.04,IF(입력란!$C$16=2,1.1,IF(입력란!$C$16=3,1.2,1)))*IF(입력란!$C$21=1,1+입력란!$C$38*0.001,IF(입력란!$C$21=2,1+입력란!$C$38*0.0022,IF(입력란!$C$21=3,1+입력란!$C$38*0.0045,1)))*IF(입력란!$C$18&lt;&gt;0,0.98,1)</f>
        <v>696556.82059031283</v>
      </c>
      <c r="J394" s="30">
        <f>S394*(1+IF($AK394+IF(입력란!$C$10=1,0,IF(입력란!$C$9=1,10,0))+IF(입력란!$C$26=1,10,0)&gt;100,100,$AK394+IF(입력란!$C$10=1,0,IF(입력란!$C$9=1,10,0))+IF(입력란!$C$26=1,10,0))/100*($AL394/100-1))</f>
        <v>597048.70336312533</v>
      </c>
      <c r="K394" s="30">
        <f>T394*(1+IF($AK394+IF(입력란!$C$26=1,10,0)&gt;100,100,$AK394+IF(입력란!$C$26=1,10,0))/100*($AL394/100-1))</f>
        <v>0</v>
      </c>
      <c r="L394" s="30"/>
      <c r="M394" s="30"/>
      <c r="N394" s="39"/>
      <c r="O394" s="39"/>
      <c r="P394" s="39"/>
      <c r="Q394" s="35">
        <f>Z394*(1+IF($AK394+IF(입력란!$C$26=1,10,0)&gt;100,100,$AK394+IF(입력란!$C$26=1,10,0))/100*($AL394/100-1))</f>
        <v>99508.117227187555</v>
      </c>
      <c r="R394" s="24">
        <f t="shared" si="47"/>
        <v>573795.5086323506</v>
      </c>
      <c r="S394" s="30">
        <f>AN394*IF(MID(E394,3,1)="2",트라이포드!$L$20,트라이포드!$K$20)*IF(MID(E394,3,1)="3",트라이포드!$N$20,트라이포드!$M$20)*IF(MID(E394,5,1)="1",트라이포드!$P$20,트라이포드!$O$20)*IF(MID(E394,5,1)="2",트라이포드!$R$20,트라이포드!$Q$20)*(1+입력란!$C$42/100)*IF(입력란!$C$10=1,1.2,IF(입력란!$C$9=1,IF(입력란!$C$15=0,1.05,IF(입력란!$C$15=1,1.05*1.05,IF(입력란!$C$15=2,1.05*1.12,IF(입력란!$C$15=3,1.05*1.25)))),1))</f>
        <v>491824.72168487194</v>
      </c>
      <c r="T394" s="30">
        <f>AN394*IF(MID(E394,3,1)="1",트라이포드!$J$20,트라이포드!$I$20)*IF(MID(E394,5,1)="1",2,1)*(1+입력란!$C$42/100)</f>
        <v>0</v>
      </c>
      <c r="U394" s="30"/>
      <c r="V394" s="30"/>
      <c r="W394" s="30"/>
      <c r="X394" s="39"/>
      <c r="Y394" s="39"/>
      <c r="Z394" s="27">
        <f>AN394*IF(MID(E394,1,1)="2",트라이포드!$F$20,트라이포드!$E$20)*IF(MID(E394,5,1)="1",2,1)*(1+입력란!$C$42/100)</f>
        <v>81970.786947478657</v>
      </c>
      <c r="AA394" s="30">
        <f t="shared" si="48"/>
        <v>1147591.0172647012</v>
      </c>
      <c r="AB394" s="30">
        <f t="shared" si="49"/>
        <v>983649.44336974388</v>
      </c>
      <c r="AC394" s="30">
        <f t="shared" si="50"/>
        <v>0</v>
      </c>
      <c r="AD394" s="30"/>
      <c r="AE394" s="30"/>
      <c r="AF394" s="39"/>
      <c r="AG394" s="39"/>
      <c r="AH394" s="39"/>
      <c r="AI394" s="27">
        <f t="shared" si="52"/>
        <v>163941.57389495731</v>
      </c>
      <c r="AJ394" s="26">
        <f>(AQ394-IF(MID(E394,1,1)="1",트라이포드!$D$20,트라이포드!$C$20))*(1-입력란!$C$35/100)</f>
        <v>35.582653468079997</v>
      </c>
      <c r="AK39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4" s="26">
        <f>입력란!$C$47+IF(입력란!$C$18=1,10,IF(입력란!$C$18=2,25,IF(입력란!$C$18=3,50,0)))+IF(입력란!$C$23&lt;&gt;0,-12)</f>
        <v>200</v>
      </c>
      <c r="AM394" s="30">
        <f t="shared" si="51"/>
        <v>256740.06710559159</v>
      </c>
      <c r="AN394" s="30">
        <f>(VLOOKUP(C394,$B$4:$AJ$7,25,FALSE)+VLOOKUP(C394,$B$8:$AJ$11,25,FALSE)*입력란!$C$29)*입력란!$C$48/100</f>
        <v>256740.06710559159</v>
      </c>
      <c r="AO394" s="30"/>
      <c r="AP394" s="30"/>
      <c r="AQ394" s="23">
        <v>36</v>
      </c>
    </row>
    <row r="395" spans="2:43" ht="13.5" customHeight="1" x14ac:dyDescent="0.3">
      <c r="B395" s="31">
        <v>380</v>
      </c>
      <c r="C395" s="36">
        <v>7</v>
      </c>
      <c r="D395" s="43" t="s">
        <v>227</v>
      </c>
      <c r="E395" s="38" t="s">
        <v>229</v>
      </c>
      <c r="F395" s="40" t="s">
        <v>237</v>
      </c>
      <c r="G395" s="40"/>
      <c r="H395" s="81">
        <f t="shared" si="46"/>
        <v>23770.54305941096</v>
      </c>
      <c r="I395" s="53">
        <f>SUM(J395:Q395)*IF(입력란!$C$16=1,1.04,IF(입력란!$C$16=2,1.1,IF(입력란!$C$16=3,1.2,1)))*IF(입력란!$C$21=1,1+입력란!$C$38*0.001,IF(입력란!$C$21=2,1+입력란!$C$38*0.0022,IF(입력란!$C$21=3,1+입력란!$C$38*0.0045,1)))*IF(입력란!$C$18&lt;&gt;0,0.98,1)</f>
        <v>845818.99643109436</v>
      </c>
      <c r="J395" s="30">
        <f>S395*(1+IF($AK395+IF(입력란!$C$10=1,0,IF(입력란!$C$9=1,10,0))+IF(입력란!$C$26=1,10,0)&gt;100,100,$AK395+IF(입력란!$C$10=1,0,IF(입력란!$C$9=1,10,0))+IF(입력란!$C$26=1,10,0))/100*($AL395/100-1))</f>
        <v>746310.87920390675</v>
      </c>
      <c r="K395" s="30">
        <f>T395*(1+IF($AK395+IF(입력란!$C$26=1,10,0)&gt;100,100,$AK395+IF(입력란!$C$26=1,10,0))/100*($AL395/100-1))</f>
        <v>0</v>
      </c>
      <c r="L395" s="30"/>
      <c r="M395" s="30"/>
      <c r="N395" s="39"/>
      <c r="O395" s="39"/>
      <c r="P395" s="39"/>
      <c r="Q395" s="35">
        <f>Z395*(1+IF($AK395+IF(입력란!$C$26=1,10,0)&gt;100,100,$AK395+IF(입력란!$C$26=1,10,0))/100*($AL395/100-1))</f>
        <v>99508.117227187555</v>
      </c>
      <c r="R395" s="24">
        <f t="shared" si="47"/>
        <v>696751.68905356864</v>
      </c>
      <c r="S395" s="30">
        <f>AN395*IF(MID(E395,3,1)="2",트라이포드!$L$20,트라이포드!$K$20)*IF(MID(E395,3,1)="3",트라이포드!$N$20,트라이포드!$M$20)*IF(MID(E395,5,1)="1",트라이포드!$P$20,트라이포드!$O$20)*IF(MID(E395,5,1)="2",트라이포드!$R$20,트라이포드!$Q$20)*(1+입력란!$C$42/100)*IF(입력란!$C$10=1,1.2,IF(입력란!$C$9=1,IF(입력란!$C$15=0,1.05,IF(입력란!$C$15=1,1.05*1.05,IF(입력란!$C$15=2,1.05*1.12,IF(입력란!$C$15=3,1.05*1.25)))),1))</f>
        <v>614780.90210608998</v>
      </c>
      <c r="T395" s="30">
        <f>AN395*IF(MID(E395,3,1)="1",트라이포드!$J$20,트라이포드!$I$20)*IF(MID(E395,5,1)="1",2,1)*(1+입력란!$C$42/100)</f>
        <v>0</v>
      </c>
      <c r="U395" s="30"/>
      <c r="V395" s="30"/>
      <c r="W395" s="30"/>
      <c r="X395" s="39"/>
      <c r="Y395" s="39"/>
      <c r="Z395" s="27">
        <f>AN395*IF(MID(E395,1,1)="2",트라이포드!$F$20,트라이포드!$E$20)*IF(MID(E395,5,1)="1",2,1)*(1+입력란!$C$42/100)</f>
        <v>81970.786947478657</v>
      </c>
      <c r="AA395" s="30">
        <f t="shared" si="48"/>
        <v>1393503.3781071373</v>
      </c>
      <c r="AB395" s="30">
        <f t="shared" si="49"/>
        <v>1229561.80421218</v>
      </c>
      <c r="AC395" s="30">
        <f t="shared" si="50"/>
        <v>0</v>
      </c>
      <c r="AD395" s="30"/>
      <c r="AE395" s="30"/>
      <c r="AF395" s="39"/>
      <c r="AG395" s="39"/>
      <c r="AH395" s="39"/>
      <c r="AI395" s="27">
        <f t="shared" si="52"/>
        <v>163941.57389495731</v>
      </c>
      <c r="AJ395" s="26">
        <f>(AQ395-IF(MID(E395,1,1)="1",트라이포드!$D$20,트라이포드!$C$20))*(1-입력란!$C$35/100)</f>
        <v>35.582653468079997</v>
      </c>
      <c r="AK39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5" s="26">
        <f>입력란!$C$47+IF(입력란!$C$18=1,10,IF(입력란!$C$18=2,25,IF(입력란!$C$18=3,50,0)))+IF(입력란!$C$23&lt;&gt;0,-12)</f>
        <v>200</v>
      </c>
      <c r="AM395" s="30">
        <f t="shared" si="51"/>
        <v>256740.06710559159</v>
      </c>
      <c r="AN395" s="30">
        <f>(VLOOKUP(C395,$B$4:$AJ$7,25,FALSE)+VLOOKUP(C395,$B$8:$AJ$11,25,FALSE)*입력란!$C$29)*입력란!$C$48/100</f>
        <v>256740.06710559159</v>
      </c>
      <c r="AO395" s="30"/>
      <c r="AP395" s="30"/>
      <c r="AQ395" s="23">
        <v>36</v>
      </c>
    </row>
    <row r="396" spans="2:43" ht="13.5" customHeight="1" x14ac:dyDescent="0.3">
      <c r="B396" s="31">
        <v>381</v>
      </c>
      <c r="C396" s="36">
        <v>10</v>
      </c>
      <c r="D396" s="43" t="s">
        <v>227</v>
      </c>
      <c r="E396" s="38" t="s">
        <v>186</v>
      </c>
      <c r="F396" s="40"/>
      <c r="G396" s="40"/>
      <c r="H396" s="81">
        <f t="shared" si="46"/>
        <v>13991.626001426741</v>
      </c>
      <c r="I396" s="53">
        <f>SUM(J396:Q396)*IF(입력란!$C$16=1,1.04,IF(입력란!$C$16=2,1.1,IF(입력란!$C$16=3,1.2,1)))*IF(입력란!$C$21=1,1+입력란!$C$38*0.001,IF(입력란!$C$21=2,1+입력란!$C$38*0.0022,IF(입력란!$C$21=3,1+입력란!$C$38*0.0045,1)))*IF(입력란!$C$18&lt;&gt;0,0.98,1)</f>
        <v>497859.1794637455</v>
      </c>
      <c r="J396" s="30">
        <f>S396*(1+IF($AK396+IF(입력란!$C$10=1,0,IF(입력란!$C$9=1,10,0))+IF(입력란!$C$26=1,10,0)&gt;100,100,$AK396+IF(입력란!$C$10=1,0,IF(입력란!$C$9=1,10,0))+IF(입력란!$C$26=1,10,0))/100*($AL396/100-1))</f>
        <v>497859.1794637455</v>
      </c>
      <c r="K396" s="30">
        <f>T396*(1+IF($AK396+IF(입력란!$C$26=1,10,0)&gt;100,100,$AK396+IF(입력란!$C$26=1,10,0))/100*($AL396/100-1))</f>
        <v>0</v>
      </c>
      <c r="L396" s="30"/>
      <c r="M396" s="30"/>
      <c r="N396" s="39"/>
      <c r="O396" s="39"/>
      <c r="P396" s="39"/>
      <c r="Q396" s="35">
        <f>Z396*(1+IF($AK396+IF(입력란!$C$26=1,10,0)&gt;100,100,$AK396+IF(입력란!$C$26=1,10,0))/100*($AL396/100-1))</f>
        <v>0</v>
      </c>
      <c r="R396" s="24">
        <f t="shared" si="47"/>
        <v>410116.37911403633</v>
      </c>
      <c r="S396" s="30">
        <f>AN396*IF(MID(E396,3,1)="2",트라이포드!$L$20,트라이포드!$K$20)*IF(MID(E396,3,1)="3",트라이포드!$N$20,트라이포드!$M$20)*IF(MID(E396,5,1)="1",트라이포드!$P$20,트라이포드!$O$20)*IF(MID(E396,5,1)="2",트라이포드!$R$20,트라이포드!$Q$20)*(1+입력란!$C$42/100)*IF(입력란!$C$10=1,1.2,IF(입력란!$C$9=1,IF(입력란!$C$15=0,1.05,IF(입력란!$C$15=1,1.05*1.05,IF(입력란!$C$15=2,1.05*1.12,IF(입력란!$C$15=3,1.05*1.25)))),1))</f>
        <v>410116.37911403633</v>
      </c>
      <c r="T396" s="30">
        <f>AN396*IF(MID(E396,3,1)="1",트라이포드!$J$20,트라이포드!$I$20)*IF(MID(E396,5,1)="1",2,1)*(1+입력란!$C$42/100)</f>
        <v>0</v>
      </c>
      <c r="U396" s="30"/>
      <c r="V396" s="30"/>
      <c r="W396" s="30"/>
      <c r="X396" s="39"/>
      <c r="Y396" s="39"/>
      <c r="Z396" s="27">
        <f>AN396*IF(MID(E396,1,1)="2",트라이포드!$F$20,트라이포드!$E$20)*IF(MID(E396,5,1)="1",2,1)*(1+입력란!$C$42/100)</f>
        <v>0</v>
      </c>
      <c r="AA396" s="30">
        <f t="shared" si="48"/>
        <v>820232.75822807266</v>
      </c>
      <c r="AB396" s="30">
        <f t="shared" si="49"/>
        <v>820232.75822807266</v>
      </c>
      <c r="AC396" s="30">
        <f t="shared" si="50"/>
        <v>0</v>
      </c>
      <c r="AD396" s="30"/>
      <c r="AE396" s="30"/>
      <c r="AF396" s="39"/>
      <c r="AG396" s="39"/>
      <c r="AH396" s="39"/>
      <c r="AI396" s="27">
        <f t="shared" si="52"/>
        <v>0</v>
      </c>
      <c r="AJ396" s="26">
        <f>(AQ396-IF(MID(E396,1,1)="1",트라이포드!$D$20,트라이포드!$C$20))*(1-입력란!$C$35/100)</f>
        <v>35.582653468079997</v>
      </c>
      <c r="AK39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6" s="26">
        <f>입력란!$C$47+IF(입력란!$C$18=1,10,IF(입력란!$C$18=2,25,IF(입력란!$C$18=3,50,0)))+IF(입력란!$C$23&lt;&gt;0,-12)</f>
        <v>200</v>
      </c>
      <c r="AM396" s="30">
        <f t="shared" si="51"/>
        <v>256904.46710559158</v>
      </c>
      <c r="AN396" s="30">
        <f>(VLOOKUP(C396,$B$4:$AJ$7,25,FALSE)+VLOOKUP(C396,$B$8:$AJ$11,25,FALSE)*입력란!$C$29)*입력란!$C$48/100</f>
        <v>256904.46710559158</v>
      </c>
      <c r="AO396" s="30"/>
      <c r="AP396" s="30"/>
      <c r="AQ396" s="23">
        <v>36</v>
      </c>
    </row>
    <row r="397" spans="2:43" ht="13.5" customHeight="1" x14ac:dyDescent="0.3">
      <c r="B397" s="31">
        <v>382</v>
      </c>
      <c r="C397" s="36">
        <v>10</v>
      </c>
      <c r="D397" s="43" t="s">
        <v>227</v>
      </c>
      <c r="E397" s="38" t="s">
        <v>192</v>
      </c>
      <c r="F397" s="40"/>
      <c r="G397" s="40"/>
      <c r="H397" s="81">
        <f t="shared" si="46"/>
        <v>22386.601602282786</v>
      </c>
      <c r="I397" s="53">
        <f>SUM(J397:Q397)*IF(입력란!$C$16=1,1.04,IF(입력란!$C$16=2,1.1,IF(입력란!$C$16=3,1.2,1)))*IF(입력란!$C$21=1,1+입력란!$C$38*0.001,IF(입력란!$C$21=2,1+입력란!$C$38*0.0022,IF(입력란!$C$21=3,1+입력란!$C$38*0.0045,1)))*IF(입력란!$C$18&lt;&gt;0,0.98,1)</f>
        <v>796574.68714199285</v>
      </c>
      <c r="J397" s="30">
        <f>S397*(1+IF($AK397+IF(입력란!$C$10=1,0,IF(입력란!$C$9=1,10,0))+IF(입력란!$C$26=1,10,0)&gt;100,100,$AK397+IF(입력란!$C$10=1,0,IF(입력란!$C$9=1,10,0))+IF(입력란!$C$26=1,10,0))/100*($AL397/100-1))</f>
        <v>796574.68714199285</v>
      </c>
      <c r="K397" s="30">
        <f>T397*(1+IF($AK397+IF(입력란!$C$26=1,10,0)&gt;100,100,$AK397+IF(입력란!$C$26=1,10,0))/100*($AL397/100-1))</f>
        <v>0</v>
      </c>
      <c r="L397" s="30"/>
      <c r="M397" s="30"/>
      <c r="N397" s="39"/>
      <c r="O397" s="39"/>
      <c r="P397" s="39"/>
      <c r="Q397" s="35">
        <f>Z397*(1+IF($AK397+IF(입력란!$C$26=1,10,0)&gt;100,100,$AK397+IF(입력란!$C$26=1,10,0))/100*($AL397/100-1))</f>
        <v>0</v>
      </c>
      <c r="R397" s="24">
        <f t="shared" si="47"/>
        <v>656186.20658245822</v>
      </c>
      <c r="S397" s="30">
        <f>AN397*IF(MID(E397,3,1)="2",트라이포드!$L$20,트라이포드!$K$20)*IF(MID(E397,3,1)="3",트라이포드!$N$20,트라이포드!$M$20)*IF(MID(E397,5,1)="1",트라이포드!$P$20,트라이포드!$O$20)*IF(MID(E397,5,1)="2",트라이포드!$R$20,트라이포드!$Q$20)*(1+입력란!$C$42/100)*IF(입력란!$C$10=1,1.2,IF(입력란!$C$9=1,IF(입력란!$C$15=0,1.05,IF(입력란!$C$15=1,1.05*1.05,IF(입력란!$C$15=2,1.05*1.12,IF(입력란!$C$15=3,1.05*1.25)))),1))</f>
        <v>656186.20658245822</v>
      </c>
      <c r="T397" s="30">
        <f>AN397*IF(MID(E397,3,1)="1",트라이포드!$J$20,트라이포드!$I$20)*IF(MID(E397,5,1)="1",2,1)*(1+입력란!$C$42/100)</f>
        <v>0</v>
      </c>
      <c r="U397" s="30"/>
      <c r="V397" s="30"/>
      <c r="W397" s="30"/>
      <c r="X397" s="39"/>
      <c r="Y397" s="39"/>
      <c r="Z397" s="27">
        <f>AN397*IF(MID(E397,1,1)="2",트라이포드!$F$20,트라이포드!$E$20)*IF(MID(E397,5,1)="1",2,1)*(1+입력란!$C$42/100)</f>
        <v>0</v>
      </c>
      <c r="AA397" s="30">
        <f t="shared" si="48"/>
        <v>1312372.4131649164</v>
      </c>
      <c r="AB397" s="30">
        <f t="shared" si="49"/>
        <v>1312372.4131649164</v>
      </c>
      <c r="AC397" s="30">
        <f t="shared" si="50"/>
        <v>0</v>
      </c>
      <c r="AD397" s="30"/>
      <c r="AE397" s="30"/>
      <c r="AF397" s="39"/>
      <c r="AG397" s="39"/>
      <c r="AH397" s="39"/>
      <c r="AI397" s="27">
        <f t="shared" si="52"/>
        <v>0</v>
      </c>
      <c r="AJ397" s="26">
        <f>(AQ397-IF(MID(E397,1,1)="1",트라이포드!$D$20,트라이포드!$C$20))*(1-입력란!$C$35/100)</f>
        <v>35.582653468079997</v>
      </c>
      <c r="AK39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7" s="26">
        <f>입력란!$C$47+IF(입력란!$C$18=1,10,IF(입력란!$C$18=2,25,IF(입력란!$C$18=3,50,0)))+IF(입력란!$C$23&lt;&gt;0,-12)</f>
        <v>200</v>
      </c>
      <c r="AM397" s="30">
        <f t="shared" si="51"/>
        <v>256904.46710559158</v>
      </c>
      <c r="AN397" s="30">
        <f>(VLOOKUP(C397,$B$4:$AJ$7,25,FALSE)+VLOOKUP(C397,$B$8:$AJ$11,25,FALSE)*입력란!$C$29)*입력란!$C$48/100</f>
        <v>256904.46710559158</v>
      </c>
      <c r="AO397" s="30"/>
      <c r="AP397" s="30"/>
      <c r="AQ397" s="23">
        <v>36</v>
      </c>
    </row>
    <row r="398" spans="2:43" ht="13.5" customHeight="1" x14ac:dyDescent="0.3">
      <c r="B398" s="31">
        <v>383</v>
      </c>
      <c r="C398" s="36">
        <v>10</v>
      </c>
      <c r="D398" s="43" t="s">
        <v>227</v>
      </c>
      <c r="E398" s="38" t="s">
        <v>208</v>
      </c>
      <c r="F398" s="40"/>
      <c r="G398" s="40"/>
      <c r="H398" s="81">
        <f t="shared" si="46"/>
        <v>25184.926802568134</v>
      </c>
      <c r="I398" s="53">
        <f>SUM(J398:Q398)*IF(입력란!$C$16=1,1.04,IF(입력란!$C$16=2,1.1,IF(입력란!$C$16=3,1.2,1)))*IF(입력란!$C$21=1,1+입력란!$C$38*0.001,IF(입력란!$C$21=2,1+입력란!$C$38*0.0022,IF(입력란!$C$21=3,1+입력란!$C$38*0.0045,1)))*IF(입력란!$C$18&lt;&gt;0,0.98,1)</f>
        <v>896146.52303474187</v>
      </c>
      <c r="J398" s="30">
        <f>S398*(1+IF($AK398+IF(입력란!$C$10=1,0,IF(입력란!$C$9=1,10,0))+IF(입력란!$C$26=1,10,0)&gt;100,100,$AK398+IF(입력란!$C$10=1,0,IF(입력란!$C$9=1,10,0))+IF(입력란!$C$26=1,10,0))/100*($AL398/100-1))</f>
        <v>896146.52303474187</v>
      </c>
      <c r="K398" s="30">
        <f>T398*(1+IF($AK398+IF(입력란!$C$26=1,10,0)&gt;100,100,$AK398+IF(입력란!$C$26=1,10,0))/100*($AL398/100-1))</f>
        <v>0</v>
      </c>
      <c r="L398" s="30"/>
      <c r="M398" s="30"/>
      <c r="N398" s="39"/>
      <c r="O398" s="39"/>
      <c r="P398" s="39"/>
      <c r="Q398" s="35">
        <f>Z398*(1+IF($AK398+IF(입력란!$C$26=1,10,0)&gt;100,100,$AK398+IF(입력란!$C$26=1,10,0))/100*($AL398/100-1))</f>
        <v>0</v>
      </c>
      <c r="R398" s="24">
        <f t="shared" si="47"/>
        <v>738209.48240526544</v>
      </c>
      <c r="S398" s="30">
        <f>AN398*IF(MID(E398,3,1)="2",트라이포드!$L$20,트라이포드!$K$20)*IF(MID(E398,3,1)="3",트라이포드!$N$20,트라이포드!$M$20)*IF(MID(E398,5,1)="1",트라이포드!$P$20,트라이포드!$O$20)*IF(MID(E398,5,1)="2",트라이포드!$R$20,트라이포드!$Q$20)*(1+입력란!$C$42/100)*IF(입력란!$C$10=1,1.2,IF(입력란!$C$9=1,IF(입력란!$C$15=0,1.05,IF(입력란!$C$15=1,1.05*1.05,IF(입력란!$C$15=2,1.05*1.12,IF(입력란!$C$15=3,1.05*1.25)))),1))</f>
        <v>738209.48240526544</v>
      </c>
      <c r="T398" s="30">
        <f>AN398*IF(MID(E398,3,1)="1",트라이포드!$J$20,트라이포드!$I$20)*IF(MID(E398,5,1)="1",2,1)*(1+입력란!$C$42/100)</f>
        <v>0</v>
      </c>
      <c r="U398" s="30"/>
      <c r="V398" s="30"/>
      <c r="W398" s="30"/>
      <c r="X398" s="39"/>
      <c r="Y398" s="39"/>
      <c r="Z398" s="27">
        <f>AN398*IF(MID(E398,1,1)="2",트라이포드!$F$20,트라이포드!$E$20)*IF(MID(E398,5,1)="1",2,1)*(1+입력란!$C$42/100)</f>
        <v>0</v>
      </c>
      <c r="AA398" s="30">
        <f t="shared" si="48"/>
        <v>1476418.9648105309</v>
      </c>
      <c r="AB398" s="30">
        <f t="shared" si="49"/>
        <v>1476418.9648105309</v>
      </c>
      <c r="AC398" s="30">
        <f t="shared" si="50"/>
        <v>0</v>
      </c>
      <c r="AD398" s="30"/>
      <c r="AE398" s="30"/>
      <c r="AF398" s="39"/>
      <c r="AG398" s="39"/>
      <c r="AH398" s="39"/>
      <c r="AI398" s="27">
        <f t="shared" si="52"/>
        <v>0</v>
      </c>
      <c r="AJ398" s="26">
        <f>(AQ398-IF(MID(E398,1,1)="1",트라이포드!$D$20,트라이포드!$C$20))*(1-입력란!$C$35/100)</f>
        <v>35.582653468079997</v>
      </c>
      <c r="AK39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8" s="26">
        <f>입력란!$C$47+IF(입력란!$C$18=1,10,IF(입력란!$C$18=2,25,IF(입력란!$C$18=3,50,0)))+IF(입력란!$C$23&lt;&gt;0,-12)</f>
        <v>200</v>
      </c>
      <c r="AM398" s="30">
        <f t="shared" si="51"/>
        <v>256904.46710559158</v>
      </c>
      <c r="AN398" s="30">
        <f>(VLOOKUP(C398,$B$4:$AJ$7,25,FALSE)+VLOOKUP(C398,$B$8:$AJ$11,25,FALSE)*입력란!$C$29)*입력란!$C$48/100</f>
        <v>256904.46710559158</v>
      </c>
      <c r="AO398" s="30"/>
      <c r="AP398" s="30"/>
      <c r="AQ398" s="23">
        <v>36</v>
      </c>
    </row>
    <row r="399" spans="2:43" ht="13.5" customHeight="1" x14ac:dyDescent="0.3">
      <c r="B399" s="31">
        <v>384</v>
      </c>
      <c r="C399" s="36">
        <v>10</v>
      </c>
      <c r="D399" s="43" t="s">
        <v>227</v>
      </c>
      <c r="E399" s="38" t="s">
        <v>198</v>
      </c>
      <c r="F399" s="40"/>
      <c r="G399" s="40"/>
      <c r="H399" s="81">
        <f t="shared" si="46"/>
        <v>38211.61307975855</v>
      </c>
      <c r="I399" s="53">
        <f>SUM(J399:Q399)*IF(입력란!$C$16=1,1.04,IF(입력란!$C$16=2,1.1,IF(입력란!$C$16=3,1.2,1)))*IF(입력란!$C$21=1,1+입력란!$C$38*0.001,IF(입력란!$C$21=2,1+입력란!$C$38*0.0022,IF(입력란!$C$21=3,1+입력란!$C$38*0.0045,1)))*IF(입력란!$C$18&lt;&gt;0,0.98,1)</f>
        <v>1095290.1948202401</v>
      </c>
      <c r="J399" s="30">
        <f>S399*(1+IF($AK399+IF(입력란!$C$10=1,0,IF(입력란!$C$9=1,10,0))+IF(입력란!$C$26=1,10,0)&gt;100,100,$AK399+IF(입력란!$C$10=1,0,IF(입력란!$C$9=1,10,0))+IF(입력란!$C$26=1,10,0))/100*($AL399/100-1))</f>
        <v>796574.68714199285</v>
      </c>
      <c r="K399" s="30">
        <f>T399*(1+IF($AK399+IF(입력란!$C$26=1,10,0)&gt;100,100,$AK399+IF(입력란!$C$26=1,10,0))/100*($AL399/100-1))</f>
        <v>298715.50767824729</v>
      </c>
      <c r="L399" s="30"/>
      <c r="M399" s="30"/>
      <c r="N399" s="39"/>
      <c r="O399" s="39"/>
      <c r="P399" s="39"/>
      <c r="Q399" s="35">
        <f>Z399*(1+IF($AK399+IF(입력란!$C$26=1,10,0)&gt;100,100,$AK399+IF(입력란!$C$26=1,10,0))/100*($AL399/100-1))</f>
        <v>0</v>
      </c>
      <c r="R399" s="24">
        <f t="shared" si="47"/>
        <v>902256.03405088</v>
      </c>
      <c r="S399" s="30">
        <f>AN399*IF(MID(E399,3,1)="2",트라이포드!$L$20,트라이포드!$K$20)*IF(MID(E399,3,1)="3",트라이포드!$N$20,트라이포드!$M$20)*IF(MID(E399,5,1)="1",트라이포드!$P$20,트라이포드!$O$20)*IF(MID(E399,5,1)="2",트라이포드!$R$20,트라이포드!$Q$20)*(1+입력란!$C$42/100)*IF(입력란!$C$10=1,1.2,IF(입력란!$C$9=1,IF(입력란!$C$15=0,1.05,IF(입력란!$C$15=1,1.05*1.05,IF(입력란!$C$15=2,1.05*1.12,IF(입력란!$C$15=3,1.05*1.25)))),1))</f>
        <v>656186.20658245822</v>
      </c>
      <c r="T399" s="30">
        <f>AN399*IF(MID(E399,3,1)="1",트라이포드!$J$20,트라이포드!$I$20)*IF(MID(E399,5,1)="1",2,1)*(1+입력란!$C$42/100)</f>
        <v>246069.8274684218</v>
      </c>
      <c r="U399" s="30"/>
      <c r="V399" s="30"/>
      <c r="W399" s="30"/>
      <c r="X399" s="39"/>
      <c r="Y399" s="39"/>
      <c r="Z399" s="27">
        <f>AN399*IF(MID(E399,1,1)="2",트라이포드!$F$20,트라이포드!$E$20)*IF(MID(E399,5,1)="1",2,1)*(1+입력란!$C$42/100)</f>
        <v>0</v>
      </c>
      <c r="AA399" s="30">
        <f t="shared" si="48"/>
        <v>1804512.06810176</v>
      </c>
      <c r="AB399" s="30">
        <f t="shared" si="49"/>
        <v>1312372.4131649164</v>
      </c>
      <c r="AC399" s="30">
        <f t="shared" si="50"/>
        <v>492139.65493684361</v>
      </c>
      <c r="AD399" s="30"/>
      <c r="AE399" s="30"/>
      <c r="AF399" s="39"/>
      <c r="AG399" s="39"/>
      <c r="AH399" s="39"/>
      <c r="AI399" s="27">
        <f t="shared" si="52"/>
        <v>0</v>
      </c>
      <c r="AJ399" s="26">
        <f>(AQ399-IF(MID(E399,1,1)="1",트라이포드!$D$20,트라이포드!$C$20))*(1-입력란!$C$35/100)</f>
        <v>28.663804182619998</v>
      </c>
      <c r="AK39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399" s="26">
        <f>입력란!$C$47+IF(입력란!$C$18=1,10,IF(입력란!$C$18=2,25,IF(입력란!$C$18=3,50,0)))+IF(입력란!$C$23&lt;&gt;0,-12)</f>
        <v>200</v>
      </c>
      <c r="AM399" s="30">
        <f t="shared" si="51"/>
        <v>256904.46710559158</v>
      </c>
      <c r="AN399" s="30">
        <f>(VLOOKUP(C399,$B$4:$AJ$7,25,FALSE)+VLOOKUP(C399,$B$8:$AJ$11,25,FALSE)*입력란!$C$29)*입력란!$C$48/100</f>
        <v>256904.46710559158</v>
      </c>
      <c r="AO399" s="30"/>
      <c r="AP399" s="30"/>
      <c r="AQ399" s="23">
        <v>36</v>
      </c>
    </row>
    <row r="400" spans="2:43" ht="13.5" customHeight="1" x14ac:dyDescent="0.3">
      <c r="B400" s="31">
        <v>385</v>
      </c>
      <c r="C400" s="36">
        <v>10</v>
      </c>
      <c r="D400" s="43" t="s">
        <v>227</v>
      </c>
      <c r="E400" s="38" t="s">
        <v>199</v>
      </c>
      <c r="F400" s="40"/>
      <c r="G400" s="40"/>
      <c r="H400" s="81">
        <f t="shared" ref="H400:H444" si="53">I400/AJ400</f>
        <v>36474.721576133161</v>
      </c>
      <c r="I400" s="53">
        <f>SUM(J400:Q400)*IF(입력란!$C$16=1,1.04,IF(입력란!$C$16=2,1.1,IF(입력란!$C$16=3,1.2,1)))*IF(입력란!$C$21=1,1+입력란!$C$38*0.001,IF(입력란!$C$21=2,1+입력란!$C$38*0.0022,IF(입력란!$C$21=3,1+입력란!$C$38*0.0045,1)))*IF(입력란!$C$18&lt;&gt;0,0.98,1)</f>
        <v>1045504.2768738655</v>
      </c>
      <c r="J400" s="30">
        <f>S400*(1+IF($AK400+IF(입력란!$C$10=1,0,IF(입력란!$C$9=1,10,0))+IF(입력란!$C$26=1,10,0)&gt;100,100,$AK400+IF(입력란!$C$10=1,0,IF(입력란!$C$9=1,10,0))+IF(입력란!$C$26=1,10,0))/100*($AL400/100-1))</f>
        <v>896146.52303474187</v>
      </c>
      <c r="K400" s="30">
        <f>T400*(1+IF($AK400+IF(입력란!$C$26=1,10,0)&gt;100,100,$AK400+IF(입력란!$C$26=1,10,0))/100*($AL400/100-1))</f>
        <v>149357.75383912364</v>
      </c>
      <c r="L400" s="30"/>
      <c r="M400" s="30"/>
      <c r="N400" s="39"/>
      <c r="O400" s="39"/>
      <c r="P400" s="39"/>
      <c r="Q400" s="35">
        <f>Z400*(1+IF($AK400+IF(입력란!$C$26=1,10,0)&gt;100,100,$AK400+IF(입력란!$C$26=1,10,0))/100*($AL400/100-1))</f>
        <v>0</v>
      </c>
      <c r="R400" s="24">
        <f t="shared" ref="R400:R444" si="54">SUM(S400:Z400)</f>
        <v>861244.39613947633</v>
      </c>
      <c r="S400" s="30">
        <f>AN400*IF(MID(E400,3,1)="2",트라이포드!$L$20,트라이포드!$K$20)*IF(MID(E400,3,1)="3",트라이포드!$N$20,트라이포드!$M$20)*IF(MID(E400,5,1)="1",트라이포드!$P$20,트라이포드!$O$20)*IF(MID(E400,5,1)="2",트라이포드!$R$20,트라이포드!$Q$20)*(1+입력란!$C$42/100)*IF(입력란!$C$10=1,1.2,IF(입력란!$C$9=1,IF(입력란!$C$15=0,1.05,IF(입력란!$C$15=1,1.05*1.05,IF(입력란!$C$15=2,1.05*1.12,IF(입력란!$C$15=3,1.05*1.25)))),1))</f>
        <v>738209.48240526544</v>
      </c>
      <c r="T400" s="30">
        <f>AN400*IF(MID(E400,3,1)="1",트라이포드!$J$20,트라이포드!$I$20)*IF(MID(E400,5,1)="1",2,1)*(1+입력란!$C$42/100)</f>
        <v>123034.9137342109</v>
      </c>
      <c r="U400" s="30"/>
      <c r="V400" s="30"/>
      <c r="W400" s="30"/>
      <c r="X400" s="39"/>
      <c r="Y400" s="39"/>
      <c r="Z400" s="27">
        <f>AN400*IF(MID(E400,1,1)="2",트라이포드!$F$20,트라이포드!$E$20)*IF(MID(E400,5,1)="1",2,1)*(1+입력란!$C$42/100)</f>
        <v>0</v>
      </c>
      <c r="AA400" s="30">
        <f t="shared" ref="AA400:AA444" si="55">SUM(AB400:AI400)</f>
        <v>1722488.7922789527</v>
      </c>
      <c r="AB400" s="30">
        <f t="shared" ref="AB400:AB444" si="56">S400*2</f>
        <v>1476418.9648105309</v>
      </c>
      <c r="AC400" s="30">
        <f t="shared" ref="AC400:AC444" si="57">T400*2</f>
        <v>246069.8274684218</v>
      </c>
      <c r="AD400" s="30"/>
      <c r="AE400" s="30"/>
      <c r="AF400" s="39"/>
      <c r="AG400" s="39"/>
      <c r="AH400" s="39"/>
      <c r="AI400" s="27">
        <f t="shared" si="52"/>
        <v>0</v>
      </c>
      <c r="AJ400" s="26">
        <f>(AQ400-IF(MID(E400,1,1)="1",트라이포드!$D$20,트라이포드!$C$20))*(1-입력란!$C$35/100)</f>
        <v>28.663804182619998</v>
      </c>
      <c r="AK40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0" s="26">
        <f>입력란!$C$47+IF(입력란!$C$18=1,10,IF(입력란!$C$18=2,25,IF(입력란!$C$18=3,50,0)))+IF(입력란!$C$23&lt;&gt;0,-12)</f>
        <v>200</v>
      </c>
      <c r="AM400" s="30">
        <f t="shared" ref="AM400:AM444" si="58">SUM(AN400:AP400)</f>
        <v>256904.46710559158</v>
      </c>
      <c r="AN400" s="30">
        <f>(VLOOKUP(C400,$B$4:$AJ$7,25,FALSE)+VLOOKUP(C400,$B$8:$AJ$11,25,FALSE)*입력란!$C$29)*입력란!$C$48/100</f>
        <v>256904.46710559158</v>
      </c>
      <c r="AO400" s="30"/>
      <c r="AP400" s="30"/>
      <c r="AQ400" s="23">
        <v>36</v>
      </c>
    </row>
    <row r="401" spans="2:43" ht="13.5" customHeight="1" x14ac:dyDescent="0.3">
      <c r="B401" s="31">
        <v>386</v>
      </c>
      <c r="C401" s="36">
        <v>10</v>
      </c>
      <c r="D401" s="43" t="s">
        <v>227</v>
      </c>
      <c r="E401" s="38" t="s">
        <v>210</v>
      </c>
      <c r="F401" s="40"/>
      <c r="G401" s="40"/>
      <c r="H401" s="81">
        <f t="shared" si="53"/>
        <v>33348.316869607457</v>
      </c>
      <c r="I401" s="53">
        <f>SUM(J401:Q401)*IF(입력란!$C$16=1,1.04,IF(입력란!$C$16=2,1.1,IF(입력란!$C$16=3,1.2,1)))*IF(입력란!$C$21=1,1+입력란!$C$38*0.001,IF(입력란!$C$21=2,1+입력란!$C$38*0.0022,IF(입력란!$C$21=3,1+입력란!$C$38*0.0045,1)))*IF(입력란!$C$18&lt;&gt;0,0.98,1)</f>
        <v>955889.62457039126</v>
      </c>
      <c r="J401" s="30">
        <f>S401*(1+IF($AK401+IF(입력란!$C$10=1,0,IF(입력란!$C$9=1,10,0))+IF(입력란!$C$26=1,10,0)&gt;100,100,$AK401+IF(입력란!$C$10=1,0,IF(입력란!$C$9=1,10,0))+IF(입력란!$C$26=1,10,0))/100*($AL401/100-1))</f>
        <v>955889.62457039126</v>
      </c>
      <c r="K401" s="30">
        <f>T401*(1+IF($AK401+IF(입력란!$C$26=1,10,0)&gt;100,100,$AK401+IF(입력란!$C$26=1,10,0))/100*($AL401/100-1))</f>
        <v>0</v>
      </c>
      <c r="L401" s="30"/>
      <c r="M401" s="30"/>
      <c r="N401" s="39"/>
      <c r="O401" s="39"/>
      <c r="P401" s="39"/>
      <c r="Q401" s="35">
        <f>Z401*(1+IF($AK401+IF(입력란!$C$26=1,10,0)&gt;100,100,$AK401+IF(입력란!$C$26=1,10,0))/100*($AL401/100-1))</f>
        <v>0</v>
      </c>
      <c r="R401" s="24">
        <f t="shared" si="54"/>
        <v>787423.44789894973</v>
      </c>
      <c r="S401" s="30">
        <f>AN401*IF(MID(E401,3,1)="2",트라이포드!$L$20,트라이포드!$K$20)*IF(MID(E401,3,1)="3",트라이포드!$N$20,트라이포드!$M$20)*IF(MID(E401,5,1)="1",트라이포드!$P$20,트라이포드!$O$20)*IF(MID(E401,5,1)="2",트라이포드!$R$20,트라이포드!$Q$20)*(1+입력란!$C$42/100)*IF(입력란!$C$10=1,1.2,IF(입력란!$C$9=1,IF(입력란!$C$15=0,1.05,IF(입력란!$C$15=1,1.05*1.05,IF(입력란!$C$15=2,1.05*1.12,IF(입력란!$C$15=3,1.05*1.25)))),1))</f>
        <v>787423.44789894973</v>
      </c>
      <c r="T401" s="30">
        <f>AN401*IF(MID(E401,3,1)="1",트라이포드!$J$20,트라이포드!$I$20)*IF(MID(E401,5,1)="1",2,1)*(1+입력란!$C$42/100)</f>
        <v>0</v>
      </c>
      <c r="U401" s="30"/>
      <c r="V401" s="30"/>
      <c r="W401" s="30"/>
      <c r="X401" s="39"/>
      <c r="Y401" s="39"/>
      <c r="Z401" s="27">
        <f>AN401*IF(MID(E401,1,1)="2",트라이포드!$F$20,트라이포드!$E$20)*IF(MID(E401,5,1)="1",2,1)*(1+입력란!$C$42/100)</f>
        <v>0</v>
      </c>
      <c r="AA401" s="30">
        <f t="shared" si="55"/>
        <v>1574846.8957978995</v>
      </c>
      <c r="AB401" s="30">
        <f t="shared" si="56"/>
        <v>1574846.8957978995</v>
      </c>
      <c r="AC401" s="30">
        <f t="shared" si="57"/>
        <v>0</v>
      </c>
      <c r="AD401" s="30"/>
      <c r="AE401" s="30"/>
      <c r="AF401" s="39"/>
      <c r="AG401" s="39"/>
      <c r="AH401" s="39"/>
      <c r="AI401" s="27">
        <f t="shared" si="52"/>
        <v>0</v>
      </c>
      <c r="AJ401" s="26">
        <f>(AQ401-IF(MID(E401,1,1)="1",트라이포드!$D$20,트라이포드!$C$20))*(1-입력란!$C$35/100)</f>
        <v>28.663804182619998</v>
      </c>
      <c r="AK40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1" s="26">
        <f>입력란!$C$47+IF(입력란!$C$18=1,10,IF(입력란!$C$18=2,25,IF(입력란!$C$18=3,50,0)))+IF(입력란!$C$23&lt;&gt;0,-12)</f>
        <v>200</v>
      </c>
      <c r="AM401" s="30">
        <f t="shared" si="58"/>
        <v>256904.46710559158</v>
      </c>
      <c r="AN401" s="30">
        <f>(VLOOKUP(C401,$B$4:$AJ$7,25,FALSE)+VLOOKUP(C401,$B$8:$AJ$11,25,FALSE)*입력란!$C$29)*입력란!$C$48/100</f>
        <v>256904.46710559158</v>
      </c>
      <c r="AO401" s="30"/>
      <c r="AP401" s="30"/>
      <c r="AQ401" s="23">
        <v>36</v>
      </c>
    </row>
    <row r="402" spans="2:43" ht="13.5" customHeight="1" x14ac:dyDescent="0.3">
      <c r="B402" s="31">
        <v>387</v>
      </c>
      <c r="C402" s="36">
        <v>10</v>
      </c>
      <c r="D402" s="43" t="s">
        <v>227</v>
      </c>
      <c r="E402" s="38" t="s">
        <v>224</v>
      </c>
      <c r="F402" s="40"/>
      <c r="G402" s="40"/>
      <c r="H402" s="81">
        <f t="shared" si="53"/>
        <v>37516.856478308393</v>
      </c>
      <c r="I402" s="53">
        <f>SUM(J402:Q402)*IF(입력란!$C$16=1,1.04,IF(입력란!$C$16=2,1.1,IF(입력란!$C$16=3,1.2,1)))*IF(입력란!$C$21=1,1+입력란!$C$38*0.001,IF(입력란!$C$21=2,1+입력란!$C$38*0.0022,IF(입력란!$C$21=3,1+입력란!$C$38*0.0045,1)))*IF(입력란!$C$18&lt;&gt;0,0.98,1)</f>
        <v>1075375.8276416904</v>
      </c>
      <c r="J402" s="30">
        <f>S402*(1+IF($AK402+IF(입력란!$C$10=1,0,IF(입력란!$C$9=1,10,0))+IF(입력란!$C$26=1,10,0)&gt;100,100,$AK402+IF(입력란!$C$10=1,0,IF(입력란!$C$9=1,10,0))+IF(입력란!$C$26=1,10,0))/100*($AL402/100-1))</f>
        <v>1075375.8276416904</v>
      </c>
      <c r="K402" s="30">
        <f>T402*(1+IF($AK402+IF(입력란!$C$26=1,10,0)&gt;100,100,$AK402+IF(입력란!$C$26=1,10,0))/100*($AL402/100-1))</f>
        <v>0</v>
      </c>
      <c r="L402" s="30"/>
      <c r="M402" s="30"/>
      <c r="N402" s="39"/>
      <c r="O402" s="39"/>
      <c r="P402" s="39"/>
      <c r="Q402" s="35">
        <f>Z402*(1+IF($AK402+IF(입력란!$C$26=1,10,0)&gt;100,100,$AK402+IF(입력란!$C$26=1,10,0))/100*($AL402/100-1))</f>
        <v>0</v>
      </c>
      <c r="R402" s="24">
        <f t="shared" si="54"/>
        <v>885851.37888631853</v>
      </c>
      <c r="S402" s="30">
        <f>AN402*IF(MID(E402,3,1)="2",트라이포드!$L$20,트라이포드!$K$20)*IF(MID(E402,3,1)="3",트라이포드!$N$20,트라이포드!$M$20)*IF(MID(E402,5,1)="1",트라이포드!$P$20,트라이포드!$O$20)*IF(MID(E402,5,1)="2",트라이포드!$R$20,트라이포드!$Q$20)*(1+입력란!$C$42/100)*IF(입력란!$C$10=1,1.2,IF(입력란!$C$9=1,IF(입력란!$C$15=0,1.05,IF(입력란!$C$15=1,1.05*1.05,IF(입력란!$C$15=2,1.05*1.12,IF(입력란!$C$15=3,1.05*1.25)))),1))</f>
        <v>885851.37888631853</v>
      </c>
      <c r="T402" s="30">
        <f>AN402*IF(MID(E402,3,1)="1",트라이포드!$J$20,트라이포드!$I$20)*IF(MID(E402,5,1)="1",2,1)*(1+입력란!$C$42/100)</f>
        <v>0</v>
      </c>
      <c r="U402" s="30"/>
      <c r="V402" s="30"/>
      <c r="W402" s="30"/>
      <c r="X402" s="39"/>
      <c r="Y402" s="39"/>
      <c r="Z402" s="27">
        <f>AN402*IF(MID(E402,1,1)="2",트라이포드!$F$20,트라이포드!$E$20)*IF(MID(E402,5,1)="1",2,1)*(1+입력란!$C$42/100)</f>
        <v>0</v>
      </c>
      <c r="AA402" s="30">
        <f t="shared" si="55"/>
        <v>1771702.7577726371</v>
      </c>
      <c r="AB402" s="30">
        <f t="shared" si="56"/>
        <v>1771702.7577726371</v>
      </c>
      <c r="AC402" s="30">
        <f t="shared" si="57"/>
        <v>0</v>
      </c>
      <c r="AD402" s="30"/>
      <c r="AE402" s="30"/>
      <c r="AF402" s="39"/>
      <c r="AG402" s="39"/>
      <c r="AH402" s="39"/>
      <c r="AI402" s="27">
        <f t="shared" si="52"/>
        <v>0</v>
      </c>
      <c r="AJ402" s="26">
        <f>(AQ402-IF(MID(E402,1,1)="1",트라이포드!$D$20,트라이포드!$C$20))*(1-입력란!$C$35/100)</f>
        <v>28.663804182619998</v>
      </c>
      <c r="AK40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2" s="26">
        <f>입력란!$C$47+IF(입력란!$C$18=1,10,IF(입력란!$C$18=2,25,IF(입력란!$C$18=3,50,0)))+IF(입력란!$C$23&lt;&gt;0,-12)</f>
        <v>200</v>
      </c>
      <c r="AM402" s="30">
        <f t="shared" si="58"/>
        <v>256904.46710559158</v>
      </c>
      <c r="AN402" s="30">
        <f>(VLOOKUP(C402,$B$4:$AJ$7,25,FALSE)+VLOOKUP(C402,$B$8:$AJ$11,25,FALSE)*입력란!$C$29)*입력란!$C$48/100</f>
        <v>256904.46710559158</v>
      </c>
      <c r="AO402" s="30"/>
      <c r="AP402" s="30"/>
      <c r="AQ402" s="23">
        <v>36</v>
      </c>
    </row>
    <row r="403" spans="2:43" ht="13.5" customHeight="1" x14ac:dyDescent="0.3">
      <c r="B403" s="31">
        <v>388</v>
      </c>
      <c r="C403" s="36">
        <v>10</v>
      </c>
      <c r="D403" s="43" t="s">
        <v>227</v>
      </c>
      <c r="E403" s="38" t="s">
        <v>200</v>
      </c>
      <c r="F403" s="40" t="s">
        <v>236</v>
      </c>
      <c r="G403" s="40"/>
      <c r="H403" s="81">
        <f t="shared" si="53"/>
        <v>41685.396087009329</v>
      </c>
      <c r="I403" s="53">
        <f>SUM(J403:Q403)*IF(입력란!$C$16=1,1.04,IF(입력란!$C$16=2,1.1,IF(입력란!$C$16=3,1.2,1)))*IF(입력란!$C$21=1,1+입력란!$C$38*0.001,IF(입력란!$C$21=2,1+입력란!$C$38*0.0022,IF(입력란!$C$21=3,1+입력란!$C$38*0.0045,1)))*IF(입력란!$C$18&lt;&gt;0,0.98,1)</f>
        <v>1194862.0307129894</v>
      </c>
      <c r="J403" s="30">
        <f>S403*(1+IF($AK403+IF(입력란!$C$10=1,0,IF(입력란!$C$9=1,10,0))+IF(입력란!$C$26=1,10,0)&gt;100,100,$AK403+IF(입력란!$C$10=1,0,IF(입력란!$C$9=1,10,0))+IF(입력란!$C$26=1,10,0))/100*($AL403/100-1))</f>
        <v>1194862.0307129894</v>
      </c>
      <c r="K403" s="30">
        <f>T403*(1+IF($AK403+IF(입력란!$C$26=1,10,0)&gt;100,100,$AK403+IF(입력란!$C$26=1,10,0))/100*($AL403/100-1))</f>
        <v>0</v>
      </c>
      <c r="L403" s="30"/>
      <c r="M403" s="30"/>
      <c r="N403" s="39"/>
      <c r="O403" s="39"/>
      <c r="P403" s="39"/>
      <c r="Q403" s="35">
        <f>Z403*(1+IF($AK403+IF(입력란!$C$26=1,10,0)&gt;100,100,$AK403+IF(입력란!$C$26=1,10,0))/100*($AL403/100-1))</f>
        <v>0</v>
      </c>
      <c r="R403" s="24">
        <f t="shared" si="54"/>
        <v>984279.30987368734</v>
      </c>
      <c r="S403" s="30">
        <f>AN403*IF(MID(E403,3,1)="2",트라이포드!$L$20,트라이포드!$K$20)*IF(MID(E403,3,1)="3",트라이포드!$N$20,트라이포드!$M$20)*IF(MID(E403,5,1)="1",트라이포드!$P$20,트라이포드!$O$20)*IF(MID(E403,5,1)="2",트라이포드!$R$20,트라이포드!$Q$20)*(1+입력란!$C$42/100)*IF(입력란!$C$10=1,1.2,IF(입력란!$C$9=1,IF(입력란!$C$15=0,1.05,IF(입력란!$C$15=1,1.05*1.05,IF(입력란!$C$15=2,1.05*1.12,IF(입력란!$C$15=3,1.05*1.25)))),1))</f>
        <v>984279.30987368734</v>
      </c>
      <c r="T403" s="30">
        <f>AN403*IF(MID(E403,3,1)="1",트라이포드!$J$20,트라이포드!$I$20)*IF(MID(E403,5,1)="1",2,1)*(1+입력란!$C$42/100)</f>
        <v>0</v>
      </c>
      <c r="U403" s="30"/>
      <c r="V403" s="30"/>
      <c r="W403" s="30"/>
      <c r="X403" s="39"/>
      <c r="Y403" s="39"/>
      <c r="Z403" s="27">
        <f>AN403*IF(MID(E403,1,1)="2",트라이포드!$F$20,트라이포드!$E$20)*IF(MID(E403,5,1)="1",2,1)*(1+입력란!$C$42/100)</f>
        <v>0</v>
      </c>
      <c r="AA403" s="30">
        <f t="shared" si="55"/>
        <v>1968558.6197473747</v>
      </c>
      <c r="AB403" s="30">
        <f t="shared" si="56"/>
        <v>1968558.6197473747</v>
      </c>
      <c r="AC403" s="30">
        <f t="shared" si="57"/>
        <v>0</v>
      </c>
      <c r="AD403" s="30"/>
      <c r="AE403" s="30"/>
      <c r="AF403" s="39"/>
      <c r="AG403" s="39"/>
      <c r="AH403" s="39"/>
      <c r="AI403" s="27">
        <f t="shared" si="52"/>
        <v>0</v>
      </c>
      <c r="AJ403" s="26">
        <f>(AQ403-IF(MID(E403,1,1)="1",트라이포드!$D$20,트라이포드!$C$20))*(1-입력란!$C$35/100)</f>
        <v>28.663804182619998</v>
      </c>
      <c r="AK40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3" s="26">
        <f>입력란!$C$47+IF(입력란!$C$18=1,10,IF(입력란!$C$18=2,25,IF(입력란!$C$18=3,50,0)))+IF(입력란!$C$23&lt;&gt;0,-12)</f>
        <v>200</v>
      </c>
      <c r="AM403" s="30">
        <f t="shared" si="58"/>
        <v>256904.46710559158</v>
      </c>
      <c r="AN403" s="30">
        <f>(VLOOKUP(C403,$B$4:$AJ$7,25,FALSE)+VLOOKUP(C403,$B$8:$AJ$11,25,FALSE)*입력란!$C$29)*입력란!$C$48/100</f>
        <v>256904.46710559158</v>
      </c>
      <c r="AO403" s="30"/>
      <c r="AP403" s="30"/>
      <c r="AQ403" s="23">
        <v>36</v>
      </c>
    </row>
    <row r="404" spans="2:43" ht="13.5" customHeight="1" x14ac:dyDescent="0.3">
      <c r="B404" s="31">
        <v>389</v>
      </c>
      <c r="C404" s="36">
        <v>10</v>
      </c>
      <c r="D404" s="43" t="s">
        <v>227</v>
      </c>
      <c r="E404" s="38" t="s">
        <v>201</v>
      </c>
      <c r="F404" s="40" t="s">
        <v>236</v>
      </c>
      <c r="G404" s="40"/>
      <c r="H404" s="81">
        <f t="shared" si="53"/>
        <v>46896.070597885497</v>
      </c>
      <c r="I404" s="53">
        <f>SUM(J404:Q404)*IF(입력란!$C$16=1,1.04,IF(입력란!$C$16=2,1.1,IF(입력란!$C$16=3,1.2,1)))*IF(입력란!$C$21=1,1+입력란!$C$38*0.001,IF(입력란!$C$21=2,1+입력란!$C$38*0.0022,IF(입력란!$C$21=3,1+입력란!$C$38*0.0045,1)))*IF(입력란!$C$18&lt;&gt;0,0.98,1)</f>
        <v>1344219.7845521129</v>
      </c>
      <c r="J404" s="30">
        <f>S404*(1+IF($AK404+IF(입력란!$C$10=1,0,IF(입력란!$C$9=1,10,0))+IF(입력란!$C$26=1,10,0)&gt;100,100,$AK404+IF(입력란!$C$10=1,0,IF(입력란!$C$9=1,10,0))+IF(입력란!$C$26=1,10,0))/100*($AL404/100-1))</f>
        <v>1344219.7845521129</v>
      </c>
      <c r="K404" s="30">
        <f>T404*(1+IF($AK404+IF(입력란!$C$26=1,10,0)&gt;100,100,$AK404+IF(입력란!$C$26=1,10,0))/100*($AL404/100-1))</f>
        <v>0</v>
      </c>
      <c r="L404" s="30"/>
      <c r="M404" s="30"/>
      <c r="N404" s="39"/>
      <c r="O404" s="39"/>
      <c r="P404" s="39"/>
      <c r="Q404" s="35">
        <f>Z404*(1+IF($AK404+IF(입력란!$C$26=1,10,0)&gt;100,100,$AK404+IF(입력란!$C$26=1,10,0))/100*($AL404/100-1))</f>
        <v>0</v>
      </c>
      <c r="R404" s="24">
        <f t="shared" si="54"/>
        <v>1107314.2236078982</v>
      </c>
      <c r="S404" s="30">
        <f>AN404*IF(MID(E404,3,1)="2",트라이포드!$L$20,트라이포드!$K$20)*IF(MID(E404,3,1)="3",트라이포드!$N$20,트라이포드!$M$20)*IF(MID(E404,5,1)="1",트라이포드!$P$20,트라이포드!$O$20)*IF(MID(E404,5,1)="2",트라이포드!$R$20,트라이포드!$Q$20)*(1+입력란!$C$42/100)*IF(입력란!$C$10=1,1.2,IF(입력란!$C$9=1,IF(입력란!$C$15=0,1.05,IF(입력란!$C$15=1,1.05*1.05,IF(입력란!$C$15=2,1.05*1.12,IF(입력란!$C$15=3,1.05*1.25)))),1))</f>
        <v>1107314.2236078982</v>
      </c>
      <c r="T404" s="30">
        <f>AN404*IF(MID(E404,3,1)="1",트라이포드!$J$20,트라이포드!$I$20)*IF(MID(E404,5,1)="1",2,1)*(1+입력란!$C$42/100)</f>
        <v>0</v>
      </c>
      <c r="U404" s="30"/>
      <c r="V404" s="30"/>
      <c r="W404" s="30"/>
      <c r="X404" s="30"/>
      <c r="Y404" s="30"/>
      <c r="Z404" s="27">
        <f>AN404*IF(MID(E404,1,1)="2",트라이포드!$F$20,트라이포드!$E$20)*IF(MID(E404,5,1)="1",2,1)*(1+입력란!$C$42/100)</f>
        <v>0</v>
      </c>
      <c r="AA404" s="30">
        <f t="shared" si="55"/>
        <v>2214628.4472157964</v>
      </c>
      <c r="AB404" s="30">
        <f t="shared" si="56"/>
        <v>2214628.4472157964</v>
      </c>
      <c r="AC404" s="30">
        <f t="shared" si="57"/>
        <v>0</v>
      </c>
      <c r="AD404" s="30"/>
      <c r="AE404" s="30"/>
      <c r="AF404" s="39"/>
      <c r="AG404" s="39"/>
      <c r="AH404" s="39"/>
      <c r="AI404" s="27">
        <f t="shared" si="52"/>
        <v>0</v>
      </c>
      <c r="AJ404" s="26">
        <f>(AQ404-IF(MID(E404,1,1)="1",트라이포드!$D$20,트라이포드!$C$20))*(1-입력란!$C$35/100)</f>
        <v>28.663804182619998</v>
      </c>
      <c r="AK40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4" s="26">
        <f>입력란!$C$47+IF(입력란!$C$18=1,10,IF(입력란!$C$18=2,25,IF(입력란!$C$18=3,50,0)))+IF(입력란!$C$23&lt;&gt;0,-12)</f>
        <v>200</v>
      </c>
      <c r="AM404" s="30">
        <f t="shared" si="58"/>
        <v>256904.46710559158</v>
      </c>
      <c r="AN404" s="30">
        <f>(VLOOKUP(C404,$B$4:$AJ$7,25,FALSE)+VLOOKUP(C404,$B$8:$AJ$11,25,FALSE)*입력란!$C$29)*입력란!$C$48/100</f>
        <v>256904.46710559158</v>
      </c>
      <c r="AO404" s="30"/>
      <c r="AP404" s="39"/>
      <c r="AQ404" s="23">
        <v>36</v>
      </c>
    </row>
    <row r="405" spans="2:43" ht="13.5" customHeight="1" x14ac:dyDescent="0.3">
      <c r="B405" s="31">
        <v>390</v>
      </c>
      <c r="C405" s="36">
        <v>10</v>
      </c>
      <c r="D405" s="43" t="s">
        <v>227</v>
      </c>
      <c r="E405" s="38" t="s">
        <v>230</v>
      </c>
      <c r="F405" s="40" t="s">
        <v>222</v>
      </c>
      <c r="G405" s="40"/>
      <c r="H405" s="81">
        <f t="shared" si="53"/>
        <v>36378.227603709529</v>
      </c>
      <c r="I405" s="53">
        <f>SUM(J405:Q405)*IF(입력란!$C$16=1,1.04,IF(입력란!$C$16=2,1.1,IF(입력란!$C$16=3,1.2,1)))*IF(입력란!$C$21=1,1+입력란!$C$38*0.001,IF(입력란!$C$21=2,1+입력란!$C$38*0.0022,IF(입력란!$C$21=3,1+입력란!$C$38*0.0045,1)))*IF(입력란!$C$18&lt;&gt;0,0.98,1)</f>
        <v>1294433.8666057384</v>
      </c>
      <c r="J405" s="30">
        <f>S405*(1+IF($AK405+IF(입력란!$C$10=1,0,IF(입력란!$C$9=1,10,0))+IF(입력란!$C$26=1,10,0)&gt;100,100,$AK405+IF(입력란!$C$10=1,0,IF(입력란!$C$9=1,10,0))+IF(입력란!$C$26=1,10,0))/100*($AL405/100-1))</f>
        <v>796574.68714199285</v>
      </c>
      <c r="K405" s="30">
        <f>T405*(1+IF($AK405+IF(입력란!$C$26=1,10,0)&gt;100,100,$AK405+IF(입력란!$C$26=1,10,0))/100*($AL405/100-1))</f>
        <v>298715.50767824729</v>
      </c>
      <c r="L405" s="30"/>
      <c r="M405" s="30"/>
      <c r="N405" s="39"/>
      <c r="O405" s="39"/>
      <c r="P405" s="39"/>
      <c r="Q405" s="35">
        <f>Z405*(1+IF($AK405+IF(입력란!$C$26=1,10,0)&gt;100,100,$AK405+IF(입력란!$C$26=1,10,0))/100*($AL405/100-1))</f>
        <v>199143.67178549821</v>
      </c>
      <c r="R405" s="24">
        <f t="shared" si="54"/>
        <v>1066302.5856964947</v>
      </c>
      <c r="S405" s="30">
        <f>AN405*IF(MID(E405,3,1)="2",트라이포드!$L$20,트라이포드!$K$20)*IF(MID(E405,3,1)="3",트라이포드!$N$20,트라이포드!$M$20)*IF(MID(E405,5,1)="1",트라이포드!$P$20,트라이포드!$O$20)*IF(MID(E405,5,1)="2",트라이포드!$R$20,트라이포드!$Q$20)*(1+입력란!$C$42/100)*IF(입력란!$C$10=1,1.2,IF(입력란!$C$9=1,IF(입력란!$C$15=0,1.05,IF(입력란!$C$15=1,1.05*1.05,IF(입력란!$C$15=2,1.05*1.12,IF(입력란!$C$15=3,1.05*1.25)))),1))</f>
        <v>656186.20658245822</v>
      </c>
      <c r="T405" s="30">
        <f>AN405*IF(MID(E405,3,1)="1",트라이포드!$J$20,트라이포드!$I$20)*IF(MID(E405,5,1)="1",2,1)*(1+입력란!$C$42/100)</f>
        <v>246069.8274684218</v>
      </c>
      <c r="U405" s="30"/>
      <c r="V405" s="30"/>
      <c r="W405" s="30"/>
      <c r="X405" s="30"/>
      <c r="Y405" s="30"/>
      <c r="Z405" s="27">
        <f>AN405*IF(MID(E405,1,1)="2",트라이포드!$F$20,트라이포드!$E$20)*IF(MID(E405,5,1)="1",2,1)*(1+입력란!$C$42/100)</f>
        <v>164046.55164561456</v>
      </c>
      <c r="AA405" s="30">
        <f t="shared" si="55"/>
        <v>2132605.1713929893</v>
      </c>
      <c r="AB405" s="30">
        <f t="shared" si="56"/>
        <v>1312372.4131649164</v>
      </c>
      <c r="AC405" s="30">
        <f t="shared" si="57"/>
        <v>492139.65493684361</v>
      </c>
      <c r="AD405" s="30"/>
      <c r="AE405" s="30"/>
      <c r="AF405" s="39"/>
      <c r="AG405" s="39"/>
      <c r="AH405" s="39"/>
      <c r="AI405" s="27">
        <f t="shared" si="52"/>
        <v>328093.10329122911</v>
      </c>
      <c r="AJ405" s="26">
        <f>(AQ405-IF(MID(E405,1,1)="1",트라이포드!$D$20,트라이포드!$C$20))*(1-입력란!$C$35/100)</f>
        <v>35.582653468079997</v>
      </c>
      <c r="AK40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5" s="26">
        <f>입력란!$C$47+IF(입력란!$C$18=1,10,IF(입력란!$C$18=2,25,IF(입력란!$C$18=3,50,0)))+IF(입력란!$C$23&lt;&gt;0,-12)</f>
        <v>200</v>
      </c>
      <c r="AM405" s="30">
        <f t="shared" si="58"/>
        <v>256904.46710559158</v>
      </c>
      <c r="AN405" s="30">
        <f>(VLOOKUP(C405,$B$4:$AJ$7,25,FALSE)+VLOOKUP(C405,$B$8:$AJ$11,25,FALSE)*입력란!$C$29)*입력란!$C$48/100</f>
        <v>256904.46710559158</v>
      </c>
      <c r="AO405" s="30"/>
      <c r="AP405" s="39"/>
      <c r="AQ405" s="23">
        <v>36</v>
      </c>
    </row>
    <row r="406" spans="2:43" ht="13.5" customHeight="1" x14ac:dyDescent="0.3">
      <c r="B406" s="31">
        <v>391</v>
      </c>
      <c r="C406" s="36">
        <v>10</v>
      </c>
      <c r="D406" s="43" t="s">
        <v>227</v>
      </c>
      <c r="E406" s="38" t="s">
        <v>231</v>
      </c>
      <c r="F406" s="40" t="s">
        <v>222</v>
      </c>
      <c r="G406" s="40"/>
      <c r="H406" s="81">
        <f t="shared" si="53"/>
        <v>32180.739803281507</v>
      </c>
      <c r="I406" s="53">
        <f>SUM(J406:Q406)*IF(입력란!$C$16=1,1.04,IF(입력란!$C$16=2,1.1,IF(입력란!$C$16=3,1.2,1)))*IF(입력란!$C$21=1,1+입력란!$C$38*0.001,IF(입력란!$C$21=2,1+입력란!$C$38*0.0022,IF(입력란!$C$21=3,1+입력란!$C$38*0.0045,1)))*IF(입력란!$C$18&lt;&gt;0,0.98,1)</f>
        <v>1145076.1127666146</v>
      </c>
      <c r="J406" s="30">
        <f>S406*(1+IF($AK406+IF(입력란!$C$10=1,0,IF(입력란!$C$9=1,10,0))+IF(입력란!$C$26=1,10,0)&gt;100,100,$AK406+IF(입력란!$C$10=1,0,IF(입력란!$C$9=1,10,0))+IF(입력란!$C$26=1,10,0))/100*($AL406/100-1))</f>
        <v>896146.52303474187</v>
      </c>
      <c r="K406" s="30">
        <f>T406*(1+IF($AK406+IF(입력란!$C$26=1,10,0)&gt;100,100,$AK406+IF(입력란!$C$26=1,10,0))/100*($AL406/100-1))</f>
        <v>149357.75383912364</v>
      </c>
      <c r="L406" s="30"/>
      <c r="M406" s="30"/>
      <c r="N406" s="39"/>
      <c r="O406" s="39"/>
      <c r="P406" s="39"/>
      <c r="Q406" s="35">
        <f>Z406*(1+IF($AK406+IF(입력란!$C$26=1,10,0)&gt;100,100,$AK406+IF(입력란!$C$26=1,10,0))/100*($AL406/100-1))</f>
        <v>99571.835892749106</v>
      </c>
      <c r="R406" s="24">
        <f t="shared" si="54"/>
        <v>943267.67196228355</v>
      </c>
      <c r="S406" s="30">
        <f>AN406*IF(MID(E406,3,1)="2",트라이포드!$L$20,트라이포드!$K$20)*IF(MID(E406,3,1)="3",트라이포드!$N$20,트라이포드!$M$20)*IF(MID(E406,5,1)="1",트라이포드!$P$20,트라이포드!$O$20)*IF(MID(E406,5,1)="2",트라이포드!$R$20,트라이포드!$Q$20)*(1+입력란!$C$42/100)*IF(입력란!$C$10=1,1.2,IF(입력란!$C$9=1,IF(입력란!$C$15=0,1.05,IF(입력란!$C$15=1,1.05*1.05,IF(입력란!$C$15=2,1.05*1.12,IF(입력란!$C$15=3,1.05*1.25)))),1))</f>
        <v>738209.48240526544</v>
      </c>
      <c r="T406" s="30">
        <f>AN406*IF(MID(E406,3,1)="1",트라이포드!$J$20,트라이포드!$I$20)*IF(MID(E406,5,1)="1",2,1)*(1+입력란!$C$42/100)</f>
        <v>123034.9137342109</v>
      </c>
      <c r="U406" s="30"/>
      <c r="V406" s="30"/>
      <c r="W406" s="30"/>
      <c r="X406" s="30"/>
      <c r="Y406" s="30"/>
      <c r="Z406" s="27">
        <f>AN406*IF(MID(E406,1,1)="2",트라이포드!$F$20,트라이포드!$E$20)*IF(MID(E406,5,1)="1",2,1)*(1+입력란!$C$42/100)</f>
        <v>82023.275822807278</v>
      </c>
      <c r="AA406" s="30">
        <f t="shared" si="55"/>
        <v>1886535.3439245671</v>
      </c>
      <c r="AB406" s="30">
        <f t="shared" si="56"/>
        <v>1476418.9648105309</v>
      </c>
      <c r="AC406" s="30">
        <f t="shared" si="57"/>
        <v>246069.8274684218</v>
      </c>
      <c r="AD406" s="30"/>
      <c r="AE406" s="30"/>
      <c r="AF406" s="39"/>
      <c r="AG406" s="39"/>
      <c r="AH406" s="39"/>
      <c r="AI406" s="27">
        <f t="shared" si="52"/>
        <v>164046.55164561456</v>
      </c>
      <c r="AJ406" s="26">
        <f>(AQ406-IF(MID(E406,1,1)="1",트라이포드!$D$20,트라이포드!$C$20))*(1-입력란!$C$35/100)</f>
        <v>35.582653468079997</v>
      </c>
      <c r="AK40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6" s="26">
        <f>입력란!$C$47+IF(입력란!$C$18=1,10,IF(입력란!$C$18=2,25,IF(입력란!$C$18=3,50,0)))+IF(입력란!$C$23&lt;&gt;0,-12)</f>
        <v>200</v>
      </c>
      <c r="AM406" s="30">
        <f t="shared" si="58"/>
        <v>256904.46710559158</v>
      </c>
      <c r="AN406" s="30">
        <f>(VLOOKUP(C406,$B$4:$AJ$7,25,FALSE)+VLOOKUP(C406,$B$8:$AJ$11,25,FALSE)*입력란!$C$29)*입력란!$C$48/100</f>
        <v>256904.46710559158</v>
      </c>
      <c r="AO406" s="30"/>
      <c r="AP406" s="39"/>
      <c r="AQ406" s="23">
        <v>36</v>
      </c>
    </row>
    <row r="407" spans="2:43" ht="13.5" customHeight="1" x14ac:dyDescent="0.3">
      <c r="B407" s="31">
        <v>392</v>
      </c>
      <c r="C407" s="36">
        <v>10</v>
      </c>
      <c r="D407" s="43" t="s">
        <v>227</v>
      </c>
      <c r="E407" s="38" t="s">
        <v>232</v>
      </c>
      <c r="F407" s="40" t="s">
        <v>222</v>
      </c>
      <c r="G407" s="40"/>
      <c r="H407" s="81">
        <f t="shared" si="53"/>
        <v>32460.572323310036</v>
      </c>
      <c r="I407" s="53">
        <f>SUM(J407:Q407)*IF(입력란!$C$16=1,1.04,IF(입력란!$C$16=2,1.1,IF(입력란!$C$16=3,1.2,1)))*IF(입력란!$C$21=1,1+입력란!$C$38*0.001,IF(입력란!$C$21=2,1+입력란!$C$38*0.0022,IF(입력란!$C$21=3,1+입력란!$C$38*0.0045,1)))*IF(입력란!$C$18&lt;&gt;0,0.98,1)</f>
        <v>1155033.2963558894</v>
      </c>
      <c r="J407" s="30">
        <f>S407*(1+IF($AK407+IF(입력란!$C$10=1,0,IF(입력란!$C$9=1,10,0))+IF(입력란!$C$26=1,10,0)&gt;100,100,$AK407+IF(입력란!$C$10=1,0,IF(입력란!$C$9=1,10,0))+IF(입력란!$C$26=1,10,0))/100*($AL407/100-1))</f>
        <v>955889.62457039126</v>
      </c>
      <c r="K407" s="30">
        <f>T407*(1+IF($AK407+IF(입력란!$C$26=1,10,0)&gt;100,100,$AK407+IF(입력란!$C$26=1,10,0))/100*($AL407/100-1))</f>
        <v>0</v>
      </c>
      <c r="L407" s="30"/>
      <c r="M407" s="30"/>
      <c r="N407" s="39"/>
      <c r="O407" s="39"/>
      <c r="P407" s="39"/>
      <c r="Q407" s="35">
        <f>Z407*(1+IF($AK407+IF(입력란!$C$26=1,10,0)&gt;100,100,$AK407+IF(입력란!$C$26=1,10,0))/100*($AL407/100-1))</f>
        <v>199143.67178549821</v>
      </c>
      <c r="R407" s="24">
        <f t="shared" si="54"/>
        <v>951469.99954456429</v>
      </c>
      <c r="S407" s="30">
        <f>AN407*IF(MID(E407,3,1)="2",트라이포드!$L$20,트라이포드!$K$20)*IF(MID(E407,3,1)="3",트라이포드!$N$20,트라이포드!$M$20)*IF(MID(E407,5,1)="1",트라이포드!$P$20,트라이포드!$O$20)*IF(MID(E407,5,1)="2",트라이포드!$R$20,트라이포드!$Q$20)*(1+입력란!$C$42/100)*IF(입력란!$C$10=1,1.2,IF(입력란!$C$9=1,IF(입력란!$C$15=0,1.05,IF(입력란!$C$15=1,1.05*1.05,IF(입력란!$C$15=2,1.05*1.12,IF(입력란!$C$15=3,1.05*1.25)))),1))</f>
        <v>787423.44789894973</v>
      </c>
      <c r="T407" s="30">
        <f>AN407*IF(MID(E407,3,1)="1",트라이포드!$J$20,트라이포드!$I$20)*IF(MID(E407,5,1)="1",2,1)*(1+입력란!$C$42/100)</f>
        <v>0</v>
      </c>
      <c r="U407" s="30"/>
      <c r="V407" s="30"/>
      <c r="W407" s="30"/>
      <c r="X407" s="30"/>
      <c r="Y407" s="30"/>
      <c r="Z407" s="27">
        <f>AN407*IF(MID(E407,1,1)="2",트라이포드!$F$20,트라이포드!$E$20)*IF(MID(E407,5,1)="1",2,1)*(1+입력란!$C$42/100)</f>
        <v>164046.55164561456</v>
      </c>
      <c r="AA407" s="30">
        <f t="shared" si="55"/>
        <v>1902939.9990891286</v>
      </c>
      <c r="AB407" s="30">
        <f t="shared" si="56"/>
        <v>1574846.8957978995</v>
      </c>
      <c r="AC407" s="30">
        <f t="shared" si="57"/>
        <v>0</v>
      </c>
      <c r="AD407" s="30"/>
      <c r="AE407" s="30"/>
      <c r="AF407" s="39"/>
      <c r="AG407" s="39"/>
      <c r="AH407" s="39"/>
      <c r="AI407" s="27">
        <f t="shared" si="52"/>
        <v>328093.10329122911</v>
      </c>
      <c r="AJ407" s="26">
        <f>(AQ407-IF(MID(E407,1,1)="1",트라이포드!$D$20,트라이포드!$C$20))*(1-입력란!$C$35/100)</f>
        <v>35.582653468079997</v>
      </c>
      <c r="AK40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7" s="26">
        <f>입력란!$C$47+IF(입력란!$C$18=1,10,IF(입력란!$C$18=2,25,IF(입력란!$C$18=3,50,0)))+IF(입력란!$C$23&lt;&gt;0,-12)</f>
        <v>200</v>
      </c>
      <c r="AM407" s="30">
        <f t="shared" si="58"/>
        <v>256904.46710559158</v>
      </c>
      <c r="AN407" s="30">
        <f>(VLOOKUP(C407,$B$4:$AJ$7,25,FALSE)+VLOOKUP(C407,$B$8:$AJ$11,25,FALSE)*입력란!$C$29)*입력란!$C$48/100</f>
        <v>256904.46710559158</v>
      </c>
      <c r="AO407" s="30"/>
      <c r="AP407" s="39"/>
      <c r="AQ407" s="23">
        <v>36</v>
      </c>
    </row>
    <row r="408" spans="2:43" ht="13.5" customHeight="1" x14ac:dyDescent="0.3">
      <c r="B408" s="31">
        <v>393</v>
      </c>
      <c r="C408" s="36">
        <v>10</v>
      </c>
      <c r="D408" s="43" t="s">
        <v>227</v>
      </c>
      <c r="E408" s="38" t="s">
        <v>211</v>
      </c>
      <c r="F408" s="40" t="s">
        <v>222</v>
      </c>
      <c r="G408" s="40"/>
      <c r="H408" s="81">
        <f t="shared" si="53"/>
        <v>33020.237363367109</v>
      </c>
      <c r="I408" s="53">
        <f>SUM(J408:Q408)*IF(입력란!$C$16=1,1.04,IF(입력란!$C$16=2,1.1,IF(입력란!$C$16=3,1.2,1)))*IF(입력란!$C$21=1,1+입력란!$C$38*0.001,IF(입력란!$C$21=2,1+입력란!$C$38*0.0022,IF(입력란!$C$21=3,1+입력란!$C$38*0.0045,1)))*IF(입력란!$C$18&lt;&gt;0,0.98,1)</f>
        <v>1174947.6635344394</v>
      </c>
      <c r="J408" s="30">
        <f>S408*(1+IF($AK408+IF(입력란!$C$10=1,0,IF(입력란!$C$9=1,10,0))+IF(입력란!$C$26=1,10,0)&gt;100,100,$AK408+IF(입력란!$C$10=1,0,IF(입력란!$C$9=1,10,0))+IF(입력란!$C$26=1,10,0))/100*($AL408/100-1))</f>
        <v>1075375.8276416904</v>
      </c>
      <c r="K408" s="30">
        <f>T408*(1+IF($AK408+IF(입력란!$C$26=1,10,0)&gt;100,100,$AK408+IF(입력란!$C$26=1,10,0))/100*($AL408/100-1))</f>
        <v>0</v>
      </c>
      <c r="L408" s="30"/>
      <c r="M408" s="30"/>
      <c r="N408" s="39"/>
      <c r="O408" s="39"/>
      <c r="P408" s="39"/>
      <c r="Q408" s="35">
        <f>Z408*(1+IF($AK408+IF(입력란!$C$26=1,10,0)&gt;100,100,$AK408+IF(입력란!$C$26=1,10,0))/100*($AL408/100-1))</f>
        <v>99571.835892749106</v>
      </c>
      <c r="R408" s="24">
        <f t="shared" si="54"/>
        <v>967874.65470912587</v>
      </c>
      <c r="S408" s="30">
        <f>AN408*IF(MID(E408,3,1)="2",트라이포드!$L$20,트라이포드!$K$20)*IF(MID(E408,3,1)="3",트라이포드!$N$20,트라이포드!$M$20)*IF(MID(E408,5,1)="1",트라이포드!$P$20,트라이포드!$O$20)*IF(MID(E408,5,1)="2",트라이포드!$R$20,트라이포드!$Q$20)*(1+입력란!$C$42/100)*IF(입력란!$C$10=1,1.2,IF(입력란!$C$9=1,IF(입력란!$C$15=0,1.05,IF(입력란!$C$15=1,1.05*1.05,IF(입력란!$C$15=2,1.05*1.12,IF(입력란!$C$15=3,1.05*1.25)))),1))</f>
        <v>885851.37888631853</v>
      </c>
      <c r="T408" s="30">
        <f>AN408*IF(MID(E408,3,1)="1",트라이포드!$J$20,트라이포드!$I$20)*IF(MID(E408,5,1)="1",2,1)*(1+입력란!$C$42/100)</f>
        <v>0</v>
      </c>
      <c r="U408" s="30"/>
      <c r="V408" s="30"/>
      <c r="W408" s="30"/>
      <c r="X408" s="30"/>
      <c r="Y408" s="30"/>
      <c r="Z408" s="27">
        <f>AN408*IF(MID(E408,1,1)="2",트라이포드!$F$20,트라이포드!$E$20)*IF(MID(E408,5,1)="1",2,1)*(1+입력란!$C$42/100)</f>
        <v>82023.275822807278</v>
      </c>
      <c r="AA408" s="30">
        <f t="shared" si="55"/>
        <v>1935749.3094182517</v>
      </c>
      <c r="AB408" s="30">
        <f t="shared" si="56"/>
        <v>1771702.7577726371</v>
      </c>
      <c r="AC408" s="30">
        <f t="shared" si="57"/>
        <v>0</v>
      </c>
      <c r="AD408" s="30"/>
      <c r="AE408" s="30"/>
      <c r="AF408" s="39"/>
      <c r="AG408" s="39"/>
      <c r="AH408" s="39"/>
      <c r="AI408" s="27">
        <f t="shared" si="52"/>
        <v>164046.55164561456</v>
      </c>
      <c r="AJ408" s="26">
        <f>(AQ408-IF(MID(E408,1,1)="1",트라이포드!$D$20,트라이포드!$C$20))*(1-입력란!$C$35/100)</f>
        <v>35.582653468079997</v>
      </c>
      <c r="AK40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8" s="26">
        <f>입력란!$C$47+IF(입력란!$C$18=1,10,IF(입력란!$C$18=2,25,IF(입력란!$C$18=3,50,0)))+IF(입력란!$C$23&lt;&gt;0,-12)</f>
        <v>200</v>
      </c>
      <c r="AM408" s="30">
        <f t="shared" si="58"/>
        <v>256904.46710559158</v>
      </c>
      <c r="AN408" s="30">
        <f>(VLOOKUP(C408,$B$4:$AJ$7,25,FALSE)+VLOOKUP(C408,$B$8:$AJ$11,25,FALSE)*입력란!$C$29)*입력란!$C$48/100</f>
        <v>256904.46710559158</v>
      </c>
      <c r="AO408" s="30"/>
      <c r="AP408" s="39"/>
      <c r="AQ408" s="23">
        <v>36</v>
      </c>
    </row>
    <row r="409" spans="2:43" ht="13.5" customHeight="1" x14ac:dyDescent="0.3">
      <c r="B409" s="31">
        <v>394</v>
      </c>
      <c r="C409" s="36">
        <v>10</v>
      </c>
      <c r="D409" s="43" t="s">
        <v>227</v>
      </c>
      <c r="E409" s="38" t="s">
        <v>233</v>
      </c>
      <c r="F409" s="40" t="s">
        <v>237</v>
      </c>
      <c r="G409" s="40"/>
      <c r="H409" s="81">
        <f t="shared" si="53"/>
        <v>39176.552803994884</v>
      </c>
      <c r="I409" s="53">
        <f>SUM(J409:Q409)*IF(입력란!$C$16=1,1.04,IF(입력란!$C$16=2,1.1,IF(입력란!$C$16=3,1.2,1)))*IF(입력란!$C$21=1,1+입력란!$C$38*0.001,IF(입력란!$C$21=2,1+입력란!$C$38*0.0022,IF(입력란!$C$21=3,1+입력란!$C$38*0.0045,1)))*IF(입력란!$C$18&lt;&gt;0,0.98,1)</f>
        <v>1394005.7024984877</v>
      </c>
      <c r="J409" s="30">
        <f>S409*(1+IF($AK409+IF(입력란!$C$10=1,0,IF(입력란!$C$9=1,10,0))+IF(입력란!$C$26=1,10,0)&gt;100,100,$AK409+IF(입력란!$C$10=1,0,IF(입력란!$C$9=1,10,0))+IF(입력란!$C$26=1,10,0))/100*($AL409/100-1))</f>
        <v>1194862.0307129894</v>
      </c>
      <c r="K409" s="30">
        <f>T409*(1+IF($AK409+IF(입력란!$C$26=1,10,0)&gt;100,100,$AK409+IF(입력란!$C$26=1,10,0))/100*($AL409/100-1))</f>
        <v>0</v>
      </c>
      <c r="L409" s="30"/>
      <c r="M409" s="30"/>
      <c r="N409" s="39"/>
      <c r="O409" s="39"/>
      <c r="P409" s="39"/>
      <c r="Q409" s="35">
        <f>Z409*(1+IF($AK409+IF(입력란!$C$26=1,10,0)&gt;100,100,$AK409+IF(입력란!$C$26=1,10,0))/100*($AL409/100-1))</f>
        <v>199143.67178549821</v>
      </c>
      <c r="R409" s="24">
        <f t="shared" si="54"/>
        <v>1148325.8615193018</v>
      </c>
      <c r="S409" s="30">
        <f>AN409*IF(MID(E409,3,1)="2",트라이포드!$L$20,트라이포드!$K$20)*IF(MID(E409,3,1)="3",트라이포드!$N$20,트라이포드!$M$20)*IF(MID(E409,5,1)="1",트라이포드!$P$20,트라이포드!$O$20)*IF(MID(E409,5,1)="2",트라이포드!$R$20,트라이포드!$Q$20)*(1+입력란!$C$42/100)*IF(입력란!$C$10=1,1.2,IF(입력란!$C$9=1,IF(입력란!$C$15=0,1.05,IF(입력란!$C$15=1,1.05*1.05,IF(입력란!$C$15=2,1.05*1.12,IF(입력란!$C$15=3,1.05*1.25)))),1))</f>
        <v>984279.30987368734</v>
      </c>
      <c r="T409" s="30">
        <f>AN409*IF(MID(E409,3,1)="1",트라이포드!$J$20,트라이포드!$I$20)*IF(MID(E409,5,1)="1",2,1)*(1+입력란!$C$42/100)</f>
        <v>0</v>
      </c>
      <c r="U409" s="30"/>
      <c r="V409" s="30"/>
      <c r="W409" s="30"/>
      <c r="X409" s="30"/>
      <c r="Y409" s="30"/>
      <c r="Z409" s="27">
        <f>AN409*IF(MID(E409,1,1)="2",트라이포드!$F$20,트라이포드!$E$20)*IF(MID(E409,5,1)="1",2,1)*(1+입력란!$C$42/100)</f>
        <v>164046.55164561456</v>
      </c>
      <c r="AA409" s="30">
        <f t="shared" si="55"/>
        <v>2296651.7230386036</v>
      </c>
      <c r="AB409" s="30">
        <f t="shared" si="56"/>
        <v>1968558.6197473747</v>
      </c>
      <c r="AC409" s="30">
        <f t="shared" si="57"/>
        <v>0</v>
      </c>
      <c r="AD409" s="30"/>
      <c r="AE409" s="30"/>
      <c r="AF409" s="39"/>
      <c r="AG409" s="39"/>
      <c r="AH409" s="39"/>
      <c r="AI409" s="27">
        <f t="shared" si="52"/>
        <v>328093.10329122911</v>
      </c>
      <c r="AJ409" s="26">
        <f>(AQ409-IF(MID(E409,1,1)="1",트라이포드!$D$20,트라이포드!$C$20))*(1-입력란!$C$35/100)</f>
        <v>35.582653468079997</v>
      </c>
      <c r="AK40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09" s="26">
        <f>입력란!$C$47+IF(입력란!$C$18=1,10,IF(입력란!$C$18=2,25,IF(입력란!$C$18=3,50,0)))+IF(입력란!$C$23&lt;&gt;0,-12)</f>
        <v>200</v>
      </c>
      <c r="AM409" s="30">
        <f t="shared" si="58"/>
        <v>256904.46710559158</v>
      </c>
      <c r="AN409" s="30">
        <f>(VLOOKUP(C409,$B$4:$AJ$7,25,FALSE)+VLOOKUP(C409,$B$8:$AJ$11,25,FALSE)*입력란!$C$29)*입력란!$C$48/100</f>
        <v>256904.46710559158</v>
      </c>
      <c r="AO409" s="30"/>
      <c r="AP409" s="39"/>
      <c r="AQ409" s="23">
        <v>36</v>
      </c>
    </row>
    <row r="410" spans="2:43" ht="13.5" customHeight="1" x14ac:dyDescent="0.3">
      <c r="B410" s="31">
        <v>395</v>
      </c>
      <c r="C410" s="36">
        <v>10</v>
      </c>
      <c r="D410" s="43" t="s">
        <v>227</v>
      </c>
      <c r="E410" s="38" t="s">
        <v>234</v>
      </c>
      <c r="F410" s="40" t="s">
        <v>237</v>
      </c>
      <c r="G410" s="40"/>
      <c r="H410" s="81">
        <f t="shared" si="53"/>
        <v>40575.715404137547</v>
      </c>
      <c r="I410" s="53">
        <f>SUM(J410:Q410)*IF(입력란!$C$16=1,1.04,IF(입력란!$C$16=2,1.1,IF(입력란!$C$16=3,1.2,1)))*IF(입력란!$C$21=1,1+입력란!$C$38*0.001,IF(입력란!$C$21=2,1+입력란!$C$38*0.0022,IF(입력란!$C$21=3,1+입력란!$C$38*0.0045,1)))*IF(입력란!$C$18&lt;&gt;0,0.98,1)</f>
        <v>1443791.6204448619</v>
      </c>
      <c r="J410" s="30">
        <f>S410*(1+IF($AK410+IF(입력란!$C$10=1,0,IF(입력란!$C$9=1,10,0))+IF(입력란!$C$26=1,10,0)&gt;100,100,$AK410+IF(입력란!$C$10=1,0,IF(입력란!$C$9=1,10,0))+IF(입력란!$C$26=1,10,0))/100*($AL410/100-1))</f>
        <v>1344219.7845521129</v>
      </c>
      <c r="K410" s="30">
        <f>T410*(1+IF($AK410+IF(입력란!$C$26=1,10,0)&gt;100,100,$AK410+IF(입력란!$C$26=1,10,0))/100*($AL410/100-1))</f>
        <v>0</v>
      </c>
      <c r="L410" s="30"/>
      <c r="M410" s="30"/>
      <c r="N410" s="39"/>
      <c r="O410" s="39"/>
      <c r="P410" s="39"/>
      <c r="Q410" s="35">
        <f>Z410*(1+IF($AK410+IF(입력란!$C$26=1,10,0)&gt;100,100,$AK410+IF(입력란!$C$26=1,10,0))/100*($AL410/100-1))</f>
        <v>99571.835892749106</v>
      </c>
      <c r="R410" s="24">
        <f t="shared" si="54"/>
        <v>1189337.4994307056</v>
      </c>
      <c r="S410" s="30">
        <f>AN410*IF(MID(E410,3,1)="2",트라이포드!$L$20,트라이포드!$K$20)*IF(MID(E410,3,1)="3",트라이포드!$N$20,트라이포드!$M$20)*IF(MID(E410,5,1)="1",트라이포드!$P$20,트라이포드!$O$20)*IF(MID(E410,5,1)="2",트라이포드!$R$20,트라이포드!$Q$20)*(1+입력란!$C$42/100)*IF(입력란!$C$10=1,1.2,IF(입력란!$C$9=1,IF(입력란!$C$15=0,1.05,IF(입력란!$C$15=1,1.05*1.05,IF(입력란!$C$15=2,1.05*1.12,IF(입력란!$C$15=3,1.05*1.25)))),1))</f>
        <v>1107314.2236078982</v>
      </c>
      <c r="T410" s="30">
        <f>AN410*IF(MID(E410,3,1)="1",트라이포드!$J$20,트라이포드!$I$20)*IF(MID(E410,5,1)="1",2,1)*(1+입력란!$C$42/100)</f>
        <v>0</v>
      </c>
      <c r="U410" s="30"/>
      <c r="V410" s="30"/>
      <c r="W410" s="30"/>
      <c r="X410" s="30"/>
      <c r="Y410" s="30"/>
      <c r="Z410" s="27">
        <f>AN410*IF(MID(E410,1,1)="2",트라이포드!$F$20,트라이포드!$E$20)*IF(MID(E410,5,1)="1",2,1)*(1+입력란!$C$42/100)</f>
        <v>82023.275822807278</v>
      </c>
      <c r="AA410" s="30">
        <f t="shared" si="55"/>
        <v>2378674.9988614111</v>
      </c>
      <c r="AB410" s="30">
        <f t="shared" si="56"/>
        <v>2214628.4472157964</v>
      </c>
      <c r="AC410" s="30">
        <f t="shared" si="57"/>
        <v>0</v>
      </c>
      <c r="AD410" s="30"/>
      <c r="AE410" s="30"/>
      <c r="AF410" s="39"/>
      <c r="AG410" s="39"/>
      <c r="AH410" s="39"/>
      <c r="AI410" s="27">
        <f t="shared" si="52"/>
        <v>164046.55164561456</v>
      </c>
      <c r="AJ410" s="26">
        <f>(AQ410-IF(MID(E410,1,1)="1",트라이포드!$D$20,트라이포드!$C$20))*(1-입력란!$C$35/100)</f>
        <v>35.582653468079997</v>
      </c>
      <c r="AK41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0" s="26">
        <f>입력란!$C$47+IF(입력란!$C$18=1,10,IF(입력란!$C$18=2,25,IF(입력란!$C$18=3,50,0)))+IF(입력란!$C$23&lt;&gt;0,-12)</f>
        <v>200</v>
      </c>
      <c r="AM410" s="30">
        <f t="shared" si="58"/>
        <v>256904.46710559158</v>
      </c>
      <c r="AN410" s="30">
        <f>(VLOOKUP(C410,$B$4:$AJ$7,25,FALSE)+VLOOKUP(C410,$B$8:$AJ$11,25,FALSE)*입력란!$C$29)*입력란!$C$48/100</f>
        <v>256904.46710559158</v>
      </c>
      <c r="AO410" s="30"/>
      <c r="AP410" s="39"/>
      <c r="AQ410" s="23">
        <v>36</v>
      </c>
    </row>
    <row r="411" spans="2:43" ht="13.5" customHeight="1" x14ac:dyDescent="0.3">
      <c r="B411" s="31">
        <v>396</v>
      </c>
      <c r="C411" s="36">
        <v>1</v>
      </c>
      <c r="D411" s="44" t="s">
        <v>238</v>
      </c>
      <c r="E411" s="38" t="s">
        <v>239</v>
      </c>
      <c r="F411" s="40"/>
      <c r="G411" s="40"/>
      <c r="H411" s="81">
        <f t="shared" si="53"/>
        <v>16378.721439804642</v>
      </c>
      <c r="I411" s="53">
        <f>SUM(J411:Q411)*IF(입력란!$C$16=1,1.04,IF(입력란!$C$16=2,1.1,IF(입력란!$C$16=3,1.2,1)))*IF(입력란!$C$21=1,1+입력란!$C$38*0.001,IF(입력란!$C$21=2,1+입력란!$C$38*0.0022,IF(입력란!$C$21=3,1+입력란!$C$38*0.0045,1)))*IF(입력란!$C$18&lt;&gt;0,0.98,1)</f>
        <v>437098.77693208563</v>
      </c>
      <c r="J411" s="30">
        <f>S411*(1+IF($AK411+IF(입력란!$C$26=1,10,0)+IF(MID(E411,3,1)="3",IF(G411="생명50%이하",트라이포드!$N$21,트라이포드!$M$21),0)&gt;100,100,$AK411+IF(입력란!$C$26=1,10,0)+IF(MID(E411,3,1)="3",IF(G411="생명50%이하",트라이포드!$N$21,트라이포드!$M$21),0))/100*($AL411/100-1))</f>
        <v>349660.02837784943</v>
      </c>
      <c r="K411" s="30">
        <f>T411*(1+IF($AK411+IF(입력란!$C$26=1,10,0)&gt;100,100,$AK411+IF(입력란!$C$26=1,10,0))/100*($AL411/100-1))</f>
        <v>87438.748554236168</v>
      </c>
      <c r="L411" s="30"/>
      <c r="M411" s="30"/>
      <c r="N411" s="39"/>
      <c r="O411" s="39"/>
      <c r="P411" s="39"/>
      <c r="Q411" s="35">
        <f>Z411*(1+IF($AK411+IF(입력란!$C$26=1,10,0)&gt;100,100,$AK411+IF(입력란!$C$26=1,10,0))/100*($AL411/100-1))</f>
        <v>0</v>
      </c>
      <c r="R411" s="24">
        <f t="shared" si="54"/>
        <v>360064.40195327316</v>
      </c>
      <c r="S411" s="30">
        <f>AN411*IF(MID(E411,3,1)="1",트라이포드!$J$21,트라이포드!$I$21)*IF(MID(E411,5,1)="2",트라이포드!$R$21,트라이포드!$Q$21)*(1+입력란!$C$44/100)</f>
        <v>288035.87575445598</v>
      </c>
      <c r="T411" s="30">
        <f>AO411*3*IF(MID(E411,5,1)="1",트라이포드!$P$21,트라이포드!$O$21)*(1+입력란!$C$44/100)</f>
        <v>72028.526198817184</v>
      </c>
      <c r="U411" s="30"/>
      <c r="V411" s="30"/>
      <c r="W411" s="30"/>
      <c r="X411" s="30"/>
      <c r="Y411" s="30"/>
      <c r="Z411" s="27">
        <f>(AN411+AO411*3)*IF(MID(E411,1,1)="2",트라이포드!$F$21,트라이포드!$E$21)*(1+입력란!$C$44/100)</f>
        <v>0</v>
      </c>
      <c r="AA411" s="30">
        <f t="shared" si="55"/>
        <v>720128.80390654632</v>
      </c>
      <c r="AB411" s="30">
        <f t="shared" si="56"/>
        <v>576071.75150891196</v>
      </c>
      <c r="AC411" s="30">
        <f t="shared" si="57"/>
        <v>144057.05239763437</v>
      </c>
      <c r="AD411" s="30"/>
      <c r="AE411" s="30"/>
      <c r="AF411" s="39"/>
      <c r="AG411" s="39"/>
      <c r="AH411" s="39"/>
      <c r="AI411" s="27">
        <f t="shared" si="52"/>
        <v>0</v>
      </c>
      <c r="AJ411" s="30">
        <f>AQ411*(1-입력란!$C$35/100)</f>
        <v>26.686990101059997</v>
      </c>
      <c r="AK41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1" s="26">
        <f>입력란!$C$47+IF(입력란!$C$18=1,10,IF(입력란!$C$18=2,25,IF(입력란!$C$18=3,50,0)))+IF(입력란!$C$23&lt;&gt;0,-12)</f>
        <v>200</v>
      </c>
      <c r="AM411" s="30">
        <f t="shared" si="58"/>
        <v>229812.46517152103</v>
      </c>
      <c r="AN411" s="30">
        <f>(VLOOKUP(C411,$B$4:$AJ$7,26,FALSE)+VLOOKUP(C411,$B$8:$AJ$11,26,FALSE)*입력란!$C$29)*입력란!$C$48/100</f>
        <v>212130.15143200546</v>
      </c>
      <c r="AO411" s="30">
        <f>(VLOOKUP(C411,$B$4:$AJ$7,27,FALSE)+VLOOKUP(C411,$B$8:$AJ$11,27,FALSE)*입력란!$C$29)*입력란!$C$48/100</f>
        <v>17682.313739515583</v>
      </c>
      <c r="AP411" s="39"/>
      <c r="AQ411" s="23">
        <v>27</v>
      </c>
    </row>
    <row r="412" spans="2:43" ht="13.5" customHeight="1" x14ac:dyDescent="0.3">
      <c r="B412" s="31">
        <v>397</v>
      </c>
      <c r="C412" s="36">
        <v>4</v>
      </c>
      <c r="D412" s="44" t="s">
        <v>238</v>
      </c>
      <c r="E412" s="38" t="s">
        <v>240</v>
      </c>
      <c r="F412" s="40"/>
      <c r="G412" s="40"/>
      <c r="H412" s="81">
        <f t="shared" si="53"/>
        <v>16414.149969938851</v>
      </c>
      <c r="I412" s="53">
        <f>SUM(J412:Q412)*IF(입력란!$C$16=1,1.04,IF(입력란!$C$16=2,1.1,IF(입력란!$C$16=3,1.2,1)))*IF(입력란!$C$21=1,1+입력란!$C$38*0.001,IF(입력란!$C$21=2,1+입력란!$C$38*0.0022,IF(입력란!$C$21=3,1+입력란!$C$38*0.0045,1)))*IF(입력란!$C$18&lt;&gt;0,0.98,1)</f>
        <v>438044.25776507234</v>
      </c>
      <c r="J412" s="30">
        <f>S412*(1+IF($AK412+IF(입력란!$C$26=1,10,0)+IF(MID(E412,3,1)="3",IF(G412="생명50%이하",트라이포드!$N$21,트라이포드!$M$21),0)&gt;100,100,$AK412+IF(입력란!$C$26=1,10,0)+IF(MID(E412,3,1)="3",IF(G412="생명50%이하",트라이포드!$N$21,트라이포드!$M$21),0))/100*($AL412/100-1))</f>
        <v>350417.59984026349</v>
      </c>
      <c r="K412" s="30">
        <f>T412*(1+IF($AK412+IF(입력란!$C$26=1,10,0)&gt;100,100,$AK412+IF(입력란!$C$26=1,10,0))/100*($AL412/100-1))</f>
        <v>87626.657924808853</v>
      </c>
      <c r="L412" s="30"/>
      <c r="M412" s="30"/>
      <c r="N412" s="39"/>
      <c r="O412" s="39"/>
      <c r="P412" s="39"/>
      <c r="Q412" s="35">
        <f>Z412*(1+IF($AK412+IF(입력란!$C$26=1,10,0)&gt;100,100,$AK412+IF(입력란!$C$26=1,10,0))/100*($AL412/100-1))</f>
        <v>0</v>
      </c>
      <c r="R412" s="24">
        <f t="shared" si="54"/>
        <v>360843.25105707778</v>
      </c>
      <c r="S412" s="30">
        <f>AN412*IF(MID(E412,3,1)="1",트라이포드!$J$21,트라이포드!$I$21)*IF(MID(E412,5,1)="2",트라이포드!$R$21,트라이포드!$Q$21)*(1+입력란!$C$44/100)</f>
        <v>288659.932672358</v>
      </c>
      <c r="T412" s="30">
        <f>AO412*3*IF(MID(E412,5,1)="1",트라이포드!$P$21,트라이포드!$O$21)*(1+입력란!$C$44/100)</f>
        <v>72183.31838471978</v>
      </c>
      <c r="U412" s="30"/>
      <c r="V412" s="30"/>
      <c r="W412" s="30"/>
      <c r="X412" s="30"/>
      <c r="Y412" s="30"/>
      <c r="Z412" s="27">
        <f>(AN412+AO412*3)*IF(MID(E412,1,1)="2",트라이포드!$F$21,트라이포드!$E$21)*(1+입력란!$C$44/100)</f>
        <v>0</v>
      </c>
      <c r="AA412" s="30">
        <f t="shared" si="55"/>
        <v>721686.50211415556</v>
      </c>
      <c r="AB412" s="30">
        <f t="shared" si="56"/>
        <v>577319.865344716</v>
      </c>
      <c r="AC412" s="30">
        <f t="shared" si="57"/>
        <v>144366.63676943956</v>
      </c>
      <c r="AD412" s="30"/>
      <c r="AE412" s="30"/>
      <c r="AF412" s="39"/>
      <c r="AG412" s="39"/>
      <c r="AH412" s="39"/>
      <c r="AI412" s="27">
        <f t="shared" si="52"/>
        <v>0</v>
      </c>
      <c r="AJ412" s="30">
        <f>AQ412*(1-입력란!$C$35/100)</f>
        <v>26.686990101059997</v>
      </c>
      <c r="AK41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2" s="26">
        <f>입력란!$C$47+IF(입력란!$C$18=1,10,IF(입력란!$C$18=2,25,IF(입력란!$C$18=3,50,0)))+IF(입력란!$C$23&lt;&gt;0,-12)</f>
        <v>200</v>
      </c>
      <c r="AM412" s="30">
        <f t="shared" si="58"/>
        <v>230310.06517152104</v>
      </c>
      <c r="AN412" s="30">
        <f>(VLOOKUP(C412,$B$4:$AJ$7,26,FALSE)+VLOOKUP(C412,$B$8:$AJ$11,26,FALSE)*입력란!$C$29)*입력란!$C$48/100</f>
        <v>212589.75143200546</v>
      </c>
      <c r="AO412" s="30">
        <f>(VLOOKUP(C412,$B$4:$AJ$7,27,FALSE)+VLOOKUP(C412,$B$8:$AJ$11,27,FALSE)*입력란!$C$29)*입력란!$C$48/100</f>
        <v>17720.313739515583</v>
      </c>
      <c r="AP412" s="39"/>
      <c r="AQ412" s="23">
        <v>27</v>
      </c>
    </row>
    <row r="413" spans="2:43" ht="13.5" customHeight="1" x14ac:dyDescent="0.3">
      <c r="B413" s="31">
        <v>398</v>
      </c>
      <c r="C413" s="36">
        <v>4</v>
      </c>
      <c r="D413" s="44" t="s">
        <v>238</v>
      </c>
      <c r="E413" s="38" t="s">
        <v>244</v>
      </c>
      <c r="F413" s="40"/>
      <c r="G413" s="40"/>
      <c r="H413" s="81">
        <f t="shared" si="53"/>
        <v>19696.979963926617</v>
      </c>
      <c r="I413" s="53">
        <f>SUM(J413:Q413)*IF(입력란!$C$16=1,1.04,IF(입력란!$C$16=2,1.1,IF(입력란!$C$16=3,1.2,1)))*IF(입력란!$C$21=1,1+입력란!$C$38*0.001,IF(입력란!$C$21=2,1+입력란!$C$38*0.0022,IF(입력란!$C$21=3,1+입력란!$C$38*0.0045,1)))*IF(입력란!$C$18&lt;&gt;0,0.98,1)</f>
        <v>525653.10931808676</v>
      </c>
      <c r="J413" s="30">
        <f>S413*(1+IF($AK413+IF(입력란!$C$26=1,10,0)+IF(MID(E413,3,1)="3",IF(G413="생명50%이하",트라이포드!$N$21,트라이포드!$M$21),0)&gt;100,100,$AK413+IF(입력란!$C$26=1,10,0)+IF(MID(E413,3,1)="3",IF(G413="생명50%이하",트라이포드!$N$21,트라이포드!$M$21),0))/100*($AL413/100-1))</f>
        <v>350417.59984026349</v>
      </c>
      <c r="K413" s="30">
        <f>T413*(1+IF($AK413+IF(입력란!$C$26=1,10,0)&gt;100,100,$AK413+IF(입력란!$C$26=1,10,0))/100*($AL413/100-1))</f>
        <v>87626.657924808853</v>
      </c>
      <c r="L413" s="30"/>
      <c r="M413" s="30"/>
      <c r="N413" s="39"/>
      <c r="O413" s="39"/>
      <c r="P413" s="39"/>
      <c r="Q413" s="35">
        <f>Z413*(1+IF($AK413+IF(입력란!$C$26=1,10,0)&gt;100,100,$AK413+IF(입력란!$C$26=1,10,0))/100*($AL413/100-1))</f>
        <v>87608.851553014465</v>
      </c>
      <c r="R413" s="24">
        <f t="shared" si="54"/>
        <v>433011.90126849333</v>
      </c>
      <c r="S413" s="30">
        <f>AN413*IF(MID(E413,3,1)="1",트라이포드!$J$21,트라이포드!$I$21)*IF(MID(E413,5,1)="2",트라이포드!$R$21,트라이포드!$Q$21)*(1+입력란!$C$44/100)</f>
        <v>288659.932672358</v>
      </c>
      <c r="T413" s="30">
        <f>AO413*3*IF(MID(E413,5,1)="1",트라이포드!$P$21,트라이포드!$O$21)*(1+입력란!$C$44/100)</f>
        <v>72183.31838471978</v>
      </c>
      <c r="U413" s="30"/>
      <c r="V413" s="30"/>
      <c r="W413" s="30"/>
      <c r="X413" s="30"/>
      <c r="Y413" s="30"/>
      <c r="Z413" s="27">
        <f>(AN413+AO413*3)*IF(MID(E413,1,1)="2",트라이포드!$F$21,트라이포드!$E$21)*(1+입력란!$C$44/100)</f>
        <v>72168.650211415559</v>
      </c>
      <c r="AA413" s="30">
        <f t="shared" si="55"/>
        <v>866023.80253698665</v>
      </c>
      <c r="AB413" s="30">
        <f t="shared" si="56"/>
        <v>577319.865344716</v>
      </c>
      <c r="AC413" s="30">
        <f t="shared" si="57"/>
        <v>144366.63676943956</v>
      </c>
      <c r="AD413" s="30"/>
      <c r="AE413" s="30"/>
      <c r="AF413" s="39"/>
      <c r="AG413" s="39"/>
      <c r="AH413" s="39"/>
      <c r="AI413" s="27">
        <f t="shared" si="52"/>
        <v>144337.30042283112</v>
      </c>
      <c r="AJ413" s="30">
        <f>AQ413*(1-입력란!$C$35/100)</f>
        <v>26.686990101059997</v>
      </c>
      <c r="AK41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3" s="26">
        <f>입력란!$C$47+IF(입력란!$C$18=1,10,IF(입력란!$C$18=2,25,IF(입력란!$C$18=3,50,0)))+IF(입력란!$C$23&lt;&gt;0,-12)</f>
        <v>200</v>
      </c>
      <c r="AM413" s="30">
        <f t="shared" si="58"/>
        <v>230310.06517152104</v>
      </c>
      <c r="AN413" s="30">
        <f>(VLOOKUP(C413,$B$4:$AJ$7,26,FALSE)+VLOOKUP(C413,$B$8:$AJ$11,26,FALSE)*입력란!$C$29)*입력란!$C$48/100</f>
        <v>212589.75143200546</v>
      </c>
      <c r="AO413" s="30">
        <f>(VLOOKUP(C413,$B$4:$AJ$7,27,FALSE)+VLOOKUP(C413,$B$8:$AJ$11,27,FALSE)*입력란!$C$29)*입력란!$C$48/100</f>
        <v>17720.313739515583</v>
      </c>
      <c r="AP413" s="39"/>
      <c r="AQ413" s="23">
        <v>27</v>
      </c>
    </row>
    <row r="414" spans="2:43" ht="13.5" customHeight="1" x14ac:dyDescent="0.3">
      <c r="B414" s="31">
        <v>399</v>
      </c>
      <c r="C414" s="36">
        <v>7</v>
      </c>
      <c r="D414" s="44" t="s">
        <v>238</v>
      </c>
      <c r="E414" s="38" t="s">
        <v>240</v>
      </c>
      <c r="F414" s="40"/>
      <c r="G414" s="40"/>
      <c r="H414" s="81">
        <f t="shared" si="53"/>
        <v>16430.703048871848</v>
      </c>
      <c r="I414" s="53">
        <f>SUM(J414:Q414)*IF(입력란!$C$16=1,1.04,IF(입력란!$C$16=2,1.1,IF(입력란!$C$16=3,1.2,1)))*IF(입력란!$C$21=1,1+입력란!$C$38*0.001,IF(입력란!$C$21=2,1+입력란!$C$38*0.0022,IF(입력란!$C$21=3,1+입력란!$C$38*0.0045,1)))*IF(입력란!$C$18&lt;&gt;0,0.98,1)</f>
        <v>438486.00961869932</v>
      </c>
      <c r="J414" s="30">
        <f>S414*(1+IF($AK414+IF(입력란!$C$26=1,10,0)+IF(MID(E414,3,1)="3",IF(G414="생명50%이하",트라이포드!$N$21,트라이포드!$M$21),0)&gt;100,100,$AK414+IF(입력란!$C$26=1,10,0)+IF(MID(E414,3,1)="3",IF(G414="생명50%이하",트라이포드!$N$21,트라이포드!$M$21),0))/100*($AL414/100-1))</f>
        <v>350770.34199204028</v>
      </c>
      <c r="K414" s="30">
        <f>T414*(1+IF($AK414+IF(입력란!$C$26=1,10,0)&gt;100,100,$AK414+IF(입력란!$C$26=1,10,0))/100*($AL414/100-1))</f>
        <v>87715.667626659066</v>
      </c>
      <c r="L414" s="30"/>
      <c r="M414" s="30"/>
      <c r="N414" s="39"/>
      <c r="O414" s="39"/>
      <c r="P414" s="39"/>
      <c r="Q414" s="35">
        <f>Z414*(1+IF($AK414+IF(입력란!$C$26=1,10,0)&gt;100,100,$AK414+IF(입력란!$C$26=1,10,0))/100*($AL414/100-1))</f>
        <v>0</v>
      </c>
      <c r="R414" s="24">
        <f t="shared" si="54"/>
        <v>361207.14847656811</v>
      </c>
      <c r="S414" s="30">
        <f>AN414*IF(MID(E414,3,1)="1",트라이포드!$J$21,트라이포드!$I$21)*IF(MID(E414,5,1)="2",트라이포드!$R$21,트라이포드!$Q$21)*(1+입력란!$C$44/100)</f>
        <v>288950.50747747341</v>
      </c>
      <c r="T414" s="30">
        <f>AO414*3*IF(MID(E414,5,1)="1",트라이포드!$P$21,트라이포드!$O$21)*(1+입력란!$C$44/100)</f>
        <v>72256.640999094685</v>
      </c>
      <c r="U414" s="30"/>
      <c r="V414" s="30"/>
      <c r="W414" s="30"/>
      <c r="X414" s="30"/>
      <c r="Y414" s="30"/>
      <c r="Z414" s="27">
        <f>(AN414+AO414*3)*IF(MID(E414,1,1)="2",트라이포드!$F$21,트라이포드!$E$21)*(1+입력란!$C$44/100)</f>
        <v>0</v>
      </c>
      <c r="AA414" s="30">
        <f t="shared" si="55"/>
        <v>722414.29695313622</v>
      </c>
      <c r="AB414" s="30">
        <f t="shared" si="56"/>
        <v>577901.01495494682</v>
      </c>
      <c r="AC414" s="30">
        <f t="shared" si="57"/>
        <v>144513.28199818937</v>
      </c>
      <c r="AD414" s="30"/>
      <c r="AE414" s="30"/>
      <c r="AF414" s="39"/>
      <c r="AG414" s="39"/>
      <c r="AH414" s="39"/>
      <c r="AI414" s="27">
        <f t="shared" ref="AI414:AI444" si="59">Z414*2</f>
        <v>0</v>
      </c>
      <c r="AJ414" s="30">
        <f>AQ414*(1-입력란!$C$35/100)</f>
        <v>26.686990101059997</v>
      </c>
      <c r="AK41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4" s="26">
        <f>입력란!$C$47+IF(입력란!$C$18=1,10,IF(입력란!$C$18=2,25,IF(입력란!$C$18=3,50,0)))+IF(입력란!$C$23&lt;&gt;0,-12)</f>
        <v>200</v>
      </c>
      <c r="AM414" s="30">
        <f t="shared" si="58"/>
        <v>230542.06517152104</v>
      </c>
      <c r="AN414" s="30">
        <f>(VLOOKUP(C414,$B$4:$AJ$7,26,FALSE)+VLOOKUP(C414,$B$8:$AJ$11,26,FALSE)*입력란!$C$29)*입력란!$C$48/100</f>
        <v>212803.75143200546</v>
      </c>
      <c r="AO414" s="30">
        <f>(VLOOKUP(C414,$B$4:$AJ$7,27,FALSE)+VLOOKUP(C414,$B$8:$AJ$11,27,FALSE)*입력란!$C$29)*입력란!$C$48/100</f>
        <v>17738.313739515583</v>
      </c>
      <c r="AP414" s="39"/>
      <c r="AQ414" s="23">
        <v>27</v>
      </c>
    </row>
    <row r="415" spans="2:43" ht="13.5" customHeight="1" x14ac:dyDescent="0.3">
      <c r="B415" s="31">
        <v>400</v>
      </c>
      <c r="C415" s="36">
        <v>7</v>
      </c>
      <c r="D415" s="44" t="s">
        <v>238</v>
      </c>
      <c r="E415" s="38" t="s">
        <v>242</v>
      </c>
      <c r="F415" s="40"/>
      <c r="G415" s="40"/>
      <c r="H415" s="81">
        <f t="shared" si="53"/>
        <v>19716.670674517532</v>
      </c>
      <c r="I415" s="53">
        <f>SUM(J415:Q415)*IF(입력란!$C$16=1,1.04,IF(입력란!$C$16=2,1.1,IF(입력란!$C$16=3,1.2,1)))*IF(입력란!$C$21=1,1+입력란!$C$38*0.001,IF(입력란!$C$21=2,1+입력란!$C$38*0.0022,IF(입력란!$C$21=3,1+입력란!$C$38*0.0045,1)))*IF(입력란!$C$18&lt;&gt;0,0.98,1)</f>
        <v>526178.59511670936</v>
      </c>
      <c r="J415" s="30">
        <f>S415*(1+IF($AK415+IF(입력란!$C$26=1,10,0)+IF(MID(E415,3,1)="3",IF(G415="생명50%이하",트라이포드!$N$21,트라이포드!$M$21),0)&gt;100,100,$AK415+IF(입력란!$C$26=1,10,0)+IF(MID(E415,3,1)="3",IF(G415="생명50%이하",트라이포드!$N$21,트라이포드!$M$21),0))/100*($AL415/100-1))</f>
        <v>438462.92749005026</v>
      </c>
      <c r="K415" s="30">
        <f>T415*(1+IF($AK415+IF(입력란!$C$26=1,10,0)&gt;100,100,$AK415+IF(입력란!$C$26=1,10,0))/100*($AL415/100-1))</f>
        <v>87715.667626659066</v>
      </c>
      <c r="L415" s="30"/>
      <c r="M415" s="30"/>
      <c r="N415" s="39"/>
      <c r="O415" s="39"/>
      <c r="P415" s="39"/>
      <c r="Q415" s="35">
        <f>Z415*(1+IF($AK415+IF(입력란!$C$26=1,10,0)&gt;100,100,$AK415+IF(입력란!$C$26=1,10,0))/100*($AL415/100-1))</f>
        <v>0</v>
      </c>
      <c r="R415" s="24">
        <f t="shared" si="54"/>
        <v>433444.77534593642</v>
      </c>
      <c r="S415" s="30">
        <f>AN415*IF(MID(E415,3,1)="1",트라이포드!$J$21,트라이포드!$I$21)*IF(MID(E415,5,1)="2",트라이포드!$R$21,트라이포드!$Q$21)*(1+입력란!$C$44/100)</f>
        <v>361188.13434684172</v>
      </c>
      <c r="T415" s="30">
        <f>AO415*3*IF(MID(E415,5,1)="1",트라이포드!$P$21,트라이포드!$O$21)*(1+입력란!$C$44/100)</f>
        <v>72256.640999094685</v>
      </c>
      <c r="U415" s="30"/>
      <c r="V415" s="30"/>
      <c r="W415" s="30"/>
      <c r="X415" s="30"/>
      <c r="Y415" s="30"/>
      <c r="Z415" s="27">
        <f>(AN415+AO415*3)*IF(MID(E415,1,1)="2",트라이포드!$F$21,트라이포드!$E$21)*(1+입력란!$C$44/100)</f>
        <v>0</v>
      </c>
      <c r="AA415" s="30">
        <f t="shared" si="55"/>
        <v>866889.55069187284</v>
      </c>
      <c r="AB415" s="30">
        <f t="shared" si="56"/>
        <v>722376.26869368344</v>
      </c>
      <c r="AC415" s="30">
        <f t="shared" si="57"/>
        <v>144513.28199818937</v>
      </c>
      <c r="AD415" s="30"/>
      <c r="AE415" s="30"/>
      <c r="AF415" s="39"/>
      <c r="AG415" s="39"/>
      <c r="AH415" s="39"/>
      <c r="AI415" s="27">
        <f t="shared" si="59"/>
        <v>0</v>
      </c>
      <c r="AJ415" s="30">
        <f>AQ415*(1-입력란!$C$35/100)</f>
        <v>26.686990101059997</v>
      </c>
      <c r="AK41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5" s="26">
        <f>입력란!$C$47+IF(입력란!$C$18=1,10,IF(입력란!$C$18=2,25,IF(입력란!$C$18=3,50,0)))+IF(입력란!$C$23&lt;&gt;0,-12)</f>
        <v>200</v>
      </c>
      <c r="AM415" s="30">
        <f t="shared" si="58"/>
        <v>230542.06517152104</v>
      </c>
      <c r="AN415" s="30">
        <f>(VLOOKUP(C415,$B$4:$AJ$7,26,FALSE)+VLOOKUP(C415,$B$8:$AJ$11,26,FALSE)*입력란!$C$29)*입력란!$C$48/100</f>
        <v>212803.75143200546</v>
      </c>
      <c r="AO415" s="30">
        <f>(VLOOKUP(C415,$B$4:$AJ$7,27,FALSE)+VLOOKUP(C415,$B$8:$AJ$11,27,FALSE)*입력란!$C$29)*입력란!$C$48/100</f>
        <v>17738.313739515583</v>
      </c>
      <c r="AP415" s="39"/>
      <c r="AQ415" s="23">
        <v>27</v>
      </c>
    </row>
    <row r="416" spans="2:43" ht="13.5" customHeight="1" x14ac:dyDescent="0.3">
      <c r="B416" s="31">
        <v>401</v>
      </c>
      <c r="C416" s="36">
        <v>7</v>
      </c>
      <c r="D416" s="44" t="s">
        <v>238</v>
      </c>
      <c r="E416" s="38" t="s">
        <v>243</v>
      </c>
      <c r="F416" s="40"/>
      <c r="G416" s="40"/>
      <c r="H416" s="81">
        <f t="shared" si="53"/>
        <v>16430.703048871848</v>
      </c>
      <c r="I416" s="53">
        <f>SUM(J416:Q416)*IF(입력란!$C$16=1,1.04,IF(입력란!$C$16=2,1.1,IF(입력란!$C$16=3,1.2,1)))*IF(입력란!$C$21=1,1+입력란!$C$38*0.001,IF(입력란!$C$21=2,1+입력란!$C$38*0.0022,IF(입력란!$C$21=3,1+입력란!$C$38*0.0045,1)))*IF(입력란!$C$18&lt;&gt;0,0.98,1)</f>
        <v>438486.00961869932</v>
      </c>
      <c r="J416" s="30">
        <f>S416*(1+IF($AK416+IF(입력란!$C$26=1,10,0)+IF(MID(E416,3,1)="3",IF(G416="생명50%이하",트라이포드!$N$21,트라이포드!$M$21),0)&gt;100,100,$AK416+IF(입력란!$C$26=1,10,0)+IF(MID(E416,3,1)="3",IF(G416="생명50%이하",트라이포드!$N$21,트라이포드!$M$21),0))/100*($AL416/100-1))</f>
        <v>350770.34199204028</v>
      </c>
      <c r="K416" s="30">
        <f>T416*(1+IF($AK416+IF(입력란!$C$26=1,10,0)&gt;100,100,$AK416+IF(입력란!$C$26=1,10,0))/100*($AL416/100-1))</f>
        <v>87715.667626659066</v>
      </c>
      <c r="L416" s="30"/>
      <c r="M416" s="30"/>
      <c r="N416" s="39"/>
      <c r="O416" s="39"/>
      <c r="P416" s="39"/>
      <c r="Q416" s="35">
        <f>Z416*(1+IF($AK416+IF(입력란!$C$26=1,10,0)&gt;100,100,$AK416+IF(입력란!$C$26=1,10,0))/100*($AL416/100-1))</f>
        <v>0</v>
      </c>
      <c r="R416" s="24">
        <f t="shared" si="54"/>
        <v>361207.14847656811</v>
      </c>
      <c r="S416" s="30">
        <f>AN416*IF(MID(E416,3,1)="1",트라이포드!$J$21,트라이포드!$I$21)*IF(MID(E416,5,1)="2",트라이포드!$R$21,트라이포드!$Q$21)*(1+입력란!$C$44/100)</f>
        <v>288950.50747747341</v>
      </c>
      <c r="T416" s="30">
        <f>AO416*3*IF(MID(E416,5,1)="1",트라이포드!$P$21,트라이포드!$O$21)*(1+입력란!$C$44/100)</f>
        <v>72256.640999094685</v>
      </c>
      <c r="U416" s="30"/>
      <c r="V416" s="30"/>
      <c r="W416" s="30"/>
      <c r="X416" s="30"/>
      <c r="Y416" s="30"/>
      <c r="Z416" s="27">
        <f>(AN416+AO416*3)*IF(MID(E416,1,1)="2",트라이포드!$F$21,트라이포드!$E$21)*(1+입력란!$C$44/100)</f>
        <v>0</v>
      </c>
      <c r="AA416" s="30">
        <f t="shared" si="55"/>
        <v>722414.29695313622</v>
      </c>
      <c r="AB416" s="30">
        <f t="shared" si="56"/>
        <v>577901.01495494682</v>
      </c>
      <c r="AC416" s="30">
        <f t="shared" si="57"/>
        <v>144513.28199818937</v>
      </c>
      <c r="AD416" s="30"/>
      <c r="AE416" s="30"/>
      <c r="AF416" s="39"/>
      <c r="AG416" s="39"/>
      <c r="AH416" s="39"/>
      <c r="AI416" s="27">
        <f t="shared" si="59"/>
        <v>0</v>
      </c>
      <c r="AJ416" s="30">
        <f>AQ416*(1-입력란!$C$35/100)</f>
        <v>26.686990101059997</v>
      </c>
      <c r="AK4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6" s="26">
        <f>입력란!$C$47+IF(입력란!$C$18=1,10,IF(입력란!$C$18=2,25,IF(입력란!$C$18=3,50,0)))+IF(입력란!$C$23&lt;&gt;0,-12)</f>
        <v>200</v>
      </c>
      <c r="AM416" s="30">
        <f t="shared" si="58"/>
        <v>230542.06517152104</v>
      </c>
      <c r="AN416" s="30">
        <f>(VLOOKUP(C416,$B$4:$AJ$7,26,FALSE)+VLOOKUP(C416,$B$8:$AJ$11,26,FALSE)*입력란!$C$29)*입력란!$C$48/100</f>
        <v>212803.75143200546</v>
      </c>
      <c r="AO416" s="30">
        <f>(VLOOKUP(C416,$B$4:$AJ$7,27,FALSE)+VLOOKUP(C416,$B$8:$AJ$11,27,FALSE)*입력란!$C$29)*입력란!$C$48/100</f>
        <v>17738.313739515583</v>
      </c>
      <c r="AP416" s="39"/>
      <c r="AQ416" s="23">
        <v>27</v>
      </c>
    </row>
    <row r="417" spans="2:43" ht="13.5" customHeight="1" x14ac:dyDescent="0.3">
      <c r="B417" s="31">
        <v>402</v>
      </c>
      <c r="C417" s="36">
        <v>7</v>
      </c>
      <c r="D417" s="44" t="s">
        <v>238</v>
      </c>
      <c r="E417" s="38" t="s">
        <v>245</v>
      </c>
      <c r="F417" s="40"/>
      <c r="G417" s="40"/>
      <c r="H417" s="81">
        <f t="shared" si="53"/>
        <v>23002.811284291904</v>
      </c>
      <c r="I417" s="53">
        <f>SUM(J417:Q417)*IF(입력란!$C$16=1,1.04,IF(입력란!$C$16=2,1.1,IF(입력란!$C$16=3,1.2,1)))*IF(입력란!$C$21=1,1+입력란!$C$38*0.001,IF(입력란!$C$21=2,1+입력란!$C$38*0.0022,IF(입력란!$C$21=3,1+입력란!$C$38*0.0045,1)))*IF(입력란!$C$18&lt;&gt;0,0.98,1)</f>
        <v>613875.79704044922</v>
      </c>
      <c r="J417" s="30">
        <f>S417*(1+IF($AK417+IF(입력란!$C$26=1,10,0)+IF(MID(E417,3,1)="3",IF(G417="생명50%이하",트라이포드!$N$21,트라이포드!$M$21),0)&gt;100,100,$AK417+IF(입력란!$C$26=1,10,0)+IF(MID(E417,3,1)="3",IF(G417="생명50%이하",트라이포드!$N$21,트라이포드!$M$21),0))/100*($AL417/100-1))</f>
        <v>438462.92749005026</v>
      </c>
      <c r="K417" s="30">
        <f>T417*(1+IF($AK417+IF(입력란!$C$26=1,10,0)&gt;100,100,$AK417+IF(입력란!$C$26=1,10,0))/100*($AL417/100-1))</f>
        <v>87715.667626659066</v>
      </c>
      <c r="L417" s="30"/>
      <c r="M417" s="30"/>
      <c r="N417" s="39"/>
      <c r="O417" s="39"/>
      <c r="P417" s="39"/>
      <c r="Q417" s="35">
        <f>Z417*(1+IF($AK417+IF(입력란!$C$26=1,10,0)&gt;100,100,$AK417+IF(입력란!$C$26=1,10,0))/100*($AL417/100-1))</f>
        <v>87697.201923739864</v>
      </c>
      <c r="R417" s="24">
        <f t="shared" si="54"/>
        <v>505686.20504125004</v>
      </c>
      <c r="S417" s="30">
        <f>AN417*IF(MID(E417,3,1)="1",트라이포드!$J$21,트라이포드!$I$21)*IF(MID(E417,5,1)="2",트라이포드!$R$21,트라이포드!$Q$21)*(1+입력란!$C$44/100)</f>
        <v>361188.13434684172</v>
      </c>
      <c r="T417" s="30">
        <f>AO417*3*IF(MID(E417,5,1)="1",트라이포드!$P$21,트라이포드!$O$21)*(1+입력란!$C$44/100)</f>
        <v>72256.640999094685</v>
      </c>
      <c r="U417" s="30"/>
      <c r="V417" s="30"/>
      <c r="W417" s="30"/>
      <c r="X417" s="30"/>
      <c r="Y417" s="30"/>
      <c r="Z417" s="27">
        <f>(AN417+AO417*3)*IF(MID(E417,1,1)="2",트라이포드!$F$21,트라이포드!$E$21)*(1+입력란!$C$44/100)</f>
        <v>72241.429695313622</v>
      </c>
      <c r="AA417" s="30">
        <f t="shared" si="55"/>
        <v>1011372.4100825001</v>
      </c>
      <c r="AB417" s="30">
        <f t="shared" si="56"/>
        <v>722376.26869368344</v>
      </c>
      <c r="AC417" s="30">
        <f t="shared" si="57"/>
        <v>144513.28199818937</v>
      </c>
      <c r="AD417" s="30"/>
      <c r="AE417" s="30"/>
      <c r="AF417" s="39"/>
      <c r="AG417" s="39"/>
      <c r="AH417" s="39"/>
      <c r="AI417" s="27">
        <f t="shared" si="59"/>
        <v>144482.85939062724</v>
      </c>
      <c r="AJ417" s="30">
        <f>AQ417*(1-입력란!$C$35/100)</f>
        <v>26.686990101059997</v>
      </c>
      <c r="AK4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7" s="26">
        <f>입력란!$C$47+IF(입력란!$C$18=1,10,IF(입력란!$C$18=2,25,IF(입력란!$C$18=3,50,0)))+IF(입력란!$C$23&lt;&gt;0,-12)</f>
        <v>200</v>
      </c>
      <c r="AM417" s="30">
        <f t="shared" si="58"/>
        <v>230542.06517152104</v>
      </c>
      <c r="AN417" s="30">
        <f>(VLOOKUP(C417,$B$4:$AJ$7,26,FALSE)+VLOOKUP(C417,$B$8:$AJ$11,26,FALSE)*입력란!$C$29)*입력란!$C$48/100</f>
        <v>212803.75143200546</v>
      </c>
      <c r="AO417" s="30">
        <f>(VLOOKUP(C417,$B$4:$AJ$7,27,FALSE)+VLOOKUP(C417,$B$8:$AJ$11,27,FALSE)*입력란!$C$29)*입력란!$C$48/100</f>
        <v>17738.313739515583</v>
      </c>
      <c r="AP417" s="39"/>
      <c r="AQ417" s="23">
        <v>27</v>
      </c>
    </row>
    <row r="418" spans="2:43" ht="13.5" customHeight="1" x14ac:dyDescent="0.3">
      <c r="B418" s="31">
        <v>403</v>
      </c>
      <c r="C418" s="36">
        <v>7</v>
      </c>
      <c r="D418" s="44" t="s">
        <v>238</v>
      </c>
      <c r="E418" s="38" t="s">
        <v>246</v>
      </c>
      <c r="F418" s="40"/>
      <c r="G418" s="40"/>
      <c r="H418" s="81">
        <f t="shared" si="53"/>
        <v>19716.843658646216</v>
      </c>
      <c r="I418" s="53">
        <f>SUM(J418:Q418)*IF(입력란!$C$16=1,1.04,IF(입력란!$C$16=2,1.1,IF(입력란!$C$16=3,1.2,1)))*IF(입력란!$C$21=1,1+입력란!$C$38*0.001,IF(입력란!$C$21=2,1+입력란!$C$38*0.0022,IF(입력란!$C$21=3,1+입력란!$C$38*0.0045,1)))*IF(입력란!$C$18&lt;&gt;0,0.98,1)</f>
        <v>526183.21154243918</v>
      </c>
      <c r="J418" s="30">
        <f>S418*(1+IF($AK418+IF(입력란!$C$26=1,10,0)+IF(MID(E418,3,1)="3",IF(G418="생명50%이하",트라이포드!$N$21,트라이포드!$M$21),0)&gt;100,100,$AK418+IF(입력란!$C$26=1,10,0)+IF(MID(E418,3,1)="3",IF(G418="생명50%이하",트라이포드!$N$21,트라이포드!$M$21),0))/100*($AL418/100-1))</f>
        <v>350770.34199204028</v>
      </c>
      <c r="K418" s="30">
        <f>T418*(1+IF($AK418+IF(입력란!$C$26=1,10,0)&gt;100,100,$AK418+IF(입력란!$C$26=1,10,0))/100*($AL418/100-1))</f>
        <v>87715.667626659066</v>
      </c>
      <c r="L418" s="30"/>
      <c r="M418" s="30"/>
      <c r="N418" s="39"/>
      <c r="O418" s="39"/>
      <c r="P418" s="39"/>
      <c r="Q418" s="35">
        <f>Z418*(1+IF($AK418+IF(입력란!$C$26=1,10,0)&gt;100,100,$AK418+IF(입력란!$C$26=1,10,0))/100*($AL418/100-1))</f>
        <v>87697.201923739864</v>
      </c>
      <c r="R418" s="24">
        <f t="shared" si="54"/>
        <v>433448.57817188173</v>
      </c>
      <c r="S418" s="30">
        <f>AN418*IF(MID(E418,3,1)="1",트라이포드!$J$21,트라이포드!$I$21)*IF(MID(E418,5,1)="2",트라이포드!$R$21,트라이포드!$Q$21)*(1+입력란!$C$44/100)</f>
        <v>288950.50747747341</v>
      </c>
      <c r="T418" s="30">
        <f>AO418*3*IF(MID(E418,5,1)="1",트라이포드!$P$21,트라이포드!$O$21)*(1+입력란!$C$44/100)</f>
        <v>72256.640999094685</v>
      </c>
      <c r="U418" s="30"/>
      <c r="V418" s="30"/>
      <c r="W418" s="30"/>
      <c r="X418" s="30"/>
      <c r="Y418" s="30"/>
      <c r="Z418" s="27">
        <f>(AN418+AO418*3)*IF(MID(E418,1,1)="2",트라이포드!$F$21,트라이포드!$E$21)*(1+입력란!$C$44/100)</f>
        <v>72241.429695313622</v>
      </c>
      <c r="AA418" s="30">
        <f t="shared" si="55"/>
        <v>866897.15634376346</v>
      </c>
      <c r="AB418" s="30">
        <f t="shared" si="56"/>
        <v>577901.01495494682</v>
      </c>
      <c r="AC418" s="30">
        <f t="shared" si="57"/>
        <v>144513.28199818937</v>
      </c>
      <c r="AD418" s="30"/>
      <c r="AE418" s="30"/>
      <c r="AF418" s="39"/>
      <c r="AG418" s="39"/>
      <c r="AH418" s="39"/>
      <c r="AI418" s="27">
        <f t="shared" si="59"/>
        <v>144482.85939062724</v>
      </c>
      <c r="AJ418" s="30">
        <f>AQ418*(1-입력란!$C$35/100)</f>
        <v>26.686990101059997</v>
      </c>
      <c r="AK4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8" s="26">
        <f>입력란!$C$47+IF(입력란!$C$18=1,10,IF(입력란!$C$18=2,25,IF(입력란!$C$18=3,50,0)))+IF(입력란!$C$23&lt;&gt;0,-12)</f>
        <v>200</v>
      </c>
      <c r="AM418" s="30">
        <f t="shared" si="58"/>
        <v>230542.06517152104</v>
      </c>
      <c r="AN418" s="30">
        <f>(VLOOKUP(C418,$B$4:$AJ$7,26,FALSE)+VLOOKUP(C418,$B$8:$AJ$11,26,FALSE)*입력란!$C$29)*입력란!$C$48/100</f>
        <v>212803.75143200546</v>
      </c>
      <c r="AO418" s="30">
        <f>(VLOOKUP(C418,$B$4:$AJ$7,27,FALSE)+VLOOKUP(C418,$B$8:$AJ$11,27,FALSE)*입력란!$C$29)*입력란!$C$48/100</f>
        <v>17738.313739515583</v>
      </c>
      <c r="AP418" s="39"/>
      <c r="AQ418" s="23">
        <v>27</v>
      </c>
    </row>
    <row r="419" spans="2:43" ht="13.5" customHeight="1" x14ac:dyDescent="0.3">
      <c r="B419" s="31">
        <v>404</v>
      </c>
      <c r="C419" s="36">
        <v>10</v>
      </c>
      <c r="D419" s="44" t="s">
        <v>238</v>
      </c>
      <c r="E419" s="38" t="s">
        <v>240</v>
      </c>
      <c r="F419" s="40"/>
      <c r="G419" s="40"/>
      <c r="H419" s="81">
        <f t="shared" si="53"/>
        <v>16441.277254518598</v>
      </c>
      <c r="I419" s="53">
        <f>SUM(J419:Q419)*IF(입력란!$C$16=1,1.04,IF(입력란!$C$16=2,1.1,IF(입력란!$C$16=3,1.2,1)))*IF(입력란!$C$21=1,1+입력란!$C$38*0.001,IF(입력란!$C$21=2,1+입력란!$C$38*0.0022,IF(입력란!$C$21=3,1+입력란!$C$38*0.0045,1)))*IF(입력란!$C$18&lt;&gt;0,0.98,1)</f>
        <v>438768.20334012073</v>
      </c>
      <c r="J419" s="30">
        <f>S419*(1+IF($AK419+IF(입력란!$C$26=1,10,0)+IF(MID(E419,3,1)="3",IF(G419="생명50%이하",트라이포드!$N$21,트라이포드!$M$21),0)&gt;100,100,$AK419+IF(입력란!$C$26=1,10,0)+IF(MID(E419,3,1)="3",IF(G419="생명50%이하",트라이포드!$N$21,트라이포드!$M$21),0))/100*($AL419/100-1))</f>
        <v>350995.17390560266</v>
      </c>
      <c r="K419" s="30">
        <f>T419*(1+IF($AK419+IF(입력란!$C$26=1,10,0)&gt;100,100,$AK419+IF(입력란!$C$26=1,10,0))/100*($AL419/100-1))</f>
        <v>87773.029434518059</v>
      </c>
      <c r="L419" s="30"/>
      <c r="M419" s="30"/>
      <c r="N419" s="39"/>
      <c r="O419" s="39"/>
      <c r="P419" s="39"/>
      <c r="Q419" s="35">
        <f>Z419*(1+IF($AK419+IF(입력란!$C$26=1,10,0)&gt;100,100,$AK419+IF(입력란!$C$26=1,10,0))/100*($AL419/100-1))</f>
        <v>0</v>
      </c>
      <c r="R419" s="24">
        <f t="shared" si="54"/>
        <v>361439.60832066037</v>
      </c>
      <c r="S419" s="30">
        <f>AN419*IF(MID(E419,3,1)="1",트라이포드!$J$21,트라이포드!$I$21)*IF(MID(E419,5,1)="2",트라이포드!$R$21,트라이포드!$Q$21)*(1+입력란!$C$44/100)</f>
        <v>289135.71497007966</v>
      </c>
      <c r="T419" s="30">
        <f>AO419*3*IF(MID(E419,5,1)="1",트라이포드!$P$21,트라이포드!$O$21)*(1+입력란!$C$44/100)</f>
        <v>72303.893350580722</v>
      </c>
      <c r="U419" s="30"/>
      <c r="V419" s="30"/>
      <c r="W419" s="30"/>
      <c r="X419" s="30"/>
      <c r="Y419" s="30"/>
      <c r="Z419" s="27">
        <f>(AN419+AO419*3)*IF(MID(E419,1,1)="2",트라이포드!$F$21,트라이포드!$E$21)*(1+입력란!$C$44/100)</f>
        <v>0</v>
      </c>
      <c r="AA419" s="30">
        <f t="shared" si="55"/>
        <v>722879.21664132073</v>
      </c>
      <c r="AB419" s="30">
        <f t="shared" si="56"/>
        <v>578271.42994015932</v>
      </c>
      <c r="AC419" s="30">
        <f t="shared" si="57"/>
        <v>144607.78670116144</v>
      </c>
      <c r="AD419" s="30"/>
      <c r="AE419" s="30"/>
      <c r="AF419" s="39"/>
      <c r="AG419" s="39"/>
      <c r="AH419" s="39"/>
      <c r="AI419" s="27">
        <f t="shared" si="59"/>
        <v>0</v>
      </c>
      <c r="AJ419" s="30">
        <f>AQ419*(1-입력란!$C$35/100)</f>
        <v>26.686990101059997</v>
      </c>
      <c r="AK4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19" s="26">
        <f>입력란!$C$47+IF(입력란!$C$18=1,10,IF(입력란!$C$18=2,25,IF(입력란!$C$18=3,50,0)))+IF(입력란!$C$23&lt;&gt;0,-12)</f>
        <v>200</v>
      </c>
      <c r="AM419" s="30">
        <f t="shared" si="58"/>
        <v>230690.06517152104</v>
      </c>
      <c r="AN419" s="30">
        <f>(VLOOKUP(C419,$B$4:$AJ$7,26,FALSE)+VLOOKUP(C419,$B$8:$AJ$11,26,FALSE)*입력란!$C$29)*입력란!$C$48/100</f>
        <v>212940.15143200546</v>
      </c>
      <c r="AO419" s="30">
        <f>(VLOOKUP(C419,$B$4:$AJ$7,27,FALSE)+VLOOKUP(C419,$B$8:$AJ$11,27,FALSE)*입력란!$C$29)*입력란!$C$48/100</f>
        <v>17749.913739515581</v>
      </c>
      <c r="AP419" s="39"/>
      <c r="AQ419" s="23">
        <v>27</v>
      </c>
    </row>
    <row r="420" spans="2:43" ht="13.5" customHeight="1" x14ac:dyDescent="0.3">
      <c r="B420" s="31">
        <v>405</v>
      </c>
      <c r="C420" s="36">
        <v>10</v>
      </c>
      <c r="D420" s="44" t="s">
        <v>238</v>
      </c>
      <c r="E420" s="38" t="s">
        <v>247</v>
      </c>
      <c r="F420" s="40"/>
      <c r="G420" s="40"/>
      <c r="H420" s="81">
        <f t="shared" si="53"/>
        <v>23019.241206401781</v>
      </c>
      <c r="I420" s="53">
        <f>SUM(J420:Q420)*IF(입력란!$C$16=1,1.04,IF(입력란!$C$16=2,1.1,IF(입력란!$C$16=3,1.2,1)))*IF(입력란!$C$21=1,1+입력란!$C$38*0.001,IF(입력란!$C$21=2,1+입력란!$C$38*0.0022,IF(입력란!$C$21=3,1+입력란!$C$38*0.0045,1)))*IF(입력란!$C$18&lt;&gt;0,0.98,1)</f>
        <v>614314.26220915676</v>
      </c>
      <c r="J420" s="30">
        <f>S420*(1+IF($AK420+IF(입력란!$C$26=1,10,0)+IF(MID(E420,3,1)="3",IF(G420="생명50%이하",트라이포드!$N$21,트라이포드!$M$21),0)&gt;100,100,$AK420+IF(입력란!$C$26=1,10,0)+IF(MID(E420,3,1)="3",IF(G420="생명50%이하",트라이포드!$N$21,트라이포드!$M$21),0))/100*($AL420/100-1))</f>
        <v>350995.17390560266</v>
      </c>
      <c r="K420" s="30">
        <f>T420*(1+IF($AK420+IF(입력란!$C$26=1,10,0)&gt;100,100,$AK420+IF(입력란!$C$26=1,10,0))/100*($AL420/100-1))</f>
        <v>263319.08830355416</v>
      </c>
      <c r="L420" s="30"/>
      <c r="M420" s="30"/>
      <c r="N420" s="39"/>
      <c r="O420" s="39"/>
      <c r="P420" s="39"/>
      <c r="Q420" s="35">
        <f>Z420*(1+IF($AK420+IF(입력란!$C$26=1,10,0)&gt;100,100,$AK420+IF(입력란!$C$26=1,10,0))/100*($AL420/100-1))</f>
        <v>0</v>
      </c>
      <c r="R420" s="24">
        <f t="shared" si="54"/>
        <v>506047.39502182184</v>
      </c>
      <c r="S420" s="30">
        <f>AN420*IF(MID(E420,3,1)="1",트라이포드!$J$21,트라이포드!$I$21)*IF(MID(E420,5,1)="2",트라이포드!$R$21,트라이포드!$Q$21)*(1+입력란!$C$44/100)</f>
        <v>289135.71497007966</v>
      </c>
      <c r="T420" s="30">
        <f>AO420*3*IF(MID(E420,5,1)="1",트라이포드!$P$21,트라이포드!$O$21)*(1+입력란!$C$44/100)</f>
        <v>216911.68005174215</v>
      </c>
      <c r="U420" s="30"/>
      <c r="V420" s="30"/>
      <c r="W420" s="30"/>
      <c r="X420" s="30"/>
      <c r="Y420" s="30"/>
      <c r="Z420" s="27">
        <f>(AN420+AO420*3)*IF(MID(E420,1,1)="2",트라이포드!$F$21,트라이포드!$E$21)*(1+입력란!$C$44/100)</f>
        <v>0</v>
      </c>
      <c r="AA420" s="30">
        <f t="shared" si="55"/>
        <v>1012094.7900436437</v>
      </c>
      <c r="AB420" s="30">
        <f t="shared" si="56"/>
        <v>578271.42994015932</v>
      </c>
      <c r="AC420" s="30">
        <f t="shared" si="57"/>
        <v>433823.3601034843</v>
      </c>
      <c r="AD420" s="30"/>
      <c r="AE420" s="30"/>
      <c r="AF420" s="39"/>
      <c r="AG420" s="39"/>
      <c r="AH420" s="39"/>
      <c r="AI420" s="27">
        <f t="shared" si="59"/>
        <v>0</v>
      </c>
      <c r="AJ420" s="30">
        <f>AQ420*(1-입력란!$C$35/100)</f>
        <v>26.686990101059997</v>
      </c>
      <c r="AK4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0" s="26">
        <f>입력란!$C$47+IF(입력란!$C$18=1,10,IF(입력란!$C$18=2,25,IF(입력란!$C$18=3,50,0)))+IF(입력란!$C$23&lt;&gt;0,-12)</f>
        <v>200</v>
      </c>
      <c r="AM420" s="30">
        <f t="shared" si="58"/>
        <v>230690.06517152104</v>
      </c>
      <c r="AN420" s="30">
        <f>(VLOOKUP(C420,$B$4:$AJ$7,26,FALSE)+VLOOKUP(C420,$B$8:$AJ$11,26,FALSE)*입력란!$C$29)*입력란!$C$48/100</f>
        <v>212940.15143200546</v>
      </c>
      <c r="AO420" s="30">
        <f>(VLOOKUP(C420,$B$4:$AJ$7,27,FALSE)+VLOOKUP(C420,$B$8:$AJ$11,27,FALSE)*입력란!$C$29)*입력란!$C$48/100</f>
        <v>17749.913739515581</v>
      </c>
      <c r="AP420" s="39"/>
      <c r="AQ420" s="23">
        <v>27</v>
      </c>
    </row>
    <row r="421" spans="2:43" ht="13.5" customHeight="1" x14ac:dyDescent="0.3">
      <c r="B421" s="31">
        <v>406</v>
      </c>
      <c r="C421" s="36">
        <v>10</v>
      </c>
      <c r="D421" s="44" t="s">
        <v>238</v>
      </c>
      <c r="E421" s="38" t="s">
        <v>248</v>
      </c>
      <c r="F421" s="40"/>
      <c r="G421" s="40"/>
      <c r="H421" s="81">
        <f t="shared" si="53"/>
        <v>20386.965838091699</v>
      </c>
      <c r="I421" s="53">
        <f>SUM(J421:Q421)*IF(입력란!$C$16=1,1.04,IF(입력란!$C$16=2,1.1,IF(입력란!$C$16=3,1.2,1)))*IF(입력란!$C$21=1,1+입력란!$C$38*0.001,IF(입력란!$C$21=2,1+입력란!$C$38*0.0022,IF(입력란!$C$21=3,1+입력란!$C$38*0.0045,1)))*IF(입력란!$C$18&lt;&gt;0,0.98,1)</f>
        <v>544066.75551180146</v>
      </c>
      <c r="J421" s="30">
        <f>S421*(1+IF($AK421+IF(입력란!$C$26=1,10,0)+IF(MID(E421,3,1)="3",IF(G421="생명50%이하",트라이포드!$N$21,트라이포드!$M$21),0)&gt;100,100,$AK421+IF(입력란!$C$26=1,10,0)+IF(MID(E421,3,1)="3",IF(G421="생명50%이하",트라이포드!$N$21,트라이포드!$M$21),0))/100*($AL421/100-1))</f>
        <v>456293.72607728338</v>
      </c>
      <c r="K421" s="30">
        <f>T421*(1+IF($AK421+IF(입력란!$C$26=1,10,0)&gt;100,100,$AK421+IF(입력란!$C$26=1,10,0))/100*($AL421/100-1))</f>
        <v>87773.029434518059</v>
      </c>
      <c r="L421" s="30"/>
      <c r="M421" s="30"/>
      <c r="N421" s="39"/>
      <c r="O421" s="39"/>
      <c r="P421" s="39"/>
      <c r="Q421" s="35">
        <f>Z421*(1+IF($AK421+IF(입력란!$C$26=1,10,0)&gt;100,100,$AK421+IF(입력란!$C$26=1,10,0))/100*($AL421/100-1))</f>
        <v>0</v>
      </c>
      <c r="R421" s="24">
        <f t="shared" si="54"/>
        <v>448180.32281168422</v>
      </c>
      <c r="S421" s="30">
        <f>AN421*IF(MID(E421,3,1)="1",트라이포드!$J$21,트라이포드!$I$21)*IF(MID(E421,5,1)="2",트라이포드!$R$21,트라이포드!$Q$21)*(1+입력란!$C$44/100)</f>
        <v>375876.42946110351</v>
      </c>
      <c r="T421" s="30">
        <f>AO421*3*IF(MID(E421,5,1)="1",트라이포드!$P$21,트라이포드!$O$21)*(1+입력란!$C$44/100)</f>
        <v>72303.893350580722</v>
      </c>
      <c r="U421" s="30"/>
      <c r="V421" s="30"/>
      <c r="W421" s="30"/>
      <c r="X421" s="30"/>
      <c r="Y421" s="30"/>
      <c r="Z421" s="27">
        <f>(AN421+AO421*3)*IF(MID(E421,1,1)="2",트라이포드!$F$21,트라이포드!$E$21)*(1+입력란!$C$44/100)</f>
        <v>0</v>
      </c>
      <c r="AA421" s="30">
        <f t="shared" si="55"/>
        <v>896360.64562336844</v>
      </c>
      <c r="AB421" s="30">
        <f t="shared" si="56"/>
        <v>751752.85892220703</v>
      </c>
      <c r="AC421" s="30">
        <f t="shared" si="57"/>
        <v>144607.78670116144</v>
      </c>
      <c r="AD421" s="30"/>
      <c r="AE421" s="30"/>
      <c r="AF421" s="39"/>
      <c r="AG421" s="39"/>
      <c r="AH421" s="39"/>
      <c r="AI421" s="27">
        <f t="shared" si="59"/>
        <v>0</v>
      </c>
      <c r="AJ421" s="30">
        <f>AQ421*(1-입력란!$C$35/100)</f>
        <v>26.686990101059997</v>
      </c>
      <c r="AK4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1" s="26">
        <f>입력란!$C$47+IF(입력란!$C$18=1,10,IF(입력란!$C$18=2,25,IF(입력란!$C$18=3,50,0)))+IF(입력란!$C$23&lt;&gt;0,-12)</f>
        <v>200</v>
      </c>
      <c r="AM421" s="30">
        <f t="shared" si="58"/>
        <v>230690.06517152104</v>
      </c>
      <c r="AN421" s="30">
        <f>(VLOOKUP(C421,$B$4:$AJ$7,26,FALSE)+VLOOKUP(C421,$B$8:$AJ$11,26,FALSE)*입력란!$C$29)*입력란!$C$48/100</f>
        <v>212940.15143200546</v>
      </c>
      <c r="AO421" s="30">
        <f>(VLOOKUP(C421,$B$4:$AJ$7,27,FALSE)+VLOOKUP(C421,$B$8:$AJ$11,27,FALSE)*입력란!$C$29)*입력란!$C$48/100</f>
        <v>17749.913739515581</v>
      </c>
      <c r="AP421" s="39"/>
      <c r="AQ421" s="23">
        <v>27</v>
      </c>
    </row>
    <row r="422" spans="2:43" ht="13.5" customHeight="1" x14ac:dyDescent="0.3">
      <c r="B422" s="31">
        <v>407</v>
      </c>
      <c r="C422" s="36">
        <v>10</v>
      </c>
      <c r="D422" s="44" t="s">
        <v>238</v>
      </c>
      <c r="E422" s="38" t="s">
        <v>249</v>
      </c>
      <c r="F422" s="40"/>
      <c r="G422" s="40"/>
      <c r="H422" s="81">
        <f t="shared" si="53"/>
        <v>26307.496657305503</v>
      </c>
      <c r="I422" s="53">
        <f>SUM(J422:Q422)*IF(입력란!$C$16=1,1.04,IF(입력란!$C$16=2,1.1,IF(입력란!$C$16=3,1.2,1)))*IF(입력란!$C$21=1,1+입력란!$C$38*0.001,IF(입력란!$C$21=2,1+입력란!$C$38*0.0022,IF(입력란!$C$21=3,1+입력란!$C$38*0.0045,1)))*IF(입력란!$C$18&lt;&gt;0,0.98,1)</f>
        <v>702067.90287718095</v>
      </c>
      <c r="J422" s="30">
        <f>S422*(1+IF($AK422+IF(입력란!$C$26=1,10,0)+IF(MID(E422,3,1)="3",IF(G422="생명50%이하",트라이포드!$N$21,트라이포드!$M$21),0)&gt;100,100,$AK422+IF(입력란!$C$26=1,10,0)+IF(MID(E422,3,1)="3",IF(G422="생명50%이하",트라이포드!$N$21,트라이포드!$M$21),0))/100*($AL422/100-1))</f>
        <v>350995.17390560266</v>
      </c>
      <c r="K422" s="30">
        <f>T422*(1+IF($AK422+IF(입력란!$C$26=1,10,0)&gt;100,100,$AK422+IF(입력란!$C$26=1,10,0))/100*($AL422/100-1))</f>
        <v>263319.08830355416</v>
      </c>
      <c r="L422" s="30"/>
      <c r="M422" s="30"/>
      <c r="N422" s="39"/>
      <c r="O422" s="39"/>
      <c r="P422" s="39"/>
      <c r="Q422" s="35">
        <f>Z422*(1+IF($AK422+IF(입력란!$C$26=1,10,0)&gt;100,100,$AK422+IF(입력란!$C$26=1,10,0))/100*($AL422/100-1))</f>
        <v>87753.640668024149</v>
      </c>
      <c r="R422" s="24">
        <f t="shared" si="54"/>
        <v>578335.31668595388</v>
      </c>
      <c r="S422" s="30">
        <f>AN422*IF(MID(E422,3,1)="1",트라이포드!$J$21,트라이포드!$I$21)*IF(MID(E422,5,1)="2",트라이포드!$R$21,트라이포드!$Q$21)*(1+입력란!$C$44/100)</f>
        <v>289135.71497007966</v>
      </c>
      <c r="T422" s="30">
        <f>AO422*3*IF(MID(E422,5,1)="1",트라이포드!$P$21,트라이포드!$O$21)*(1+입력란!$C$44/100)</f>
        <v>216911.68005174215</v>
      </c>
      <c r="U422" s="30"/>
      <c r="V422" s="30"/>
      <c r="W422" s="30"/>
      <c r="X422" s="30"/>
      <c r="Y422" s="30"/>
      <c r="Z422" s="27">
        <f>(AN422+AO422*3)*IF(MID(E422,1,1)="2",트라이포드!$F$21,트라이포드!$E$21)*(1+입력란!$C$44/100)</f>
        <v>72287.921664132082</v>
      </c>
      <c r="AA422" s="30">
        <f t="shared" si="55"/>
        <v>1156670.6333719078</v>
      </c>
      <c r="AB422" s="30">
        <f t="shared" si="56"/>
        <v>578271.42994015932</v>
      </c>
      <c r="AC422" s="30">
        <f t="shared" si="57"/>
        <v>433823.3601034843</v>
      </c>
      <c r="AD422" s="30"/>
      <c r="AE422" s="30"/>
      <c r="AF422" s="39"/>
      <c r="AG422" s="39"/>
      <c r="AH422" s="39"/>
      <c r="AI422" s="27">
        <f t="shared" si="59"/>
        <v>144575.84332826416</v>
      </c>
      <c r="AJ422" s="30">
        <f>AQ422*(1-입력란!$C$35/100)</f>
        <v>26.686990101059997</v>
      </c>
      <c r="AK4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2" s="26">
        <f>입력란!$C$47+IF(입력란!$C$18=1,10,IF(입력란!$C$18=2,25,IF(입력란!$C$18=3,50,0)))+IF(입력란!$C$23&lt;&gt;0,-12)</f>
        <v>200</v>
      </c>
      <c r="AM422" s="30">
        <f t="shared" si="58"/>
        <v>230690.06517152104</v>
      </c>
      <c r="AN422" s="30">
        <f>(VLOOKUP(C422,$B$4:$AJ$7,26,FALSE)+VLOOKUP(C422,$B$8:$AJ$11,26,FALSE)*입력란!$C$29)*입력란!$C$48/100</f>
        <v>212940.15143200546</v>
      </c>
      <c r="AO422" s="30">
        <f>(VLOOKUP(C422,$B$4:$AJ$7,27,FALSE)+VLOOKUP(C422,$B$8:$AJ$11,27,FALSE)*입력란!$C$29)*입력란!$C$48/100</f>
        <v>17749.913739515581</v>
      </c>
      <c r="AP422" s="39"/>
      <c r="AQ422" s="23">
        <v>27</v>
      </c>
    </row>
    <row r="423" spans="2:43" ht="13.5" customHeight="1" x14ac:dyDescent="0.3">
      <c r="B423" s="31">
        <v>408</v>
      </c>
      <c r="C423" s="36">
        <v>10</v>
      </c>
      <c r="D423" s="44" t="s">
        <v>238</v>
      </c>
      <c r="E423" s="38" t="s">
        <v>250</v>
      </c>
      <c r="F423" s="40"/>
      <c r="G423" s="40"/>
      <c r="H423" s="81">
        <f t="shared" si="53"/>
        <v>23675.221288995417</v>
      </c>
      <c r="I423" s="53">
        <f>SUM(J423:Q423)*IF(입력란!$C$16=1,1.04,IF(입력란!$C$16=2,1.1,IF(입력란!$C$16=3,1.2,1)))*IF(입력란!$C$21=1,1+입력란!$C$38*0.001,IF(입력란!$C$21=2,1+입력란!$C$38*0.0022,IF(입력란!$C$21=3,1+입력란!$C$38*0.0045,1)))*IF(입력란!$C$18&lt;&gt;0,0.98,1)</f>
        <v>631820.39617982565</v>
      </c>
      <c r="J423" s="30">
        <f>S423*(1+IF($AK423+IF(입력란!$C$26=1,10,0)+IF(MID(E423,3,1)="3",IF(G423="생명50%이하",트라이포드!$N$21,트라이포드!$M$21),0)&gt;100,100,$AK423+IF(입력란!$C$26=1,10,0)+IF(MID(E423,3,1)="3",IF(G423="생명50%이하",트라이포드!$N$21,트라이포드!$M$21),0))/100*($AL423/100-1))</f>
        <v>456293.72607728338</v>
      </c>
      <c r="K423" s="30">
        <f>T423*(1+IF($AK423+IF(입력란!$C$26=1,10,0)&gt;100,100,$AK423+IF(입력란!$C$26=1,10,0))/100*($AL423/100-1))</f>
        <v>87773.029434518059</v>
      </c>
      <c r="L423" s="30"/>
      <c r="M423" s="30"/>
      <c r="N423" s="39"/>
      <c r="O423" s="39"/>
      <c r="P423" s="39"/>
      <c r="Q423" s="35">
        <f>Z423*(1+IF($AK423+IF(입력란!$C$26=1,10,0)&gt;100,100,$AK423+IF(입력란!$C$26=1,10,0))/100*($AL423/100-1))</f>
        <v>87753.640668024149</v>
      </c>
      <c r="R423" s="24">
        <f t="shared" si="54"/>
        <v>520468.24447581632</v>
      </c>
      <c r="S423" s="30">
        <f>AN423*IF(MID(E423,3,1)="1",트라이포드!$J$21,트라이포드!$I$21)*IF(MID(E423,5,1)="2",트라이포드!$R$21,트라이포드!$Q$21)*(1+입력란!$C$44/100)</f>
        <v>375876.42946110351</v>
      </c>
      <c r="T423" s="30">
        <f>AO423*3*IF(MID(E423,5,1)="1",트라이포드!$P$21,트라이포드!$O$21)*(1+입력란!$C$44/100)</f>
        <v>72303.893350580722</v>
      </c>
      <c r="U423" s="30"/>
      <c r="V423" s="30"/>
      <c r="W423" s="30"/>
      <c r="X423" s="30"/>
      <c r="Y423" s="30"/>
      <c r="Z423" s="27">
        <f>(AN423+AO423*3)*IF(MID(E423,1,1)="2",트라이포드!$F$21,트라이포드!$E$21)*(1+입력란!$C$44/100)</f>
        <v>72287.921664132082</v>
      </c>
      <c r="AA423" s="30">
        <f t="shared" si="55"/>
        <v>1040936.4889516326</v>
      </c>
      <c r="AB423" s="30">
        <f t="shared" si="56"/>
        <v>751752.85892220703</v>
      </c>
      <c r="AC423" s="30">
        <f t="shared" si="57"/>
        <v>144607.78670116144</v>
      </c>
      <c r="AD423" s="30"/>
      <c r="AE423" s="30"/>
      <c r="AF423" s="39"/>
      <c r="AG423" s="39"/>
      <c r="AH423" s="39"/>
      <c r="AI423" s="27">
        <f t="shared" si="59"/>
        <v>144575.84332826416</v>
      </c>
      <c r="AJ423" s="30">
        <f>AQ423*(1-입력란!$C$35/100)</f>
        <v>26.686990101059997</v>
      </c>
      <c r="AK4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3" s="26">
        <f>입력란!$C$47+IF(입력란!$C$18=1,10,IF(입력란!$C$18=2,25,IF(입력란!$C$18=3,50,0)))+IF(입력란!$C$23&lt;&gt;0,-12)</f>
        <v>200</v>
      </c>
      <c r="AM423" s="30">
        <f t="shared" si="58"/>
        <v>230690.06517152104</v>
      </c>
      <c r="AN423" s="30">
        <f>(VLOOKUP(C423,$B$4:$AJ$7,26,FALSE)+VLOOKUP(C423,$B$8:$AJ$11,26,FALSE)*입력란!$C$29)*입력란!$C$48/100</f>
        <v>212940.15143200546</v>
      </c>
      <c r="AO423" s="30">
        <f>(VLOOKUP(C423,$B$4:$AJ$7,27,FALSE)+VLOOKUP(C423,$B$8:$AJ$11,27,FALSE)*입력란!$C$29)*입력란!$C$48/100</f>
        <v>17749.913739515581</v>
      </c>
      <c r="AP423" s="39"/>
      <c r="AQ423" s="23">
        <v>27</v>
      </c>
    </row>
    <row r="424" spans="2:43" ht="13.5" customHeight="1" x14ac:dyDescent="0.3">
      <c r="B424" s="31">
        <v>409</v>
      </c>
      <c r="C424" s="36">
        <v>10</v>
      </c>
      <c r="D424" s="44" t="s">
        <v>238</v>
      </c>
      <c r="E424" s="38" t="s">
        <v>251</v>
      </c>
      <c r="F424" s="40"/>
      <c r="G424" s="40"/>
      <c r="H424" s="81">
        <f t="shared" si="53"/>
        <v>29595.570476949753</v>
      </c>
      <c r="I424" s="53">
        <f>SUM(J424:Q424)*IF(입력란!$C$16=1,1.04,IF(입력란!$C$16=2,1.1,IF(입력란!$C$16=3,1.2,1)))*IF(입력란!$C$21=1,1+입력란!$C$38*0.001,IF(입력란!$C$21=2,1+입력란!$C$38*0.0022,IF(입력란!$C$21=3,1+입력란!$C$38*0.0045,1)))*IF(입력란!$C$18&lt;&gt;0,0.98,1)</f>
        <v>789816.69635358162</v>
      </c>
      <c r="J424" s="30">
        <f>S424*(1+IF($AK424+IF(입력란!$C$26=1,10,0)+IF(MID(E424,3,1)="3",IF(G424="생명50%이하",트라이포드!$N$21,트라이포드!$M$21),0)&gt;100,100,$AK424+IF(입력란!$C$26=1,10,0)+IF(MID(E424,3,1)="3",IF(G424="생명50%이하",트라이포드!$N$21,트라이포드!$M$21),0))/100*($AL424/100-1))</f>
        <v>438743.96738200326</v>
      </c>
      <c r="K424" s="30">
        <f>T424*(1+IF($AK424+IF(입력란!$C$26=1,10,0)&gt;100,100,$AK424+IF(입력란!$C$26=1,10,0))/100*($AL424/100-1))</f>
        <v>263319.08830355416</v>
      </c>
      <c r="L424" s="30"/>
      <c r="M424" s="30"/>
      <c r="N424" s="39"/>
      <c r="O424" s="39"/>
      <c r="P424" s="39"/>
      <c r="Q424" s="35">
        <f>Z424*(1+IF($AK424+IF(입력란!$C$26=1,10,0)&gt;100,100,$AK424+IF(입력란!$C$26=1,10,0))/100*($AL424/100-1))</f>
        <v>87753.640668024149</v>
      </c>
      <c r="R424" s="24">
        <f t="shared" si="54"/>
        <v>650619.24542847369</v>
      </c>
      <c r="S424" s="30">
        <f>AN424*IF(MID(E424,3,1)="1",트라이포드!$J$21,트라이포드!$I$21)*IF(MID(E424,5,1)="2",트라이포드!$R$21,트라이포드!$Q$21)*(1+입력란!$C$44/100)</f>
        <v>361419.64371259953</v>
      </c>
      <c r="T424" s="30">
        <f>AO424*3*IF(MID(E424,5,1)="1",트라이포드!$P$21,트라이포드!$O$21)*(1+입력란!$C$44/100)</f>
        <v>216911.68005174215</v>
      </c>
      <c r="U424" s="30"/>
      <c r="V424" s="30"/>
      <c r="W424" s="30"/>
      <c r="X424" s="30"/>
      <c r="Y424" s="30"/>
      <c r="Z424" s="27">
        <f>(AN424+AO424*3)*IF(MID(E424,1,1)="2",트라이포드!$F$21,트라이포드!$E$21)*(1+입력란!$C$44/100)</f>
        <v>72287.921664132082</v>
      </c>
      <c r="AA424" s="30">
        <f t="shared" si="55"/>
        <v>1301238.4908569474</v>
      </c>
      <c r="AB424" s="30">
        <f t="shared" si="56"/>
        <v>722839.28742519906</v>
      </c>
      <c r="AC424" s="30">
        <f t="shared" si="57"/>
        <v>433823.3601034843</v>
      </c>
      <c r="AD424" s="30"/>
      <c r="AE424" s="30"/>
      <c r="AF424" s="39"/>
      <c r="AG424" s="39"/>
      <c r="AH424" s="39"/>
      <c r="AI424" s="27">
        <f t="shared" si="59"/>
        <v>144575.84332826416</v>
      </c>
      <c r="AJ424" s="30">
        <f>AQ424*(1-입력란!$C$35/100)</f>
        <v>26.686990101059997</v>
      </c>
      <c r="AK42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4" s="26">
        <f>입력란!$C$47+IF(입력란!$C$18=1,10,IF(입력란!$C$18=2,25,IF(입력란!$C$18=3,50,0)))+IF(입력란!$C$23&lt;&gt;0,-12)</f>
        <v>200</v>
      </c>
      <c r="AM424" s="30">
        <f t="shared" si="58"/>
        <v>230690.06517152104</v>
      </c>
      <c r="AN424" s="30">
        <f>(VLOOKUP(C424,$B$4:$AJ$7,26,FALSE)+VLOOKUP(C424,$B$8:$AJ$11,26,FALSE)*입력란!$C$29)*입력란!$C$48/100</f>
        <v>212940.15143200546</v>
      </c>
      <c r="AO424" s="30">
        <f>(VLOOKUP(C424,$B$4:$AJ$7,27,FALSE)+VLOOKUP(C424,$B$8:$AJ$11,27,FALSE)*입력란!$C$29)*입력란!$C$48/100</f>
        <v>17749.913739515581</v>
      </c>
      <c r="AP424" s="39"/>
      <c r="AQ424" s="23">
        <v>27</v>
      </c>
    </row>
    <row r="425" spans="2:43" ht="13.5" customHeight="1" x14ac:dyDescent="0.3">
      <c r="B425" s="31">
        <v>410</v>
      </c>
      <c r="C425" s="36">
        <v>10</v>
      </c>
      <c r="D425" s="44" t="s">
        <v>238</v>
      </c>
      <c r="E425" s="38" t="s">
        <v>252</v>
      </c>
      <c r="F425" s="40"/>
      <c r="G425" s="40"/>
      <c r="H425" s="81">
        <f t="shared" si="53"/>
        <v>27949.717254532949</v>
      </c>
      <c r="I425" s="53">
        <f>SUM(J425:Q425)*IF(입력란!$C$16=1,1.04,IF(입력란!$C$16=2,1.1,IF(입력란!$C$16=3,1.2,1)))*IF(입력란!$C$21=1,1+입력란!$C$38*0.001,IF(입력란!$C$21=2,1+입력란!$C$38*0.0022,IF(입력란!$C$21=3,1+입력란!$C$38*0.0045,1)))*IF(입력란!$C$18&lt;&gt;0,0.98,1)</f>
        <v>745893.82769914658</v>
      </c>
      <c r="J425" s="30">
        <f>S425*(1+IF($AK425+IF(입력란!$C$26=1,10,0)+IF(MID(E425,3,1)="3",IF(G425="생명50%이하",트라이포드!$N$21,트라이포드!$M$21),0)&gt;100,100,$AK425+IF(입력란!$C$26=1,10,0)+IF(MID(E425,3,1)="3",IF(G425="생명50%이하",트라이포드!$N$21,트라이포드!$M$21),0))/100*($AL425/100-1))</f>
        <v>570367.15759660432</v>
      </c>
      <c r="K425" s="30">
        <f>T425*(1+IF($AK425+IF(입력란!$C$26=1,10,0)&gt;100,100,$AK425+IF(입력란!$C$26=1,10,0))/100*($AL425/100-1))</f>
        <v>87773.029434518059</v>
      </c>
      <c r="L425" s="30"/>
      <c r="M425" s="30"/>
      <c r="N425" s="39"/>
      <c r="O425" s="39"/>
      <c r="P425" s="39"/>
      <c r="Q425" s="35">
        <f>Z425*(1+IF($AK425+IF(입력란!$C$26=1,10,0)&gt;100,100,$AK425+IF(입력란!$C$26=1,10,0))/100*($AL425/100-1))</f>
        <v>87753.640668024149</v>
      </c>
      <c r="R425" s="24">
        <f t="shared" si="54"/>
        <v>614437.35184109223</v>
      </c>
      <c r="S425" s="30">
        <f>AN425*IF(MID(E425,3,1)="1",트라이포드!$J$21,트라이포드!$I$21)*IF(MID(E425,5,1)="2",트라이포드!$R$21,트라이포드!$Q$21)*(1+입력란!$C$44/100)</f>
        <v>469845.53682637948</v>
      </c>
      <c r="T425" s="30">
        <f>AO425*3*IF(MID(E425,5,1)="1",트라이포드!$P$21,트라이포드!$O$21)*(1+입력란!$C$44/100)</f>
        <v>72303.893350580722</v>
      </c>
      <c r="U425" s="30"/>
      <c r="V425" s="30"/>
      <c r="W425" s="30"/>
      <c r="X425" s="30"/>
      <c r="Y425" s="30"/>
      <c r="Z425" s="27">
        <f>(AN425+AO425*3)*IF(MID(E425,1,1)="2",트라이포드!$F$21,트라이포드!$E$21)*(1+입력란!$C$44/100)</f>
        <v>72287.921664132082</v>
      </c>
      <c r="AA425" s="30">
        <f t="shared" si="55"/>
        <v>1228874.7036821845</v>
      </c>
      <c r="AB425" s="30">
        <f t="shared" si="56"/>
        <v>939691.07365275896</v>
      </c>
      <c r="AC425" s="30">
        <f t="shared" si="57"/>
        <v>144607.78670116144</v>
      </c>
      <c r="AD425" s="30"/>
      <c r="AE425" s="30"/>
      <c r="AF425" s="39"/>
      <c r="AG425" s="39"/>
      <c r="AH425" s="39"/>
      <c r="AI425" s="27">
        <f t="shared" si="59"/>
        <v>144575.84332826416</v>
      </c>
      <c r="AJ425" s="30">
        <f>AQ425*(1-입력란!$C$35/100)</f>
        <v>26.686990101059997</v>
      </c>
      <c r="AK42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5" s="26">
        <f>입력란!$C$47+IF(입력란!$C$18=1,10,IF(입력란!$C$18=2,25,IF(입력란!$C$18=3,50,0)))+IF(입력란!$C$23&lt;&gt;0,-12)</f>
        <v>200</v>
      </c>
      <c r="AM425" s="30">
        <f t="shared" si="58"/>
        <v>230690.06517152104</v>
      </c>
      <c r="AN425" s="30">
        <f>(VLOOKUP(C425,$B$4:$AJ$7,26,FALSE)+VLOOKUP(C425,$B$8:$AJ$11,26,FALSE)*입력란!$C$29)*입력란!$C$48/100</f>
        <v>212940.15143200546</v>
      </c>
      <c r="AO425" s="30">
        <f>(VLOOKUP(C425,$B$4:$AJ$7,27,FALSE)+VLOOKUP(C425,$B$8:$AJ$11,27,FALSE)*입력란!$C$29)*입력란!$C$48/100</f>
        <v>17749.913739515581</v>
      </c>
      <c r="AP425" s="39"/>
      <c r="AQ425" s="23">
        <v>27</v>
      </c>
    </row>
    <row r="426" spans="2:43" ht="13.5" customHeight="1" x14ac:dyDescent="0.3">
      <c r="B426" s="31">
        <v>411</v>
      </c>
      <c r="C426" s="36">
        <v>10</v>
      </c>
      <c r="D426" s="44" t="s">
        <v>238</v>
      </c>
      <c r="E426" s="38" t="s">
        <v>253</v>
      </c>
      <c r="F426" s="40"/>
      <c r="G426" s="40"/>
      <c r="H426" s="81">
        <f t="shared" si="53"/>
        <v>26307.496657305503</v>
      </c>
      <c r="I426" s="53">
        <f>SUM(J426:Q426)*IF(입력란!$C$16=1,1.04,IF(입력란!$C$16=2,1.1,IF(입력란!$C$16=3,1.2,1)))*IF(입력란!$C$21=1,1+입력란!$C$38*0.001,IF(입력란!$C$21=2,1+입력란!$C$38*0.0022,IF(입력란!$C$21=3,1+입력란!$C$38*0.0045,1)))*IF(입력란!$C$18&lt;&gt;0,0.98,1)</f>
        <v>702067.90287718095</v>
      </c>
      <c r="J426" s="30">
        <f>S426*(1+IF($AK426+IF(입력란!$C$26=1,10,0)+IF(MID(E426,3,1)="3",IF(G426="생명50%이하",트라이포드!$N$21,트라이포드!$M$21),0)&gt;100,100,$AK426+IF(입력란!$C$26=1,10,0)+IF(MID(E426,3,1)="3",IF(G426="생명50%이하",트라이포드!$N$21,트라이포드!$M$21),0))/100*($AL426/100-1))</f>
        <v>350995.17390560266</v>
      </c>
      <c r="K426" s="30">
        <f>T426*(1+IF($AK426+IF(입력란!$C$26=1,10,0)&gt;100,100,$AK426+IF(입력란!$C$26=1,10,0))/100*($AL426/100-1))</f>
        <v>263319.08830355416</v>
      </c>
      <c r="L426" s="30"/>
      <c r="M426" s="30"/>
      <c r="N426" s="39"/>
      <c r="O426" s="39"/>
      <c r="P426" s="39"/>
      <c r="Q426" s="35">
        <f>Z426*(1+IF($AK426+IF(입력란!$C$26=1,10,0)&gt;100,100,$AK426+IF(입력란!$C$26=1,10,0))/100*($AL426/100-1))</f>
        <v>87753.640668024149</v>
      </c>
      <c r="R426" s="24">
        <f t="shared" si="54"/>
        <v>578335.31668595388</v>
      </c>
      <c r="S426" s="30">
        <f>AN426*IF(MID(E426,3,1)="1",트라이포드!$J$21,트라이포드!$I$21)*IF(MID(E426,5,1)="2",트라이포드!$R$21,트라이포드!$Q$21)*(1+입력란!$C$44/100)</f>
        <v>289135.71497007966</v>
      </c>
      <c r="T426" s="30">
        <f>AO426*3*IF(MID(E426,5,1)="1",트라이포드!$P$21,트라이포드!$O$21)*(1+입력란!$C$44/100)</f>
        <v>216911.68005174215</v>
      </c>
      <c r="U426" s="30"/>
      <c r="V426" s="30"/>
      <c r="W426" s="30"/>
      <c r="X426" s="30"/>
      <c r="Y426" s="30"/>
      <c r="Z426" s="27">
        <f>(AN426+AO426*3)*IF(MID(E426,1,1)="2",트라이포드!$F$21,트라이포드!$E$21)*(1+입력란!$C$44/100)</f>
        <v>72287.921664132082</v>
      </c>
      <c r="AA426" s="30">
        <f t="shared" si="55"/>
        <v>1156670.6333719078</v>
      </c>
      <c r="AB426" s="30">
        <f t="shared" si="56"/>
        <v>578271.42994015932</v>
      </c>
      <c r="AC426" s="30">
        <f t="shared" si="57"/>
        <v>433823.3601034843</v>
      </c>
      <c r="AD426" s="30"/>
      <c r="AE426" s="30"/>
      <c r="AF426" s="39"/>
      <c r="AG426" s="39"/>
      <c r="AH426" s="39"/>
      <c r="AI426" s="27">
        <f t="shared" si="59"/>
        <v>144575.84332826416</v>
      </c>
      <c r="AJ426" s="30">
        <f>AQ426*(1-입력란!$C$35/100)</f>
        <v>26.686990101059997</v>
      </c>
      <c r="AK42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6" s="26">
        <f>입력란!$C$47+IF(입력란!$C$18=1,10,IF(입력란!$C$18=2,25,IF(입력란!$C$18=3,50,0)))+IF(입력란!$C$23&lt;&gt;0,-12)</f>
        <v>200</v>
      </c>
      <c r="AM426" s="30">
        <f t="shared" si="58"/>
        <v>230690.06517152104</v>
      </c>
      <c r="AN426" s="30">
        <f>(VLOOKUP(C426,$B$4:$AJ$7,26,FALSE)+VLOOKUP(C426,$B$8:$AJ$11,26,FALSE)*입력란!$C$29)*입력란!$C$48/100</f>
        <v>212940.15143200546</v>
      </c>
      <c r="AO426" s="30">
        <f>(VLOOKUP(C426,$B$4:$AJ$7,27,FALSE)+VLOOKUP(C426,$B$8:$AJ$11,27,FALSE)*입력란!$C$29)*입력란!$C$48/100</f>
        <v>17749.913739515581</v>
      </c>
      <c r="AP426" s="39"/>
      <c r="AQ426" s="23">
        <v>27</v>
      </c>
    </row>
    <row r="427" spans="2:43" ht="13.5" customHeight="1" x14ac:dyDescent="0.3">
      <c r="B427" s="31">
        <v>412</v>
      </c>
      <c r="C427" s="36">
        <v>10</v>
      </c>
      <c r="D427" s="44" t="s">
        <v>238</v>
      </c>
      <c r="E427" s="38" t="s">
        <v>254</v>
      </c>
      <c r="F427" s="40"/>
      <c r="G427" s="40"/>
      <c r="H427" s="81">
        <f t="shared" si="53"/>
        <v>23675.221288995417</v>
      </c>
      <c r="I427" s="53">
        <f>SUM(J427:Q427)*IF(입력란!$C$16=1,1.04,IF(입력란!$C$16=2,1.1,IF(입력란!$C$16=3,1.2,1)))*IF(입력란!$C$21=1,1+입력란!$C$38*0.001,IF(입력란!$C$21=2,1+입력란!$C$38*0.0022,IF(입력란!$C$21=3,1+입력란!$C$38*0.0045,1)))*IF(입력란!$C$18&lt;&gt;0,0.98,1)</f>
        <v>631820.39617982565</v>
      </c>
      <c r="J427" s="30">
        <f>S427*(1+IF($AK427+IF(입력란!$C$26=1,10,0)+IF(MID(E427,3,1)="3",IF(G427="생명50%이하",트라이포드!$N$21,트라이포드!$M$21),0)&gt;100,100,$AK427+IF(입력란!$C$26=1,10,0)+IF(MID(E427,3,1)="3",IF(G427="생명50%이하",트라이포드!$N$21,트라이포드!$M$21),0))/100*($AL427/100-1))</f>
        <v>456293.72607728338</v>
      </c>
      <c r="K427" s="30">
        <f>T427*(1+IF($AK427+IF(입력란!$C$26=1,10,0)&gt;100,100,$AK427+IF(입력란!$C$26=1,10,0))/100*($AL427/100-1))</f>
        <v>87773.029434518059</v>
      </c>
      <c r="L427" s="30"/>
      <c r="M427" s="30"/>
      <c r="N427" s="39"/>
      <c r="O427" s="39"/>
      <c r="P427" s="39"/>
      <c r="Q427" s="35">
        <f>Z427*(1+IF($AK427+IF(입력란!$C$26=1,10,0)&gt;100,100,$AK427+IF(입력란!$C$26=1,10,0))/100*($AL427/100-1))</f>
        <v>87753.640668024149</v>
      </c>
      <c r="R427" s="24">
        <f t="shared" si="54"/>
        <v>520468.24447581632</v>
      </c>
      <c r="S427" s="30">
        <f>AN427*IF(MID(E427,3,1)="1",트라이포드!$J$21,트라이포드!$I$21)*IF(MID(E427,5,1)="2",트라이포드!$R$21,트라이포드!$Q$21)*(1+입력란!$C$44/100)</f>
        <v>375876.42946110351</v>
      </c>
      <c r="T427" s="30">
        <f>AO427*3*IF(MID(E427,5,1)="1",트라이포드!$P$21,트라이포드!$O$21)*(1+입력란!$C$44/100)</f>
        <v>72303.893350580722</v>
      </c>
      <c r="U427" s="30"/>
      <c r="V427" s="30"/>
      <c r="W427" s="30"/>
      <c r="X427" s="30"/>
      <c r="Y427" s="30"/>
      <c r="Z427" s="27">
        <f>(AN427+AO427*3)*IF(MID(E427,1,1)="2",트라이포드!$F$21,트라이포드!$E$21)*(1+입력란!$C$44/100)</f>
        <v>72287.921664132082</v>
      </c>
      <c r="AA427" s="30">
        <f t="shared" si="55"/>
        <v>1040936.4889516326</v>
      </c>
      <c r="AB427" s="30">
        <f t="shared" si="56"/>
        <v>751752.85892220703</v>
      </c>
      <c r="AC427" s="30">
        <f t="shared" si="57"/>
        <v>144607.78670116144</v>
      </c>
      <c r="AD427" s="30"/>
      <c r="AE427" s="30"/>
      <c r="AF427" s="39"/>
      <c r="AG427" s="39"/>
      <c r="AH427" s="39"/>
      <c r="AI427" s="27">
        <f t="shared" si="59"/>
        <v>144575.84332826416</v>
      </c>
      <c r="AJ427" s="30">
        <f>AQ427*(1-입력란!$C$35/100)</f>
        <v>26.686990101059997</v>
      </c>
      <c r="AK42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7" s="26">
        <f>입력란!$C$47+IF(입력란!$C$18=1,10,IF(입력란!$C$18=2,25,IF(입력란!$C$18=3,50,0)))+IF(입력란!$C$23&lt;&gt;0,-12)</f>
        <v>200</v>
      </c>
      <c r="AM427" s="30">
        <f t="shared" si="58"/>
        <v>230690.06517152104</v>
      </c>
      <c r="AN427" s="30">
        <f>(VLOOKUP(C427,$B$4:$AJ$7,26,FALSE)+VLOOKUP(C427,$B$8:$AJ$11,26,FALSE)*입력란!$C$29)*입력란!$C$48/100</f>
        <v>212940.15143200546</v>
      </c>
      <c r="AO427" s="30">
        <f>(VLOOKUP(C427,$B$4:$AJ$7,27,FALSE)+VLOOKUP(C427,$B$8:$AJ$11,27,FALSE)*입력란!$C$29)*입력란!$C$48/100</f>
        <v>17749.913739515581</v>
      </c>
      <c r="AP427" s="39"/>
      <c r="AQ427" s="23">
        <v>27</v>
      </c>
    </row>
    <row r="428" spans="2:43" ht="13.5" customHeight="1" x14ac:dyDescent="0.3">
      <c r="B428" s="31">
        <v>413</v>
      </c>
      <c r="C428" s="36">
        <v>1</v>
      </c>
      <c r="D428" s="44" t="s">
        <v>238</v>
      </c>
      <c r="E428" s="38" t="s">
        <v>239</v>
      </c>
      <c r="F428" s="40"/>
      <c r="G428" s="40" t="s">
        <v>414</v>
      </c>
      <c r="H428" s="81">
        <f t="shared" si="53"/>
        <v>16378.721439804642</v>
      </c>
      <c r="I428" s="53">
        <f>SUM(J428:Q428)*IF(입력란!$C$16=1,1.04,IF(입력란!$C$16=2,1.1,IF(입력란!$C$16=3,1.2,1)))*IF(입력란!$C$21=1,1+입력란!$C$38*0.001,IF(입력란!$C$21=2,1+입력란!$C$38*0.0022,IF(입력란!$C$21=3,1+입력란!$C$38*0.0045,1)))*IF(입력란!$C$18&lt;&gt;0,0.98,1)</f>
        <v>437098.77693208563</v>
      </c>
      <c r="J428" s="30">
        <f>S428*(1+IF($AK428+IF(입력란!$C$26=1,10,0)+IF(MID(E428,3,1)="3",IF(G428="생명50%이하",트라이포드!$N$21,트라이포드!$M$21),0)&gt;100,100,$AK428+IF(입력란!$C$26=1,10,0)+IF(MID(E428,3,1)="3",IF(G428="생명50%이하",트라이포드!$N$21,트라이포드!$M$21),0))/100*($AL428/100-1))</f>
        <v>349660.02837784943</v>
      </c>
      <c r="K428" s="30">
        <f>T428*(1+IF($AK428+IF(입력란!$C$26=1,10,0)&gt;100,100,$AK428+IF(입력란!$C$26=1,10,0))/100*($AL428/100-1))</f>
        <v>87438.748554236168</v>
      </c>
      <c r="L428" s="30"/>
      <c r="M428" s="30"/>
      <c r="N428" s="39"/>
      <c r="O428" s="39"/>
      <c r="P428" s="39"/>
      <c r="Q428" s="35">
        <f>Z428*(1+IF($AK428+IF(입력란!$C$26=1,10,0)&gt;100,100,$AK428+IF(입력란!$C$26=1,10,0))/100*($AL428/100-1))</f>
        <v>0</v>
      </c>
      <c r="R428" s="24">
        <f t="shared" si="54"/>
        <v>360064.40195327316</v>
      </c>
      <c r="S428" s="30">
        <f>AN428*IF(MID(E428,3,1)="1",트라이포드!$J$21,트라이포드!$I$21)*IF(MID(E428,5,1)="2",트라이포드!$R$21,트라이포드!$Q$21)*(1+입력란!$C$44/100)</f>
        <v>288035.87575445598</v>
      </c>
      <c r="T428" s="30">
        <f>AO428*3*IF(MID(E428,5,1)="1",트라이포드!$P$21,트라이포드!$O$21)*(1+입력란!$C$44/100)</f>
        <v>72028.526198817184</v>
      </c>
      <c r="U428" s="30"/>
      <c r="V428" s="30"/>
      <c r="W428" s="30"/>
      <c r="X428" s="30"/>
      <c r="Y428" s="30"/>
      <c r="Z428" s="27">
        <f>(AN428+AO428*3)*IF(MID(E428,1,1)="2",트라이포드!$F$21,트라이포드!$E$21)*(1+입력란!$C$44/100)</f>
        <v>0</v>
      </c>
      <c r="AA428" s="30">
        <f t="shared" si="55"/>
        <v>720128.80390654632</v>
      </c>
      <c r="AB428" s="30">
        <f t="shared" si="56"/>
        <v>576071.75150891196</v>
      </c>
      <c r="AC428" s="30">
        <f t="shared" si="57"/>
        <v>144057.05239763437</v>
      </c>
      <c r="AD428" s="30"/>
      <c r="AE428" s="30"/>
      <c r="AF428" s="39"/>
      <c r="AG428" s="39"/>
      <c r="AH428" s="39"/>
      <c r="AI428" s="27">
        <f t="shared" si="59"/>
        <v>0</v>
      </c>
      <c r="AJ428" s="30">
        <f>AQ428*(1-입력란!$C$35/100)</f>
        <v>26.686990101059997</v>
      </c>
      <c r="AK42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8" s="26">
        <f>입력란!$C$47+IF(입력란!$C$18=1,10,IF(입력란!$C$18=2,25,IF(입력란!$C$18=3,50,0)))+IF(입력란!$C$23&lt;&gt;0,-12)</f>
        <v>200</v>
      </c>
      <c r="AM428" s="30">
        <f t="shared" si="58"/>
        <v>229812.46517152103</v>
      </c>
      <c r="AN428" s="30">
        <f>(VLOOKUP(C428,$B$4:$AJ$7,26,FALSE)+VLOOKUP(C428,$B$8:$AJ$11,26,FALSE)*입력란!$C$29)*입력란!$C$48/100</f>
        <v>212130.15143200546</v>
      </c>
      <c r="AO428" s="30">
        <f>(VLOOKUP(C428,$B$4:$AJ$7,27,FALSE)+VLOOKUP(C428,$B$8:$AJ$11,27,FALSE)*입력란!$C$29)*입력란!$C$48/100</f>
        <v>17682.313739515583</v>
      </c>
      <c r="AP428" s="39"/>
      <c r="AQ428" s="23">
        <v>27</v>
      </c>
    </row>
    <row r="429" spans="2:43" ht="13.5" customHeight="1" x14ac:dyDescent="0.3">
      <c r="B429" s="31">
        <v>414</v>
      </c>
      <c r="C429" s="36">
        <v>4</v>
      </c>
      <c r="D429" s="44" t="s">
        <v>238</v>
      </c>
      <c r="E429" s="38" t="s">
        <v>240</v>
      </c>
      <c r="F429" s="40"/>
      <c r="G429" s="40" t="s">
        <v>414</v>
      </c>
      <c r="H429" s="81">
        <f t="shared" si="53"/>
        <v>16414.149969938851</v>
      </c>
      <c r="I429" s="53">
        <f>SUM(J429:Q429)*IF(입력란!$C$16=1,1.04,IF(입력란!$C$16=2,1.1,IF(입력란!$C$16=3,1.2,1)))*IF(입력란!$C$21=1,1+입력란!$C$38*0.001,IF(입력란!$C$21=2,1+입력란!$C$38*0.0022,IF(입력란!$C$21=3,1+입력란!$C$38*0.0045,1)))*IF(입력란!$C$18&lt;&gt;0,0.98,1)</f>
        <v>438044.25776507234</v>
      </c>
      <c r="J429" s="30">
        <f>S429*(1+IF($AK429+IF(입력란!$C$26=1,10,0)+IF(MID(E429,3,1)="3",IF(G429="생명50%이하",트라이포드!$N$21,트라이포드!$M$21),0)&gt;100,100,$AK429+IF(입력란!$C$26=1,10,0)+IF(MID(E429,3,1)="3",IF(G429="생명50%이하",트라이포드!$N$21,트라이포드!$M$21),0))/100*($AL429/100-1))</f>
        <v>350417.59984026349</v>
      </c>
      <c r="K429" s="30">
        <f>T429*(1+IF($AK429+IF(입력란!$C$26=1,10,0)&gt;100,100,$AK429+IF(입력란!$C$26=1,10,0))/100*($AL429/100-1))</f>
        <v>87626.657924808853</v>
      </c>
      <c r="L429" s="30"/>
      <c r="M429" s="30"/>
      <c r="N429" s="39"/>
      <c r="O429" s="39"/>
      <c r="P429" s="39"/>
      <c r="Q429" s="35">
        <f>Z429*(1+IF($AK429+IF(입력란!$C$26=1,10,0)&gt;100,100,$AK429+IF(입력란!$C$26=1,10,0))/100*($AL429/100-1))</f>
        <v>0</v>
      </c>
      <c r="R429" s="24">
        <f t="shared" si="54"/>
        <v>360843.25105707778</v>
      </c>
      <c r="S429" s="30">
        <f>AN429*IF(MID(E429,3,1)="1",트라이포드!$J$21,트라이포드!$I$21)*IF(MID(E429,5,1)="2",트라이포드!$R$21,트라이포드!$Q$21)*(1+입력란!$C$44/100)</f>
        <v>288659.932672358</v>
      </c>
      <c r="T429" s="30">
        <f>AO429*3*IF(MID(E429,5,1)="1",트라이포드!$P$21,트라이포드!$O$21)*(1+입력란!$C$44/100)</f>
        <v>72183.31838471978</v>
      </c>
      <c r="U429" s="30"/>
      <c r="V429" s="30"/>
      <c r="W429" s="30"/>
      <c r="X429" s="30"/>
      <c r="Y429" s="30"/>
      <c r="Z429" s="27">
        <f>(AN429+AO429*3)*IF(MID(E429,1,1)="2",트라이포드!$F$21,트라이포드!$E$21)*(1+입력란!$C$44/100)</f>
        <v>0</v>
      </c>
      <c r="AA429" s="30">
        <f t="shared" si="55"/>
        <v>721686.50211415556</v>
      </c>
      <c r="AB429" s="30">
        <f t="shared" si="56"/>
        <v>577319.865344716</v>
      </c>
      <c r="AC429" s="30">
        <f t="shared" si="57"/>
        <v>144366.63676943956</v>
      </c>
      <c r="AD429" s="30"/>
      <c r="AE429" s="30"/>
      <c r="AF429" s="39"/>
      <c r="AG429" s="39"/>
      <c r="AH429" s="39"/>
      <c r="AI429" s="27">
        <f t="shared" si="59"/>
        <v>0</v>
      </c>
      <c r="AJ429" s="30">
        <f>AQ429*(1-입력란!$C$35/100)</f>
        <v>26.686990101059997</v>
      </c>
      <c r="AK42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29" s="26">
        <f>입력란!$C$47+IF(입력란!$C$18=1,10,IF(입력란!$C$18=2,25,IF(입력란!$C$18=3,50,0)))+IF(입력란!$C$23&lt;&gt;0,-12)</f>
        <v>200</v>
      </c>
      <c r="AM429" s="30">
        <f t="shared" si="58"/>
        <v>230310.06517152104</v>
      </c>
      <c r="AN429" s="30">
        <f>(VLOOKUP(C429,$B$4:$AJ$7,26,FALSE)+VLOOKUP(C429,$B$8:$AJ$11,26,FALSE)*입력란!$C$29)*입력란!$C$48/100</f>
        <v>212589.75143200546</v>
      </c>
      <c r="AO429" s="30">
        <f>(VLOOKUP(C429,$B$4:$AJ$7,27,FALSE)+VLOOKUP(C429,$B$8:$AJ$11,27,FALSE)*입력란!$C$29)*입력란!$C$48/100</f>
        <v>17720.313739515583</v>
      </c>
      <c r="AP429" s="39"/>
      <c r="AQ429" s="23">
        <v>27</v>
      </c>
    </row>
    <row r="430" spans="2:43" ht="13.5" customHeight="1" x14ac:dyDescent="0.3">
      <c r="B430" s="31">
        <v>415</v>
      </c>
      <c r="C430" s="36">
        <v>4</v>
      </c>
      <c r="D430" s="44" t="s">
        <v>238</v>
      </c>
      <c r="E430" s="38" t="s">
        <v>244</v>
      </c>
      <c r="F430" s="40"/>
      <c r="G430" s="40" t="s">
        <v>413</v>
      </c>
      <c r="H430" s="81">
        <f t="shared" si="53"/>
        <v>19696.979963926617</v>
      </c>
      <c r="I430" s="53">
        <f>SUM(J430:Q430)*IF(입력란!$C$16=1,1.04,IF(입력란!$C$16=2,1.1,IF(입력란!$C$16=3,1.2,1)))*IF(입력란!$C$21=1,1+입력란!$C$38*0.001,IF(입력란!$C$21=2,1+입력란!$C$38*0.0022,IF(입력란!$C$21=3,1+입력란!$C$38*0.0045,1)))*IF(입력란!$C$18&lt;&gt;0,0.98,1)</f>
        <v>525653.10931808676</v>
      </c>
      <c r="J430" s="30">
        <f>S430*(1+IF($AK430+IF(입력란!$C$26=1,10,0)+IF(MID(E430,3,1)="3",IF(G430="생명50%이하",트라이포드!$N$21,트라이포드!$M$21),0)&gt;100,100,$AK430+IF(입력란!$C$26=1,10,0)+IF(MID(E430,3,1)="3",IF(G430="생명50%이하",트라이포드!$N$21,트라이포드!$M$21),0))/100*($AL430/100-1))</f>
        <v>350417.59984026349</v>
      </c>
      <c r="K430" s="30">
        <f>T430*(1+IF($AK430+IF(입력란!$C$26=1,10,0)&gt;100,100,$AK430+IF(입력란!$C$26=1,10,0))/100*($AL430/100-1))</f>
        <v>87626.657924808853</v>
      </c>
      <c r="L430" s="30"/>
      <c r="M430" s="30"/>
      <c r="N430" s="39"/>
      <c r="O430" s="39"/>
      <c r="P430" s="39"/>
      <c r="Q430" s="35">
        <f>Z430*(1+IF($AK430+IF(입력란!$C$26=1,10,0)&gt;100,100,$AK430+IF(입력란!$C$26=1,10,0))/100*($AL430/100-1))</f>
        <v>87608.851553014465</v>
      </c>
      <c r="R430" s="24">
        <f t="shared" si="54"/>
        <v>433011.90126849333</v>
      </c>
      <c r="S430" s="30">
        <f>AN430*IF(MID(E430,3,1)="1",트라이포드!$J$21,트라이포드!$I$21)*IF(MID(E430,5,1)="2",트라이포드!$R$21,트라이포드!$Q$21)*(1+입력란!$C$44/100)</f>
        <v>288659.932672358</v>
      </c>
      <c r="T430" s="30">
        <f>AO430*3*IF(MID(E430,5,1)="1",트라이포드!$P$21,트라이포드!$O$21)*(1+입력란!$C$44/100)</f>
        <v>72183.31838471978</v>
      </c>
      <c r="U430" s="30"/>
      <c r="V430" s="30"/>
      <c r="W430" s="30"/>
      <c r="X430" s="30"/>
      <c r="Y430" s="30"/>
      <c r="Z430" s="27">
        <f>(AN430+AO430*3)*IF(MID(E430,1,1)="2",트라이포드!$F$21,트라이포드!$E$21)*(1+입력란!$C$44/100)</f>
        <v>72168.650211415559</v>
      </c>
      <c r="AA430" s="30">
        <f t="shared" si="55"/>
        <v>866023.80253698665</v>
      </c>
      <c r="AB430" s="30">
        <f t="shared" si="56"/>
        <v>577319.865344716</v>
      </c>
      <c r="AC430" s="30">
        <f t="shared" si="57"/>
        <v>144366.63676943956</v>
      </c>
      <c r="AD430" s="30"/>
      <c r="AE430" s="30"/>
      <c r="AF430" s="39"/>
      <c r="AG430" s="39"/>
      <c r="AH430" s="39"/>
      <c r="AI430" s="27">
        <f t="shared" si="59"/>
        <v>144337.30042283112</v>
      </c>
      <c r="AJ430" s="30">
        <f>AQ430*(1-입력란!$C$35/100)</f>
        <v>26.686990101059997</v>
      </c>
      <c r="AK43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0" s="26">
        <f>입력란!$C$47+IF(입력란!$C$18=1,10,IF(입력란!$C$18=2,25,IF(입력란!$C$18=3,50,0)))+IF(입력란!$C$23&lt;&gt;0,-12)</f>
        <v>200</v>
      </c>
      <c r="AM430" s="30">
        <f t="shared" si="58"/>
        <v>230310.06517152104</v>
      </c>
      <c r="AN430" s="30">
        <f>(VLOOKUP(C430,$B$4:$AJ$7,26,FALSE)+VLOOKUP(C430,$B$8:$AJ$11,26,FALSE)*입력란!$C$29)*입력란!$C$48/100</f>
        <v>212589.75143200546</v>
      </c>
      <c r="AO430" s="30">
        <f>(VLOOKUP(C430,$B$4:$AJ$7,27,FALSE)+VLOOKUP(C430,$B$8:$AJ$11,27,FALSE)*입력란!$C$29)*입력란!$C$48/100</f>
        <v>17720.313739515583</v>
      </c>
      <c r="AP430" s="39"/>
      <c r="AQ430" s="23">
        <v>27</v>
      </c>
    </row>
    <row r="431" spans="2:43" ht="13.5" customHeight="1" x14ac:dyDescent="0.3">
      <c r="B431" s="31">
        <v>416</v>
      </c>
      <c r="C431" s="36">
        <v>7</v>
      </c>
      <c r="D431" s="44" t="s">
        <v>238</v>
      </c>
      <c r="E431" s="38" t="s">
        <v>240</v>
      </c>
      <c r="F431" s="40"/>
      <c r="G431" s="40" t="s">
        <v>413</v>
      </c>
      <c r="H431" s="81">
        <f t="shared" si="53"/>
        <v>16430.703048871848</v>
      </c>
      <c r="I431" s="53">
        <f>SUM(J431:Q431)*IF(입력란!$C$16=1,1.04,IF(입력란!$C$16=2,1.1,IF(입력란!$C$16=3,1.2,1)))*IF(입력란!$C$21=1,1+입력란!$C$38*0.001,IF(입력란!$C$21=2,1+입력란!$C$38*0.0022,IF(입력란!$C$21=3,1+입력란!$C$38*0.0045,1)))*IF(입력란!$C$18&lt;&gt;0,0.98,1)</f>
        <v>438486.00961869932</v>
      </c>
      <c r="J431" s="30">
        <f>S431*(1+IF($AK431+IF(입력란!$C$26=1,10,0)+IF(MID(E431,3,1)="3",IF(G431="생명50%이하",트라이포드!$N$21,트라이포드!$M$21),0)&gt;100,100,$AK431+IF(입력란!$C$26=1,10,0)+IF(MID(E431,3,1)="3",IF(G431="생명50%이하",트라이포드!$N$21,트라이포드!$M$21),0))/100*($AL431/100-1))</f>
        <v>350770.34199204028</v>
      </c>
      <c r="K431" s="30">
        <f>T431*(1+IF($AK431+IF(입력란!$C$26=1,10,0)&gt;100,100,$AK431+IF(입력란!$C$26=1,10,0))/100*($AL431/100-1))</f>
        <v>87715.667626659066</v>
      </c>
      <c r="L431" s="30"/>
      <c r="M431" s="30"/>
      <c r="N431" s="39"/>
      <c r="O431" s="39"/>
      <c r="P431" s="39"/>
      <c r="Q431" s="35">
        <f>Z431*(1+IF($AK431+IF(입력란!$C$26=1,10,0)&gt;100,100,$AK431+IF(입력란!$C$26=1,10,0))/100*($AL431/100-1))</f>
        <v>0</v>
      </c>
      <c r="R431" s="24">
        <f t="shared" si="54"/>
        <v>361207.14847656811</v>
      </c>
      <c r="S431" s="30">
        <f>AN431*IF(MID(E431,3,1)="1",트라이포드!$J$21,트라이포드!$I$21)*IF(MID(E431,5,1)="2",트라이포드!$R$21,트라이포드!$Q$21)*(1+입력란!$C$44/100)</f>
        <v>288950.50747747341</v>
      </c>
      <c r="T431" s="30">
        <f>AO431*3*IF(MID(E431,5,1)="1",트라이포드!$P$21,트라이포드!$O$21)*(1+입력란!$C$44/100)</f>
        <v>72256.640999094685</v>
      </c>
      <c r="U431" s="30"/>
      <c r="V431" s="30"/>
      <c r="W431" s="30"/>
      <c r="X431" s="30"/>
      <c r="Y431" s="30"/>
      <c r="Z431" s="27">
        <f>(AN431+AO431*3)*IF(MID(E431,1,1)="2",트라이포드!$F$21,트라이포드!$E$21)*(1+입력란!$C$44/100)</f>
        <v>0</v>
      </c>
      <c r="AA431" s="30">
        <f t="shared" si="55"/>
        <v>722414.29695313622</v>
      </c>
      <c r="AB431" s="30">
        <f t="shared" si="56"/>
        <v>577901.01495494682</v>
      </c>
      <c r="AC431" s="30">
        <f t="shared" si="57"/>
        <v>144513.28199818937</v>
      </c>
      <c r="AD431" s="30"/>
      <c r="AE431" s="30"/>
      <c r="AF431" s="39"/>
      <c r="AG431" s="39"/>
      <c r="AH431" s="39"/>
      <c r="AI431" s="27">
        <f t="shared" si="59"/>
        <v>0</v>
      </c>
      <c r="AJ431" s="30">
        <f>AQ431*(1-입력란!$C$35/100)</f>
        <v>26.686990101059997</v>
      </c>
      <c r="AK43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1" s="26">
        <f>입력란!$C$47+IF(입력란!$C$18=1,10,IF(입력란!$C$18=2,25,IF(입력란!$C$18=3,50,0)))+IF(입력란!$C$23&lt;&gt;0,-12)</f>
        <v>200</v>
      </c>
      <c r="AM431" s="30">
        <f t="shared" si="58"/>
        <v>230542.06517152104</v>
      </c>
      <c r="AN431" s="30">
        <f>(VLOOKUP(C431,$B$4:$AJ$7,26,FALSE)+VLOOKUP(C431,$B$8:$AJ$11,26,FALSE)*입력란!$C$29)*입력란!$C$48/100</f>
        <v>212803.75143200546</v>
      </c>
      <c r="AO431" s="30">
        <f>(VLOOKUP(C431,$B$4:$AJ$7,27,FALSE)+VLOOKUP(C431,$B$8:$AJ$11,27,FALSE)*입력란!$C$29)*입력란!$C$48/100</f>
        <v>17738.313739515583</v>
      </c>
      <c r="AP431" s="39"/>
      <c r="AQ431" s="23">
        <v>27</v>
      </c>
    </row>
    <row r="432" spans="2:43" ht="13.5" customHeight="1" x14ac:dyDescent="0.3">
      <c r="B432" s="31">
        <v>417</v>
      </c>
      <c r="C432" s="36">
        <v>7</v>
      </c>
      <c r="D432" s="44" t="s">
        <v>238</v>
      </c>
      <c r="E432" s="38" t="s">
        <v>242</v>
      </c>
      <c r="F432" s="40"/>
      <c r="G432" s="40" t="s">
        <v>413</v>
      </c>
      <c r="H432" s="81">
        <f t="shared" si="53"/>
        <v>19716.670674517532</v>
      </c>
      <c r="I432" s="53">
        <f>SUM(J432:Q432)*IF(입력란!$C$16=1,1.04,IF(입력란!$C$16=2,1.1,IF(입력란!$C$16=3,1.2,1)))*IF(입력란!$C$21=1,1+입력란!$C$38*0.001,IF(입력란!$C$21=2,1+입력란!$C$38*0.0022,IF(입력란!$C$21=3,1+입력란!$C$38*0.0045,1)))*IF(입력란!$C$18&lt;&gt;0,0.98,1)</f>
        <v>526178.59511670936</v>
      </c>
      <c r="J432" s="30">
        <f>S432*(1+IF($AK432+IF(입력란!$C$26=1,10,0)+IF(MID(E432,3,1)="3",IF(G432="생명50%이하",트라이포드!$N$21,트라이포드!$M$21),0)&gt;100,100,$AK432+IF(입력란!$C$26=1,10,0)+IF(MID(E432,3,1)="3",IF(G432="생명50%이하",트라이포드!$N$21,트라이포드!$M$21),0))/100*($AL432/100-1))</f>
        <v>438462.92749005026</v>
      </c>
      <c r="K432" s="30">
        <f>T432*(1+IF($AK432+IF(입력란!$C$26=1,10,0)&gt;100,100,$AK432+IF(입력란!$C$26=1,10,0))/100*($AL432/100-1))</f>
        <v>87715.667626659066</v>
      </c>
      <c r="L432" s="30"/>
      <c r="M432" s="30"/>
      <c r="N432" s="39"/>
      <c r="O432" s="39"/>
      <c r="P432" s="39"/>
      <c r="Q432" s="35">
        <f>Z432*(1+IF($AK432+IF(입력란!$C$26=1,10,0)&gt;100,100,$AK432+IF(입력란!$C$26=1,10,0))/100*($AL432/100-1))</f>
        <v>0</v>
      </c>
      <c r="R432" s="24">
        <f t="shared" si="54"/>
        <v>433444.77534593642</v>
      </c>
      <c r="S432" s="30">
        <f>AN432*IF(MID(E432,3,1)="1",트라이포드!$J$21,트라이포드!$I$21)*IF(MID(E432,5,1)="2",트라이포드!$R$21,트라이포드!$Q$21)*(1+입력란!$C$44/100)</f>
        <v>361188.13434684172</v>
      </c>
      <c r="T432" s="30">
        <f>AO432*3*IF(MID(E432,5,1)="1",트라이포드!$P$21,트라이포드!$O$21)*(1+입력란!$C$44/100)</f>
        <v>72256.640999094685</v>
      </c>
      <c r="U432" s="30"/>
      <c r="V432" s="30"/>
      <c r="W432" s="30"/>
      <c r="X432" s="30"/>
      <c r="Y432" s="30"/>
      <c r="Z432" s="27">
        <f>(AN432+AO432*3)*IF(MID(E432,1,1)="2",트라이포드!$F$21,트라이포드!$E$21)*(1+입력란!$C$44/100)</f>
        <v>0</v>
      </c>
      <c r="AA432" s="30">
        <f t="shared" si="55"/>
        <v>866889.55069187284</v>
      </c>
      <c r="AB432" s="30">
        <f t="shared" si="56"/>
        <v>722376.26869368344</v>
      </c>
      <c r="AC432" s="30">
        <f t="shared" si="57"/>
        <v>144513.28199818937</v>
      </c>
      <c r="AD432" s="30"/>
      <c r="AE432" s="30"/>
      <c r="AF432" s="39"/>
      <c r="AG432" s="39"/>
      <c r="AH432" s="39"/>
      <c r="AI432" s="27">
        <f t="shared" si="59"/>
        <v>0</v>
      </c>
      <c r="AJ432" s="30">
        <f>AQ432*(1-입력란!$C$35/100)</f>
        <v>26.686990101059997</v>
      </c>
      <c r="AK43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2" s="26">
        <f>입력란!$C$47+IF(입력란!$C$18=1,10,IF(입력란!$C$18=2,25,IF(입력란!$C$18=3,50,0)))+IF(입력란!$C$23&lt;&gt;0,-12)</f>
        <v>200</v>
      </c>
      <c r="AM432" s="30">
        <f t="shared" si="58"/>
        <v>230542.06517152104</v>
      </c>
      <c r="AN432" s="30">
        <f>(VLOOKUP(C432,$B$4:$AJ$7,26,FALSE)+VLOOKUP(C432,$B$8:$AJ$11,26,FALSE)*입력란!$C$29)*입력란!$C$48/100</f>
        <v>212803.75143200546</v>
      </c>
      <c r="AO432" s="30">
        <f>(VLOOKUP(C432,$B$4:$AJ$7,27,FALSE)+VLOOKUP(C432,$B$8:$AJ$11,27,FALSE)*입력란!$C$29)*입력란!$C$48/100</f>
        <v>17738.313739515583</v>
      </c>
      <c r="AP432" s="39"/>
      <c r="AQ432" s="23">
        <v>27</v>
      </c>
    </row>
    <row r="433" spans="2:43" ht="13.5" customHeight="1" x14ac:dyDescent="0.3">
      <c r="B433" s="31">
        <v>418</v>
      </c>
      <c r="C433" s="36">
        <v>7</v>
      </c>
      <c r="D433" s="44" t="s">
        <v>238</v>
      </c>
      <c r="E433" s="38" t="s">
        <v>243</v>
      </c>
      <c r="F433" s="40"/>
      <c r="G433" s="40" t="s">
        <v>413</v>
      </c>
      <c r="H433" s="81">
        <f t="shared" si="53"/>
        <v>22927.138346743744</v>
      </c>
      <c r="I433" s="53">
        <f>SUM(J433:Q433)*IF(입력란!$C$16=1,1.04,IF(입력란!$C$16=2,1.1,IF(입력란!$C$16=3,1.2,1)))*IF(입력란!$C$21=1,1+입력란!$C$38*0.001,IF(입력란!$C$21=2,1+입력란!$C$38*0.0022,IF(입력란!$C$21=3,1+입력란!$C$38*0.0045,1)))*IF(입력란!$C$18&lt;&gt;0,0.98,1)</f>
        <v>611856.31410518335</v>
      </c>
      <c r="J433" s="30">
        <f>S433*(1+IF($AK433+IF(입력란!$C$26=1,10,0)+IF(MID(E433,3,1)="3",IF(G433="생명50%이하",트라이포드!$N$21,트라이포드!$M$21),0)&gt;100,100,$AK433+IF(입력란!$C$26=1,10,0)+IF(MID(E433,3,1)="3",IF(G433="생명50%이하",트라이포드!$N$21,트라이포드!$M$21),0))/100*($AL433/100-1))</f>
        <v>524140.64647852432</v>
      </c>
      <c r="K433" s="30">
        <f>T433*(1+IF($AK433+IF(입력란!$C$26=1,10,0)&gt;100,100,$AK433+IF(입력란!$C$26=1,10,0))/100*($AL433/100-1))</f>
        <v>87715.667626659066</v>
      </c>
      <c r="L433" s="30"/>
      <c r="M433" s="30"/>
      <c r="N433" s="39"/>
      <c r="O433" s="39"/>
      <c r="P433" s="39"/>
      <c r="Q433" s="35">
        <f>Z433*(1+IF($AK433+IF(입력란!$C$26=1,10,0)&gt;100,100,$AK433+IF(입력란!$C$26=1,10,0))/100*($AL433/100-1))</f>
        <v>0</v>
      </c>
      <c r="R433" s="24">
        <f t="shared" si="54"/>
        <v>361207.14847656811</v>
      </c>
      <c r="S433" s="30">
        <f>AN433*IF(MID(E433,3,1)="1",트라이포드!$J$21,트라이포드!$I$21)*IF(MID(E433,5,1)="2",트라이포드!$R$21,트라이포드!$Q$21)*(1+입력란!$C$44/100)</f>
        <v>288950.50747747341</v>
      </c>
      <c r="T433" s="30">
        <f>AO433*3*IF(MID(E433,5,1)="1",트라이포드!$P$21,트라이포드!$O$21)*(1+입력란!$C$44/100)</f>
        <v>72256.640999094685</v>
      </c>
      <c r="U433" s="30"/>
      <c r="V433" s="30"/>
      <c r="W433" s="30"/>
      <c r="X433" s="30"/>
      <c r="Y433" s="30"/>
      <c r="Z433" s="27">
        <f>(AN433+AO433*3)*IF(MID(E433,1,1)="2",트라이포드!$F$21,트라이포드!$E$21)*(1+입력란!$C$44/100)</f>
        <v>0</v>
      </c>
      <c r="AA433" s="30">
        <f t="shared" si="55"/>
        <v>722414.29695313622</v>
      </c>
      <c r="AB433" s="30">
        <f t="shared" si="56"/>
        <v>577901.01495494682</v>
      </c>
      <c r="AC433" s="30">
        <f t="shared" si="57"/>
        <v>144513.28199818937</v>
      </c>
      <c r="AD433" s="30"/>
      <c r="AE433" s="30"/>
      <c r="AF433" s="39"/>
      <c r="AG433" s="39"/>
      <c r="AH433" s="39"/>
      <c r="AI433" s="27">
        <f t="shared" si="59"/>
        <v>0</v>
      </c>
      <c r="AJ433" s="30">
        <f>AQ433*(1-입력란!$C$35/100)</f>
        <v>26.686990101059997</v>
      </c>
      <c r="AK43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3" s="26">
        <f>입력란!$C$47+IF(입력란!$C$18=1,10,IF(입력란!$C$18=2,25,IF(입력란!$C$18=3,50,0)))+IF(입력란!$C$23&lt;&gt;0,-12)</f>
        <v>200</v>
      </c>
      <c r="AM433" s="30">
        <f t="shared" si="58"/>
        <v>230542.06517152104</v>
      </c>
      <c r="AN433" s="30">
        <f>(VLOOKUP(C433,$B$4:$AJ$7,26,FALSE)+VLOOKUP(C433,$B$8:$AJ$11,26,FALSE)*입력란!$C$29)*입력란!$C$48/100</f>
        <v>212803.75143200546</v>
      </c>
      <c r="AO433" s="30">
        <f>(VLOOKUP(C433,$B$4:$AJ$7,27,FALSE)+VLOOKUP(C433,$B$8:$AJ$11,27,FALSE)*입력란!$C$29)*입력란!$C$48/100</f>
        <v>17738.313739515583</v>
      </c>
      <c r="AP433" s="39"/>
      <c r="AQ433" s="23">
        <v>27</v>
      </c>
    </row>
    <row r="434" spans="2:43" ht="13.5" customHeight="1" x14ac:dyDescent="0.3">
      <c r="B434" s="31">
        <v>419</v>
      </c>
      <c r="C434" s="36">
        <v>7</v>
      </c>
      <c r="D434" s="44" t="s">
        <v>238</v>
      </c>
      <c r="E434" s="38" t="s">
        <v>245</v>
      </c>
      <c r="F434" s="40"/>
      <c r="G434" s="40" t="s">
        <v>413</v>
      </c>
      <c r="H434" s="81">
        <f t="shared" si="53"/>
        <v>23002.811284291904</v>
      </c>
      <c r="I434" s="53">
        <f>SUM(J434:Q434)*IF(입력란!$C$16=1,1.04,IF(입력란!$C$16=2,1.1,IF(입력란!$C$16=3,1.2,1)))*IF(입력란!$C$21=1,1+입력란!$C$38*0.001,IF(입력란!$C$21=2,1+입력란!$C$38*0.0022,IF(입력란!$C$21=3,1+입력란!$C$38*0.0045,1)))*IF(입력란!$C$18&lt;&gt;0,0.98,1)</f>
        <v>613875.79704044922</v>
      </c>
      <c r="J434" s="30">
        <f>S434*(1+IF($AK434+IF(입력란!$C$26=1,10,0)+IF(MID(E434,3,1)="3",IF(G434="생명50%이하",트라이포드!$N$21,트라이포드!$M$21),0)&gt;100,100,$AK434+IF(입력란!$C$26=1,10,0)+IF(MID(E434,3,1)="3",IF(G434="생명50%이하",트라이포드!$N$21,트라이포드!$M$21),0))/100*($AL434/100-1))</f>
        <v>438462.92749005026</v>
      </c>
      <c r="K434" s="30">
        <f>T434*(1+IF($AK434+IF(입력란!$C$26=1,10,0)&gt;100,100,$AK434+IF(입력란!$C$26=1,10,0))/100*($AL434/100-1))</f>
        <v>87715.667626659066</v>
      </c>
      <c r="L434" s="30"/>
      <c r="M434" s="30"/>
      <c r="N434" s="39"/>
      <c r="O434" s="39"/>
      <c r="P434" s="39"/>
      <c r="Q434" s="35">
        <f>Z434*(1+IF($AK434+IF(입력란!$C$26=1,10,0)&gt;100,100,$AK434+IF(입력란!$C$26=1,10,0))/100*($AL434/100-1))</f>
        <v>87697.201923739864</v>
      </c>
      <c r="R434" s="24">
        <f t="shared" si="54"/>
        <v>505686.20504125004</v>
      </c>
      <c r="S434" s="30">
        <f>AN434*IF(MID(E434,3,1)="1",트라이포드!$J$21,트라이포드!$I$21)*IF(MID(E434,5,1)="2",트라이포드!$R$21,트라이포드!$Q$21)*(1+입력란!$C$44/100)</f>
        <v>361188.13434684172</v>
      </c>
      <c r="T434" s="30">
        <f>AO434*3*IF(MID(E434,5,1)="1",트라이포드!$P$21,트라이포드!$O$21)*(1+입력란!$C$44/100)</f>
        <v>72256.640999094685</v>
      </c>
      <c r="U434" s="30"/>
      <c r="V434" s="30"/>
      <c r="W434" s="30"/>
      <c r="X434" s="30"/>
      <c r="Y434" s="30"/>
      <c r="Z434" s="27">
        <f>(AN434+AO434*3)*IF(MID(E434,1,1)="2",트라이포드!$F$21,트라이포드!$E$21)*(1+입력란!$C$44/100)</f>
        <v>72241.429695313622</v>
      </c>
      <c r="AA434" s="30">
        <f t="shared" si="55"/>
        <v>1011372.4100825001</v>
      </c>
      <c r="AB434" s="30">
        <f t="shared" si="56"/>
        <v>722376.26869368344</v>
      </c>
      <c r="AC434" s="30">
        <f t="shared" si="57"/>
        <v>144513.28199818937</v>
      </c>
      <c r="AD434" s="30"/>
      <c r="AE434" s="30"/>
      <c r="AF434" s="39"/>
      <c r="AG434" s="39"/>
      <c r="AH434" s="39"/>
      <c r="AI434" s="27">
        <f t="shared" si="59"/>
        <v>144482.85939062724</v>
      </c>
      <c r="AJ434" s="30">
        <f>AQ434*(1-입력란!$C$35/100)</f>
        <v>26.686990101059997</v>
      </c>
      <c r="AK43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4" s="26">
        <f>입력란!$C$47+IF(입력란!$C$18=1,10,IF(입력란!$C$18=2,25,IF(입력란!$C$18=3,50,0)))+IF(입력란!$C$23&lt;&gt;0,-12)</f>
        <v>200</v>
      </c>
      <c r="AM434" s="30">
        <f t="shared" si="58"/>
        <v>230542.06517152104</v>
      </c>
      <c r="AN434" s="30">
        <f>(VLOOKUP(C434,$B$4:$AJ$7,26,FALSE)+VLOOKUP(C434,$B$8:$AJ$11,26,FALSE)*입력란!$C$29)*입력란!$C$48/100</f>
        <v>212803.75143200546</v>
      </c>
      <c r="AO434" s="30">
        <f>(VLOOKUP(C434,$B$4:$AJ$7,27,FALSE)+VLOOKUP(C434,$B$8:$AJ$11,27,FALSE)*입력란!$C$29)*입력란!$C$48/100</f>
        <v>17738.313739515583</v>
      </c>
      <c r="AP434" s="39"/>
      <c r="AQ434" s="23">
        <v>27</v>
      </c>
    </row>
    <row r="435" spans="2:43" ht="13.5" customHeight="1" x14ac:dyDescent="0.3">
      <c r="B435" s="31">
        <v>420</v>
      </c>
      <c r="C435" s="36">
        <v>7</v>
      </c>
      <c r="D435" s="44" t="s">
        <v>238</v>
      </c>
      <c r="E435" s="38" t="s">
        <v>246</v>
      </c>
      <c r="F435" s="40"/>
      <c r="G435" s="40" t="s">
        <v>413</v>
      </c>
      <c r="H435" s="81">
        <f t="shared" si="53"/>
        <v>26213.278956518112</v>
      </c>
      <c r="I435" s="53">
        <f>SUM(J435:Q435)*IF(입력란!$C$16=1,1.04,IF(입력란!$C$16=2,1.1,IF(입력란!$C$16=3,1.2,1)))*IF(입력란!$C$21=1,1+입력란!$C$38*0.001,IF(입력란!$C$21=2,1+입력란!$C$38*0.0022,IF(입력란!$C$21=3,1+입력란!$C$38*0.0045,1)))*IF(입력란!$C$18&lt;&gt;0,0.98,1)</f>
        <v>699553.51602892322</v>
      </c>
      <c r="J435" s="30">
        <f>S435*(1+IF($AK435+IF(입력란!$C$26=1,10,0)+IF(MID(E435,3,1)="3",IF(G435="생명50%이하",트라이포드!$N$21,트라이포드!$M$21),0)&gt;100,100,$AK435+IF(입력란!$C$26=1,10,0)+IF(MID(E435,3,1)="3",IF(G435="생명50%이하",트라이포드!$N$21,트라이포드!$M$21),0))/100*($AL435/100-1))</f>
        <v>524140.64647852432</v>
      </c>
      <c r="K435" s="30">
        <f>T435*(1+IF($AK435+IF(입력란!$C$26=1,10,0)&gt;100,100,$AK435+IF(입력란!$C$26=1,10,0))/100*($AL435/100-1))</f>
        <v>87715.667626659066</v>
      </c>
      <c r="L435" s="30"/>
      <c r="M435" s="30"/>
      <c r="N435" s="39"/>
      <c r="O435" s="39"/>
      <c r="P435" s="39"/>
      <c r="Q435" s="35">
        <f>Z435*(1+IF($AK435+IF(입력란!$C$26=1,10,0)&gt;100,100,$AK435+IF(입력란!$C$26=1,10,0))/100*($AL435/100-1))</f>
        <v>87697.201923739864</v>
      </c>
      <c r="R435" s="24">
        <f t="shared" si="54"/>
        <v>433448.57817188173</v>
      </c>
      <c r="S435" s="30">
        <f>AN435*IF(MID(E435,3,1)="1",트라이포드!$J$21,트라이포드!$I$21)*IF(MID(E435,5,1)="2",트라이포드!$R$21,트라이포드!$Q$21)*(1+입력란!$C$44/100)</f>
        <v>288950.50747747341</v>
      </c>
      <c r="T435" s="30">
        <f>AO435*3*IF(MID(E435,5,1)="1",트라이포드!$P$21,트라이포드!$O$21)*(1+입력란!$C$44/100)</f>
        <v>72256.640999094685</v>
      </c>
      <c r="U435" s="30"/>
      <c r="V435" s="30"/>
      <c r="W435" s="30"/>
      <c r="X435" s="30"/>
      <c r="Y435" s="30"/>
      <c r="Z435" s="27">
        <f>(AN435+AO435*3)*IF(MID(E435,1,1)="2",트라이포드!$F$21,트라이포드!$E$21)*(1+입력란!$C$44/100)</f>
        <v>72241.429695313622</v>
      </c>
      <c r="AA435" s="30">
        <f t="shared" si="55"/>
        <v>866897.15634376346</v>
      </c>
      <c r="AB435" s="30">
        <f t="shared" si="56"/>
        <v>577901.01495494682</v>
      </c>
      <c r="AC435" s="30">
        <f t="shared" si="57"/>
        <v>144513.28199818937</v>
      </c>
      <c r="AD435" s="30"/>
      <c r="AE435" s="30"/>
      <c r="AF435" s="39"/>
      <c r="AG435" s="39"/>
      <c r="AH435" s="39"/>
      <c r="AI435" s="27">
        <f t="shared" si="59"/>
        <v>144482.85939062724</v>
      </c>
      <c r="AJ435" s="30">
        <f>AQ435*(1-입력란!$C$35/100)</f>
        <v>26.686990101059997</v>
      </c>
      <c r="AK43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5" s="26">
        <f>입력란!$C$47+IF(입력란!$C$18=1,10,IF(입력란!$C$18=2,25,IF(입력란!$C$18=3,50,0)))+IF(입력란!$C$23&lt;&gt;0,-12)</f>
        <v>200</v>
      </c>
      <c r="AM435" s="30">
        <f t="shared" si="58"/>
        <v>230542.06517152104</v>
      </c>
      <c r="AN435" s="30">
        <f>(VLOOKUP(C435,$B$4:$AJ$7,26,FALSE)+VLOOKUP(C435,$B$8:$AJ$11,26,FALSE)*입력란!$C$29)*입력란!$C$48/100</f>
        <v>212803.75143200546</v>
      </c>
      <c r="AO435" s="30">
        <f>(VLOOKUP(C435,$B$4:$AJ$7,27,FALSE)+VLOOKUP(C435,$B$8:$AJ$11,27,FALSE)*입력란!$C$29)*입력란!$C$48/100</f>
        <v>17738.313739515583</v>
      </c>
      <c r="AP435" s="39"/>
      <c r="AQ435" s="23">
        <v>27</v>
      </c>
    </row>
    <row r="436" spans="2:43" ht="13.5" customHeight="1" x14ac:dyDescent="0.3">
      <c r="B436" s="31">
        <v>421</v>
      </c>
      <c r="C436" s="36">
        <v>10</v>
      </c>
      <c r="D436" s="44" t="s">
        <v>238</v>
      </c>
      <c r="E436" s="38" t="s">
        <v>240</v>
      </c>
      <c r="F436" s="40"/>
      <c r="G436" s="40" t="s">
        <v>413</v>
      </c>
      <c r="H436" s="81">
        <f t="shared" si="53"/>
        <v>16441.277254518598</v>
      </c>
      <c r="I436" s="53">
        <f>SUM(J436:Q436)*IF(입력란!$C$16=1,1.04,IF(입력란!$C$16=2,1.1,IF(입력란!$C$16=3,1.2,1)))*IF(입력란!$C$21=1,1+입력란!$C$38*0.001,IF(입력란!$C$21=2,1+입력란!$C$38*0.0022,IF(입력란!$C$21=3,1+입력란!$C$38*0.0045,1)))*IF(입력란!$C$18&lt;&gt;0,0.98,1)</f>
        <v>438768.20334012073</v>
      </c>
      <c r="J436" s="30">
        <f>S436*(1+IF($AK436+IF(입력란!$C$26=1,10,0)+IF(MID(E436,3,1)="3",IF(G436="생명50%이하",트라이포드!$N$21,트라이포드!$M$21),0)&gt;100,100,$AK436+IF(입력란!$C$26=1,10,0)+IF(MID(E436,3,1)="3",IF(G436="생명50%이하",트라이포드!$N$21,트라이포드!$M$21),0))/100*($AL436/100-1))</f>
        <v>350995.17390560266</v>
      </c>
      <c r="K436" s="30">
        <f>T436*(1+IF($AK436+IF(입력란!$C$26=1,10,0)&gt;100,100,$AK436+IF(입력란!$C$26=1,10,0))/100*($AL436/100-1))</f>
        <v>87773.029434518059</v>
      </c>
      <c r="L436" s="30"/>
      <c r="M436" s="30"/>
      <c r="N436" s="39"/>
      <c r="O436" s="39"/>
      <c r="P436" s="39"/>
      <c r="Q436" s="35">
        <f>Z436*(1+IF($AK436+IF(입력란!$C$26=1,10,0)&gt;100,100,$AK436+IF(입력란!$C$26=1,10,0))/100*($AL436/100-1))</f>
        <v>0</v>
      </c>
      <c r="R436" s="24">
        <f t="shared" si="54"/>
        <v>361439.60832066037</v>
      </c>
      <c r="S436" s="30">
        <f>AN436*IF(MID(E436,3,1)="1",트라이포드!$J$21,트라이포드!$I$21)*IF(MID(E436,5,1)="2",트라이포드!$R$21,트라이포드!$Q$21)*(1+입력란!$C$44/100)</f>
        <v>289135.71497007966</v>
      </c>
      <c r="T436" s="30">
        <f>AO436*3*IF(MID(E436,5,1)="1",트라이포드!$P$21,트라이포드!$O$21)*(1+입력란!$C$44/100)</f>
        <v>72303.893350580722</v>
      </c>
      <c r="U436" s="30"/>
      <c r="V436" s="30"/>
      <c r="W436" s="30"/>
      <c r="X436" s="30"/>
      <c r="Y436" s="30"/>
      <c r="Z436" s="27">
        <f>(AN436+AO436*3)*IF(MID(E436,1,1)="2",트라이포드!$F$21,트라이포드!$E$21)*(1+입력란!$C$44/100)</f>
        <v>0</v>
      </c>
      <c r="AA436" s="30">
        <f t="shared" si="55"/>
        <v>722879.21664132073</v>
      </c>
      <c r="AB436" s="30">
        <f t="shared" si="56"/>
        <v>578271.42994015932</v>
      </c>
      <c r="AC436" s="30">
        <f t="shared" si="57"/>
        <v>144607.78670116144</v>
      </c>
      <c r="AD436" s="30"/>
      <c r="AE436" s="30"/>
      <c r="AF436" s="39"/>
      <c r="AG436" s="39"/>
      <c r="AH436" s="39"/>
      <c r="AI436" s="27">
        <f t="shared" si="59"/>
        <v>0</v>
      </c>
      <c r="AJ436" s="30">
        <f>AQ436*(1-입력란!$C$35/100)</f>
        <v>26.686990101059997</v>
      </c>
      <c r="AK43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6" s="26">
        <f>입력란!$C$47+IF(입력란!$C$18=1,10,IF(입력란!$C$18=2,25,IF(입력란!$C$18=3,50,0)))+IF(입력란!$C$23&lt;&gt;0,-12)</f>
        <v>200</v>
      </c>
      <c r="AM436" s="30">
        <f t="shared" si="58"/>
        <v>230690.06517152104</v>
      </c>
      <c r="AN436" s="30">
        <f>(VLOOKUP(C436,$B$4:$AJ$7,26,FALSE)+VLOOKUP(C436,$B$8:$AJ$11,26,FALSE)*입력란!$C$29)*입력란!$C$48/100</f>
        <v>212940.15143200546</v>
      </c>
      <c r="AO436" s="30">
        <f>(VLOOKUP(C436,$B$4:$AJ$7,27,FALSE)+VLOOKUP(C436,$B$8:$AJ$11,27,FALSE)*입력란!$C$29)*입력란!$C$48/100</f>
        <v>17749.913739515581</v>
      </c>
      <c r="AP436" s="39"/>
      <c r="AQ436" s="23">
        <v>27</v>
      </c>
    </row>
    <row r="437" spans="2:43" ht="13.5" customHeight="1" x14ac:dyDescent="0.3">
      <c r="B437" s="31">
        <v>422</v>
      </c>
      <c r="C437" s="36">
        <v>10</v>
      </c>
      <c r="D437" s="44" t="s">
        <v>238</v>
      </c>
      <c r="E437" s="38" t="s">
        <v>247</v>
      </c>
      <c r="F437" s="40"/>
      <c r="G437" s="40" t="s">
        <v>413</v>
      </c>
      <c r="H437" s="81">
        <f t="shared" si="53"/>
        <v>23019.241206401781</v>
      </c>
      <c r="I437" s="53">
        <f>SUM(J437:Q437)*IF(입력란!$C$16=1,1.04,IF(입력란!$C$16=2,1.1,IF(입력란!$C$16=3,1.2,1)))*IF(입력란!$C$21=1,1+입력란!$C$38*0.001,IF(입력란!$C$21=2,1+입력란!$C$38*0.0022,IF(입력란!$C$21=3,1+입력란!$C$38*0.0045,1)))*IF(입력란!$C$18&lt;&gt;0,0.98,1)</f>
        <v>614314.26220915676</v>
      </c>
      <c r="J437" s="30">
        <f>S437*(1+IF($AK437+IF(입력란!$C$26=1,10,0)+IF(MID(E437,3,1)="3",IF(G437="생명50%이하",트라이포드!$N$21,트라이포드!$M$21),0)&gt;100,100,$AK437+IF(입력란!$C$26=1,10,0)+IF(MID(E437,3,1)="3",IF(G437="생명50%이하",트라이포드!$N$21,트라이포드!$M$21),0))/100*($AL437/100-1))</f>
        <v>350995.17390560266</v>
      </c>
      <c r="K437" s="30">
        <f>T437*(1+IF($AK437+IF(입력란!$C$26=1,10,0)&gt;100,100,$AK437+IF(입력란!$C$26=1,10,0))/100*($AL437/100-1))</f>
        <v>263319.08830355416</v>
      </c>
      <c r="L437" s="30"/>
      <c r="M437" s="30"/>
      <c r="N437" s="39"/>
      <c r="O437" s="39"/>
      <c r="P437" s="39"/>
      <c r="Q437" s="35">
        <f>Z437*(1+IF($AK437+IF(입력란!$C$26=1,10,0)&gt;100,100,$AK437+IF(입력란!$C$26=1,10,0))/100*($AL437/100-1))</f>
        <v>0</v>
      </c>
      <c r="R437" s="24">
        <f t="shared" si="54"/>
        <v>506047.39502182184</v>
      </c>
      <c r="S437" s="30">
        <f>AN437*IF(MID(E437,3,1)="1",트라이포드!$J$21,트라이포드!$I$21)*IF(MID(E437,5,1)="2",트라이포드!$R$21,트라이포드!$Q$21)*(1+입력란!$C$44/100)</f>
        <v>289135.71497007966</v>
      </c>
      <c r="T437" s="30">
        <f>AO437*3*IF(MID(E437,5,1)="1",트라이포드!$P$21,트라이포드!$O$21)*(1+입력란!$C$44/100)</f>
        <v>216911.68005174215</v>
      </c>
      <c r="U437" s="30"/>
      <c r="V437" s="30"/>
      <c r="W437" s="30"/>
      <c r="X437" s="30"/>
      <c r="Y437" s="30"/>
      <c r="Z437" s="27">
        <f>(AN437+AO437*3)*IF(MID(E437,1,1)="2",트라이포드!$F$21,트라이포드!$E$21)*(1+입력란!$C$44/100)</f>
        <v>0</v>
      </c>
      <c r="AA437" s="30">
        <f t="shared" si="55"/>
        <v>1012094.7900436437</v>
      </c>
      <c r="AB437" s="30">
        <f t="shared" si="56"/>
        <v>578271.42994015932</v>
      </c>
      <c r="AC437" s="30">
        <f t="shared" si="57"/>
        <v>433823.3601034843</v>
      </c>
      <c r="AD437" s="30"/>
      <c r="AE437" s="30"/>
      <c r="AF437" s="39"/>
      <c r="AG437" s="39"/>
      <c r="AH437" s="39"/>
      <c r="AI437" s="27">
        <f t="shared" si="59"/>
        <v>0</v>
      </c>
      <c r="AJ437" s="30">
        <f>AQ437*(1-입력란!$C$35/100)</f>
        <v>26.686990101059997</v>
      </c>
      <c r="AK4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7" s="26">
        <f>입력란!$C$47+IF(입력란!$C$18=1,10,IF(입력란!$C$18=2,25,IF(입력란!$C$18=3,50,0)))+IF(입력란!$C$23&lt;&gt;0,-12)</f>
        <v>200</v>
      </c>
      <c r="AM437" s="30">
        <f t="shared" si="58"/>
        <v>230690.06517152104</v>
      </c>
      <c r="AN437" s="30">
        <f>(VLOOKUP(C437,$B$4:$AJ$7,26,FALSE)+VLOOKUP(C437,$B$8:$AJ$11,26,FALSE)*입력란!$C$29)*입력란!$C$48/100</f>
        <v>212940.15143200546</v>
      </c>
      <c r="AO437" s="30">
        <f>(VLOOKUP(C437,$B$4:$AJ$7,27,FALSE)+VLOOKUP(C437,$B$8:$AJ$11,27,FALSE)*입력란!$C$29)*입력란!$C$48/100</f>
        <v>17749.913739515581</v>
      </c>
      <c r="AP437" s="39"/>
      <c r="AQ437" s="23">
        <v>27</v>
      </c>
    </row>
    <row r="438" spans="2:43" ht="13.5" customHeight="1" x14ac:dyDescent="0.3">
      <c r="B438" s="31">
        <v>423</v>
      </c>
      <c r="C438" s="36">
        <v>10</v>
      </c>
      <c r="D438" s="44" t="s">
        <v>238</v>
      </c>
      <c r="E438" s="38" t="s">
        <v>248</v>
      </c>
      <c r="F438" s="40"/>
      <c r="G438" s="40" t="s">
        <v>413</v>
      </c>
      <c r="H438" s="81">
        <f t="shared" si="53"/>
        <v>20386.965838091699</v>
      </c>
      <c r="I438" s="53">
        <f>SUM(J438:Q438)*IF(입력란!$C$16=1,1.04,IF(입력란!$C$16=2,1.1,IF(입력란!$C$16=3,1.2,1)))*IF(입력란!$C$21=1,1+입력란!$C$38*0.001,IF(입력란!$C$21=2,1+입력란!$C$38*0.0022,IF(입력란!$C$21=3,1+입력란!$C$38*0.0045,1)))*IF(입력란!$C$18&lt;&gt;0,0.98,1)</f>
        <v>544066.75551180146</v>
      </c>
      <c r="J438" s="30">
        <f>S438*(1+IF($AK438+IF(입력란!$C$26=1,10,0)+IF(MID(E438,3,1)="3",IF(G438="생명50%이하",트라이포드!$N$21,트라이포드!$M$21),0)&gt;100,100,$AK438+IF(입력란!$C$26=1,10,0)+IF(MID(E438,3,1)="3",IF(G438="생명50%이하",트라이포드!$N$21,트라이포드!$M$21),0))/100*($AL438/100-1))</f>
        <v>456293.72607728338</v>
      </c>
      <c r="K438" s="30">
        <f>T438*(1+IF($AK438+IF(입력란!$C$26=1,10,0)&gt;100,100,$AK438+IF(입력란!$C$26=1,10,0))/100*($AL438/100-1))</f>
        <v>87773.029434518059</v>
      </c>
      <c r="L438" s="30"/>
      <c r="M438" s="30"/>
      <c r="N438" s="39"/>
      <c r="O438" s="39"/>
      <c r="P438" s="39"/>
      <c r="Q438" s="35">
        <f>Z438*(1+IF($AK438+IF(입력란!$C$26=1,10,0)&gt;100,100,$AK438+IF(입력란!$C$26=1,10,0))/100*($AL438/100-1))</f>
        <v>0</v>
      </c>
      <c r="R438" s="24">
        <f t="shared" si="54"/>
        <v>448180.32281168422</v>
      </c>
      <c r="S438" s="30">
        <f>AN438*IF(MID(E438,3,1)="1",트라이포드!$J$21,트라이포드!$I$21)*IF(MID(E438,5,1)="2",트라이포드!$R$21,트라이포드!$Q$21)*(1+입력란!$C$44/100)</f>
        <v>375876.42946110351</v>
      </c>
      <c r="T438" s="30">
        <f>AO438*3*IF(MID(E438,5,1)="1",트라이포드!$P$21,트라이포드!$O$21)*(1+입력란!$C$44/100)</f>
        <v>72303.893350580722</v>
      </c>
      <c r="U438" s="30"/>
      <c r="V438" s="30"/>
      <c r="W438" s="30"/>
      <c r="X438" s="30"/>
      <c r="Y438" s="30"/>
      <c r="Z438" s="27">
        <f>(AN438+AO438*3)*IF(MID(E438,1,1)="2",트라이포드!$F$21,트라이포드!$E$21)*(1+입력란!$C$44/100)</f>
        <v>0</v>
      </c>
      <c r="AA438" s="30">
        <f t="shared" si="55"/>
        <v>896360.64562336844</v>
      </c>
      <c r="AB438" s="30">
        <f t="shared" si="56"/>
        <v>751752.85892220703</v>
      </c>
      <c r="AC438" s="30">
        <f t="shared" si="57"/>
        <v>144607.78670116144</v>
      </c>
      <c r="AD438" s="30"/>
      <c r="AE438" s="30"/>
      <c r="AF438" s="39"/>
      <c r="AG438" s="39"/>
      <c r="AH438" s="39"/>
      <c r="AI438" s="27">
        <f t="shared" si="59"/>
        <v>0</v>
      </c>
      <c r="AJ438" s="30">
        <f>AQ438*(1-입력란!$C$35/100)</f>
        <v>26.686990101059997</v>
      </c>
      <c r="AK4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8" s="26">
        <f>입력란!$C$47+IF(입력란!$C$18=1,10,IF(입력란!$C$18=2,25,IF(입력란!$C$18=3,50,0)))+IF(입력란!$C$23&lt;&gt;0,-12)</f>
        <v>200</v>
      </c>
      <c r="AM438" s="30">
        <f t="shared" si="58"/>
        <v>230690.06517152104</v>
      </c>
      <c r="AN438" s="30">
        <f>(VLOOKUP(C438,$B$4:$AJ$7,26,FALSE)+VLOOKUP(C438,$B$8:$AJ$11,26,FALSE)*입력란!$C$29)*입력란!$C$48/100</f>
        <v>212940.15143200546</v>
      </c>
      <c r="AO438" s="30">
        <f>(VLOOKUP(C438,$B$4:$AJ$7,27,FALSE)+VLOOKUP(C438,$B$8:$AJ$11,27,FALSE)*입력란!$C$29)*입력란!$C$48/100</f>
        <v>17749.913739515581</v>
      </c>
      <c r="AP438" s="39"/>
      <c r="AQ438" s="23">
        <v>27</v>
      </c>
    </row>
    <row r="439" spans="2:43" ht="13.5" customHeight="1" x14ac:dyDescent="0.3">
      <c r="B439" s="31">
        <v>424</v>
      </c>
      <c r="C439" s="36">
        <v>10</v>
      </c>
      <c r="D439" s="44" t="s">
        <v>238</v>
      </c>
      <c r="E439" s="38" t="s">
        <v>249</v>
      </c>
      <c r="F439" s="40"/>
      <c r="G439" s="40" t="s">
        <v>413</v>
      </c>
      <c r="H439" s="81">
        <f t="shared" si="53"/>
        <v>26307.496657305503</v>
      </c>
      <c r="I439" s="53">
        <f>SUM(J439:Q439)*IF(입력란!$C$16=1,1.04,IF(입력란!$C$16=2,1.1,IF(입력란!$C$16=3,1.2,1)))*IF(입력란!$C$21=1,1+입력란!$C$38*0.001,IF(입력란!$C$21=2,1+입력란!$C$38*0.0022,IF(입력란!$C$21=3,1+입력란!$C$38*0.0045,1)))*IF(입력란!$C$18&lt;&gt;0,0.98,1)</f>
        <v>702067.90287718095</v>
      </c>
      <c r="J439" s="30">
        <f>S439*(1+IF($AK439+IF(입력란!$C$26=1,10,0)+IF(MID(E439,3,1)="3",IF(G439="생명50%이하",트라이포드!$N$21,트라이포드!$M$21),0)&gt;100,100,$AK439+IF(입력란!$C$26=1,10,0)+IF(MID(E439,3,1)="3",IF(G439="생명50%이하",트라이포드!$N$21,트라이포드!$M$21),0))/100*($AL439/100-1))</f>
        <v>350995.17390560266</v>
      </c>
      <c r="K439" s="30">
        <f>T439*(1+IF($AK439+IF(입력란!$C$26=1,10,0)&gt;100,100,$AK439+IF(입력란!$C$26=1,10,0))/100*($AL439/100-1))</f>
        <v>263319.08830355416</v>
      </c>
      <c r="L439" s="30"/>
      <c r="M439" s="30"/>
      <c r="N439" s="39"/>
      <c r="O439" s="39"/>
      <c r="P439" s="39"/>
      <c r="Q439" s="35">
        <f>Z439*(1+IF($AK439+IF(입력란!$C$26=1,10,0)&gt;100,100,$AK439+IF(입력란!$C$26=1,10,0))/100*($AL439/100-1))</f>
        <v>87753.640668024149</v>
      </c>
      <c r="R439" s="24">
        <f t="shared" si="54"/>
        <v>578335.31668595388</v>
      </c>
      <c r="S439" s="30">
        <f>AN439*IF(MID(E439,3,1)="1",트라이포드!$J$21,트라이포드!$I$21)*IF(MID(E439,5,1)="2",트라이포드!$R$21,트라이포드!$Q$21)*(1+입력란!$C$44/100)</f>
        <v>289135.71497007966</v>
      </c>
      <c r="T439" s="30">
        <f>AO439*3*IF(MID(E439,5,1)="1",트라이포드!$P$21,트라이포드!$O$21)*(1+입력란!$C$44/100)</f>
        <v>216911.68005174215</v>
      </c>
      <c r="U439" s="30"/>
      <c r="V439" s="30"/>
      <c r="W439" s="30"/>
      <c r="X439" s="30"/>
      <c r="Y439" s="30"/>
      <c r="Z439" s="27">
        <f>(AN439+AO439*3)*IF(MID(E439,1,1)="2",트라이포드!$F$21,트라이포드!$E$21)*(1+입력란!$C$44/100)</f>
        <v>72287.921664132082</v>
      </c>
      <c r="AA439" s="30">
        <f t="shared" si="55"/>
        <v>1156670.6333719078</v>
      </c>
      <c r="AB439" s="30">
        <f t="shared" si="56"/>
        <v>578271.42994015932</v>
      </c>
      <c r="AC439" s="30">
        <f t="shared" si="57"/>
        <v>433823.3601034843</v>
      </c>
      <c r="AD439" s="30"/>
      <c r="AE439" s="30"/>
      <c r="AF439" s="39"/>
      <c r="AG439" s="39"/>
      <c r="AH439" s="39"/>
      <c r="AI439" s="27">
        <f t="shared" si="59"/>
        <v>144575.84332826416</v>
      </c>
      <c r="AJ439" s="30">
        <f>AQ439*(1-입력란!$C$35/100)</f>
        <v>26.686990101059997</v>
      </c>
      <c r="AK4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39" s="26">
        <f>입력란!$C$47+IF(입력란!$C$18=1,10,IF(입력란!$C$18=2,25,IF(입력란!$C$18=3,50,0)))+IF(입력란!$C$23&lt;&gt;0,-12)</f>
        <v>200</v>
      </c>
      <c r="AM439" s="30">
        <f t="shared" si="58"/>
        <v>230690.06517152104</v>
      </c>
      <c r="AN439" s="30">
        <f>(VLOOKUP(C439,$B$4:$AJ$7,26,FALSE)+VLOOKUP(C439,$B$8:$AJ$11,26,FALSE)*입력란!$C$29)*입력란!$C$48/100</f>
        <v>212940.15143200546</v>
      </c>
      <c r="AO439" s="30">
        <f>(VLOOKUP(C439,$B$4:$AJ$7,27,FALSE)+VLOOKUP(C439,$B$8:$AJ$11,27,FALSE)*입력란!$C$29)*입력란!$C$48/100</f>
        <v>17749.913739515581</v>
      </c>
      <c r="AP439" s="39"/>
      <c r="AQ439" s="23">
        <v>27</v>
      </c>
    </row>
    <row r="440" spans="2:43" ht="13.5" customHeight="1" x14ac:dyDescent="0.3">
      <c r="B440" s="31">
        <v>425</v>
      </c>
      <c r="C440" s="36">
        <v>10</v>
      </c>
      <c r="D440" s="44" t="s">
        <v>238</v>
      </c>
      <c r="E440" s="38" t="s">
        <v>250</v>
      </c>
      <c r="F440" s="40"/>
      <c r="G440" s="40" t="s">
        <v>413</v>
      </c>
      <c r="H440" s="81">
        <f t="shared" si="53"/>
        <v>23675.221288995417</v>
      </c>
      <c r="I440" s="53">
        <f>SUM(J440:Q440)*IF(입력란!$C$16=1,1.04,IF(입력란!$C$16=2,1.1,IF(입력란!$C$16=3,1.2,1)))*IF(입력란!$C$21=1,1+입력란!$C$38*0.001,IF(입력란!$C$21=2,1+입력란!$C$38*0.0022,IF(입력란!$C$21=3,1+입력란!$C$38*0.0045,1)))*IF(입력란!$C$18&lt;&gt;0,0.98,1)</f>
        <v>631820.39617982565</v>
      </c>
      <c r="J440" s="30">
        <f>S440*(1+IF($AK440+IF(입력란!$C$26=1,10,0)+IF(MID(E440,3,1)="3",IF(G440="생명50%이하",트라이포드!$N$21,트라이포드!$M$21),0)&gt;100,100,$AK440+IF(입력란!$C$26=1,10,0)+IF(MID(E440,3,1)="3",IF(G440="생명50%이하",트라이포드!$N$21,트라이포드!$M$21),0))/100*($AL440/100-1))</f>
        <v>456293.72607728338</v>
      </c>
      <c r="K440" s="30">
        <f>T440*(1+IF($AK440+IF(입력란!$C$26=1,10,0)&gt;100,100,$AK440+IF(입력란!$C$26=1,10,0))/100*($AL440/100-1))</f>
        <v>87773.029434518059</v>
      </c>
      <c r="L440" s="30"/>
      <c r="M440" s="30"/>
      <c r="N440" s="39"/>
      <c r="O440" s="39"/>
      <c r="P440" s="39"/>
      <c r="Q440" s="35">
        <f>Z440*(1+IF($AK440+IF(입력란!$C$26=1,10,0)&gt;100,100,$AK440+IF(입력란!$C$26=1,10,0))/100*($AL440/100-1))</f>
        <v>87753.640668024149</v>
      </c>
      <c r="R440" s="24">
        <f t="shared" si="54"/>
        <v>520468.24447581632</v>
      </c>
      <c r="S440" s="30">
        <f>AN440*IF(MID(E440,3,1)="1",트라이포드!$J$21,트라이포드!$I$21)*IF(MID(E440,5,1)="2",트라이포드!$R$21,트라이포드!$Q$21)*(1+입력란!$C$44/100)</f>
        <v>375876.42946110351</v>
      </c>
      <c r="T440" s="30">
        <f>AO440*3*IF(MID(E440,5,1)="1",트라이포드!$P$21,트라이포드!$O$21)*(1+입력란!$C$44/100)</f>
        <v>72303.893350580722</v>
      </c>
      <c r="U440" s="30"/>
      <c r="V440" s="30"/>
      <c r="W440" s="30"/>
      <c r="X440" s="30"/>
      <c r="Y440" s="30"/>
      <c r="Z440" s="27">
        <f>(AN440+AO440*3)*IF(MID(E440,1,1)="2",트라이포드!$F$21,트라이포드!$E$21)*(1+입력란!$C$44/100)</f>
        <v>72287.921664132082</v>
      </c>
      <c r="AA440" s="30">
        <f t="shared" si="55"/>
        <v>1040936.4889516326</v>
      </c>
      <c r="AB440" s="30">
        <f t="shared" si="56"/>
        <v>751752.85892220703</v>
      </c>
      <c r="AC440" s="30">
        <f t="shared" si="57"/>
        <v>144607.78670116144</v>
      </c>
      <c r="AD440" s="30"/>
      <c r="AE440" s="30"/>
      <c r="AF440" s="39"/>
      <c r="AG440" s="39"/>
      <c r="AH440" s="39"/>
      <c r="AI440" s="27">
        <f t="shared" si="59"/>
        <v>144575.84332826416</v>
      </c>
      <c r="AJ440" s="30">
        <f>AQ440*(1-입력란!$C$35/100)</f>
        <v>26.686990101059997</v>
      </c>
      <c r="AK4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0" s="26">
        <f>입력란!$C$47+IF(입력란!$C$18=1,10,IF(입력란!$C$18=2,25,IF(입력란!$C$18=3,50,0)))+IF(입력란!$C$23&lt;&gt;0,-12)</f>
        <v>200</v>
      </c>
      <c r="AM440" s="30">
        <f t="shared" si="58"/>
        <v>230690.06517152104</v>
      </c>
      <c r="AN440" s="30">
        <f>(VLOOKUP(C440,$B$4:$AJ$7,26,FALSE)+VLOOKUP(C440,$B$8:$AJ$11,26,FALSE)*입력란!$C$29)*입력란!$C$48/100</f>
        <v>212940.15143200546</v>
      </c>
      <c r="AO440" s="30">
        <f>(VLOOKUP(C440,$B$4:$AJ$7,27,FALSE)+VLOOKUP(C440,$B$8:$AJ$11,27,FALSE)*입력란!$C$29)*입력란!$C$48/100</f>
        <v>17749.913739515581</v>
      </c>
      <c r="AP440" s="39"/>
      <c r="AQ440" s="23">
        <v>27</v>
      </c>
    </row>
    <row r="441" spans="2:43" ht="13.5" customHeight="1" x14ac:dyDescent="0.3">
      <c r="B441" s="31">
        <v>426</v>
      </c>
      <c r="C441" s="36">
        <v>10</v>
      </c>
      <c r="D441" s="44" t="s">
        <v>238</v>
      </c>
      <c r="E441" s="38" t="s">
        <v>251</v>
      </c>
      <c r="F441" s="40"/>
      <c r="G441" s="40" t="s">
        <v>413</v>
      </c>
      <c r="H441" s="81">
        <f t="shared" si="53"/>
        <v>29595.570476949753</v>
      </c>
      <c r="I441" s="53">
        <f>SUM(J441:Q441)*IF(입력란!$C$16=1,1.04,IF(입력란!$C$16=2,1.1,IF(입력란!$C$16=3,1.2,1)))*IF(입력란!$C$21=1,1+입력란!$C$38*0.001,IF(입력란!$C$21=2,1+입력란!$C$38*0.0022,IF(입력란!$C$21=3,1+입력란!$C$38*0.0045,1)))*IF(입력란!$C$18&lt;&gt;0,0.98,1)</f>
        <v>789816.69635358162</v>
      </c>
      <c r="J441" s="30">
        <f>S441*(1+IF($AK441+IF(입력란!$C$26=1,10,0)+IF(MID(E441,3,1)="3",IF(G441="생명50%이하",트라이포드!$N$21,트라이포드!$M$21),0)&gt;100,100,$AK441+IF(입력란!$C$26=1,10,0)+IF(MID(E441,3,1)="3",IF(G441="생명50%이하",트라이포드!$N$21,트라이포드!$M$21),0))/100*($AL441/100-1))</f>
        <v>438743.96738200326</v>
      </c>
      <c r="K441" s="30">
        <f>T441*(1+IF($AK441+IF(입력란!$C$26=1,10,0)&gt;100,100,$AK441+IF(입력란!$C$26=1,10,0))/100*($AL441/100-1))</f>
        <v>263319.08830355416</v>
      </c>
      <c r="L441" s="30"/>
      <c r="M441" s="30"/>
      <c r="N441" s="39"/>
      <c r="O441" s="39"/>
      <c r="P441" s="39"/>
      <c r="Q441" s="35">
        <f>Z441*(1+IF($AK441+IF(입력란!$C$26=1,10,0)&gt;100,100,$AK441+IF(입력란!$C$26=1,10,0))/100*($AL441/100-1))</f>
        <v>87753.640668024149</v>
      </c>
      <c r="R441" s="24">
        <f t="shared" si="54"/>
        <v>650619.24542847369</v>
      </c>
      <c r="S441" s="30">
        <f>AN441*IF(MID(E441,3,1)="1",트라이포드!$J$21,트라이포드!$I$21)*IF(MID(E441,5,1)="2",트라이포드!$R$21,트라이포드!$Q$21)*(1+입력란!$C$44/100)</f>
        <v>361419.64371259953</v>
      </c>
      <c r="T441" s="30">
        <f>AO441*3*IF(MID(E441,5,1)="1",트라이포드!$P$21,트라이포드!$O$21)*(1+입력란!$C$44/100)</f>
        <v>216911.68005174215</v>
      </c>
      <c r="U441" s="30"/>
      <c r="V441" s="30"/>
      <c r="W441" s="30"/>
      <c r="X441" s="30"/>
      <c r="Y441" s="30"/>
      <c r="Z441" s="27">
        <f>(AN441+AO441*3)*IF(MID(E441,1,1)="2",트라이포드!$F$21,트라이포드!$E$21)*(1+입력란!$C$44/100)</f>
        <v>72287.921664132082</v>
      </c>
      <c r="AA441" s="30">
        <f t="shared" si="55"/>
        <v>1301238.4908569474</v>
      </c>
      <c r="AB441" s="30">
        <f t="shared" si="56"/>
        <v>722839.28742519906</v>
      </c>
      <c r="AC441" s="30">
        <f t="shared" si="57"/>
        <v>433823.3601034843</v>
      </c>
      <c r="AD441" s="30"/>
      <c r="AE441" s="30"/>
      <c r="AF441" s="39"/>
      <c r="AG441" s="39"/>
      <c r="AH441" s="39"/>
      <c r="AI441" s="27">
        <f t="shared" si="59"/>
        <v>144575.84332826416</v>
      </c>
      <c r="AJ441" s="30">
        <f>AQ441*(1-입력란!$C$35/100)</f>
        <v>26.686990101059997</v>
      </c>
      <c r="AK4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1" s="26">
        <f>입력란!$C$47+IF(입력란!$C$18=1,10,IF(입력란!$C$18=2,25,IF(입력란!$C$18=3,50,0)))+IF(입력란!$C$23&lt;&gt;0,-12)</f>
        <v>200</v>
      </c>
      <c r="AM441" s="30">
        <f t="shared" si="58"/>
        <v>230690.06517152104</v>
      </c>
      <c r="AN441" s="30">
        <f>(VLOOKUP(C441,$B$4:$AJ$7,26,FALSE)+VLOOKUP(C441,$B$8:$AJ$11,26,FALSE)*입력란!$C$29)*입력란!$C$48/100</f>
        <v>212940.15143200546</v>
      </c>
      <c r="AO441" s="30">
        <f>(VLOOKUP(C441,$B$4:$AJ$7,27,FALSE)+VLOOKUP(C441,$B$8:$AJ$11,27,FALSE)*입력란!$C$29)*입력란!$C$48/100</f>
        <v>17749.913739515581</v>
      </c>
      <c r="AP441" s="39"/>
      <c r="AQ441" s="23">
        <v>27</v>
      </c>
    </row>
    <row r="442" spans="2:43" ht="13.5" customHeight="1" x14ac:dyDescent="0.3">
      <c r="B442" s="31">
        <v>427</v>
      </c>
      <c r="C442" s="36">
        <v>10</v>
      </c>
      <c r="D442" s="44" t="s">
        <v>238</v>
      </c>
      <c r="E442" s="38" t="s">
        <v>252</v>
      </c>
      <c r="F442" s="40"/>
      <c r="G442" s="40" t="s">
        <v>413</v>
      </c>
      <c r="H442" s="81">
        <f t="shared" si="53"/>
        <v>27949.717254532949</v>
      </c>
      <c r="I442" s="53">
        <f>SUM(J442:Q442)*IF(입력란!$C$16=1,1.04,IF(입력란!$C$16=2,1.1,IF(입력란!$C$16=3,1.2,1)))*IF(입력란!$C$21=1,1+입력란!$C$38*0.001,IF(입력란!$C$21=2,1+입력란!$C$38*0.0022,IF(입력란!$C$21=3,1+입력란!$C$38*0.0045,1)))*IF(입력란!$C$18&lt;&gt;0,0.98,1)</f>
        <v>745893.82769914658</v>
      </c>
      <c r="J442" s="30">
        <f>S442*(1+IF($AK442+IF(입력란!$C$26=1,10,0)+IF(MID(E442,3,1)="3",IF(G442="생명50%이하",트라이포드!$N$21,트라이포드!$M$21),0)&gt;100,100,$AK442+IF(입력란!$C$26=1,10,0)+IF(MID(E442,3,1)="3",IF(G442="생명50%이하",트라이포드!$N$21,트라이포드!$M$21),0))/100*($AL442/100-1))</f>
        <v>570367.15759660432</v>
      </c>
      <c r="K442" s="30">
        <f>T442*(1+IF($AK442+IF(입력란!$C$26=1,10,0)&gt;100,100,$AK442+IF(입력란!$C$26=1,10,0))/100*($AL442/100-1))</f>
        <v>87773.029434518059</v>
      </c>
      <c r="L442" s="30"/>
      <c r="M442" s="30"/>
      <c r="N442" s="39"/>
      <c r="O442" s="39"/>
      <c r="P442" s="39"/>
      <c r="Q442" s="35">
        <f>Z442*(1+IF($AK442+IF(입력란!$C$26=1,10,0)&gt;100,100,$AK442+IF(입력란!$C$26=1,10,0))/100*($AL442/100-1))</f>
        <v>87753.640668024149</v>
      </c>
      <c r="R442" s="24">
        <f t="shared" si="54"/>
        <v>614437.35184109223</v>
      </c>
      <c r="S442" s="30">
        <f>AN442*IF(MID(E442,3,1)="1",트라이포드!$J$21,트라이포드!$I$21)*IF(MID(E442,5,1)="2",트라이포드!$R$21,트라이포드!$Q$21)*(1+입력란!$C$44/100)</f>
        <v>469845.53682637948</v>
      </c>
      <c r="T442" s="30">
        <f>AO442*3*IF(MID(E442,5,1)="1",트라이포드!$P$21,트라이포드!$O$21)*(1+입력란!$C$44/100)</f>
        <v>72303.893350580722</v>
      </c>
      <c r="U442" s="30"/>
      <c r="V442" s="30"/>
      <c r="W442" s="30"/>
      <c r="X442" s="30"/>
      <c r="Y442" s="30"/>
      <c r="Z442" s="27">
        <f>(AN442+AO442*3)*IF(MID(E442,1,1)="2",트라이포드!$F$21,트라이포드!$E$21)*(1+입력란!$C$44/100)</f>
        <v>72287.921664132082</v>
      </c>
      <c r="AA442" s="30">
        <f t="shared" si="55"/>
        <v>1228874.7036821845</v>
      </c>
      <c r="AB442" s="30">
        <f t="shared" si="56"/>
        <v>939691.07365275896</v>
      </c>
      <c r="AC442" s="30">
        <f t="shared" si="57"/>
        <v>144607.78670116144</v>
      </c>
      <c r="AD442" s="30"/>
      <c r="AE442" s="30"/>
      <c r="AF442" s="39"/>
      <c r="AG442" s="39"/>
      <c r="AH442" s="39"/>
      <c r="AI442" s="27">
        <f t="shared" si="59"/>
        <v>144575.84332826416</v>
      </c>
      <c r="AJ442" s="30">
        <f>AQ442*(1-입력란!$C$35/100)</f>
        <v>26.686990101059997</v>
      </c>
      <c r="AK4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2" s="26">
        <f>입력란!$C$47+IF(입력란!$C$18=1,10,IF(입력란!$C$18=2,25,IF(입력란!$C$18=3,50,0)))+IF(입력란!$C$23&lt;&gt;0,-12)</f>
        <v>200</v>
      </c>
      <c r="AM442" s="30">
        <f t="shared" si="58"/>
        <v>230690.06517152104</v>
      </c>
      <c r="AN442" s="30">
        <f>(VLOOKUP(C442,$B$4:$AJ$7,26,FALSE)+VLOOKUP(C442,$B$8:$AJ$11,26,FALSE)*입력란!$C$29)*입력란!$C$48/100</f>
        <v>212940.15143200546</v>
      </c>
      <c r="AO442" s="30">
        <f>(VLOOKUP(C442,$B$4:$AJ$7,27,FALSE)+VLOOKUP(C442,$B$8:$AJ$11,27,FALSE)*입력란!$C$29)*입력란!$C$48/100</f>
        <v>17749.913739515581</v>
      </c>
      <c r="AP442" s="39"/>
      <c r="AQ442" s="23">
        <v>27</v>
      </c>
    </row>
    <row r="443" spans="2:43" ht="13.5" customHeight="1" x14ac:dyDescent="0.3">
      <c r="B443" s="31">
        <v>428</v>
      </c>
      <c r="C443" s="36">
        <v>10</v>
      </c>
      <c r="D443" s="44" t="s">
        <v>238</v>
      </c>
      <c r="E443" s="38" t="s">
        <v>253</v>
      </c>
      <c r="F443" s="40"/>
      <c r="G443" s="40" t="s">
        <v>413</v>
      </c>
      <c r="H443" s="81">
        <f t="shared" si="53"/>
        <v>32808.095950260511</v>
      </c>
      <c r="I443" s="53">
        <f>SUM(J443:Q443)*IF(입력란!$C$16=1,1.04,IF(입력란!$C$16=2,1.1,IF(입력란!$C$16=3,1.2,1)))*IF(입력란!$C$21=1,1+입력란!$C$38*0.001,IF(입력란!$C$21=2,1+입력란!$C$38*0.0022,IF(입력란!$C$21=3,1+입력란!$C$38*0.0045,1)))*IF(입력란!$C$18&lt;&gt;0,0.98,1)</f>
        <v>875549.33185922878</v>
      </c>
      <c r="J443" s="30">
        <f>S443*(1+IF($AK443+IF(입력란!$C$26=1,10,0)+IF(MID(E443,3,1)="3",IF(G443="생명50%이하",트라이포드!$N$21,트라이포드!$M$21),0)&gt;100,100,$AK443+IF(입력란!$C$26=1,10,0)+IF(MID(E443,3,1)="3",IF(G443="생명50%이하",트라이포드!$N$21,트라이포드!$M$21),0))/100*($AL443/100-1))</f>
        <v>524476.60288765049</v>
      </c>
      <c r="K443" s="30">
        <f>T443*(1+IF($AK443+IF(입력란!$C$26=1,10,0)&gt;100,100,$AK443+IF(입력란!$C$26=1,10,0))/100*($AL443/100-1))</f>
        <v>263319.08830355416</v>
      </c>
      <c r="L443" s="30"/>
      <c r="M443" s="30"/>
      <c r="N443" s="39"/>
      <c r="O443" s="39"/>
      <c r="P443" s="39"/>
      <c r="Q443" s="35">
        <f>Z443*(1+IF($AK443+IF(입력란!$C$26=1,10,0)&gt;100,100,$AK443+IF(입력란!$C$26=1,10,0))/100*($AL443/100-1))</f>
        <v>87753.640668024149</v>
      </c>
      <c r="R443" s="24">
        <f t="shared" si="54"/>
        <v>578335.31668595388</v>
      </c>
      <c r="S443" s="30">
        <f>AN443*IF(MID(E443,3,1)="1",트라이포드!$J$21,트라이포드!$I$21)*IF(MID(E443,5,1)="2",트라이포드!$R$21,트라이포드!$Q$21)*(1+입력란!$C$44/100)</f>
        <v>289135.71497007966</v>
      </c>
      <c r="T443" s="30">
        <f>AO443*3*IF(MID(E443,5,1)="1",트라이포드!$P$21,트라이포드!$O$21)*(1+입력란!$C$44/100)</f>
        <v>216911.68005174215</v>
      </c>
      <c r="U443" s="30"/>
      <c r="V443" s="30"/>
      <c r="W443" s="30"/>
      <c r="X443" s="30"/>
      <c r="Y443" s="30"/>
      <c r="Z443" s="27">
        <f>(AN443+AO443*3)*IF(MID(E443,1,1)="2",트라이포드!$F$21,트라이포드!$E$21)*(1+입력란!$C$44/100)</f>
        <v>72287.921664132082</v>
      </c>
      <c r="AA443" s="30">
        <f t="shared" si="55"/>
        <v>1156670.6333719078</v>
      </c>
      <c r="AB443" s="30">
        <f t="shared" si="56"/>
        <v>578271.42994015932</v>
      </c>
      <c r="AC443" s="30">
        <f t="shared" si="57"/>
        <v>433823.3601034843</v>
      </c>
      <c r="AD443" s="30"/>
      <c r="AE443" s="30"/>
      <c r="AF443" s="39"/>
      <c r="AG443" s="39"/>
      <c r="AH443" s="39"/>
      <c r="AI443" s="27">
        <f t="shared" si="59"/>
        <v>144575.84332826416</v>
      </c>
      <c r="AJ443" s="30">
        <f>AQ443*(1-입력란!$C$35/100)</f>
        <v>26.686990101059997</v>
      </c>
      <c r="AK4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3" s="26">
        <f>입력란!$C$47+IF(입력란!$C$18=1,10,IF(입력란!$C$18=2,25,IF(입력란!$C$18=3,50,0)))+IF(입력란!$C$23&lt;&gt;0,-12)</f>
        <v>200</v>
      </c>
      <c r="AM443" s="30">
        <f t="shared" si="58"/>
        <v>230690.06517152104</v>
      </c>
      <c r="AN443" s="30">
        <f>(VLOOKUP(C443,$B$4:$AJ$7,26,FALSE)+VLOOKUP(C443,$B$8:$AJ$11,26,FALSE)*입력란!$C$29)*입력란!$C$48/100</f>
        <v>212940.15143200546</v>
      </c>
      <c r="AO443" s="30">
        <f>(VLOOKUP(C443,$B$4:$AJ$7,27,FALSE)+VLOOKUP(C443,$B$8:$AJ$11,27,FALSE)*입력란!$C$29)*입력란!$C$48/100</f>
        <v>17749.913739515581</v>
      </c>
      <c r="AP443" s="39"/>
      <c r="AQ443" s="23">
        <v>27</v>
      </c>
    </row>
    <row r="444" spans="2:43" ht="13.5" customHeight="1" x14ac:dyDescent="0.3">
      <c r="B444" s="31">
        <v>429</v>
      </c>
      <c r="C444" s="36">
        <v>10</v>
      </c>
      <c r="D444" s="44" t="s">
        <v>238</v>
      </c>
      <c r="E444" s="38" t="s">
        <v>254</v>
      </c>
      <c r="F444" s="40"/>
      <c r="G444" s="40" t="s">
        <v>413</v>
      </c>
      <c r="H444" s="81">
        <f t="shared" si="53"/>
        <v>32126.000369836926</v>
      </c>
      <c r="I444" s="53">
        <f>SUM(J444:Q444)*IF(입력란!$C$16=1,1.04,IF(입력란!$C$16=2,1.1,IF(입력란!$C$16=3,1.2,1)))*IF(입력란!$C$21=1,1+입력란!$C$38*0.001,IF(입력란!$C$21=2,1+입력란!$C$38*0.0022,IF(입력란!$C$21=3,1+입력란!$C$38*0.0045,1)))*IF(입력란!$C$18&lt;&gt;0,0.98,1)</f>
        <v>857346.25385648781</v>
      </c>
      <c r="J444" s="30">
        <f>S444*(1+IF($AK444+IF(입력란!$C$26=1,10,0)+IF(MID(E444,3,1)="3",IF(G444="생명50%이하",트라이포드!$N$21,트라이포드!$M$21),0)&gt;100,100,$AK444+IF(입력란!$C$26=1,10,0)+IF(MID(E444,3,1)="3",IF(G444="생명50%이하",트라이포드!$N$21,트라이포드!$M$21),0))/100*($AL444/100-1))</f>
        <v>681819.58375394554</v>
      </c>
      <c r="K444" s="30">
        <f>T444*(1+IF($AK444+IF(입력란!$C$26=1,10,0)&gt;100,100,$AK444+IF(입력란!$C$26=1,10,0))/100*($AL444/100-1))</f>
        <v>87773.029434518059</v>
      </c>
      <c r="L444" s="30"/>
      <c r="M444" s="30"/>
      <c r="N444" s="39"/>
      <c r="O444" s="39"/>
      <c r="P444" s="39"/>
      <c r="Q444" s="35">
        <f>Z444*(1+IF($AK444+IF(입력란!$C$26=1,10,0)&gt;100,100,$AK444+IF(입력란!$C$26=1,10,0))/100*($AL444/100-1))</f>
        <v>87753.640668024149</v>
      </c>
      <c r="R444" s="24">
        <f t="shared" si="54"/>
        <v>520468.24447581632</v>
      </c>
      <c r="S444" s="30">
        <f>AN444*IF(MID(E444,3,1)="1",트라이포드!$J$21,트라이포드!$I$21)*IF(MID(E444,5,1)="2",트라이포드!$R$21,트라이포드!$Q$21)*(1+입력란!$C$44/100)</f>
        <v>375876.42946110351</v>
      </c>
      <c r="T444" s="30">
        <f>AO444*3*IF(MID(E444,5,1)="1",트라이포드!$P$21,트라이포드!$O$21)*(1+입력란!$C$44/100)</f>
        <v>72303.893350580722</v>
      </c>
      <c r="U444" s="30"/>
      <c r="V444" s="30"/>
      <c r="W444" s="30"/>
      <c r="X444" s="30"/>
      <c r="Y444" s="30"/>
      <c r="Z444" s="27">
        <f>(AN444+AO444*3)*IF(MID(E444,1,1)="2",트라이포드!$F$21,트라이포드!$E$21)*(1+입력란!$C$44/100)</f>
        <v>72287.921664132082</v>
      </c>
      <c r="AA444" s="30">
        <f t="shared" si="55"/>
        <v>1040936.4889516326</v>
      </c>
      <c r="AB444" s="30">
        <f t="shared" si="56"/>
        <v>751752.85892220703</v>
      </c>
      <c r="AC444" s="30">
        <f t="shared" si="57"/>
        <v>144607.78670116144</v>
      </c>
      <c r="AD444" s="30"/>
      <c r="AE444" s="30"/>
      <c r="AF444" s="39"/>
      <c r="AG444" s="39"/>
      <c r="AH444" s="39"/>
      <c r="AI444" s="27">
        <f t="shared" si="59"/>
        <v>144575.84332826416</v>
      </c>
      <c r="AJ444" s="30">
        <f>AQ444*(1-입력란!$C$35/100)</f>
        <v>26.686990101059997</v>
      </c>
      <c r="AK4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44" s="26">
        <f>입력란!$C$47+IF(입력란!$C$18=1,10,IF(입력란!$C$18=2,25,IF(입력란!$C$18=3,50,0)))+IF(입력란!$C$23&lt;&gt;0,-12)</f>
        <v>200</v>
      </c>
      <c r="AM444" s="30">
        <f t="shared" si="58"/>
        <v>230690.06517152104</v>
      </c>
      <c r="AN444" s="30">
        <f>(VLOOKUP(C444,$B$4:$AJ$7,26,FALSE)+VLOOKUP(C444,$B$8:$AJ$11,26,FALSE)*입력란!$C$29)*입력란!$C$48/100</f>
        <v>212940.15143200546</v>
      </c>
      <c r="AO444" s="30">
        <f>(VLOOKUP(C444,$B$4:$AJ$7,27,FALSE)+VLOOKUP(C444,$B$8:$AJ$11,27,FALSE)*입력란!$C$29)*입력란!$C$48/100</f>
        <v>17749.913739515581</v>
      </c>
      <c r="AP444" s="39"/>
      <c r="AQ444" s="23">
        <v>27</v>
      </c>
    </row>
    <row r="445" spans="2:43" ht="13.5" customHeight="1" x14ac:dyDescent="0.3">
      <c r="B445" s="31">
        <v>430</v>
      </c>
      <c r="C445" s="36">
        <v>1</v>
      </c>
      <c r="D445" s="44" t="s">
        <v>238</v>
      </c>
      <c r="E445" s="38" t="s">
        <v>239</v>
      </c>
      <c r="F445" s="40"/>
      <c r="G445" s="40" t="s">
        <v>412</v>
      </c>
      <c r="H445" s="81">
        <f t="shared" ref="H445:H461" si="60">J445*2/(1+1/(K445/J445))</f>
        <v>16378.721439804642</v>
      </c>
      <c r="I445" s="53"/>
      <c r="J445" s="30">
        <f t="array" ref="J445">IFERROR(INDEX($H$16:$H$596,MATCH(1,(C445=$C$16:$C$596)*(D445=$D$16:$D$596)*(E445=$E$16:$E$596)*(""=$G$16:$G$596),0)),"에러")</f>
        <v>16378.721439804642</v>
      </c>
      <c r="K445" s="30">
        <f t="array" ref="K445">IFERROR(INDEX($H$16:$H$596,MATCH(1,(C445=$C$16:$C$596)*(D445=$D$16:$D$596)*(E445=$E$16:$E$596)*("생명50%이하"=$G$16:$G$596),0)),"에러")</f>
        <v>16378.721439804642</v>
      </c>
      <c r="L445" s="30"/>
      <c r="M445" s="30"/>
      <c r="N445" s="39"/>
      <c r="O445" s="39"/>
      <c r="P445" s="39"/>
      <c r="Q445" s="35"/>
      <c r="R445" s="24"/>
      <c r="S445" s="30"/>
      <c r="T445" s="30"/>
      <c r="U445" s="30"/>
      <c r="V445" s="30"/>
      <c r="W445" s="30"/>
      <c r="X445" s="30"/>
      <c r="Y445" s="30"/>
      <c r="Z445" s="27"/>
      <c r="AA445" s="30"/>
      <c r="AB445" s="30"/>
      <c r="AC445" s="30"/>
      <c r="AD445" s="30"/>
      <c r="AE445" s="30"/>
      <c r="AF445" s="39"/>
      <c r="AG445" s="39"/>
      <c r="AH445" s="39"/>
      <c r="AI445" s="27"/>
      <c r="AJ445" s="30"/>
      <c r="AK445" s="26"/>
      <c r="AL445" s="26"/>
      <c r="AM445" s="30"/>
      <c r="AN445" s="30"/>
      <c r="AO445" s="30"/>
      <c r="AP445" s="39"/>
      <c r="AQ445" s="23"/>
    </row>
    <row r="446" spans="2:43" ht="13.5" customHeight="1" x14ac:dyDescent="0.3">
      <c r="B446" s="31">
        <v>431</v>
      </c>
      <c r="C446" s="36">
        <v>4</v>
      </c>
      <c r="D446" s="44" t="s">
        <v>238</v>
      </c>
      <c r="E446" s="38" t="s">
        <v>240</v>
      </c>
      <c r="F446" s="40"/>
      <c r="G446" s="40" t="s">
        <v>412</v>
      </c>
      <c r="H446" s="81">
        <f t="shared" si="60"/>
        <v>16414.149969938851</v>
      </c>
      <c r="I446" s="53"/>
      <c r="J446" s="30">
        <f t="array" ref="J446">IFERROR(INDEX($H$16:$H$596,MATCH(1,(C446=$C$16:$C$596)*(D446=$D$16:$D$596)*(E446=$E$16:$E$596)*(""=$G$16:$G$596),0)),"에러")</f>
        <v>16414.149969938851</v>
      </c>
      <c r="K446" s="30">
        <f t="array" ref="K446">IFERROR(INDEX($H$16:$H$596,MATCH(1,(C446=$C$16:$C$596)*(D446=$D$16:$D$596)*(E446=$E$16:$E$596)*("생명50%이하"=$G$16:$G$596),0)),"에러")</f>
        <v>16414.149969938851</v>
      </c>
      <c r="L446" s="30"/>
      <c r="M446" s="30"/>
      <c r="N446" s="39"/>
      <c r="O446" s="39"/>
      <c r="P446" s="39"/>
      <c r="Q446" s="35"/>
      <c r="R446" s="24"/>
      <c r="S446" s="30"/>
      <c r="T446" s="30"/>
      <c r="U446" s="30"/>
      <c r="V446" s="30"/>
      <c r="W446" s="30"/>
      <c r="X446" s="30"/>
      <c r="Y446" s="30"/>
      <c r="Z446" s="27"/>
      <c r="AA446" s="30"/>
      <c r="AB446" s="30"/>
      <c r="AC446" s="30"/>
      <c r="AD446" s="30"/>
      <c r="AE446" s="30"/>
      <c r="AF446" s="39"/>
      <c r="AG446" s="39"/>
      <c r="AH446" s="39"/>
      <c r="AI446" s="27"/>
      <c r="AJ446" s="30"/>
      <c r="AK446" s="26"/>
      <c r="AL446" s="26"/>
      <c r="AM446" s="30"/>
      <c r="AN446" s="30"/>
      <c r="AO446" s="30"/>
      <c r="AP446" s="39"/>
      <c r="AQ446" s="23"/>
    </row>
    <row r="447" spans="2:43" ht="13.5" customHeight="1" x14ac:dyDescent="0.3">
      <c r="B447" s="31">
        <v>432</v>
      </c>
      <c r="C447" s="36">
        <v>4</v>
      </c>
      <c r="D447" s="44" t="s">
        <v>238</v>
      </c>
      <c r="E447" s="38" t="s">
        <v>244</v>
      </c>
      <c r="F447" s="40"/>
      <c r="G447" s="40" t="s">
        <v>412</v>
      </c>
      <c r="H447" s="81">
        <f t="shared" si="60"/>
        <v>19696.979963926617</v>
      </c>
      <c r="I447" s="53"/>
      <c r="J447" s="30">
        <f t="array" ref="J447">IFERROR(INDEX($H$16:$H$596,MATCH(1,(C447=$C$16:$C$596)*(D447=$D$16:$D$596)*(E447=$E$16:$E$596)*(""=$G$16:$G$596),0)),"에러")</f>
        <v>19696.979963926617</v>
      </c>
      <c r="K447" s="30">
        <f t="array" ref="K447">IFERROR(INDEX($H$16:$H$596,MATCH(1,(C447=$C$16:$C$596)*(D447=$D$16:$D$596)*(E447=$E$16:$E$596)*("생명50%이하"=$G$16:$G$596),0)),"에러")</f>
        <v>19696.979963926617</v>
      </c>
      <c r="L447" s="30"/>
      <c r="M447" s="30"/>
      <c r="N447" s="39"/>
      <c r="O447" s="39"/>
      <c r="P447" s="39"/>
      <c r="Q447" s="35"/>
      <c r="R447" s="24"/>
      <c r="S447" s="30"/>
      <c r="T447" s="30"/>
      <c r="U447" s="30"/>
      <c r="V447" s="30"/>
      <c r="W447" s="30"/>
      <c r="X447" s="30"/>
      <c r="Y447" s="30"/>
      <c r="Z447" s="27"/>
      <c r="AA447" s="30"/>
      <c r="AB447" s="30"/>
      <c r="AC447" s="30"/>
      <c r="AD447" s="30"/>
      <c r="AE447" s="30"/>
      <c r="AF447" s="39"/>
      <c r="AG447" s="39"/>
      <c r="AH447" s="39"/>
      <c r="AI447" s="27"/>
      <c r="AJ447" s="30"/>
      <c r="AK447" s="26"/>
      <c r="AL447" s="26"/>
      <c r="AM447" s="30"/>
      <c r="AN447" s="30"/>
      <c r="AO447" s="30"/>
      <c r="AP447" s="39"/>
      <c r="AQ447" s="23"/>
    </row>
    <row r="448" spans="2:43" ht="13.5" customHeight="1" x14ac:dyDescent="0.3">
      <c r="B448" s="31">
        <v>433</v>
      </c>
      <c r="C448" s="36">
        <v>7</v>
      </c>
      <c r="D448" s="44" t="s">
        <v>238</v>
      </c>
      <c r="E448" s="38" t="s">
        <v>240</v>
      </c>
      <c r="F448" s="40"/>
      <c r="G448" s="40" t="s">
        <v>412</v>
      </c>
      <c r="H448" s="81">
        <f t="shared" si="60"/>
        <v>16430.703048871848</v>
      </c>
      <c r="I448" s="53"/>
      <c r="J448" s="30">
        <f t="array" ref="J448">IFERROR(INDEX($H$16:$H$596,MATCH(1,(C448=$C$16:$C$596)*(D448=$D$16:$D$596)*(E448=$E$16:$E$596)*(""=$G$16:$G$596),0)),"에러")</f>
        <v>16430.703048871848</v>
      </c>
      <c r="K448" s="30">
        <f t="array" ref="K448">IFERROR(INDEX($H$16:$H$596,MATCH(1,(C448=$C$16:$C$596)*(D448=$D$16:$D$596)*(E448=$E$16:$E$596)*("생명50%이하"=$G$16:$G$596),0)),"에러")</f>
        <v>16430.703048871848</v>
      </c>
      <c r="L448" s="30"/>
      <c r="M448" s="30"/>
      <c r="N448" s="39"/>
      <c r="O448" s="39"/>
      <c r="P448" s="39"/>
      <c r="Q448" s="35"/>
      <c r="R448" s="24"/>
      <c r="S448" s="30"/>
      <c r="T448" s="30"/>
      <c r="U448" s="30"/>
      <c r="V448" s="30"/>
      <c r="W448" s="30"/>
      <c r="X448" s="30"/>
      <c r="Y448" s="30"/>
      <c r="Z448" s="27"/>
      <c r="AA448" s="30"/>
      <c r="AB448" s="30"/>
      <c r="AC448" s="30"/>
      <c r="AD448" s="30"/>
      <c r="AE448" s="30"/>
      <c r="AF448" s="39"/>
      <c r="AG448" s="39"/>
      <c r="AH448" s="39"/>
      <c r="AI448" s="27"/>
      <c r="AJ448" s="30"/>
      <c r="AK448" s="26"/>
      <c r="AL448" s="26"/>
      <c r="AM448" s="30"/>
      <c r="AN448" s="30"/>
      <c r="AO448" s="30"/>
      <c r="AP448" s="39"/>
      <c r="AQ448" s="23"/>
    </row>
    <row r="449" spans="2:43" ht="13.5" customHeight="1" x14ac:dyDescent="0.3">
      <c r="B449" s="31">
        <v>434</v>
      </c>
      <c r="C449" s="36">
        <v>7</v>
      </c>
      <c r="D449" s="44" t="s">
        <v>238</v>
      </c>
      <c r="E449" s="38" t="s">
        <v>242</v>
      </c>
      <c r="F449" s="40"/>
      <c r="G449" s="40" t="s">
        <v>412</v>
      </c>
      <c r="H449" s="81">
        <f t="shared" si="60"/>
        <v>19716.670674517532</v>
      </c>
      <c r="I449" s="53"/>
      <c r="J449" s="30">
        <f t="array" ref="J449">IFERROR(INDEX($H$16:$H$596,MATCH(1,(C449=$C$16:$C$596)*(D449=$D$16:$D$596)*(E449=$E$16:$E$596)*(""=$G$16:$G$596),0)),"에러")</f>
        <v>19716.670674517532</v>
      </c>
      <c r="K449" s="30">
        <f t="array" ref="K449">IFERROR(INDEX($H$16:$H$596,MATCH(1,(C449=$C$16:$C$596)*(D449=$D$16:$D$596)*(E449=$E$16:$E$596)*("생명50%이하"=$G$16:$G$596),0)),"에러")</f>
        <v>19716.670674517532</v>
      </c>
      <c r="L449" s="30"/>
      <c r="M449" s="30"/>
      <c r="N449" s="39"/>
      <c r="O449" s="39"/>
      <c r="P449" s="39"/>
      <c r="Q449" s="35"/>
      <c r="R449" s="24"/>
      <c r="S449" s="30"/>
      <c r="T449" s="30"/>
      <c r="U449" s="30"/>
      <c r="V449" s="30"/>
      <c r="W449" s="30"/>
      <c r="X449" s="30"/>
      <c r="Y449" s="30"/>
      <c r="Z449" s="27"/>
      <c r="AA449" s="30"/>
      <c r="AB449" s="30"/>
      <c r="AC449" s="30"/>
      <c r="AD449" s="30"/>
      <c r="AE449" s="30"/>
      <c r="AF449" s="39"/>
      <c r="AG449" s="39"/>
      <c r="AH449" s="39"/>
      <c r="AI449" s="27"/>
      <c r="AJ449" s="30"/>
      <c r="AK449" s="26"/>
      <c r="AL449" s="26"/>
      <c r="AM449" s="30"/>
      <c r="AN449" s="30"/>
      <c r="AO449" s="30"/>
      <c r="AP449" s="39"/>
      <c r="AQ449" s="23"/>
    </row>
    <row r="450" spans="2:43" ht="13.5" customHeight="1" x14ac:dyDescent="0.3">
      <c r="B450" s="31">
        <v>435</v>
      </c>
      <c r="C450" s="36">
        <v>7</v>
      </c>
      <c r="D450" s="44" t="s">
        <v>238</v>
      </c>
      <c r="E450" s="38" t="s">
        <v>243</v>
      </c>
      <c r="F450" s="40"/>
      <c r="G450" s="40" t="s">
        <v>412</v>
      </c>
      <c r="H450" s="81">
        <f t="shared" si="60"/>
        <v>19142.767417001378</v>
      </c>
      <c r="I450" s="53"/>
      <c r="J450" s="30">
        <f t="array" ref="J450">IFERROR(INDEX($H$16:$H$596,MATCH(1,(C450=$C$16:$C$596)*(D450=$D$16:$D$596)*(E450=$E$16:$E$596)*(""=$G$16:$G$596),0)),"에러")</f>
        <v>16430.703048871848</v>
      </c>
      <c r="K450" s="30">
        <f t="array" ref="K450">IFERROR(INDEX($H$16:$H$596,MATCH(1,(C450=$C$16:$C$596)*(D450=$D$16:$D$596)*(E450=$E$16:$E$596)*("생명50%이하"=$G$16:$G$596),0)),"에러")</f>
        <v>22927.138346743744</v>
      </c>
      <c r="L450" s="30"/>
      <c r="M450" s="30"/>
      <c r="N450" s="39"/>
      <c r="O450" s="39"/>
      <c r="P450" s="39"/>
      <c r="Q450" s="35"/>
      <c r="R450" s="24"/>
      <c r="S450" s="30"/>
      <c r="T450" s="30"/>
      <c r="U450" s="30"/>
      <c r="V450" s="30"/>
      <c r="W450" s="30"/>
      <c r="X450" s="30"/>
      <c r="Y450" s="30"/>
      <c r="Z450" s="27"/>
      <c r="AA450" s="30"/>
      <c r="AB450" s="30"/>
      <c r="AC450" s="30"/>
      <c r="AD450" s="30"/>
      <c r="AE450" s="30"/>
      <c r="AF450" s="39"/>
      <c r="AG450" s="39"/>
      <c r="AH450" s="39"/>
      <c r="AI450" s="27"/>
      <c r="AJ450" s="30"/>
      <c r="AK450" s="26"/>
      <c r="AL450" s="26"/>
      <c r="AM450" s="30"/>
      <c r="AN450" s="30"/>
      <c r="AO450" s="30"/>
      <c r="AP450" s="39"/>
      <c r="AQ450" s="23"/>
    </row>
    <row r="451" spans="2:43" ht="13.5" customHeight="1" x14ac:dyDescent="0.3">
      <c r="B451" s="31">
        <v>436</v>
      </c>
      <c r="C451" s="36">
        <v>7</v>
      </c>
      <c r="D451" s="44" t="s">
        <v>238</v>
      </c>
      <c r="E451" s="38" t="s">
        <v>245</v>
      </c>
      <c r="F451" s="40"/>
      <c r="G451" s="40" t="s">
        <v>412</v>
      </c>
      <c r="H451" s="81">
        <f t="shared" si="60"/>
        <v>23002.811284291904</v>
      </c>
      <c r="I451" s="53"/>
      <c r="J451" s="30">
        <f t="array" ref="J451">IFERROR(INDEX($H$16:$H$596,MATCH(1,(C451=$C$16:$C$596)*(D451=$D$16:$D$596)*(E451=$E$16:$E$596)*(""=$G$16:$G$596),0)),"에러")</f>
        <v>23002.811284291904</v>
      </c>
      <c r="K451" s="30">
        <f t="array" ref="K451">IFERROR(INDEX($H$16:$H$596,MATCH(1,(C451=$C$16:$C$596)*(D451=$D$16:$D$596)*(E451=$E$16:$E$596)*("생명50%이하"=$G$16:$G$596),0)),"에러")</f>
        <v>23002.811284291904</v>
      </c>
      <c r="L451" s="30"/>
      <c r="M451" s="30"/>
      <c r="N451" s="39"/>
      <c r="O451" s="39"/>
      <c r="P451" s="39"/>
      <c r="Q451" s="35"/>
      <c r="R451" s="24"/>
      <c r="S451" s="30"/>
      <c r="T451" s="30"/>
      <c r="U451" s="30"/>
      <c r="V451" s="30"/>
      <c r="W451" s="30"/>
      <c r="X451" s="30"/>
      <c r="Y451" s="30"/>
      <c r="Z451" s="27"/>
      <c r="AA451" s="30"/>
      <c r="AB451" s="30"/>
      <c r="AC451" s="30"/>
      <c r="AD451" s="30"/>
      <c r="AE451" s="30"/>
      <c r="AF451" s="39"/>
      <c r="AG451" s="39"/>
      <c r="AH451" s="39"/>
      <c r="AI451" s="27"/>
      <c r="AJ451" s="30"/>
      <c r="AK451" s="26"/>
      <c r="AL451" s="26"/>
      <c r="AM451" s="30"/>
      <c r="AN451" s="30"/>
      <c r="AO451" s="30"/>
      <c r="AP451" s="39"/>
      <c r="AQ451" s="23"/>
    </row>
    <row r="452" spans="2:43" ht="13.5" customHeight="1" x14ac:dyDescent="0.3">
      <c r="B452" s="31">
        <v>437</v>
      </c>
      <c r="C452" s="36">
        <v>7</v>
      </c>
      <c r="D452" s="44" t="s">
        <v>238</v>
      </c>
      <c r="E452" s="38" t="s">
        <v>246</v>
      </c>
      <c r="F452" s="40"/>
      <c r="G452" s="40" t="s">
        <v>412</v>
      </c>
      <c r="H452" s="81">
        <f t="shared" si="60"/>
        <v>22505.6278336826</v>
      </c>
      <c r="I452" s="53"/>
      <c r="J452" s="30">
        <f t="array" ref="J452">IFERROR(INDEX($H$16:$H$596,MATCH(1,(C452=$C$16:$C$596)*(D452=$D$16:$D$596)*(E452=$E$16:$E$596)*(""=$G$16:$G$596),0)),"에러")</f>
        <v>19716.843658646216</v>
      </c>
      <c r="K452" s="30">
        <f t="array" ref="K452">IFERROR(INDEX($H$16:$H$596,MATCH(1,(C452=$C$16:$C$596)*(D452=$D$16:$D$596)*(E452=$E$16:$E$596)*("생명50%이하"=$G$16:$G$596),0)),"에러")</f>
        <v>26213.278956518112</v>
      </c>
      <c r="L452" s="30"/>
      <c r="M452" s="30"/>
      <c r="N452" s="39"/>
      <c r="O452" s="39"/>
      <c r="P452" s="39"/>
      <c r="Q452" s="35"/>
      <c r="R452" s="24"/>
      <c r="S452" s="30"/>
      <c r="T452" s="30"/>
      <c r="U452" s="30"/>
      <c r="V452" s="30"/>
      <c r="W452" s="30"/>
      <c r="X452" s="30"/>
      <c r="Y452" s="30"/>
      <c r="Z452" s="27"/>
      <c r="AA452" s="30"/>
      <c r="AB452" s="30"/>
      <c r="AC452" s="30"/>
      <c r="AD452" s="30"/>
      <c r="AE452" s="30"/>
      <c r="AF452" s="39"/>
      <c r="AG452" s="39"/>
      <c r="AH452" s="39"/>
      <c r="AI452" s="27"/>
      <c r="AJ452" s="30"/>
      <c r="AK452" s="26"/>
      <c r="AL452" s="26"/>
      <c r="AM452" s="30"/>
      <c r="AN452" s="30"/>
      <c r="AO452" s="30"/>
      <c r="AP452" s="39"/>
      <c r="AQ452" s="23"/>
    </row>
    <row r="453" spans="2:43" ht="13.5" customHeight="1" x14ac:dyDescent="0.3">
      <c r="B453" s="31">
        <v>438</v>
      </c>
      <c r="C453" s="36">
        <v>10</v>
      </c>
      <c r="D453" s="44" t="s">
        <v>238</v>
      </c>
      <c r="E453" s="38" t="s">
        <v>240</v>
      </c>
      <c r="F453" s="40"/>
      <c r="G453" s="40" t="s">
        <v>412</v>
      </c>
      <c r="H453" s="81">
        <f t="shared" si="60"/>
        <v>16441.277254518598</v>
      </c>
      <c r="I453" s="53"/>
      <c r="J453" s="30">
        <f t="array" ref="J453">IFERROR(INDEX($H$16:$H$596,MATCH(1,(C453=$C$16:$C$596)*(D453=$D$16:$D$596)*(E453=$E$16:$E$596)*(""=$G$16:$G$596),0)),"에러")</f>
        <v>16441.277254518598</v>
      </c>
      <c r="K453" s="30">
        <f t="array" ref="K453">IFERROR(INDEX($H$16:$H$596,MATCH(1,(C453=$C$16:$C$596)*(D453=$D$16:$D$596)*(E453=$E$16:$E$596)*("생명50%이하"=$G$16:$G$596),0)),"에러")</f>
        <v>16441.277254518598</v>
      </c>
      <c r="L453" s="30"/>
      <c r="M453" s="30"/>
      <c r="N453" s="39"/>
      <c r="O453" s="39"/>
      <c r="P453" s="39"/>
      <c r="Q453" s="35"/>
      <c r="R453" s="24"/>
      <c r="S453" s="30"/>
      <c r="T453" s="30"/>
      <c r="U453" s="30"/>
      <c r="V453" s="30"/>
      <c r="W453" s="30"/>
      <c r="X453" s="30"/>
      <c r="Y453" s="30"/>
      <c r="Z453" s="27"/>
      <c r="AA453" s="30"/>
      <c r="AB453" s="30"/>
      <c r="AC453" s="30"/>
      <c r="AD453" s="30"/>
      <c r="AE453" s="30"/>
      <c r="AF453" s="39"/>
      <c r="AG453" s="39"/>
      <c r="AH453" s="39"/>
      <c r="AI453" s="27"/>
      <c r="AJ453" s="30"/>
      <c r="AK453" s="26"/>
      <c r="AL453" s="26"/>
      <c r="AM453" s="30"/>
      <c r="AN453" s="30"/>
      <c r="AO453" s="30"/>
      <c r="AP453" s="39"/>
      <c r="AQ453" s="23"/>
    </row>
    <row r="454" spans="2:43" ht="13.5" customHeight="1" x14ac:dyDescent="0.3">
      <c r="B454" s="31">
        <v>439</v>
      </c>
      <c r="C454" s="36">
        <v>10</v>
      </c>
      <c r="D454" s="44" t="s">
        <v>238</v>
      </c>
      <c r="E454" s="38" t="s">
        <v>247</v>
      </c>
      <c r="F454" s="40"/>
      <c r="G454" s="40" t="s">
        <v>412</v>
      </c>
      <c r="H454" s="81">
        <f t="shared" si="60"/>
        <v>23019.241206401781</v>
      </c>
      <c r="I454" s="53"/>
      <c r="J454" s="30">
        <f t="array" ref="J454">IFERROR(INDEX($H$16:$H$596,MATCH(1,(C454=$C$16:$C$596)*(D454=$D$16:$D$596)*(E454=$E$16:$E$596)*(""=$G$16:$G$596),0)),"에러")</f>
        <v>23019.241206401781</v>
      </c>
      <c r="K454" s="30">
        <f t="array" ref="K454">IFERROR(INDEX($H$16:$H$596,MATCH(1,(C454=$C$16:$C$596)*(D454=$D$16:$D$596)*(E454=$E$16:$E$596)*("생명50%이하"=$G$16:$G$596),0)),"에러")</f>
        <v>23019.241206401781</v>
      </c>
      <c r="L454" s="30"/>
      <c r="M454" s="30"/>
      <c r="N454" s="39"/>
      <c r="O454" s="39"/>
      <c r="P454" s="39"/>
      <c r="Q454" s="35"/>
      <c r="R454" s="24"/>
      <c r="S454" s="30"/>
      <c r="T454" s="30"/>
      <c r="U454" s="30"/>
      <c r="V454" s="30"/>
      <c r="W454" s="30"/>
      <c r="X454" s="30"/>
      <c r="Y454" s="30"/>
      <c r="Z454" s="27"/>
      <c r="AA454" s="30"/>
      <c r="AB454" s="30"/>
      <c r="AC454" s="30"/>
      <c r="AD454" s="30"/>
      <c r="AE454" s="30"/>
      <c r="AF454" s="39"/>
      <c r="AG454" s="39"/>
      <c r="AH454" s="39"/>
      <c r="AI454" s="27"/>
      <c r="AJ454" s="30"/>
      <c r="AK454" s="26"/>
      <c r="AL454" s="26"/>
      <c r="AM454" s="30"/>
      <c r="AN454" s="30"/>
      <c r="AO454" s="30"/>
      <c r="AP454" s="39"/>
      <c r="AQ454" s="23"/>
    </row>
    <row r="455" spans="2:43" ht="13.5" customHeight="1" x14ac:dyDescent="0.3">
      <c r="B455" s="31">
        <v>440</v>
      </c>
      <c r="C455" s="36">
        <v>10</v>
      </c>
      <c r="D455" s="44" t="s">
        <v>238</v>
      </c>
      <c r="E455" s="38" t="s">
        <v>248</v>
      </c>
      <c r="F455" s="40"/>
      <c r="G455" s="40" t="s">
        <v>412</v>
      </c>
      <c r="H455" s="81">
        <f t="shared" si="60"/>
        <v>20386.965838091699</v>
      </c>
      <c r="I455" s="53"/>
      <c r="J455" s="30">
        <f t="array" ref="J455">IFERROR(INDEX($H$16:$H$596,MATCH(1,(C455=$C$16:$C$596)*(D455=$D$16:$D$596)*(E455=$E$16:$E$596)*(""=$G$16:$G$596),0)),"에러")</f>
        <v>20386.965838091699</v>
      </c>
      <c r="K455" s="30">
        <f t="array" ref="K455">IFERROR(INDEX($H$16:$H$596,MATCH(1,(C455=$C$16:$C$596)*(D455=$D$16:$D$596)*(E455=$E$16:$E$596)*("생명50%이하"=$G$16:$G$596),0)),"에러")</f>
        <v>20386.965838091699</v>
      </c>
      <c r="L455" s="30"/>
      <c r="M455" s="30"/>
      <c r="N455" s="39"/>
      <c r="O455" s="39"/>
      <c r="P455" s="39"/>
      <c r="Q455" s="35"/>
      <c r="R455" s="24"/>
      <c r="S455" s="30"/>
      <c r="T455" s="30"/>
      <c r="U455" s="30"/>
      <c r="V455" s="30"/>
      <c r="W455" s="30"/>
      <c r="X455" s="30"/>
      <c r="Y455" s="30"/>
      <c r="Z455" s="27"/>
      <c r="AA455" s="30"/>
      <c r="AB455" s="30"/>
      <c r="AC455" s="30"/>
      <c r="AD455" s="30"/>
      <c r="AE455" s="30"/>
      <c r="AF455" s="39"/>
      <c r="AG455" s="39"/>
      <c r="AH455" s="39"/>
      <c r="AI455" s="27"/>
      <c r="AJ455" s="30"/>
      <c r="AK455" s="26"/>
      <c r="AL455" s="26"/>
      <c r="AM455" s="30"/>
      <c r="AN455" s="30"/>
      <c r="AO455" s="30"/>
      <c r="AP455" s="39"/>
      <c r="AQ455" s="23"/>
    </row>
    <row r="456" spans="2:43" ht="13.5" customHeight="1" x14ac:dyDescent="0.3">
      <c r="B456" s="31">
        <v>441</v>
      </c>
      <c r="C456" s="36">
        <v>10</v>
      </c>
      <c r="D456" s="44" t="s">
        <v>238</v>
      </c>
      <c r="E456" s="38" t="s">
        <v>249</v>
      </c>
      <c r="F456" s="40"/>
      <c r="G456" s="40" t="s">
        <v>412</v>
      </c>
      <c r="H456" s="81">
        <f t="shared" si="60"/>
        <v>26307.496657305503</v>
      </c>
      <c r="I456" s="53"/>
      <c r="J456" s="30">
        <f t="array" ref="J456">IFERROR(INDEX($H$16:$H$596,MATCH(1,(C456=$C$16:$C$596)*(D456=$D$16:$D$596)*(E456=$E$16:$E$596)*(""=$G$16:$G$596),0)),"에러")</f>
        <v>26307.496657305503</v>
      </c>
      <c r="K456" s="30">
        <f t="array" ref="K456">IFERROR(INDEX($H$16:$H$596,MATCH(1,(C456=$C$16:$C$596)*(D456=$D$16:$D$596)*(E456=$E$16:$E$596)*("생명50%이하"=$G$16:$G$596),0)),"에러")</f>
        <v>26307.496657305503</v>
      </c>
      <c r="L456" s="30"/>
      <c r="M456" s="30"/>
      <c r="N456" s="39"/>
      <c r="O456" s="39"/>
      <c r="P456" s="39"/>
      <c r="Q456" s="35"/>
      <c r="R456" s="24"/>
      <c r="S456" s="30"/>
      <c r="T456" s="30"/>
      <c r="U456" s="30"/>
      <c r="V456" s="30"/>
      <c r="W456" s="30"/>
      <c r="X456" s="30"/>
      <c r="Y456" s="30"/>
      <c r="Z456" s="27"/>
      <c r="AA456" s="30"/>
      <c r="AB456" s="30"/>
      <c r="AC456" s="30"/>
      <c r="AD456" s="30"/>
      <c r="AE456" s="30"/>
      <c r="AF456" s="39"/>
      <c r="AG456" s="39"/>
      <c r="AH456" s="39"/>
      <c r="AI456" s="27"/>
      <c r="AJ456" s="30"/>
      <c r="AK456" s="26"/>
      <c r="AL456" s="26"/>
      <c r="AM456" s="30"/>
      <c r="AN456" s="30"/>
      <c r="AO456" s="30"/>
      <c r="AP456" s="39"/>
      <c r="AQ456" s="23"/>
    </row>
    <row r="457" spans="2:43" ht="13.5" customHeight="1" x14ac:dyDescent="0.3">
      <c r="B457" s="31">
        <v>442</v>
      </c>
      <c r="C457" s="36">
        <v>10</v>
      </c>
      <c r="D457" s="44" t="s">
        <v>238</v>
      </c>
      <c r="E457" s="38" t="s">
        <v>250</v>
      </c>
      <c r="F457" s="40"/>
      <c r="G457" s="40" t="s">
        <v>412</v>
      </c>
      <c r="H457" s="81">
        <f t="shared" si="60"/>
        <v>23675.221288995417</v>
      </c>
      <c r="I457" s="53"/>
      <c r="J457" s="30">
        <f t="array" ref="J457">IFERROR(INDEX($H$16:$H$596,MATCH(1,(C457=$C$16:$C$596)*(D457=$D$16:$D$596)*(E457=$E$16:$E$596)*(""=$G$16:$G$596),0)),"에러")</f>
        <v>23675.221288995417</v>
      </c>
      <c r="K457" s="30">
        <f t="array" ref="K457">IFERROR(INDEX($H$16:$H$596,MATCH(1,(C457=$C$16:$C$596)*(D457=$D$16:$D$596)*(E457=$E$16:$E$596)*("생명50%이하"=$G$16:$G$596),0)),"에러")</f>
        <v>23675.221288995417</v>
      </c>
      <c r="L457" s="30"/>
      <c r="M457" s="30"/>
      <c r="N457" s="39"/>
      <c r="O457" s="39"/>
      <c r="P457" s="39"/>
      <c r="Q457" s="35"/>
      <c r="R457" s="24"/>
      <c r="S457" s="30"/>
      <c r="T457" s="30"/>
      <c r="U457" s="30"/>
      <c r="V457" s="30"/>
      <c r="W457" s="30"/>
      <c r="X457" s="30"/>
      <c r="Y457" s="30"/>
      <c r="Z457" s="27"/>
      <c r="AA457" s="30"/>
      <c r="AB457" s="30"/>
      <c r="AC457" s="30"/>
      <c r="AD457" s="30"/>
      <c r="AE457" s="30"/>
      <c r="AF457" s="39"/>
      <c r="AG457" s="39"/>
      <c r="AH457" s="39"/>
      <c r="AI457" s="27"/>
      <c r="AJ457" s="30"/>
      <c r="AK457" s="26"/>
      <c r="AL457" s="26"/>
      <c r="AM457" s="30"/>
      <c r="AN457" s="30"/>
      <c r="AO457" s="30"/>
      <c r="AP457" s="39"/>
      <c r="AQ457" s="23"/>
    </row>
    <row r="458" spans="2:43" ht="13.5" customHeight="1" x14ac:dyDescent="0.3">
      <c r="B458" s="31">
        <v>443</v>
      </c>
      <c r="C458" s="36">
        <v>10</v>
      </c>
      <c r="D458" s="44" t="s">
        <v>238</v>
      </c>
      <c r="E458" s="38" t="s">
        <v>251</v>
      </c>
      <c r="F458" s="40"/>
      <c r="G458" s="40" t="s">
        <v>412</v>
      </c>
      <c r="H458" s="81">
        <f t="shared" si="60"/>
        <v>29595.570476949753</v>
      </c>
      <c r="I458" s="53"/>
      <c r="J458" s="30">
        <f t="array" ref="J458">IFERROR(INDEX($H$16:$H$596,MATCH(1,(C458=$C$16:$C$596)*(D458=$D$16:$D$596)*(E458=$E$16:$E$596)*(""=$G$16:$G$596),0)),"에러")</f>
        <v>29595.570476949753</v>
      </c>
      <c r="K458" s="30">
        <f t="array" ref="K458">IFERROR(INDEX($H$16:$H$596,MATCH(1,(C458=$C$16:$C$596)*(D458=$D$16:$D$596)*(E458=$E$16:$E$596)*("생명50%이하"=$G$16:$G$596),0)),"에러")</f>
        <v>29595.570476949753</v>
      </c>
      <c r="L458" s="30"/>
      <c r="M458" s="30"/>
      <c r="N458" s="39"/>
      <c r="O458" s="39"/>
      <c r="P458" s="39"/>
      <c r="Q458" s="35"/>
      <c r="R458" s="24"/>
      <c r="S458" s="30"/>
      <c r="T458" s="30"/>
      <c r="U458" s="30"/>
      <c r="V458" s="30"/>
      <c r="W458" s="30"/>
      <c r="X458" s="30"/>
      <c r="Y458" s="30"/>
      <c r="Z458" s="27"/>
      <c r="AA458" s="30"/>
      <c r="AB458" s="30"/>
      <c r="AC458" s="30"/>
      <c r="AD458" s="30"/>
      <c r="AE458" s="30"/>
      <c r="AF458" s="39"/>
      <c r="AG458" s="39"/>
      <c r="AH458" s="39"/>
      <c r="AI458" s="27"/>
      <c r="AJ458" s="30"/>
      <c r="AK458" s="26"/>
      <c r="AL458" s="26"/>
      <c r="AM458" s="30"/>
      <c r="AN458" s="30"/>
      <c r="AO458" s="30"/>
      <c r="AP458" s="39"/>
      <c r="AQ458" s="23"/>
    </row>
    <row r="459" spans="2:43" ht="13.5" customHeight="1" x14ac:dyDescent="0.3">
      <c r="B459" s="31">
        <v>444</v>
      </c>
      <c r="C459" s="36">
        <v>10</v>
      </c>
      <c r="D459" s="44" t="s">
        <v>238</v>
      </c>
      <c r="E459" s="38" t="s">
        <v>252</v>
      </c>
      <c r="F459" s="40"/>
      <c r="G459" s="40" t="s">
        <v>412</v>
      </c>
      <c r="H459" s="81">
        <f t="shared" si="60"/>
        <v>27949.717254532949</v>
      </c>
      <c r="I459" s="53"/>
      <c r="J459" s="30">
        <f t="array" ref="J459">IFERROR(INDEX($H$16:$H$596,MATCH(1,(C459=$C$16:$C$596)*(D459=$D$16:$D$596)*(E459=$E$16:$E$596)*(""=$G$16:$G$596),0)),"에러")</f>
        <v>27949.717254532949</v>
      </c>
      <c r="K459" s="30">
        <f t="array" ref="K459">IFERROR(INDEX($H$16:$H$596,MATCH(1,(C459=$C$16:$C$596)*(D459=$D$16:$D$596)*(E459=$E$16:$E$596)*("생명50%이하"=$G$16:$G$596),0)),"에러")</f>
        <v>27949.717254532949</v>
      </c>
      <c r="L459" s="30"/>
      <c r="M459" s="30"/>
      <c r="N459" s="39"/>
      <c r="O459" s="39"/>
      <c r="P459" s="39"/>
      <c r="Q459" s="35"/>
      <c r="R459" s="24"/>
      <c r="S459" s="30"/>
      <c r="T459" s="30"/>
      <c r="U459" s="30"/>
      <c r="V459" s="30"/>
      <c r="W459" s="30"/>
      <c r="X459" s="30"/>
      <c r="Y459" s="30"/>
      <c r="Z459" s="27"/>
      <c r="AA459" s="30"/>
      <c r="AB459" s="30"/>
      <c r="AC459" s="30"/>
      <c r="AD459" s="30"/>
      <c r="AE459" s="30"/>
      <c r="AF459" s="39"/>
      <c r="AG459" s="39"/>
      <c r="AH459" s="39"/>
      <c r="AI459" s="27"/>
      <c r="AJ459" s="30"/>
      <c r="AK459" s="26"/>
      <c r="AL459" s="26"/>
      <c r="AM459" s="30"/>
      <c r="AN459" s="30"/>
      <c r="AO459" s="30"/>
      <c r="AP459" s="39"/>
      <c r="AQ459" s="23"/>
    </row>
    <row r="460" spans="2:43" ht="13.5" customHeight="1" x14ac:dyDescent="0.3">
      <c r="B460" s="31">
        <v>445</v>
      </c>
      <c r="C460" s="36">
        <v>10</v>
      </c>
      <c r="D460" s="44" t="s">
        <v>238</v>
      </c>
      <c r="E460" s="38" t="s">
        <v>253</v>
      </c>
      <c r="F460" s="40"/>
      <c r="G460" s="40" t="s">
        <v>412</v>
      </c>
      <c r="H460" s="81">
        <f t="shared" si="60"/>
        <v>29200.379678967183</v>
      </c>
      <c r="I460" s="53"/>
      <c r="J460" s="30">
        <f t="array" ref="J460">IFERROR(INDEX($H$16:$H$596,MATCH(1,(C460=$C$16:$C$596)*(D460=$D$16:$D$596)*(E460=$E$16:$E$596)*(""=$G$16:$G$596),0)),"에러")</f>
        <v>26307.496657305503</v>
      </c>
      <c r="K460" s="30">
        <f t="array" ref="K460">IFERROR(INDEX($H$16:$H$596,MATCH(1,(C460=$C$16:$C$596)*(D460=$D$16:$D$596)*(E460=$E$16:$E$596)*("생명50%이하"=$G$16:$G$596),0)),"에러")</f>
        <v>32808.095950260511</v>
      </c>
      <c r="L460" s="30"/>
      <c r="M460" s="30"/>
      <c r="N460" s="39"/>
      <c r="O460" s="39"/>
      <c r="P460" s="39"/>
      <c r="Q460" s="35"/>
      <c r="R460" s="24"/>
      <c r="S460" s="30"/>
      <c r="T460" s="30"/>
      <c r="U460" s="30"/>
      <c r="V460" s="30"/>
      <c r="W460" s="30"/>
      <c r="X460" s="30"/>
      <c r="Y460" s="30"/>
      <c r="Z460" s="27"/>
      <c r="AA460" s="30"/>
      <c r="AB460" s="30"/>
      <c r="AC460" s="30"/>
      <c r="AD460" s="30"/>
      <c r="AE460" s="30"/>
      <c r="AF460" s="39"/>
      <c r="AG460" s="39"/>
      <c r="AH460" s="39"/>
      <c r="AI460" s="27"/>
      <c r="AJ460" s="30"/>
      <c r="AK460" s="26"/>
      <c r="AL460" s="26"/>
      <c r="AM460" s="30"/>
      <c r="AN460" s="30"/>
      <c r="AO460" s="30"/>
      <c r="AP460" s="39"/>
      <c r="AQ460" s="23"/>
    </row>
    <row r="461" spans="2:43" ht="13.5" customHeight="1" x14ac:dyDescent="0.3">
      <c r="B461" s="31">
        <v>446</v>
      </c>
      <c r="C461" s="36">
        <v>10</v>
      </c>
      <c r="D461" s="44" t="s">
        <v>238</v>
      </c>
      <c r="E461" s="38" t="s">
        <v>254</v>
      </c>
      <c r="F461" s="40"/>
      <c r="G461" s="40" t="s">
        <v>412</v>
      </c>
      <c r="H461" s="81">
        <f t="shared" si="60"/>
        <v>27260.69950713525</v>
      </c>
      <c r="I461" s="53"/>
      <c r="J461" s="30">
        <f t="array" ref="J461">IFERROR(INDEX($H$16:$H$596,MATCH(1,(C461=$C$16:$C$596)*(D461=$D$16:$D$596)*(E461=$E$16:$E$596)*(""=$G$16:$G$596),0)),"에러")</f>
        <v>23675.221288995417</v>
      </c>
      <c r="K461" s="30">
        <f t="array" ref="K461">IFERROR(INDEX($H$16:$H$596,MATCH(1,(C461=$C$16:$C$596)*(D461=$D$16:$D$596)*(E461=$E$16:$E$596)*("생명50%이하"=$G$16:$G$596),0)),"에러")</f>
        <v>32126.000369836926</v>
      </c>
      <c r="L461" s="30"/>
      <c r="M461" s="30"/>
      <c r="N461" s="39"/>
      <c r="O461" s="39"/>
      <c r="P461" s="39"/>
      <c r="Q461" s="35"/>
      <c r="R461" s="24"/>
      <c r="S461" s="30"/>
      <c r="T461" s="30"/>
      <c r="U461" s="30"/>
      <c r="V461" s="30"/>
      <c r="W461" s="30"/>
      <c r="X461" s="30"/>
      <c r="Y461" s="30"/>
      <c r="Z461" s="27"/>
      <c r="AA461" s="30"/>
      <c r="AB461" s="30"/>
      <c r="AC461" s="30"/>
      <c r="AD461" s="30"/>
      <c r="AE461" s="30"/>
      <c r="AF461" s="39"/>
      <c r="AG461" s="39"/>
      <c r="AH461" s="39"/>
      <c r="AI461" s="27"/>
      <c r="AJ461" s="30"/>
      <c r="AK461" s="26"/>
      <c r="AL461" s="26"/>
      <c r="AM461" s="30"/>
      <c r="AN461" s="30"/>
      <c r="AO461" s="30"/>
      <c r="AP461" s="39"/>
      <c r="AQ461" s="23"/>
    </row>
    <row r="462" spans="2:43" ht="13.5" customHeight="1" x14ac:dyDescent="0.3">
      <c r="B462" s="31">
        <v>447</v>
      </c>
      <c r="C462" s="36">
        <v>1</v>
      </c>
      <c r="D462" s="44" t="s">
        <v>255</v>
      </c>
      <c r="E462" s="38" t="s">
        <v>240</v>
      </c>
      <c r="F462" s="40"/>
      <c r="G462" s="40"/>
      <c r="H462" s="81">
        <f t="shared" ref="H462:H485" si="61">I462/AJ462</f>
        <v>15315.416177305244</v>
      </c>
      <c r="I462" s="53">
        <f>SUM(J462:Q462)*IF(입력란!$C$16=1,1.04,IF(입력란!$C$16=2,1.1,IF(입력란!$C$16=3,1.2,1)))*IF(입력란!$C$21=1,1+입력란!$C$38*0.001,IF(입력란!$C$21=2,1+입력란!$C$38*0.0022,IF(입력란!$C$21=3,1+입력란!$C$38*0.0045,1)))*IF(입력란!$C$18&lt;&gt;0,0.98,1)</f>
        <v>363308.76437098597</v>
      </c>
      <c r="J462" s="30">
        <f>S462*(1+IF($AK462+IF(입력란!$C$26=1,10,0)+IF(MID(E462,3,1)="1",IF(G462="생명50%이하",트라이포드!$J$22,트라이포드!$I$22),0)&gt;100,100,$AK462+IF(입력란!$C$26=1,10,0)+IF(MID(E462,3,1)="1",IF(G462="생명50%이하",트라이포드!$J$22,트라이포드!$I$22),0))/100*($AL462/100-1))</f>
        <v>363308.76437098597</v>
      </c>
      <c r="K462" s="30">
        <f>T462*(1+IF($AK462+IF(입력란!$C$26=1,10,0)+IF(MID(E462,3,1)="1",IF(G462="생명50%이하",트라이포드!$J$22,트라이포드!$I$22),0)&gt;100,100,$AK462+IF(입력란!$C$26=1,10,0)+IF(MID(E462,3,1)="1",IF(G462="생명50%이하",트라이포드!$J$22,트라이포드!$I$22),0))/100*($AL462/100-1))</f>
        <v>0</v>
      </c>
      <c r="L462" s="30">
        <f>U462*(1+IF($AK462+IF(입력란!$C$26=1,10,0)+IF(MID(E462,3,1)="1",IF(G462="생명50%이하",트라이포드!$J$22,트라이포드!$I$22),0)&gt;100,100,$AK462+IF(입력란!$C$26=1,10,0)+IF(MID(E462,3,1)="1",IF(G462="생명50%이하",트라이포드!$J$22,트라이포드!$I$22),0))/100*($AL462/100-1))</f>
        <v>0</v>
      </c>
      <c r="M462" s="30">
        <f>V462*(1+IF($AK462+IF(입력란!$C$26=1,10,0)+IF(MID(E462,3,1)="1",IF(G462="생명50%이하",트라이포드!$J$22,트라이포드!$I$22),0)&gt;100,100,$AK462+IF(입력란!$C$26=1,10,0)+IF(MID(E462,3,1)="1",IF(G462="생명50%이하",트라이포드!$J$22,트라이포드!$I$22),0))/100*($AL462/100-1))</f>
        <v>0</v>
      </c>
      <c r="N462" s="39"/>
      <c r="O462" s="39"/>
      <c r="P462" s="39"/>
      <c r="Q462" s="35"/>
      <c r="R462" s="24">
        <f t="shared" ref="R462:R485" si="62">SUM(S462:Z462)</f>
        <v>299279.15581412637</v>
      </c>
      <c r="S462" s="30">
        <f>AN462*IF(MID(E462,3,1)="2",트라이포드!$L$22,트라이포드!$K$22)*IF(MID(E462,5,1)="1",트라이포드!$P$22,트라이포드!$O$22)*(1+입력란!$C$44/100)</f>
        <v>299279.15581412637</v>
      </c>
      <c r="T462" s="30">
        <f>AN462*IF(MID(E462,3,1)="2",트라이포드!$L$22,트라이포드!$K$22)*IF(MID(E462,5,1)="2",트라이포드!$R$22,트라이포드!$F$22)*(1+입력란!$C$44/100)/3</f>
        <v>0</v>
      </c>
      <c r="U462" s="30">
        <f>AN462*IF(MID(E462,3,1)="2",트라이포드!$L$22,트라이포드!$K$22)*IF(MID(E462,5,1)="2",트라이포드!$R$22,트라이포드!$F$22)*(1+입력란!$C$44/100)/3</f>
        <v>0</v>
      </c>
      <c r="V462" s="30">
        <f>AN462*IF(MID(E462,3,1)="2",트라이포드!$L$22,트라이포드!$K$22)*IF(MID(E462,5,1)="2",트라이포드!$R$22,트라이포드!$F$22)*(1+입력란!$C$44/100)/3</f>
        <v>0</v>
      </c>
      <c r="W462" s="30"/>
      <c r="X462" s="30"/>
      <c r="Y462" s="30"/>
      <c r="Z462" s="27"/>
      <c r="AA462" s="30">
        <f t="shared" ref="AA462:AA485" si="63">SUM(AB462:AI462)</f>
        <v>598558.31162825273</v>
      </c>
      <c r="AB462" s="30">
        <f t="shared" ref="AB462:AB485" si="64">S462*2</f>
        <v>598558.31162825273</v>
      </c>
      <c r="AC462" s="30">
        <f t="shared" ref="AC462:AC485" si="65">T462*2</f>
        <v>0</v>
      </c>
      <c r="AD462" s="30">
        <f t="shared" ref="AD462:AD485" si="66">U462*2</f>
        <v>0</v>
      </c>
      <c r="AE462" s="30">
        <f t="shared" ref="AE462:AE485" si="67">V462*2</f>
        <v>0</v>
      </c>
      <c r="AF462" s="39"/>
      <c r="AG462" s="39"/>
      <c r="AH462" s="39"/>
      <c r="AI462" s="27"/>
      <c r="AJ462" s="30">
        <f>AQ462*(1-입력란!$C$35/100)</f>
        <v>23.72176897872</v>
      </c>
      <c r="AK4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2" s="26">
        <f>입력란!$C$47+IF(입력란!$C$18=1,10,IF(입력란!$C$18=2,25,IF(입력란!$C$18=3,50,0)))+IF(입력란!$C$23&lt;&gt;0,-12)</f>
        <v>200</v>
      </c>
      <c r="AM462" s="30">
        <f t="shared" ref="AM462:AM485" si="68">SUM(AN462:AP462)</f>
        <v>220410.50434083381</v>
      </c>
      <c r="AN462" s="30">
        <f>(VLOOKUP(C462,$B$4:$AJ$7,28,FALSE)+VLOOKUP(C462,$B$8:$AJ$11,28,FALSE)*입력란!$C$29)*입력란!$C$48/100</f>
        <v>220410.50434083381</v>
      </c>
      <c r="AO462" s="30"/>
      <c r="AP462" s="39"/>
      <c r="AQ462" s="23">
        <v>24</v>
      </c>
    </row>
    <row r="463" spans="2:43" ht="13.5" customHeight="1" x14ac:dyDescent="0.3">
      <c r="B463" s="31">
        <v>448</v>
      </c>
      <c r="C463" s="40">
        <v>4</v>
      </c>
      <c r="D463" s="44" t="s">
        <v>255</v>
      </c>
      <c r="E463" s="38" t="s">
        <v>240</v>
      </c>
      <c r="F463" s="40"/>
      <c r="G463" s="40"/>
      <c r="H463" s="81">
        <f t="shared" si="61"/>
        <v>15348.574835608153</v>
      </c>
      <c r="I463" s="53">
        <f>SUM(J463:Q463)*IF(입력란!$C$16=1,1.04,IF(입력란!$C$16=2,1.1,IF(입력란!$C$16=3,1.2,1)))*IF(입력란!$C$21=1,1+입력란!$C$38*0.001,IF(입력란!$C$21=2,1+입력란!$C$38*0.0022,IF(입력란!$C$21=3,1+입력란!$C$38*0.0045,1)))*IF(입력란!$C$18&lt;&gt;0,0.98,1)</f>
        <v>364095.34640289191</v>
      </c>
      <c r="J463" s="30">
        <f>S463*(1+IF($AK463+IF(입력란!$C$26=1,10,0)+IF(MID(E463,3,1)="1",IF(G463="생명50%이하",트라이포드!$J$22,트라이포드!$I$22),0)&gt;100,100,$AK463+IF(입력란!$C$26=1,10,0)+IF(MID(E463,3,1)="1",IF(G463="생명50%이하",트라이포드!$J$22,트라이포드!$I$22),0))/100*($AL463/100-1))</f>
        <v>364095.34640289191</v>
      </c>
      <c r="K463" s="30">
        <f>T463*(1+IF($AK463+IF(입력란!$C$26=1,10,0)+IF(MID(E463,3,1)="1",IF(G463="생명50%이하",트라이포드!$J$22,트라이포드!$I$22),0)&gt;100,100,$AK463+IF(입력란!$C$26=1,10,0)+IF(MID(E463,3,1)="1",IF(G463="생명50%이하",트라이포드!$J$22,트라이포드!$I$22),0))/100*($AL463/100-1))</f>
        <v>0</v>
      </c>
      <c r="L463" s="30">
        <f>U463*(1+IF($AK463+IF(입력란!$C$26=1,10,0)+IF(MID(E463,3,1)="1",IF(G463="생명50%이하",트라이포드!$J$22,트라이포드!$I$22),0)&gt;100,100,$AK463+IF(입력란!$C$26=1,10,0)+IF(MID(E463,3,1)="1",IF(G463="생명50%이하",트라이포드!$J$22,트라이포드!$I$22),0))/100*($AL463/100-1))</f>
        <v>0</v>
      </c>
      <c r="M463" s="30">
        <f>V463*(1+IF($AK463+IF(입력란!$C$26=1,10,0)+IF(MID(E463,3,1)="1",IF(G463="생명50%이하",트라이포드!$J$22,트라이포드!$I$22),0)&gt;100,100,$AK463+IF(입력란!$C$26=1,10,0)+IF(MID(E463,3,1)="1",IF(G463="생명50%이하",트라이포드!$J$22,트라이포드!$I$22),0))/100*($AL463/100-1))</f>
        <v>0</v>
      </c>
      <c r="N463" s="39"/>
      <c r="O463" s="39"/>
      <c r="P463" s="39"/>
      <c r="Q463" s="35"/>
      <c r="R463" s="24">
        <f t="shared" si="62"/>
        <v>299927.11047300982</v>
      </c>
      <c r="S463" s="30">
        <f>AN463*IF(MID(E463,3,1)="2",트라이포드!$L$22,트라이포드!$K$22)*IF(MID(E463,5,1)="1",트라이포드!$P$22,트라이포드!$O$22)*(1+입력란!$C$44/100)</f>
        <v>299927.11047300982</v>
      </c>
      <c r="T463" s="30">
        <f>AN463*IF(MID(E463,3,1)="2",트라이포드!$L$22,트라이포드!$K$22)*IF(MID(E463,5,1)="2",트라이포드!$R$22,트라이포드!$F$22)*(1+입력란!$C$44/100)/3</f>
        <v>0</v>
      </c>
      <c r="U463" s="30">
        <f>AN463*IF(MID(E463,3,1)="2",트라이포드!$L$22,트라이포드!$K$22)*IF(MID(E463,5,1)="2",트라이포드!$R$22,트라이포드!$F$22)*(1+입력란!$C$44/100)/3</f>
        <v>0</v>
      </c>
      <c r="V463" s="30">
        <f>AN463*IF(MID(E463,3,1)="2",트라이포드!$L$22,트라이포드!$K$22)*IF(MID(E463,5,1)="2",트라이포드!$R$22,트라이포드!$F$22)*(1+입력란!$C$44/100)/3</f>
        <v>0</v>
      </c>
      <c r="W463" s="26"/>
      <c r="X463" s="26"/>
      <c r="Y463" s="26"/>
      <c r="Z463" s="27"/>
      <c r="AA463" s="30">
        <f t="shared" si="63"/>
        <v>599854.22094601963</v>
      </c>
      <c r="AB463" s="30">
        <f t="shared" si="64"/>
        <v>599854.22094601963</v>
      </c>
      <c r="AC463" s="30">
        <f t="shared" si="65"/>
        <v>0</v>
      </c>
      <c r="AD463" s="30">
        <f t="shared" si="66"/>
        <v>0</v>
      </c>
      <c r="AE463" s="30">
        <f t="shared" si="67"/>
        <v>0</v>
      </c>
      <c r="AF463" s="39"/>
      <c r="AG463" s="39"/>
      <c r="AH463" s="39"/>
      <c r="AI463" s="25"/>
      <c r="AJ463" s="30">
        <f>AQ463*(1-입력란!$C$35/100)</f>
        <v>23.72176897872</v>
      </c>
      <c r="AK4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3" s="26">
        <f>입력란!$C$47+IF(입력란!$C$18=1,10,IF(입력란!$C$18=2,25,IF(입력란!$C$18=3,50,0)))+IF(입력란!$C$23&lt;&gt;0,-12)</f>
        <v>200</v>
      </c>
      <c r="AM463" s="26">
        <f t="shared" si="68"/>
        <v>220887.70434083379</v>
      </c>
      <c r="AN463" s="30">
        <f>(VLOOKUP(C463,$B$4:$AJ$7,28,FALSE)+VLOOKUP(C463,$B$8:$AJ$11,28,FALSE)*입력란!$C$29)*입력란!$C$48/100</f>
        <v>220887.70434083379</v>
      </c>
      <c r="AO463" s="39"/>
      <c r="AP463" s="39"/>
      <c r="AQ463" s="23">
        <v>24</v>
      </c>
    </row>
    <row r="464" spans="2:43" ht="13.5" customHeight="1" x14ac:dyDescent="0.3">
      <c r="B464" s="31">
        <v>449</v>
      </c>
      <c r="C464" s="40">
        <v>7</v>
      </c>
      <c r="D464" s="44" t="s">
        <v>255</v>
      </c>
      <c r="E464" s="38" t="s">
        <v>240</v>
      </c>
      <c r="F464" s="40"/>
      <c r="G464" s="40"/>
      <c r="H464" s="81">
        <f t="shared" si="61"/>
        <v>15364.028493626945</v>
      </c>
      <c r="I464" s="53">
        <f>SUM(J464:Q464)*IF(입력란!$C$16=1,1.04,IF(입력란!$C$16=2,1.1,IF(입력란!$C$16=3,1.2,1)))*IF(입력란!$C$21=1,1+입력란!$C$38*0.001,IF(입력란!$C$21=2,1+입력란!$C$38*0.0022,IF(입력란!$C$21=3,1+입력란!$C$38*0.0045,1)))*IF(입력란!$C$18&lt;&gt;0,0.98,1)</f>
        <v>364461.93450828985</v>
      </c>
      <c r="J464" s="30">
        <f>S464*(1+IF($AK464+IF(입력란!$C$26=1,10,0)+IF(MID(E464,3,1)="1",IF(G464="생명50%이하",트라이포드!$J$22,트라이포드!$I$22),0)&gt;100,100,$AK464+IF(입력란!$C$26=1,10,0)+IF(MID(E464,3,1)="1",IF(G464="생명50%이하",트라이포드!$J$22,트라이포드!$I$22),0))/100*($AL464/100-1))</f>
        <v>364461.93450828985</v>
      </c>
      <c r="K464" s="30">
        <f>T464*(1+IF($AK464+IF(입력란!$C$26=1,10,0)+IF(MID(E464,3,1)="1",IF(G464="생명50%이하",트라이포드!$J$22,트라이포드!$I$22),0)&gt;100,100,$AK464+IF(입력란!$C$26=1,10,0)+IF(MID(E464,3,1)="1",IF(G464="생명50%이하",트라이포드!$J$22,트라이포드!$I$22),0))/100*($AL464/100-1))</f>
        <v>0</v>
      </c>
      <c r="L464" s="30">
        <f>U464*(1+IF($AK464+IF(입력란!$C$26=1,10,0)+IF(MID(E464,3,1)="1",IF(G464="생명50%이하",트라이포드!$J$22,트라이포드!$I$22),0)&gt;100,100,$AK464+IF(입력란!$C$26=1,10,0)+IF(MID(E464,3,1)="1",IF(G464="생명50%이하",트라이포드!$J$22,트라이포드!$I$22),0))/100*($AL464/100-1))</f>
        <v>0</v>
      </c>
      <c r="M464" s="30">
        <f>V464*(1+IF($AK464+IF(입력란!$C$26=1,10,0)+IF(MID(E464,3,1)="1",IF(G464="생명50%이하",트라이포드!$J$22,트라이포드!$I$22),0)&gt;100,100,$AK464+IF(입력란!$C$26=1,10,0)+IF(MID(E464,3,1)="1",IF(G464="생명50%이하",트라이포드!$J$22,트라이포드!$I$22),0))/100*($AL464/100-1))</f>
        <v>0</v>
      </c>
      <c r="N464" s="39"/>
      <c r="O464" s="39"/>
      <c r="P464" s="39"/>
      <c r="Q464" s="35"/>
      <c r="R464" s="24">
        <f t="shared" si="62"/>
        <v>300229.09101813909</v>
      </c>
      <c r="S464" s="30">
        <f>AN464*IF(MID(E464,3,1)="2",트라이포드!$L$22,트라이포드!$K$22)*IF(MID(E464,5,1)="1",트라이포드!$P$22,트라이포드!$O$22)*(1+입력란!$C$44/100)</f>
        <v>300229.09101813909</v>
      </c>
      <c r="T464" s="30">
        <f>AN464*IF(MID(E464,3,1)="2",트라이포드!$L$22,트라이포드!$K$22)*IF(MID(E464,5,1)="2",트라이포드!$R$22,트라이포드!$F$22)*(1+입력란!$C$44/100)/3</f>
        <v>0</v>
      </c>
      <c r="U464" s="30">
        <f>AN464*IF(MID(E464,3,1)="2",트라이포드!$L$22,트라이포드!$K$22)*IF(MID(E464,5,1)="2",트라이포드!$R$22,트라이포드!$F$22)*(1+입력란!$C$44/100)/3</f>
        <v>0</v>
      </c>
      <c r="V464" s="30">
        <f>AN464*IF(MID(E464,3,1)="2",트라이포드!$L$22,트라이포드!$K$22)*IF(MID(E464,5,1)="2",트라이포드!$R$22,트라이포드!$F$22)*(1+입력란!$C$44/100)/3</f>
        <v>0</v>
      </c>
      <c r="W464" s="26"/>
      <c r="X464" s="26"/>
      <c r="Y464" s="26"/>
      <c r="Z464" s="27"/>
      <c r="AA464" s="30">
        <f t="shared" si="63"/>
        <v>600458.18203627819</v>
      </c>
      <c r="AB464" s="30">
        <f t="shared" si="64"/>
        <v>600458.18203627819</v>
      </c>
      <c r="AC464" s="30">
        <f t="shared" si="65"/>
        <v>0</v>
      </c>
      <c r="AD464" s="30">
        <f t="shared" si="66"/>
        <v>0</v>
      </c>
      <c r="AE464" s="30">
        <f t="shared" si="67"/>
        <v>0</v>
      </c>
      <c r="AF464" s="39"/>
      <c r="AG464" s="39"/>
      <c r="AH464" s="39"/>
      <c r="AI464" s="25"/>
      <c r="AJ464" s="30">
        <f>AQ464*(1-입력란!$C$35/100)</f>
        <v>23.72176897872</v>
      </c>
      <c r="AK4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4" s="26">
        <f>입력란!$C$47+IF(입력란!$C$18=1,10,IF(입력란!$C$18=2,25,IF(입력란!$C$18=3,50,0)))+IF(입력란!$C$23&lt;&gt;0,-12)</f>
        <v>200</v>
      </c>
      <c r="AM464" s="26">
        <f t="shared" si="68"/>
        <v>221110.10434083379</v>
      </c>
      <c r="AN464" s="30">
        <f>(VLOOKUP(C464,$B$4:$AJ$7,28,FALSE)+VLOOKUP(C464,$B$8:$AJ$11,28,FALSE)*입력란!$C$29)*입력란!$C$48/100</f>
        <v>221110.10434083379</v>
      </c>
      <c r="AO464" s="39"/>
      <c r="AP464" s="39"/>
      <c r="AQ464" s="23">
        <v>24</v>
      </c>
    </row>
    <row r="465" spans="2:43" ht="13.5" customHeight="1" x14ac:dyDescent="0.3">
      <c r="B465" s="31">
        <v>450</v>
      </c>
      <c r="C465" s="40">
        <v>7</v>
      </c>
      <c r="D465" s="44" t="s">
        <v>255</v>
      </c>
      <c r="E465" s="38" t="s">
        <v>242</v>
      </c>
      <c r="F465" s="40"/>
      <c r="G465" s="40"/>
      <c r="H465" s="81">
        <f t="shared" si="61"/>
        <v>15364.028493626945</v>
      </c>
      <c r="I465" s="53">
        <f>SUM(J465:Q465)*IF(입력란!$C$16=1,1.04,IF(입력란!$C$16=2,1.1,IF(입력란!$C$16=3,1.2,1)))*IF(입력란!$C$21=1,1+입력란!$C$38*0.001,IF(입력란!$C$21=2,1+입력란!$C$38*0.0022,IF(입력란!$C$21=3,1+입력란!$C$38*0.0045,1)))*IF(입력란!$C$18&lt;&gt;0,0.98,1)</f>
        <v>364461.93450828985</v>
      </c>
      <c r="J465" s="30">
        <f>S465*(1+IF($AK465+IF(입력란!$C$26=1,10,0)+IF(MID(E465,3,1)="1",IF(G465="생명50%이하",트라이포드!$J$22,트라이포드!$I$22),0)&gt;100,100,$AK465+IF(입력란!$C$26=1,10,0)+IF(MID(E465,3,1)="1",IF(G465="생명50%이하",트라이포드!$J$22,트라이포드!$I$22),0))/100*($AL465/100-1))</f>
        <v>364461.93450828985</v>
      </c>
      <c r="K465" s="30">
        <f>T465*(1+IF($AK465+IF(입력란!$C$26=1,10,0)+IF(MID(E465,3,1)="1",IF(G465="생명50%이하",트라이포드!$J$22,트라이포드!$I$22),0)&gt;100,100,$AK465+IF(입력란!$C$26=1,10,0)+IF(MID(E465,3,1)="1",IF(G465="생명50%이하",트라이포드!$J$22,트라이포드!$I$22),0))/100*($AL465/100-1))</f>
        <v>0</v>
      </c>
      <c r="L465" s="30">
        <f>U465*(1+IF($AK465+IF(입력란!$C$26=1,10,0)+IF(MID(E465,3,1)="1",IF(G465="생명50%이하",트라이포드!$J$22,트라이포드!$I$22),0)&gt;100,100,$AK465+IF(입력란!$C$26=1,10,0)+IF(MID(E465,3,1)="1",IF(G465="생명50%이하",트라이포드!$J$22,트라이포드!$I$22),0))/100*($AL465/100-1))</f>
        <v>0</v>
      </c>
      <c r="M465" s="30">
        <f>V465*(1+IF($AK465+IF(입력란!$C$26=1,10,0)+IF(MID(E465,3,1)="1",IF(G465="생명50%이하",트라이포드!$J$22,트라이포드!$I$22),0)&gt;100,100,$AK465+IF(입력란!$C$26=1,10,0)+IF(MID(E465,3,1)="1",IF(G465="생명50%이하",트라이포드!$J$22,트라이포드!$I$22),0))/100*($AL465/100-1))</f>
        <v>0</v>
      </c>
      <c r="N465" s="39"/>
      <c r="O465" s="39"/>
      <c r="P465" s="39"/>
      <c r="Q465" s="35"/>
      <c r="R465" s="24">
        <f t="shared" si="62"/>
        <v>300229.09101813909</v>
      </c>
      <c r="S465" s="30">
        <f>AN465*IF(MID(E465,3,1)="2",트라이포드!$L$22,트라이포드!$K$22)*IF(MID(E465,5,1)="1",트라이포드!$P$22,트라이포드!$O$22)*(1+입력란!$C$44/100)</f>
        <v>300229.09101813909</v>
      </c>
      <c r="T465" s="30">
        <f>AN465*IF(MID(E465,3,1)="2",트라이포드!$L$22,트라이포드!$K$22)*IF(MID(E465,5,1)="2",트라이포드!$R$22,트라이포드!$F$22)*(1+입력란!$C$44/100)/3</f>
        <v>0</v>
      </c>
      <c r="U465" s="30">
        <f>AN465*IF(MID(E465,3,1)="2",트라이포드!$L$22,트라이포드!$K$22)*IF(MID(E465,5,1)="2",트라이포드!$R$22,트라이포드!$F$22)*(1+입력란!$C$44/100)/3</f>
        <v>0</v>
      </c>
      <c r="V465" s="30">
        <f>AN465*IF(MID(E465,3,1)="2",트라이포드!$L$22,트라이포드!$K$22)*IF(MID(E465,5,1)="2",트라이포드!$R$22,트라이포드!$F$22)*(1+입력란!$C$44/100)/3</f>
        <v>0</v>
      </c>
      <c r="W465" s="26"/>
      <c r="X465" s="26"/>
      <c r="Y465" s="26"/>
      <c r="Z465" s="27"/>
      <c r="AA465" s="30">
        <f t="shared" si="63"/>
        <v>600458.18203627819</v>
      </c>
      <c r="AB465" s="30">
        <f t="shared" si="64"/>
        <v>600458.18203627819</v>
      </c>
      <c r="AC465" s="30">
        <f t="shared" si="65"/>
        <v>0</v>
      </c>
      <c r="AD465" s="30">
        <f t="shared" si="66"/>
        <v>0</v>
      </c>
      <c r="AE465" s="30">
        <f t="shared" si="67"/>
        <v>0</v>
      </c>
      <c r="AF465" s="39"/>
      <c r="AG465" s="39"/>
      <c r="AH465" s="39"/>
      <c r="AI465" s="25"/>
      <c r="AJ465" s="30">
        <f>AQ465*(1-입력란!$C$35/100)</f>
        <v>23.72176897872</v>
      </c>
      <c r="AK4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5" s="26">
        <f>입력란!$C$47+IF(입력란!$C$18=1,10,IF(입력란!$C$18=2,25,IF(입력란!$C$18=3,50,0)))+IF(입력란!$C$23&lt;&gt;0,-12)</f>
        <v>200</v>
      </c>
      <c r="AM465" s="26">
        <f t="shared" si="68"/>
        <v>221110.10434083379</v>
      </c>
      <c r="AN465" s="30">
        <f>(VLOOKUP(C465,$B$4:$AJ$7,28,FALSE)+VLOOKUP(C465,$B$8:$AJ$11,28,FALSE)*입력란!$C$29)*입력란!$C$48/100</f>
        <v>221110.10434083379</v>
      </c>
      <c r="AO465" s="39"/>
      <c r="AP465" s="39"/>
      <c r="AQ465" s="23">
        <v>24</v>
      </c>
    </row>
    <row r="466" spans="2:43" ht="13.5" customHeight="1" x14ac:dyDescent="0.3">
      <c r="B466" s="31">
        <v>451</v>
      </c>
      <c r="C466" s="40">
        <v>7</v>
      </c>
      <c r="D466" s="44" t="s">
        <v>255</v>
      </c>
      <c r="E466" s="38" t="s">
        <v>241</v>
      </c>
      <c r="F466" s="40" t="s">
        <v>261</v>
      </c>
      <c r="G466" s="40"/>
      <c r="H466" s="81">
        <f t="shared" si="61"/>
        <v>21509.639891077724</v>
      </c>
      <c r="I466" s="53">
        <f>SUM(J466:Q466)*IF(입력란!$C$16=1,1.04,IF(입력란!$C$16=2,1.1,IF(입력란!$C$16=3,1.2,1)))*IF(입력란!$C$21=1,1+입력란!$C$38*0.001,IF(입력란!$C$21=2,1+입력란!$C$38*0.0022,IF(입력란!$C$21=3,1+입력란!$C$38*0.0045,1)))*IF(입력란!$C$18&lt;&gt;0,0.98,1)</f>
        <v>510246.70831160579</v>
      </c>
      <c r="J466" s="30">
        <f>S466*(1+IF($AK466+IF(입력란!$C$26=1,10,0)+IF(MID(E466,3,1)="1",IF(G466="생명50%이하",트라이포드!$J$22,트라이포드!$I$22),0)&gt;100,100,$AK466+IF(입력란!$C$26=1,10,0)+IF(MID(E466,3,1)="1",IF(G466="생명50%이하",트라이포드!$J$22,트라이포드!$I$22),0))/100*($AL466/100-1))</f>
        <v>510246.70831160579</v>
      </c>
      <c r="K466" s="30">
        <f>T466*(1+IF($AK466+IF(입력란!$C$26=1,10,0)+IF(MID(E466,3,1)="1",IF(G466="생명50%이하",트라이포드!$J$22,트라이포드!$I$22),0)&gt;100,100,$AK466+IF(입력란!$C$26=1,10,0)+IF(MID(E466,3,1)="1",IF(G466="생명50%이하",트라이포드!$J$22,트라이포드!$I$22),0))/100*($AL466/100-1))</f>
        <v>0</v>
      </c>
      <c r="L466" s="30">
        <f>U466*(1+IF($AK466+IF(입력란!$C$26=1,10,0)+IF(MID(E466,3,1)="1",IF(G466="생명50%이하",트라이포드!$J$22,트라이포드!$I$22),0)&gt;100,100,$AK466+IF(입력란!$C$26=1,10,0)+IF(MID(E466,3,1)="1",IF(G466="생명50%이하",트라이포드!$J$22,트라이포드!$I$22),0))/100*($AL466/100-1))</f>
        <v>0</v>
      </c>
      <c r="M466" s="30">
        <f>V466*(1+IF($AK466+IF(입력란!$C$26=1,10,0)+IF(MID(E466,3,1)="1",IF(G466="생명50%이하",트라이포드!$J$22,트라이포드!$I$22),0)&gt;100,100,$AK466+IF(입력란!$C$26=1,10,0)+IF(MID(E466,3,1)="1",IF(G466="생명50%이하",트라이포드!$J$22,트라이포드!$I$22),0))/100*($AL466/100-1))</f>
        <v>0</v>
      </c>
      <c r="N466" s="39"/>
      <c r="O466" s="39"/>
      <c r="P466" s="39"/>
      <c r="Q466" s="35"/>
      <c r="R466" s="24">
        <f t="shared" si="62"/>
        <v>420320.7274253947</v>
      </c>
      <c r="S466" s="30">
        <f>AN466*IF(MID(E466,3,1)="2",트라이포드!$L$22,트라이포드!$K$22)*IF(MID(E466,5,1)="1",트라이포드!$P$22,트라이포드!$O$22)*(1+입력란!$C$44/100)</f>
        <v>420320.7274253947</v>
      </c>
      <c r="T466" s="30">
        <f>AN466*IF(MID(E466,3,1)="2",트라이포드!$L$22,트라이포드!$K$22)*IF(MID(E466,5,1)="2",트라이포드!$R$22,트라이포드!$F$22)*(1+입력란!$C$44/100)/3</f>
        <v>0</v>
      </c>
      <c r="U466" s="30">
        <f>AN466*IF(MID(E466,3,1)="2",트라이포드!$L$22,트라이포드!$K$22)*IF(MID(E466,5,1)="2",트라이포드!$R$22,트라이포드!$F$22)*(1+입력란!$C$44/100)/3</f>
        <v>0</v>
      </c>
      <c r="V466" s="30">
        <f>AN466*IF(MID(E466,3,1)="2",트라이포드!$L$22,트라이포드!$K$22)*IF(MID(E466,5,1)="2",트라이포드!$R$22,트라이포드!$F$22)*(1+입력란!$C$44/100)/3</f>
        <v>0</v>
      </c>
      <c r="W466" s="26"/>
      <c r="X466" s="26"/>
      <c r="Y466" s="26"/>
      <c r="Z466" s="27"/>
      <c r="AA466" s="30">
        <f t="shared" si="63"/>
        <v>840641.45485078939</v>
      </c>
      <c r="AB466" s="30">
        <f t="shared" si="64"/>
        <v>840641.45485078939</v>
      </c>
      <c r="AC466" s="30">
        <f t="shared" si="65"/>
        <v>0</v>
      </c>
      <c r="AD466" s="30">
        <f t="shared" si="66"/>
        <v>0</v>
      </c>
      <c r="AE466" s="30">
        <f t="shared" si="67"/>
        <v>0</v>
      </c>
      <c r="AF466" s="39"/>
      <c r="AG466" s="39"/>
      <c r="AH466" s="39"/>
      <c r="AI466" s="25"/>
      <c r="AJ466" s="30">
        <f>AQ466*(1-입력란!$C$35/100)</f>
        <v>23.72176897872</v>
      </c>
      <c r="AK4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6" s="26">
        <f>입력란!$C$47+IF(입력란!$C$18=1,10,IF(입력란!$C$18=2,25,IF(입력란!$C$18=3,50,0)))+IF(입력란!$C$23&lt;&gt;0,-12)</f>
        <v>200</v>
      </c>
      <c r="AM466" s="26">
        <f t="shared" si="68"/>
        <v>221110.10434083379</v>
      </c>
      <c r="AN466" s="30">
        <f>(VLOOKUP(C466,$B$4:$AJ$7,28,FALSE)+VLOOKUP(C466,$B$8:$AJ$11,28,FALSE)*입력란!$C$29)*입력란!$C$48/100</f>
        <v>221110.10434083379</v>
      </c>
      <c r="AO466" s="39"/>
      <c r="AP466" s="39"/>
      <c r="AQ466" s="23">
        <v>24</v>
      </c>
    </row>
    <row r="467" spans="2:43" ht="13.5" customHeight="1" x14ac:dyDescent="0.3">
      <c r="B467" s="31">
        <v>452</v>
      </c>
      <c r="C467" s="40">
        <v>10</v>
      </c>
      <c r="D467" s="44" t="s">
        <v>255</v>
      </c>
      <c r="E467" s="38" t="s">
        <v>240</v>
      </c>
      <c r="F467" s="40"/>
      <c r="G467" s="40"/>
      <c r="H467" s="81">
        <f t="shared" si="61"/>
        <v>15373.89548750585</v>
      </c>
      <c r="I467" s="53">
        <f>SUM(J467:Q467)*IF(입력란!$C$16=1,1.04,IF(입력란!$C$16=2,1.1,IF(입력란!$C$16=3,1.2,1)))*IF(입력란!$C$21=1,1+입력란!$C$38*0.001,IF(입력란!$C$21=2,1+입력란!$C$38*0.0022,IF(입력란!$C$21=3,1+입력란!$C$38*0.0045,1)))*IF(입력란!$C$18&lt;&gt;0,0.98,1)</f>
        <v>364695.99705759966</v>
      </c>
      <c r="J467" s="30">
        <f>S467*(1+IF($AK467+IF(입력란!$C$26=1,10,0)+IF(MID(E467,3,1)="1",IF(G467="생명50%이하",트라이포드!$J$22,트라이포드!$I$22),0)&gt;100,100,$AK467+IF(입력란!$C$26=1,10,0)+IF(MID(E467,3,1)="1",IF(G467="생명50%이하",트라이포드!$J$22,트라이포드!$I$22),0))/100*($AL467/100-1))</f>
        <v>364695.99705759966</v>
      </c>
      <c r="K467" s="30">
        <f>T467*(1+IF($AK467+IF(입력란!$C$26=1,10,0)+IF(MID(E467,3,1)="1",IF(G467="생명50%이하",트라이포드!$J$22,트라이포드!$I$22),0)&gt;100,100,$AK467+IF(입력란!$C$26=1,10,0)+IF(MID(E467,3,1)="1",IF(G467="생명50%이하",트라이포드!$J$22,트라이포드!$I$22),0))/100*($AL467/100-1))</f>
        <v>0</v>
      </c>
      <c r="L467" s="30">
        <f>U467*(1+IF($AK467+IF(입력란!$C$26=1,10,0)+IF(MID(E467,3,1)="1",IF(G467="생명50%이하",트라이포드!$J$22,트라이포드!$I$22),0)&gt;100,100,$AK467+IF(입력란!$C$26=1,10,0)+IF(MID(E467,3,1)="1",IF(G467="생명50%이하",트라이포드!$J$22,트라이포드!$I$22),0))/100*($AL467/100-1))</f>
        <v>0</v>
      </c>
      <c r="M467" s="30">
        <f>V467*(1+IF($AK467+IF(입력란!$C$26=1,10,0)+IF(MID(E467,3,1)="1",IF(G467="생명50%이하",트라이포드!$J$22,트라이포드!$I$22),0)&gt;100,100,$AK467+IF(입력란!$C$26=1,10,0)+IF(MID(E467,3,1)="1",IF(G467="생명50%이하",트라이포드!$J$22,트라이포드!$I$22),0))/100*($AL467/100-1))</f>
        <v>0</v>
      </c>
      <c r="N467" s="39"/>
      <c r="O467" s="39"/>
      <c r="P467" s="39"/>
      <c r="Q467" s="35"/>
      <c r="R467" s="24">
        <f t="shared" si="62"/>
        <v>300421.90233742126</v>
      </c>
      <c r="S467" s="30">
        <f>AN467*IF(MID(E467,3,1)="2",트라이포드!$L$22,트라이포드!$K$22)*IF(MID(E467,5,1)="1",트라이포드!$P$22,트라이포드!$O$22)*(1+입력란!$C$44/100)</f>
        <v>300421.90233742126</v>
      </c>
      <c r="T467" s="30">
        <f>AN467*IF(MID(E467,3,1)="2",트라이포드!$L$22,트라이포드!$K$22)*IF(MID(E467,5,1)="2",트라이포드!$R$22,트라이포드!$F$22)*(1+입력란!$C$44/100)/3</f>
        <v>0</v>
      </c>
      <c r="U467" s="30">
        <f>AN467*IF(MID(E467,3,1)="2",트라이포드!$L$22,트라이포드!$K$22)*IF(MID(E467,5,1)="2",트라이포드!$R$22,트라이포드!$F$22)*(1+입력란!$C$44/100)/3</f>
        <v>0</v>
      </c>
      <c r="V467" s="30">
        <f>AN467*IF(MID(E467,3,1)="2",트라이포드!$L$22,트라이포드!$K$22)*IF(MID(E467,5,1)="2",트라이포드!$R$22,트라이포드!$F$22)*(1+입력란!$C$44/100)/3</f>
        <v>0</v>
      </c>
      <c r="W467" s="26"/>
      <c r="X467" s="26"/>
      <c r="Y467" s="26"/>
      <c r="Z467" s="27"/>
      <c r="AA467" s="30">
        <f t="shared" si="63"/>
        <v>600843.80467484251</v>
      </c>
      <c r="AB467" s="30">
        <f t="shared" si="64"/>
        <v>600843.80467484251</v>
      </c>
      <c r="AC467" s="30">
        <f t="shared" si="65"/>
        <v>0</v>
      </c>
      <c r="AD467" s="30">
        <f t="shared" si="66"/>
        <v>0</v>
      </c>
      <c r="AE467" s="30">
        <f t="shared" si="67"/>
        <v>0</v>
      </c>
      <c r="AF467" s="39"/>
      <c r="AG467" s="39"/>
      <c r="AH467" s="39"/>
      <c r="AI467" s="25"/>
      <c r="AJ467" s="30">
        <f>AQ467*(1-입력란!$C$35/100)</f>
        <v>23.72176897872</v>
      </c>
      <c r="AK4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7" s="26">
        <f>입력란!$C$47+IF(입력란!$C$18=1,10,IF(입력란!$C$18=2,25,IF(입력란!$C$18=3,50,0)))+IF(입력란!$C$23&lt;&gt;0,-12)</f>
        <v>200</v>
      </c>
      <c r="AM467" s="26">
        <f t="shared" si="68"/>
        <v>221252.10434083379</v>
      </c>
      <c r="AN467" s="30">
        <f>(VLOOKUP(C467,$B$4:$AJ$7,28,FALSE)+VLOOKUP(C467,$B$8:$AJ$11,28,FALSE)*입력란!$C$29)*입력란!$C$48/100</f>
        <v>221252.10434083379</v>
      </c>
      <c r="AO467" s="39"/>
      <c r="AP467" s="39"/>
      <c r="AQ467" s="23">
        <v>24</v>
      </c>
    </row>
    <row r="468" spans="2:43" ht="13.5" customHeight="1" x14ac:dyDescent="0.3">
      <c r="B468" s="31">
        <v>453</v>
      </c>
      <c r="C468" s="40">
        <v>10</v>
      </c>
      <c r="D468" s="44" t="s">
        <v>255</v>
      </c>
      <c r="E468" s="38" t="s">
        <v>247</v>
      </c>
      <c r="F468" s="40"/>
      <c r="G468" s="40"/>
      <c r="H468" s="81">
        <f t="shared" si="61"/>
        <v>30747.7909750117</v>
      </c>
      <c r="I468" s="53">
        <f>SUM(J468:Q468)*IF(입력란!$C$16=1,1.04,IF(입력란!$C$16=2,1.1,IF(입력란!$C$16=3,1.2,1)))*IF(입력란!$C$21=1,1+입력란!$C$38*0.001,IF(입력란!$C$21=2,1+입력란!$C$38*0.0022,IF(입력란!$C$21=3,1+입력란!$C$38*0.0045,1)))*IF(입력란!$C$18&lt;&gt;0,0.98,1)</f>
        <v>729391.99411519931</v>
      </c>
      <c r="J468" s="30">
        <f>S468*(1+IF($AK468+IF(입력란!$C$26=1,10,0)+IF(MID(E468,3,1)="1",IF(G468="생명50%이하",트라이포드!$J$22,트라이포드!$I$22),0)&gt;100,100,$AK468+IF(입력란!$C$26=1,10,0)+IF(MID(E468,3,1)="1",IF(G468="생명50%이하",트라이포드!$J$22,트라이포드!$I$22),0))/100*($AL468/100-1))</f>
        <v>729391.99411519931</v>
      </c>
      <c r="K468" s="30">
        <f>T468*(1+IF($AK468+IF(입력란!$C$26=1,10,0)+IF(MID(E468,3,1)="1",IF(G468="생명50%이하",트라이포드!$J$22,트라이포드!$I$22),0)&gt;100,100,$AK468+IF(입력란!$C$26=1,10,0)+IF(MID(E468,3,1)="1",IF(G468="생명50%이하",트라이포드!$J$22,트라이포드!$I$22),0))/100*($AL468/100-1))</f>
        <v>0</v>
      </c>
      <c r="L468" s="30">
        <f>U468*(1+IF($AK468+IF(입력란!$C$26=1,10,0)+IF(MID(E468,3,1)="1",IF(G468="생명50%이하",트라이포드!$J$22,트라이포드!$I$22),0)&gt;100,100,$AK468+IF(입력란!$C$26=1,10,0)+IF(MID(E468,3,1)="1",IF(G468="생명50%이하",트라이포드!$J$22,트라이포드!$I$22),0))/100*($AL468/100-1))</f>
        <v>0</v>
      </c>
      <c r="M468" s="30">
        <f>V468*(1+IF($AK468+IF(입력란!$C$26=1,10,0)+IF(MID(E468,3,1)="1",IF(G468="생명50%이하",트라이포드!$J$22,트라이포드!$I$22),0)&gt;100,100,$AK468+IF(입력란!$C$26=1,10,0)+IF(MID(E468,3,1)="1",IF(G468="생명50%이하",트라이포드!$J$22,트라이포드!$I$22),0))/100*($AL468/100-1))</f>
        <v>0</v>
      </c>
      <c r="N468" s="39"/>
      <c r="O468" s="39"/>
      <c r="P468" s="39"/>
      <c r="Q468" s="35"/>
      <c r="R468" s="24">
        <f t="shared" si="62"/>
        <v>600843.80467484251</v>
      </c>
      <c r="S468" s="30">
        <f>AN468*IF(MID(E468,3,1)="2",트라이포드!$L$22,트라이포드!$K$22)*IF(MID(E468,5,1)="1",트라이포드!$P$22,트라이포드!$O$22)*(1+입력란!$C$44/100)</f>
        <v>600843.80467484251</v>
      </c>
      <c r="T468" s="30">
        <f>AN468*IF(MID(E468,3,1)="2",트라이포드!$L$22,트라이포드!$K$22)*IF(MID(E468,5,1)="2",트라이포드!$R$22,트라이포드!$F$22)*(1+입력란!$C$44/100)/3</f>
        <v>0</v>
      </c>
      <c r="U468" s="30">
        <f>AN468*IF(MID(E468,3,1)="2",트라이포드!$L$22,트라이포드!$K$22)*IF(MID(E468,5,1)="2",트라이포드!$R$22,트라이포드!$F$22)*(1+입력란!$C$44/100)/3</f>
        <v>0</v>
      </c>
      <c r="V468" s="30">
        <f>AN468*IF(MID(E468,3,1)="2",트라이포드!$L$22,트라이포드!$K$22)*IF(MID(E468,5,1)="2",트라이포드!$R$22,트라이포드!$F$22)*(1+입력란!$C$44/100)/3</f>
        <v>0</v>
      </c>
      <c r="W468" s="26"/>
      <c r="X468" s="26"/>
      <c r="Y468" s="26"/>
      <c r="Z468" s="27"/>
      <c r="AA468" s="30">
        <f t="shared" si="63"/>
        <v>1201687.609349685</v>
      </c>
      <c r="AB468" s="30">
        <f t="shared" si="64"/>
        <v>1201687.609349685</v>
      </c>
      <c r="AC468" s="30">
        <f t="shared" si="65"/>
        <v>0</v>
      </c>
      <c r="AD468" s="30">
        <f t="shared" si="66"/>
        <v>0</v>
      </c>
      <c r="AE468" s="30">
        <f t="shared" si="67"/>
        <v>0</v>
      </c>
      <c r="AF468" s="39"/>
      <c r="AG468" s="39"/>
      <c r="AH468" s="39"/>
      <c r="AI468" s="25"/>
      <c r="AJ468" s="30">
        <f>AQ468*(1-입력란!$C$35/100)</f>
        <v>23.72176897872</v>
      </c>
      <c r="AK4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8" s="26">
        <f>입력란!$C$47+IF(입력란!$C$18=1,10,IF(입력란!$C$18=2,25,IF(입력란!$C$18=3,50,0)))+IF(입력란!$C$23&lt;&gt;0,-12)</f>
        <v>200</v>
      </c>
      <c r="AM468" s="26">
        <f t="shared" si="68"/>
        <v>221252.10434083379</v>
      </c>
      <c r="AN468" s="30">
        <f>(VLOOKUP(C468,$B$4:$AJ$7,28,FALSE)+VLOOKUP(C468,$B$8:$AJ$11,28,FALSE)*입력란!$C$29)*입력란!$C$48/100</f>
        <v>221252.10434083379</v>
      </c>
      <c r="AO468" s="39"/>
      <c r="AP468" s="39"/>
      <c r="AQ468" s="23">
        <v>24</v>
      </c>
    </row>
    <row r="469" spans="2:43" ht="13.5" customHeight="1" x14ac:dyDescent="0.3">
      <c r="B469" s="31">
        <v>454</v>
      </c>
      <c r="C469" s="40">
        <v>10</v>
      </c>
      <c r="D469" s="44" t="s">
        <v>255</v>
      </c>
      <c r="E469" s="38" t="s">
        <v>248</v>
      </c>
      <c r="F469" s="40"/>
      <c r="G469" s="40"/>
      <c r="H469" s="81">
        <f t="shared" si="61"/>
        <v>33822.57007251287</v>
      </c>
      <c r="I469" s="53">
        <f>SUM(J469:Q469)*IF(입력란!$C$16=1,1.04,IF(입력란!$C$16=2,1.1,IF(입력란!$C$16=3,1.2,1)))*IF(입력란!$C$21=1,1+입력란!$C$38*0.001,IF(입력란!$C$21=2,1+입력란!$C$38*0.0022,IF(입력란!$C$21=3,1+입력란!$C$38*0.0045,1)))*IF(입력란!$C$18&lt;&gt;0,0.98,1)</f>
        <v>802331.19352671923</v>
      </c>
      <c r="J469" s="30">
        <f>S469*(1+IF($AK469+IF(입력란!$C$26=1,10,0)+IF(MID(E469,3,1)="1",IF(G469="생명50%이하",트라이포드!$J$22,트라이포드!$I$22),0)&gt;100,100,$AK469+IF(입력란!$C$26=1,10,0)+IF(MID(E469,3,1)="1",IF(G469="생명50%이하",트라이포드!$J$22,트라이포드!$I$22),0))/100*($AL469/100-1))</f>
        <v>364695.99705759966</v>
      </c>
      <c r="K469" s="30">
        <f>T469*(1+IF($AK469+IF(입력란!$C$26=1,10,0)+IF(MID(E469,3,1)="1",IF(G469="생명50%이하",트라이포드!$J$22,트라이포드!$I$22),0)&gt;100,100,$AK469+IF(입력란!$C$26=1,10,0)+IF(MID(E469,3,1)="1",IF(G469="생명50%이하",트라이포드!$J$22,트라이포드!$I$22),0))/100*($AL469/100-1))</f>
        <v>145878.39882303987</v>
      </c>
      <c r="L469" s="30">
        <f>U469*(1+IF($AK469+IF(입력란!$C$26=1,10,0)+IF(MID(E469,3,1)="1",IF(G469="생명50%이하",트라이포드!$J$22,트라이포드!$I$22),0)&gt;100,100,$AK469+IF(입력란!$C$26=1,10,0)+IF(MID(E469,3,1)="1",IF(G469="생명50%이하",트라이포드!$J$22,트라이포드!$I$22),0))/100*($AL469/100-1))</f>
        <v>145878.39882303987</v>
      </c>
      <c r="M469" s="30">
        <f>V469*(1+IF($AK469+IF(입력란!$C$26=1,10,0)+IF(MID(E469,3,1)="1",IF(G469="생명50%이하",트라이포드!$J$22,트라이포드!$I$22),0)&gt;100,100,$AK469+IF(입력란!$C$26=1,10,0)+IF(MID(E469,3,1)="1",IF(G469="생명50%이하",트라이포드!$J$22,트라이포드!$I$22),0))/100*($AL469/100-1))</f>
        <v>145878.39882303987</v>
      </c>
      <c r="N469" s="39"/>
      <c r="O469" s="39"/>
      <c r="P469" s="39"/>
      <c r="Q469" s="35"/>
      <c r="R469" s="24">
        <f t="shared" si="62"/>
        <v>660928.18514232675</v>
      </c>
      <c r="S469" s="30">
        <f>AN469*IF(MID(E469,3,1)="2",트라이포드!$L$22,트라이포드!$K$22)*IF(MID(E469,5,1)="1",트라이포드!$P$22,트라이포드!$O$22)*(1+입력란!$C$44/100)</f>
        <v>300421.90233742126</v>
      </c>
      <c r="T469" s="30">
        <f>AN469*IF(MID(E469,3,1)="2",트라이포드!$L$22,트라이포드!$K$22)*IF(MID(E469,5,1)="2",트라이포드!$R$22,트라이포드!$F$22)*(1+입력란!$C$44/100)/3</f>
        <v>120168.76093496849</v>
      </c>
      <c r="U469" s="30">
        <f>AN469*IF(MID(E469,3,1)="2",트라이포드!$L$22,트라이포드!$K$22)*IF(MID(E469,5,1)="2",트라이포드!$R$22,트라이포드!$F$22)*(1+입력란!$C$44/100)/3</f>
        <v>120168.76093496849</v>
      </c>
      <c r="V469" s="30">
        <f>AN469*IF(MID(E469,3,1)="2",트라이포드!$L$22,트라이포드!$K$22)*IF(MID(E469,5,1)="2",트라이포드!$R$22,트라이포드!$F$22)*(1+입력란!$C$44/100)/3</f>
        <v>120168.76093496849</v>
      </c>
      <c r="W469" s="26"/>
      <c r="X469" s="26"/>
      <c r="Y469" s="26"/>
      <c r="Z469" s="27"/>
      <c r="AA469" s="30">
        <f t="shared" si="63"/>
        <v>1321856.3702846535</v>
      </c>
      <c r="AB469" s="30">
        <f t="shared" si="64"/>
        <v>600843.80467484251</v>
      </c>
      <c r="AC469" s="30">
        <f t="shared" si="65"/>
        <v>240337.52186993699</v>
      </c>
      <c r="AD469" s="30">
        <f t="shared" si="66"/>
        <v>240337.52186993699</v>
      </c>
      <c r="AE469" s="30">
        <f t="shared" si="67"/>
        <v>240337.52186993699</v>
      </c>
      <c r="AF469" s="39"/>
      <c r="AG469" s="39"/>
      <c r="AH469" s="39"/>
      <c r="AI469" s="25"/>
      <c r="AJ469" s="30">
        <f>AQ469*(1-입력란!$C$35/100)</f>
        <v>23.72176897872</v>
      </c>
      <c r="AK4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69" s="26">
        <f>입력란!$C$47+IF(입력란!$C$18=1,10,IF(입력란!$C$18=2,25,IF(입력란!$C$18=3,50,0)))+IF(입력란!$C$23&lt;&gt;0,-12)</f>
        <v>200</v>
      </c>
      <c r="AM469" s="26">
        <f t="shared" si="68"/>
        <v>221252.10434083379</v>
      </c>
      <c r="AN469" s="30">
        <f>(VLOOKUP(C469,$B$4:$AJ$7,28,FALSE)+VLOOKUP(C469,$B$8:$AJ$11,28,FALSE)*입력란!$C$29)*입력란!$C$48/100</f>
        <v>221252.10434083379</v>
      </c>
      <c r="AO469" s="39"/>
      <c r="AP469" s="39"/>
      <c r="AQ469" s="23">
        <v>24</v>
      </c>
    </row>
    <row r="470" spans="2:43" ht="13.5" customHeight="1" x14ac:dyDescent="0.3">
      <c r="B470" s="31">
        <v>455</v>
      </c>
      <c r="C470" s="40">
        <v>10</v>
      </c>
      <c r="D470" s="44" t="s">
        <v>255</v>
      </c>
      <c r="E470" s="38" t="s">
        <v>256</v>
      </c>
      <c r="F470" s="40"/>
      <c r="G470" s="40"/>
      <c r="H470" s="81">
        <f t="shared" si="61"/>
        <v>30747.7909750117</v>
      </c>
      <c r="I470" s="53">
        <f>SUM(J470:Q470)*IF(입력란!$C$16=1,1.04,IF(입력란!$C$16=2,1.1,IF(입력란!$C$16=3,1.2,1)))*IF(입력란!$C$21=1,1+입력란!$C$38*0.001,IF(입력란!$C$21=2,1+입력란!$C$38*0.0022,IF(입력란!$C$21=3,1+입력란!$C$38*0.0045,1)))*IF(입력란!$C$18&lt;&gt;0,0.98,1)</f>
        <v>729391.99411519931</v>
      </c>
      <c r="J470" s="30">
        <f>S470*(1+IF($AK470+IF(입력란!$C$26=1,10,0)+IF(MID(E470,3,1)="1",IF(G470="생명50%이하",트라이포드!$J$22,트라이포드!$I$22),0)&gt;100,100,$AK470+IF(입력란!$C$26=1,10,0)+IF(MID(E470,3,1)="1",IF(G470="생명50%이하",트라이포드!$J$22,트라이포드!$I$22),0))/100*($AL470/100-1))</f>
        <v>729391.99411519931</v>
      </c>
      <c r="K470" s="30">
        <f>T470*(1+IF($AK470+IF(입력란!$C$26=1,10,0)+IF(MID(E470,3,1)="1",IF(G470="생명50%이하",트라이포드!$J$22,트라이포드!$I$22),0)&gt;100,100,$AK470+IF(입력란!$C$26=1,10,0)+IF(MID(E470,3,1)="1",IF(G470="생명50%이하",트라이포드!$J$22,트라이포드!$I$22),0))/100*($AL470/100-1))</f>
        <v>0</v>
      </c>
      <c r="L470" s="30">
        <f>U470*(1+IF($AK470+IF(입력란!$C$26=1,10,0)+IF(MID(E470,3,1)="1",IF(G470="생명50%이하",트라이포드!$J$22,트라이포드!$I$22),0)&gt;100,100,$AK470+IF(입력란!$C$26=1,10,0)+IF(MID(E470,3,1)="1",IF(G470="생명50%이하",트라이포드!$J$22,트라이포드!$I$22),0))/100*($AL470/100-1))</f>
        <v>0</v>
      </c>
      <c r="M470" s="30">
        <f>V470*(1+IF($AK470+IF(입력란!$C$26=1,10,0)+IF(MID(E470,3,1)="1",IF(G470="생명50%이하",트라이포드!$J$22,트라이포드!$I$22),0)&gt;100,100,$AK470+IF(입력란!$C$26=1,10,0)+IF(MID(E470,3,1)="1",IF(G470="생명50%이하",트라이포드!$J$22,트라이포드!$I$22),0))/100*($AL470/100-1))</f>
        <v>0</v>
      </c>
      <c r="N470" s="39"/>
      <c r="O470" s="39"/>
      <c r="P470" s="39"/>
      <c r="Q470" s="35"/>
      <c r="R470" s="24">
        <f t="shared" si="62"/>
        <v>600843.80467484251</v>
      </c>
      <c r="S470" s="30">
        <f>AN470*IF(MID(E470,3,1)="2",트라이포드!$L$22,트라이포드!$K$22)*IF(MID(E470,5,1)="1",트라이포드!$P$22,트라이포드!$O$22)*(1+입력란!$C$44/100)</f>
        <v>600843.80467484251</v>
      </c>
      <c r="T470" s="30">
        <f>AN470*IF(MID(E470,3,1)="2",트라이포드!$L$22,트라이포드!$K$22)*IF(MID(E470,5,1)="2",트라이포드!$R$22,트라이포드!$F$22)*(1+입력란!$C$44/100)/3</f>
        <v>0</v>
      </c>
      <c r="U470" s="30">
        <f>AN470*IF(MID(E470,3,1)="2",트라이포드!$L$22,트라이포드!$K$22)*IF(MID(E470,5,1)="2",트라이포드!$R$22,트라이포드!$F$22)*(1+입력란!$C$44/100)/3</f>
        <v>0</v>
      </c>
      <c r="V470" s="30">
        <f>AN470*IF(MID(E470,3,1)="2",트라이포드!$L$22,트라이포드!$K$22)*IF(MID(E470,5,1)="2",트라이포드!$R$22,트라이포드!$F$22)*(1+입력란!$C$44/100)/3</f>
        <v>0</v>
      </c>
      <c r="W470" s="26"/>
      <c r="X470" s="26"/>
      <c r="Y470" s="26"/>
      <c r="Z470" s="27"/>
      <c r="AA470" s="30">
        <f t="shared" si="63"/>
        <v>1201687.609349685</v>
      </c>
      <c r="AB470" s="30">
        <f t="shared" si="64"/>
        <v>1201687.609349685</v>
      </c>
      <c r="AC470" s="30">
        <f t="shared" si="65"/>
        <v>0</v>
      </c>
      <c r="AD470" s="30">
        <f t="shared" si="66"/>
        <v>0</v>
      </c>
      <c r="AE470" s="30">
        <f t="shared" si="67"/>
        <v>0</v>
      </c>
      <c r="AF470" s="39"/>
      <c r="AG470" s="39"/>
      <c r="AH470" s="39"/>
      <c r="AI470" s="25"/>
      <c r="AJ470" s="30">
        <f>AQ470*(1-입력란!$C$35/100)</f>
        <v>23.72176897872</v>
      </c>
      <c r="AK4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0" s="26">
        <f>입력란!$C$47+IF(입력란!$C$18=1,10,IF(입력란!$C$18=2,25,IF(입력란!$C$18=3,50,0)))+IF(입력란!$C$23&lt;&gt;0,-12)</f>
        <v>200</v>
      </c>
      <c r="AM470" s="26">
        <f t="shared" si="68"/>
        <v>221252.10434083379</v>
      </c>
      <c r="AN470" s="30">
        <f>(VLOOKUP(C470,$B$4:$AJ$7,28,FALSE)+VLOOKUP(C470,$B$8:$AJ$11,28,FALSE)*입력란!$C$29)*입력란!$C$48/100</f>
        <v>221252.10434083379</v>
      </c>
      <c r="AO470" s="39"/>
      <c r="AP470" s="39"/>
      <c r="AQ470" s="23">
        <v>24</v>
      </c>
    </row>
    <row r="471" spans="2:43" ht="13.5" customHeight="1" x14ac:dyDescent="0.3">
      <c r="B471" s="31">
        <v>456</v>
      </c>
      <c r="C471" s="40">
        <v>10</v>
      </c>
      <c r="D471" s="44" t="s">
        <v>255</v>
      </c>
      <c r="E471" s="38" t="s">
        <v>257</v>
      </c>
      <c r="F471" s="40"/>
      <c r="G471" s="40"/>
      <c r="H471" s="81">
        <f t="shared" si="61"/>
        <v>33822.57007251287</v>
      </c>
      <c r="I471" s="53">
        <f>SUM(J471:Q471)*IF(입력란!$C$16=1,1.04,IF(입력란!$C$16=2,1.1,IF(입력란!$C$16=3,1.2,1)))*IF(입력란!$C$21=1,1+입력란!$C$38*0.001,IF(입력란!$C$21=2,1+입력란!$C$38*0.0022,IF(입력란!$C$21=3,1+입력란!$C$38*0.0045,1)))*IF(입력란!$C$18&lt;&gt;0,0.98,1)</f>
        <v>802331.19352671923</v>
      </c>
      <c r="J471" s="30">
        <f>S471*(1+IF($AK471+IF(입력란!$C$26=1,10,0)+IF(MID(E471,3,1)="1",IF(G471="생명50%이하",트라이포드!$J$22,트라이포드!$I$22),0)&gt;100,100,$AK471+IF(입력란!$C$26=1,10,0)+IF(MID(E471,3,1)="1",IF(G471="생명50%이하",트라이포드!$J$22,트라이포드!$I$22),0))/100*($AL471/100-1))</f>
        <v>364695.99705759966</v>
      </c>
      <c r="K471" s="30">
        <f>T471*(1+IF($AK471+IF(입력란!$C$26=1,10,0)+IF(MID(E471,3,1)="1",IF(G471="생명50%이하",트라이포드!$J$22,트라이포드!$I$22),0)&gt;100,100,$AK471+IF(입력란!$C$26=1,10,0)+IF(MID(E471,3,1)="1",IF(G471="생명50%이하",트라이포드!$J$22,트라이포드!$I$22),0))/100*($AL471/100-1))</f>
        <v>145878.39882303987</v>
      </c>
      <c r="L471" s="30">
        <f>U471*(1+IF($AK471+IF(입력란!$C$26=1,10,0)+IF(MID(E471,3,1)="1",IF(G471="생명50%이하",트라이포드!$J$22,트라이포드!$I$22),0)&gt;100,100,$AK471+IF(입력란!$C$26=1,10,0)+IF(MID(E471,3,1)="1",IF(G471="생명50%이하",트라이포드!$J$22,트라이포드!$I$22),0))/100*($AL471/100-1))</f>
        <v>145878.39882303987</v>
      </c>
      <c r="M471" s="30">
        <f>V471*(1+IF($AK471+IF(입력란!$C$26=1,10,0)+IF(MID(E471,3,1)="1",IF(G471="생명50%이하",트라이포드!$J$22,트라이포드!$I$22),0)&gt;100,100,$AK471+IF(입력란!$C$26=1,10,0)+IF(MID(E471,3,1)="1",IF(G471="생명50%이하",트라이포드!$J$22,트라이포드!$I$22),0))/100*($AL471/100-1))</f>
        <v>145878.39882303987</v>
      </c>
      <c r="N471" s="39"/>
      <c r="O471" s="39"/>
      <c r="P471" s="39"/>
      <c r="Q471" s="35"/>
      <c r="R471" s="24">
        <f t="shared" si="62"/>
        <v>660928.18514232675</v>
      </c>
      <c r="S471" s="30">
        <f>AN471*IF(MID(E471,3,1)="2",트라이포드!$L$22,트라이포드!$K$22)*IF(MID(E471,5,1)="1",트라이포드!$P$22,트라이포드!$O$22)*(1+입력란!$C$44/100)</f>
        <v>300421.90233742126</v>
      </c>
      <c r="T471" s="30">
        <f>AN471*IF(MID(E471,3,1)="2",트라이포드!$L$22,트라이포드!$K$22)*IF(MID(E471,5,1)="2",트라이포드!$R$22,트라이포드!$F$22)*(1+입력란!$C$44/100)/3</f>
        <v>120168.76093496849</v>
      </c>
      <c r="U471" s="30">
        <f>AN471*IF(MID(E471,3,1)="2",트라이포드!$L$22,트라이포드!$K$22)*IF(MID(E471,5,1)="2",트라이포드!$R$22,트라이포드!$F$22)*(1+입력란!$C$44/100)/3</f>
        <v>120168.76093496849</v>
      </c>
      <c r="V471" s="30">
        <f>AN471*IF(MID(E471,3,1)="2",트라이포드!$L$22,트라이포드!$K$22)*IF(MID(E471,5,1)="2",트라이포드!$R$22,트라이포드!$F$22)*(1+입력란!$C$44/100)/3</f>
        <v>120168.76093496849</v>
      </c>
      <c r="W471" s="26"/>
      <c r="X471" s="26"/>
      <c r="Y471" s="26"/>
      <c r="Z471" s="27"/>
      <c r="AA471" s="30">
        <f t="shared" si="63"/>
        <v>1321856.3702846535</v>
      </c>
      <c r="AB471" s="30">
        <f t="shared" si="64"/>
        <v>600843.80467484251</v>
      </c>
      <c r="AC471" s="30">
        <f t="shared" si="65"/>
        <v>240337.52186993699</v>
      </c>
      <c r="AD471" s="30">
        <f t="shared" si="66"/>
        <v>240337.52186993699</v>
      </c>
      <c r="AE471" s="30">
        <f t="shared" si="67"/>
        <v>240337.52186993699</v>
      </c>
      <c r="AF471" s="39"/>
      <c r="AG471" s="39"/>
      <c r="AH471" s="39"/>
      <c r="AI471" s="25"/>
      <c r="AJ471" s="30">
        <f>AQ471*(1-입력란!$C$35/100)</f>
        <v>23.72176897872</v>
      </c>
      <c r="AK4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1" s="26">
        <f>입력란!$C$47+IF(입력란!$C$18=1,10,IF(입력란!$C$18=2,25,IF(입력란!$C$18=3,50,0)))+IF(입력란!$C$23&lt;&gt;0,-12)</f>
        <v>200</v>
      </c>
      <c r="AM471" s="26">
        <f t="shared" si="68"/>
        <v>221252.10434083379</v>
      </c>
      <c r="AN471" s="30">
        <f>(VLOOKUP(C471,$B$4:$AJ$7,28,FALSE)+VLOOKUP(C471,$B$8:$AJ$11,28,FALSE)*입력란!$C$29)*입력란!$C$48/100</f>
        <v>221252.10434083379</v>
      </c>
      <c r="AO471" s="39"/>
      <c r="AP471" s="39"/>
      <c r="AQ471" s="23">
        <v>24</v>
      </c>
    </row>
    <row r="472" spans="2:43" ht="13.5" customHeight="1" x14ac:dyDescent="0.3">
      <c r="B472" s="31">
        <v>457</v>
      </c>
      <c r="C472" s="40">
        <v>10</v>
      </c>
      <c r="D472" s="44" t="s">
        <v>255</v>
      </c>
      <c r="E472" s="38" t="s">
        <v>258</v>
      </c>
      <c r="F472" s="40" t="s">
        <v>261</v>
      </c>
      <c r="G472" s="40"/>
      <c r="H472" s="81">
        <f t="shared" si="61"/>
        <v>43046.907365016377</v>
      </c>
      <c r="I472" s="53">
        <f>SUM(J472:Q472)*IF(입력란!$C$16=1,1.04,IF(입력란!$C$16=2,1.1,IF(입력란!$C$16=3,1.2,1)))*IF(입력란!$C$21=1,1+입력란!$C$38*0.001,IF(입력란!$C$21=2,1+입력란!$C$38*0.0022,IF(입력란!$C$21=3,1+입력란!$C$38*0.0045,1)))*IF(입력란!$C$18&lt;&gt;0,0.98,1)</f>
        <v>1021148.791761279</v>
      </c>
      <c r="J472" s="30">
        <f>S472*(1+IF($AK472+IF(입력란!$C$26=1,10,0)+IF(MID(E472,3,1)="1",IF(G472="생명50%이하",트라이포드!$J$22,트라이포드!$I$22),0)&gt;100,100,$AK472+IF(입력란!$C$26=1,10,0)+IF(MID(E472,3,1)="1",IF(G472="생명50%이하",트라이포드!$J$22,트라이포드!$I$22),0))/100*($AL472/100-1))</f>
        <v>1021148.791761279</v>
      </c>
      <c r="K472" s="30">
        <f>T472*(1+IF($AK472+IF(입력란!$C$26=1,10,0)+IF(MID(E472,3,1)="1",IF(G472="생명50%이하",트라이포드!$J$22,트라이포드!$I$22),0)&gt;100,100,$AK472+IF(입력란!$C$26=1,10,0)+IF(MID(E472,3,1)="1",IF(G472="생명50%이하",트라이포드!$J$22,트라이포드!$I$22),0))/100*($AL472/100-1))</f>
        <v>0</v>
      </c>
      <c r="L472" s="30">
        <f>U472*(1+IF($AK472+IF(입력란!$C$26=1,10,0)+IF(MID(E472,3,1)="1",IF(G472="생명50%이하",트라이포드!$J$22,트라이포드!$I$22),0)&gt;100,100,$AK472+IF(입력란!$C$26=1,10,0)+IF(MID(E472,3,1)="1",IF(G472="생명50%이하",트라이포드!$J$22,트라이포드!$I$22),0))/100*($AL472/100-1))</f>
        <v>0</v>
      </c>
      <c r="M472" s="30">
        <f>V472*(1+IF($AK472+IF(입력란!$C$26=1,10,0)+IF(MID(E472,3,1)="1",IF(G472="생명50%이하",트라이포드!$J$22,트라이포드!$I$22),0)&gt;100,100,$AK472+IF(입력란!$C$26=1,10,0)+IF(MID(E472,3,1)="1",IF(G472="생명50%이하",트라이포드!$J$22,트라이포드!$I$22),0))/100*($AL472/100-1))</f>
        <v>0</v>
      </c>
      <c r="N472" s="39"/>
      <c r="O472" s="39"/>
      <c r="P472" s="39"/>
      <c r="Q472" s="35"/>
      <c r="R472" s="24">
        <f t="shared" si="62"/>
        <v>841181.32654477947</v>
      </c>
      <c r="S472" s="30">
        <f>AN472*IF(MID(E472,3,1)="2",트라이포드!$L$22,트라이포드!$K$22)*IF(MID(E472,5,1)="1",트라이포드!$P$22,트라이포드!$O$22)*(1+입력란!$C$44/100)</f>
        <v>841181.32654477947</v>
      </c>
      <c r="T472" s="30">
        <f>AN472*IF(MID(E472,3,1)="2",트라이포드!$L$22,트라이포드!$K$22)*IF(MID(E472,5,1)="2",트라이포드!$R$22,트라이포드!$F$22)*(1+입력란!$C$44/100)/3</f>
        <v>0</v>
      </c>
      <c r="U472" s="30">
        <f>AN472*IF(MID(E472,3,1)="2",트라이포드!$L$22,트라이포드!$K$22)*IF(MID(E472,5,1)="2",트라이포드!$R$22,트라이포드!$F$22)*(1+입력란!$C$44/100)/3</f>
        <v>0</v>
      </c>
      <c r="V472" s="30">
        <f>AN472*IF(MID(E472,3,1)="2",트라이포드!$L$22,트라이포드!$K$22)*IF(MID(E472,5,1)="2",트라이포드!$R$22,트라이포드!$F$22)*(1+입력란!$C$44/100)/3</f>
        <v>0</v>
      </c>
      <c r="W472" s="26"/>
      <c r="X472" s="26"/>
      <c r="Y472" s="26"/>
      <c r="Z472" s="27"/>
      <c r="AA472" s="30">
        <f t="shared" si="63"/>
        <v>1682362.6530895589</v>
      </c>
      <c r="AB472" s="30">
        <f t="shared" si="64"/>
        <v>1682362.6530895589</v>
      </c>
      <c r="AC472" s="30">
        <f t="shared" si="65"/>
        <v>0</v>
      </c>
      <c r="AD472" s="30">
        <f t="shared" si="66"/>
        <v>0</v>
      </c>
      <c r="AE472" s="30">
        <f t="shared" si="67"/>
        <v>0</v>
      </c>
      <c r="AF472" s="39"/>
      <c r="AG472" s="39"/>
      <c r="AH472" s="39"/>
      <c r="AI472" s="25"/>
      <c r="AJ472" s="30">
        <f>AQ472*(1-입력란!$C$35/100)</f>
        <v>23.72176897872</v>
      </c>
      <c r="AK4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2" s="26">
        <f>입력란!$C$47+IF(입력란!$C$18=1,10,IF(입력란!$C$18=2,25,IF(입력란!$C$18=3,50,0)))+IF(입력란!$C$23&lt;&gt;0,-12)</f>
        <v>200</v>
      </c>
      <c r="AM472" s="26">
        <f t="shared" si="68"/>
        <v>221252.10434083379</v>
      </c>
      <c r="AN472" s="30">
        <f>(VLOOKUP(C472,$B$4:$AJ$7,28,FALSE)+VLOOKUP(C472,$B$8:$AJ$11,28,FALSE)*입력란!$C$29)*입력란!$C$48/100</f>
        <v>221252.10434083379</v>
      </c>
      <c r="AO472" s="39"/>
      <c r="AP472" s="39"/>
      <c r="AQ472" s="23">
        <v>24</v>
      </c>
    </row>
    <row r="473" spans="2:43" ht="13.5" customHeight="1" x14ac:dyDescent="0.3">
      <c r="B473" s="31">
        <v>458</v>
      </c>
      <c r="C473" s="40">
        <v>10</v>
      </c>
      <c r="D473" s="44" t="s">
        <v>255</v>
      </c>
      <c r="E473" s="38" t="s">
        <v>259</v>
      </c>
      <c r="F473" s="40" t="s">
        <v>261</v>
      </c>
      <c r="G473" s="40"/>
      <c r="H473" s="81">
        <f t="shared" si="61"/>
        <v>47351.598101518015</v>
      </c>
      <c r="I473" s="53">
        <f>SUM(J473:Q473)*IF(입력란!$C$16=1,1.04,IF(입력란!$C$16=2,1.1,IF(입력란!$C$16=3,1.2,1)))*IF(입력란!$C$21=1,1+입력란!$C$38*0.001,IF(입력란!$C$21=2,1+입력란!$C$38*0.0022,IF(입력란!$C$21=3,1+입력란!$C$38*0.0045,1)))*IF(입력란!$C$18&lt;&gt;0,0.98,1)</f>
        <v>1123263.6709374068</v>
      </c>
      <c r="J473" s="30">
        <f>S473*(1+IF($AK473+IF(입력란!$C$26=1,10,0)+IF(MID(E473,3,1)="1",IF(G473="생명50%이하",트라이포드!$J$22,트라이포드!$I$22),0)&gt;100,100,$AK473+IF(입력란!$C$26=1,10,0)+IF(MID(E473,3,1)="1",IF(G473="생명50%이하",트라이포드!$J$22,트라이포드!$I$22),0))/100*($AL473/100-1))</f>
        <v>510574.39588063949</v>
      </c>
      <c r="K473" s="30">
        <f>T473*(1+IF($AK473+IF(입력란!$C$26=1,10,0)+IF(MID(E473,3,1)="1",IF(G473="생명50%이하",트라이포드!$J$22,트라이포드!$I$22),0)&gt;100,100,$AK473+IF(입력란!$C$26=1,10,0)+IF(MID(E473,3,1)="1",IF(G473="생명50%이하",트라이포드!$J$22,트라이포드!$I$22),0))/100*($AL473/100-1))</f>
        <v>204229.7583522558</v>
      </c>
      <c r="L473" s="30">
        <f>U473*(1+IF($AK473+IF(입력란!$C$26=1,10,0)+IF(MID(E473,3,1)="1",IF(G473="생명50%이하",트라이포드!$J$22,트라이포드!$I$22),0)&gt;100,100,$AK473+IF(입력란!$C$26=1,10,0)+IF(MID(E473,3,1)="1",IF(G473="생명50%이하",트라이포드!$J$22,트라이포드!$I$22),0))/100*($AL473/100-1))</f>
        <v>204229.7583522558</v>
      </c>
      <c r="M473" s="30">
        <f>V473*(1+IF($AK473+IF(입력란!$C$26=1,10,0)+IF(MID(E473,3,1)="1",IF(G473="생명50%이하",트라이포드!$J$22,트라이포드!$I$22),0)&gt;100,100,$AK473+IF(입력란!$C$26=1,10,0)+IF(MID(E473,3,1)="1",IF(G473="생명50%이하",트라이포드!$J$22,트라이포드!$I$22),0))/100*($AL473/100-1))</f>
        <v>204229.7583522558</v>
      </c>
      <c r="N473" s="39"/>
      <c r="O473" s="39"/>
      <c r="P473" s="39"/>
      <c r="Q473" s="35"/>
      <c r="R473" s="24">
        <f t="shared" si="62"/>
        <v>925299.45919925743</v>
      </c>
      <c r="S473" s="30">
        <f>AN473*IF(MID(E473,3,1)="2",트라이포드!$L$22,트라이포드!$K$22)*IF(MID(E473,5,1)="1",트라이포드!$P$22,트라이포드!$O$22)*(1+입력란!$C$44/100)</f>
        <v>420590.66327238973</v>
      </c>
      <c r="T473" s="30">
        <f>AN473*IF(MID(E473,3,1)="2",트라이포드!$L$22,트라이포드!$K$22)*IF(MID(E473,5,1)="2",트라이포드!$R$22,트라이포드!$F$22)*(1+입력란!$C$44/100)/3</f>
        <v>168236.26530895589</v>
      </c>
      <c r="U473" s="30">
        <f>AN473*IF(MID(E473,3,1)="2",트라이포드!$L$22,트라이포드!$K$22)*IF(MID(E473,5,1)="2",트라이포드!$R$22,트라이포드!$F$22)*(1+입력란!$C$44/100)/3</f>
        <v>168236.26530895589</v>
      </c>
      <c r="V473" s="30">
        <f>AN473*IF(MID(E473,3,1)="2",트라이포드!$L$22,트라이포드!$K$22)*IF(MID(E473,5,1)="2",트라이포드!$R$22,트라이포드!$F$22)*(1+입력란!$C$44/100)/3</f>
        <v>168236.26530895589</v>
      </c>
      <c r="W473" s="26"/>
      <c r="X473" s="26"/>
      <c r="Y473" s="26"/>
      <c r="Z473" s="27"/>
      <c r="AA473" s="30">
        <f t="shared" si="63"/>
        <v>1850598.9183985149</v>
      </c>
      <c r="AB473" s="30">
        <f t="shared" si="64"/>
        <v>841181.32654477947</v>
      </c>
      <c r="AC473" s="30">
        <f t="shared" si="65"/>
        <v>336472.53061791178</v>
      </c>
      <c r="AD473" s="30">
        <f t="shared" si="66"/>
        <v>336472.53061791178</v>
      </c>
      <c r="AE473" s="30">
        <f t="shared" si="67"/>
        <v>336472.53061791178</v>
      </c>
      <c r="AF473" s="39"/>
      <c r="AG473" s="39"/>
      <c r="AH473" s="39"/>
      <c r="AI473" s="25"/>
      <c r="AJ473" s="30">
        <f>AQ473*(1-입력란!$C$35/100)</f>
        <v>23.72176897872</v>
      </c>
      <c r="AK4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3" s="26">
        <f>입력란!$C$47+IF(입력란!$C$18=1,10,IF(입력란!$C$18=2,25,IF(입력란!$C$18=3,50,0)))+IF(입력란!$C$23&lt;&gt;0,-12)</f>
        <v>200</v>
      </c>
      <c r="AM473" s="26">
        <f t="shared" si="68"/>
        <v>221252.10434083379</v>
      </c>
      <c r="AN473" s="30">
        <f>(VLOOKUP(C473,$B$4:$AJ$7,28,FALSE)+VLOOKUP(C473,$B$8:$AJ$11,28,FALSE)*입력란!$C$29)*입력란!$C$48/100</f>
        <v>221252.10434083379</v>
      </c>
      <c r="AO473" s="39"/>
      <c r="AP473" s="39"/>
      <c r="AQ473" s="23">
        <v>24</v>
      </c>
    </row>
    <row r="474" spans="2:43" ht="13.5" customHeight="1" x14ac:dyDescent="0.3">
      <c r="B474" s="31">
        <v>459</v>
      </c>
      <c r="C474" s="36">
        <v>1</v>
      </c>
      <c r="D474" s="44" t="s">
        <v>255</v>
      </c>
      <c r="E474" s="38" t="s">
        <v>240</v>
      </c>
      <c r="F474" s="40"/>
      <c r="G474" s="40" t="s">
        <v>414</v>
      </c>
      <c r="H474" s="81">
        <f t="shared" si="61"/>
        <v>15315.416177305244</v>
      </c>
      <c r="I474" s="53">
        <f>SUM(J474:Q474)*IF(입력란!$C$16=1,1.04,IF(입력란!$C$16=2,1.1,IF(입력란!$C$16=3,1.2,1)))*IF(입력란!$C$21=1,1+입력란!$C$38*0.001,IF(입력란!$C$21=2,1+입력란!$C$38*0.0022,IF(입력란!$C$21=3,1+입력란!$C$38*0.0045,1)))*IF(입력란!$C$18&lt;&gt;0,0.98,1)</f>
        <v>363308.76437098597</v>
      </c>
      <c r="J474" s="30">
        <f>S474*(1+IF($AK474+IF(입력란!$C$26=1,10,0)+IF(MID(E474,3,1)="1",IF(G474="생명50%이하",트라이포드!$J$22,트라이포드!$I$22),0)&gt;100,100,$AK474+IF(입력란!$C$26=1,10,0)+IF(MID(E474,3,1)="1",IF(G474="생명50%이하",트라이포드!$J$22,트라이포드!$I$22),0))/100*($AL474/100-1))</f>
        <v>363308.76437098597</v>
      </c>
      <c r="K474" s="30">
        <f>T474*(1+IF($AK474+IF(입력란!$C$26=1,10,0)+IF(MID(E474,3,1)="1",IF(G474="생명50%이하",트라이포드!$J$22,트라이포드!$I$22),0)&gt;100,100,$AK474+IF(입력란!$C$26=1,10,0)+IF(MID(E474,3,1)="1",IF(G474="생명50%이하",트라이포드!$J$22,트라이포드!$I$22),0))/100*($AL474/100-1))</f>
        <v>0</v>
      </c>
      <c r="L474" s="30">
        <f>U474*(1+IF($AK474+IF(입력란!$C$26=1,10,0)+IF(MID(E474,3,1)="1",IF(G474="생명50%이하",트라이포드!$J$22,트라이포드!$I$22),0)&gt;100,100,$AK474+IF(입력란!$C$26=1,10,0)+IF(MID(E474,3,1)="1",IF(G474="생명50%이하",트라이포드!$J$22,트라이포드!$I$22),0))/100*($AL474/100-1))</f>
        <v>0</v>
      </c>
      <c r="M474" s="30">
        <f>V474*(1+IF($AK474+IF(입력란!$C$26=1,10,0)+IF(MID(E474,3,1)="1",IF(G474="생명50%이하",트라이포드!$J$22,트라이포드!$I$22),0)&gt;100,100,$AK474+IF(입력란!$C$26=1,10,0)+IF(MID(E474,3,1)="1",IF(G474="생명50%이하",트라이포드!$J$22,트라이포드!$I$22),0))/100*($AL474/100-1))</f>
        <v>0</v>
      </c>
      <c r="N474" s="39"/>
      <c r="O474" s="39"/>
      <c r="P474" s="39"/>
      <c r="Q474" s="35"/>
      <c r="R474" s="24">
        <f t="shared" si="62"/>
        <v>299279.15581412637</v>
      </c>
      <c r="S474" s="30">
        <f>AN474*IF(MID(E474,3,1)="2",트라이포드!$L$22,트라이포드!$K$22)*IF(MID(E474,5,1)="1",트라이포드!$P$22,트라이포드!$O$22)*(1+입력란!$C$44/100)</f>
        <v>299279.15581412637</v>
      </c>
      <c r="T474" s="30">
        <f>AN474*IF(MID(E474,3,1)="2",트라이포드!$L$22,트라이포드!$K$22)*IF(MID(E474,5,1)="2",트라이포드!$R$22,트라이포드!$F$22)*(1+입력란!$C$44/100)/3</f>
        <v>0</v>
      </c>
      <c r="U474" s="30">
        <f>AN474*IF(MID(E474,3,1)="2",트라이포드!$L$22,트라이포드!$K$22)*IF(MID(E474,5,1)="2",트라이포드!$R$22,트라이포드!$F$22)*(1+입력란!$C$44/100)/3</f>
        <v>0</v>
      </c>
      <c r="V474" s="30">
        <f>AN474*IF(MID(E474,3,1)="2",트라이포드!$L$22,트라이포드!$K$22)*IF(MID(E474,5,1)="2",트라이포드!$R$22,트라이포드!$F$22)*(1+입력란!$C$44/100)/3</f>
        <v>0</v>
      </c>
      <c r="W474" s="30"/>
      <c r="X474" s="30"/>
      <c r="Y474" s="30"/>
      <c r="Z474" s="27"/>
      <c r="AA474" s="30">
        <f t="shared" si="63"/>
        <v>598558.31162825273</v>
      </c>
      <c r="AB474" s="30">
        <f t="shared" si="64"/>
        <v>598558.31162825273</v>
      </c>
      <c r="AC474" s="30">
        <f t="shared" si="65"/>
        <v>0</v>
      </c>
      <c r="AD474" s="30">
        <f t="shared" si="66"/>
        <v>0</v>
      </c>
      <c r="AE474" s="30">
        <f t="shared" si="67"/>
        <v>0</v>
      </c>
      <c r="AF474" s="39"/>
      <c r="AG474" s="39"/>
      <c r="AH474" s="39"/>
      <c r="AI474" s="27"/>
      <c r="AJ474" s="30">
        <f>AQ474*(1-입력란!$C$35/100)</f>
        <v>23.72176897872</v>
      </c>
      <c r="AK4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4" s="26">
        <f>입력란!$C$47+IF(입력란!$C$18=1,10,IF(입력란!$C$18=2,25,IF(입력란!$C$18=3,50,0)))+IF(입력란!$C$23&lt;&gt;0,-12)</f>
        <v>200</v>
      </c>
      <c r="AM474" s="30">
        <f t="shared" si="68"/>
        <v>220410.50434083381</v>
      </c>
      <c r="AN474" s="30">
        <f>(VLOOKUP(C474,$B$4:$AJ$7,28,FALSE)+VLOOKUP(C474,$B$8:$AJ$11,28,FALSE)*입력란!$C$29)*입력란!$C$48/100</f>
        <v>220410.50434083381</v>
      </c>
      <c r="AO474" s="30"/>
      <c r="AP474" s="39"/>
      <c r="AQ474" s="23">
        <v>24</v>
      </c>
    </row>
    <row r="475" spans="2:43" ht="13.5" customHeight="1" x14ac:dyDescent="0.3">
      <c r="B475" s="31">
        <v>460</v>
      </c>
      <c r="C475" s="40">
        <v>4</v>
      </c>
      <c r="D475" s="44" t="s">
        <v>255</v>
      </c>
      <c r="E475" s="38" t="s">
        <v>240</v>
      </c>
      <c r="F475" s="40"/>
      <c r="G475" s="40" t="s">
        <v>414</v>
      </c>
      <c r="H475" s="81">
        <f t="shared" si="61"/>
        <v>15348.574835608153</v>
      </c>
      <c r="I475" s="53">
        <f>SUM(J475:Q475)*IF(입력란!$C$16=1,1.04,IF(입력란!$C$16=2,1.1,IF(입력란!$C$16=3,1.2,1)))*IF(입력란!$C$21=1,1+입력란!$C$38*0.001,IF(입력란!$C$21=2,1+입력란!$C$38*0.0022,IF(입력란!$C$21=3,1+입력란!$C$38*0.0045,1)))*IF(입력란!$C$18&lt;&gt;0,0.98,1)</f>
        <v>364095.34640289191</v>
      </c>
      <c r="J475" s="30">
        <f>S475*(1+IF($AK475+IF(입력란!$C$26=1,10,0)+IF(MID(E475,3,1)="1",IF(G475="생명50%이하",트라이포드!$J$22,트라이포드!$I$22),0)&gt;100,100,$AK475+IF(입력란!$C$26=1,10,0)+IF(MID(E475,3,1)="1",IF(G475="생명50%이하",트라이포드!$J$22,트라이포드!$I$22),0))/100*($AL475/100-1))</f>
        <v>364095.34640289191</v>
      </c>
      <c r="K475" s="30">
        <f>T475*(1+IF($AK475+IF(입력란!$C$26=1,10,0)+IF(MID(E475,3,1)="1",IF(G475="생명50%이하",트라이포드!$J$22,트라이포드!$I$22),0)&gt;100,100,$AK475+IF(입력란!$C$26=1,10,0)+IF(MID(E475,3,1)="1",IF(G475="생명50%이하",트라이포드!$J$22,트라이포드!$I$22),0))/100*($AL475/100-1))</f>
        <v>0</v>
      </c>
      <c r="L475" s="30">
        <f>U475*(1+IF($AK475+IF(입력란!$C$26=1,10,0)+IF(MID(E475,3,1)="1",IF(G475="생명50%이하",트라이포드!$J$22,트라이포드!$I$22),0)&gt;100,100,$AK475+IF(입력란!$C$26=1,10,0)+IF(MID(E475,3,1)="1",IF(G475="생명50%이하",트라이포드!$J$22,트라이포드!$I$22),0))/100*($AL475/100-1))</f>
        <v>0</v>
      </c>
      <c r="M475" s="30">
        <f>V475*(1+IF($AK475+IF(입력란!$C$26=1,10,0)+IF(MID(E475,3,1)="1",IF(G475="생명50%이하",트라이포드!$J$22,트라이포드!$I$22),0)&gt;100,100,$AK475+IF(입력란!$C$26=1,10,0)+IF(MID(E475,3,1)="1",IF(G475="생명50%이하",트라이포드!$J$22,트라이포드!$I$22),0))/100*($AL475/100-1))</f>
        <v>0</v>
      </c>
      <c r="N475" s="39"/>
      <c r="O475" s="39"/>
      <c r="P475" s="39"/>
      <c r="Q475" s="35"/>
      <c r="R475" s="24">
        <f t="shared" si="62"/>
        <v>299927.11047300982</v>
      </c>
      <c r="S475" s="30">
        <f>AN475*IF(MID(E475,3,1)="2",트라이포드!$L$22,트라이포드!$K$22)*IF(MID(E475,5,1)="1",트라이포드!$P$22,트라이포드!$O$22)*(1+입력란!$C$44/100)</f>
        <v>299927.11047300982</v>
      </c>
      <c r="T475" s="30">
        <f>AN475*IF(MID(E475,3,1)="2",트라이포드!$L$22,트라이포드!$K$22)*IF(MID(E475,5,1)="2",트라이포드!$R$22,트라이포드!$F$22)*(1+입력란!$C$44/100)/3</f>
        <v>0</v>
      </c>
      <c r="U475" s="30">
        <f>AN475*IF(MID(E475,3,1)="2",트라이포드!$L$22,트라이포드!$K$22)*IF(MID(E475,5,1)="2",트라이포드!$R$22,트라이포드!$F$22)*(1+입력란!$C$44/100)/3</f>
        <v>0</v>
      </c>
      <c r="V475" s="30">
        <f>AN475*IF(MID(E475,3,1)="2",트라이포드!$L$22,트라이포드!$K$22)*IF(MID(E475,5,1)="2",트라이포드!$R$22,트라이포드!$F$22)*(1+입력란!$C$44/100)/3</f>
        <v>0</v>
      </c>
      <c r="W475" s="26"/>
      <c r="X475" s="26"/>
      <c r="Y475" s="26"/>
      <c r="Z475" s="27"/>
      <c r="AA475" s="30">
        <f t="shared" si="63"/>
        <v>599854.22094601963</v>
      </c>
      <c r="AB475" s="30">
        <f t="shared" si="64"/>
        <v>599854.22094601963</v>
      </c>
      <c r="AC475" s="30">
        <f t="shared" si="65"/>
        <v>0</v>
      </c>
      <c r="AD475" s="30">
        <f t="shared" si="66"/>
        <v>0</v>
      </c>
      <c r="AE475" s="30">
        <f t="shared" si="67"/>
        <v>0</v>
      </c>
      <c r="AF475" s="39"/>
      <c r="AG475" s="39"/>
      <c r="AH475" s="39"/>
      <c r="AI475" s="25"/>
      <c r="AJ475" s="30">
        <f>AQ475*(1-입력란!$C$35/100)</f>
        <v>23.72176897872</v>
      </c>
      <c r="AK4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5" s="26">
        <f>입력란!$C$47+IF(입력란!$C$18=1,10,IF(입력란!$C$18=2,25,IF(입력란!$C$18=3,50,0)))+IF(입력란!$C$23&lt;&gt;0,-12)</f>
        <v>200</v>
      </c>
      <c r="AM475" s="26">
        <f t="shared" si="68"/>
        <v>220887.70434083379</v>
      </c>
      <c r="AN475" s="30">
        <f>(VLOOKUP(C475,$B$4:$AJ$7,28,FALSE)+VLOOKUP(C475,$B$8:$AJ$11,28,FALSE)*입력란!$C$29)*입력란!$C$48/100</f>
        <v>220887.70434083379</v>
      </c>
      <c r="AO475" s="39"/>
      <c r="AP475" s="39"/>
      <c r="AQ475" s="23">
        <v>24</v>
      </c>
    </row>
    <row r="476" spans="2:43" ht="13.5" customHeight="1" x14ac:dyDescent="0.3">
      <c r="B476" s="31">
        <v>461</v>
      </c>
      <c r="C476" s="40">
        <v>7</v>
      </c>
      <c r="D476" s="44" t="s">
        <v>255</v>
      </c>
      <c r="E476" s="38" t="s">
        <v>240</v>
      </c>
      <c r="F476" s="40"/>
      <c r="G476" s="40" t="s">
        <v>414</v>
      </c>
      <c r="H476" s="81">
        <f t="shared" si="61"/>
        <v>15364.028493626945</v>
      </c>
      <c r="I476" s="53">
        <f>SUM(J476:Q476)*IF(입력란!$C$16=1,1.04,IF(입력란!$C$16=2,1.1,IF(입력란!$C$16=3,1.2,1)))*IF(입력란!$C$21=1,1+입력란!$C$38*0.001,IF(입력란!$C$21=2,1+입력란!$C$38*0.0022,IF(입력란!$C$21=3,1+입력란!$C$38*0.0045,1)))*IF(입력란!$C$18&lt;&gt;0,0.98,1)</f>
        <v>364461.93450828985</v>
      </c>
      <c r="J476" s="30">
        <f>S476*(1+IF($AK476+IF(입력란!$C$26=1,10,0)+IF(MID(E476,3,1)="1",IF(G476="생명50%이하",트라이포드!$J$22,트라이포드!$I$22),0)&gt;100,100,$AK476+IF(입력란!$C$26=1,10,0)+IF(MID(E476,3,1)="1",IF(G476="생명50%이하",트라이포드!$J$22,트라이포드!$I$22),0))/100*($AL476/100-1))</f>
        <v>364461.93450828985</v>
      </c>
      <c r="K476" s="30">
        <f>T476*(1+IF($AK476+IF(입력란!$C$26=1,10,0)+IF(MID(E476,3,1)="1",IF(G476="생명50%이하",트라이포드!$J$22,트라이포드!$I$22),0)&gt;100,100,$AK476+IF(입력란!$C$26=1,10,0)+IF(MID(E476,3,1)="1",IF(G476="생명50%이하",트라이포드!$J$22,트라이포드!$I$22),0))/100*($AL476/100-1))</f>
        <v>0</v>
      </c>
      <c r="L476" s="30">
        <f>U476*(1+IF($AK476+IF(입력란!$C$26=1,10,0)+IF(MID(E476,3,1)="1",IF(G476="생명50%이하",트라이포드!$J$22,트라이포드!$I$22),0)&gt;100,100,$AK476+IF(입력란!$C$26=1,10,0)+IF(MID(E476,3,1)="1",IF(G476="생명50%이하",트라이포드!$J$22,트라이포드!$I$22),0))/100*($AL476/100-1))</f>
        <v>0</v>
      </c>
      <c r="M476" s="30">
        <f>V476*(1+IF($AK476+IF(입력란!$C$26=1,10,0)+IF(MID(E476,3,1)="1",IF(G476="생명50%이하",트라이포드!$J$22,트라이포드!$I$22),0)&gt;100,100,$AK476+IF(입력란!$C$26=1,10,0)+IF(MID(E476,3,1)="1",IF(G476="생명50%이하",트라이포드!$J$22,트라이포드!$I$22),0))/100*($AL476/100-1))</f>
        <v>0</v>
      </c>
      <c r="N476" s="39"/>
      <c r="O476" s="39"/>
      <c r="P476" s="39"/>
      <c r="Q476" s="35"/>
      <c r="R476" s="24">
        <f t="shared" si="62"/>
        <v>300229.09101813909</v>
      </c>
      <c r="S476" s="30">
        <f>AN476*IF(MID(E476,3,1)="2",트라이포드!$L$22,트라이포드!$K$22)*IF(MID(E476,5,1)="1",트라이포드!$P$22,트라이포드!$O$22)*(1+입력란!$C$44/100)</f>
        <v>300229.09101813909</v>
      </c>
      <c r="T476" s="30">
        <f>AN476*IF(MID(E476,3,1)="2",트라이포드!$L$22,트라이포드!$K$22)*IF(MID(E476,5,1)="2",트라이포드!$R$22,트라이포드!$F$22)*(1+입력란!$C$44/100)/3</f>
        <v>0</v>
      </c>
      <c r="U476" s="30">
        <f>AN476*IF(MID(E476,3,1)="2",트라이포드!$L$22,트라이포드!$K$22)*IF(MID(E476,5,1)="2",트라이포드!$R$22,트라이포드!$F$22)*(1+입력란!$C$44/100)/3</f>
        <v>0</v>
      </c>
      <c r="V476" s="30">
        <f>AN476*IF(MID(E476,3,1)="2",트라이포드!$L$22,트라이포드!$K$22)*IF(MID(E476,5,1)="2",트라이포드!$R$22,트라이포드!$F$22)*(1+입력란!$C$44/100)/3</f>
        <v>0</v>
      </c>
      <c r="W476" s="26"/>
      <c r="X476" s="26"/>
      <c r="Y476" s="26"/>
      <c r="Z476" s="27"/>
      <c r="AA476" s="30">
        <f t="shared" si="63"/>
        <v>600458.18203627819</v>
      </c>
      <c r="AB476" s="30">
        <f t="shared" si="64"/>
        <v>600458.18203627819</v>
      </c>
      <c r="AC476" s="30">
        <f t="shared" si="65"/>
        <v>0</v>
      </c>
      <c r="AD476" s="30">
        <f t="shared" si="66"/>
        <v>0</v>
      </c>
      <c r="AE476" s="30">
        <f t="shared" si="67"/>
        <v>0</v>
      </c>
      <c r="AF476" s="39"/>
      <c r="AG476" s="39"/>
      <c r="AH476" s="39"/>
      <c r="AI476" s="25"/>
      <c r="AJ476" s="30">
        <f>AQ476*(1-입력란!$C$35/100)</f>
        <v>23.72176897872</v>
      </c>
      <c r="AK4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6" s="26">
        <f>입력란!$C$47+IF(입력란!$C$18=1,10,IF(입력란!$C$18=2,25,IF(입력란!$C$18=3,50,0)))+IF(입력란!$C$23&lt;&gt;0,-12)</f>
        <v>200</v>
      </c>
      <c r="AM476" s="26">
        <f t="shared" si="68"/>
        <v>221110.10434083379</v>
      </c>
      <c r="AN476" s="30">
        <f>(VLOOKUP(C476,$B$4:$AJ$7,28,FALSE)+VLOOKUP(C476,$B$8:$AJ$11,28,FALSE)*입력란!$C$29)*입력란!$C$48/100</f>
        <v>221110.10434083379</v>
      </c>
      <c r="AO476" s="39"/>
      <c r="AP476" s="39"/>
      <c r="AQ476" s="23">
        <v>24</v>
      </c>
    </row>
    <row r="477" spans="2:43" ht="13.5" customHeight="1" x14ac:dyDescent="0.3">
      <c r="B477" s="31">
        <v>462</v>
      </c>
      <c r="C477" s="40">
        <v>7</v>
      </c>
      <c r="D477" s="44" t="s">
        <v>255</v>
      </c>
      <c r="E477" s="38" t="s">
        <v>242</v>
      </c>
      <c r="F477" s="40"/>
      <c r="G477" s="40" t="s">
        <v>413</v>
      </c>
      <c r="H477" s="81">
        <f t="shared" si="61"/>
        <v>21692.163028776169</v>
      </c>
      <c r="I477" s="53">
        <f>SUM(J477:Q477)*IF(입력란!$C$16=1,1.04,IF(입력란!$C$16=2,1.1,IF(입력란!$C$16=3,1.2,1)))*IF(입력란!$C$21=1,1+입력란!$C$38*0.001,IF(입력란!$C$21=2,1+입력란!$C$38*0.0022,IF(입력란!$C$21=3,1+입력란!$C$38*0.0045,1)))*IF(입력란!$C$18&lt;&gt;0,0.98,1)</f>
        <v>514576.48001735943</v>
      </c>
      <c r="J477" s="30">
        <f>S477*(1+IF($AK477+IF(입력란!$C$26=1,10,0)+IF(MID(E477,3,1)="1",IF(G477="생명50%이하",트라이포드!$J$22,트라이포드!$I$22),0)&gt;100,100,$AK477+IF(입력란!$C$26=1,10,0)+IF(MID(E477,3,1)="1",IF(G477="생명50%이하",트라이포드!$J$22,트라이포드!$I$22),0))/100*($AL477/100-1))</f>
        <v>514576.48001735943</v>
      </c>
      <c r="K477" s="30">
        <f>T477*(1+IF($AK477+IF(입력란!$C$26=1,10,0)+IF(MID(E477,3,1)="1",IF(G477="생명50%이하",트라이포드!$J$22,트라이포드!$I$22),0)&gt;100,100,$AK477+IF(입력란!$C$26=1,10,0)+IF(MID(E477,3,1)="1",IF(G477="생명50%이하",트라이포드!$J$22,트라이포드!$I$22),0))/100*($AL477/100-1))</f>
        <v>0</v>
      </c>
      <c r="L477" s="30">
        <f>U477*(1+IF($AK477+IF(입력란!$C$26=1,10,0)+IF(MID(E477,3,1)="1",IF(G477="생명50%이하",트라이포드!$J$22,트라이포드!$I$22),0)&gt;100,100,$AK477+IF(입력란!$C$26=1,10,0)+IF(MID(E477,3,1)="1",IF(G477="생명50%이하",트라이포드!$J$22,트라이포드!$I$22),0))/100*($AL477/100-1))</f>
        <v>0</v>
      </c>
      <c r="M477" s="30">
        <f>V477*(1+IF($AK477+IF(입력란!$C$26=1,10,0)+IF(MID(E477,3,1)="1",IF(G477="생명50%이하",트라이포드!$J$22,트라이포드!$I$22),0)&gt;100,100,$AK477+IF(입력란!$C$26=1,10,0)+IF(MID(E477,3,1)="1",IF(G477="생명50%이하",트라이포드!$J$22,트라이포드!$I$22),0))/100*($AL477/100-1))</f>
        <v>0</v>
      </c>
      <c r="N477" s="39"/>
      <c r="O477" s="39"/>
      <c r="P477" s="39"/>
      <c r="Q477" s="35"/>
      <c r="R477" s="24">
        <f t="shared" si="62"/>
        <v>300229.09101813909</v>
      </c>
      <c r="S477" s="30">
        <f>AN477*IF(MID(E477,3,1)="2",트라이포드!$L$22,트라이포드!$K$22)*IF(MID(E477,5,1)="1",트라이포드!$P$22,트라이포드!$O$22)*(1+입력란!$C$44/100)</f>
        <v>300229.09101813909</v>
      </c>
      <c r="T477" s="30">
        <f>AN477*IF(MID(E477,3,1)="2",트라이포드!$L$22,트라이포드!$K$22)*IF(MID(E477,5,1)="2",트라이포드!$R$22,트라이포드!$F$22)*(1+입력란!$C$44/100)/3</f>
        <v>0</v>
      </c>
      <c r="U477" s="30">
        <f>AN477*IF(MID(E477,3,1)="2",트라이포드!$L$22,트라이포드!$K$22)*IF(MID(E477,5,1)="2",트라이포드!$R$22,트라이포드!$F$22)*(1+입력란!$C$44/100)/3</f>
        <v>0</v>
      </c>
      <c r="V477" s="30">
        <f>AN477*IF(MID(E477,3,1)="2",트라이포드!$L$22,트라이포드!$K$22)*IF(MID(E477,5,1)="2",트라이포드!$R$22,트라이포드!$F$22)*(1+입력란!$C$44/100)/3</f>
        <v>0</v>
      </c>
      <c r="W477" s="26"/>
      <c r="X477" s="26"/>
      <c r="Y477" s="26"/>
      <c r="Z477" s="27"/>
      <c r="AA477" s="30">
        <f t="shared" si="63"/>
        <v>600458.18203627819</v>
      </c>
      <c r="AB477" s="30">
        <f t="shared" si="64"/>
        <v>600458.18203627819</v>
      </c>
      <c r="AC477" s="30">
        <f t="shared" si="65"/>
        <v>0</v>
      </c>
      <c r="AD477" s="30">
        <f t="shared" si="66"/>
        <v>0</v>
      </c>
      <c r="AE477" s="30">
        <f t="shared" si="67"/>
        <v>0</v>
      </c>
      <c r="AF477" s="39"/>
      <c r="AG477" s="39"/>
      <c r="AH477" s="39"/>
      <c r="AI477" s="25"/>
      <c r="AJ477" s="30">
        <f>AQ477*(1-입력란!$C$35/100)</f>
        <v>23.72176897872</v>
      </c>
      <c r="AK4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7" s="26">
        <f>입력란!$C$47+IF(입력란!$C$18=1,10,IF(입력란!$C$18=2,25,IF(입력란!$C$18=3,50,0)))+IF(입력란!$C$23&lt;&gt;0,-12)</f>
        <v>200</v>
      </c>
      <c r="AM477" s="26">
        <f t="shared" si="68"/>
        <v>221110.10434083379</v>
      </c>
      <c r="AN477" s="30">
        <f>(VLOOKUP(C477,$B$4:$AJ$7,28,FALSE)+VLOOKUP(C477,$B$8:$AJ$11,28,FALSE)*입력란!$C$29)*입력란!$C$48/100</f>
        <v>221110.10434083379</v>
      </c>
      <c r="AO477" s="39"/>
      <c r="AP477" s="39"/>
      <c r="AQ477" s="23">
        <v>24</v>
      </c>
    </row>
    <row r="478" spans="2:43" ht="13.5" customHeight="1" x14ac:dyDescent="0.3">
      <c r="B478" s="31">
        <v>463</v>
      </c>
      <c r="C478" s="40">
        <v>7</v>
      </c>
      <c r="D478" s="44" t="s">
        <v>255</v>
      </c>
      <c r="E478" s="38" t="s">
        <v>241</v>
      </c>
      <c r="F478" s="40" t="s">
        <v>261</v>
      </c>
      <c r="G478" s="40" t="s">
        <v>413</v>
      </c>
      <c r="H478" s="81">
        <f t="shared" si="61"/>
        <v>21509.639891077724</v>
      </c>
      <c r="I478" s="53">
        <f>SUM(J478:Q478)*IF(입력란!$C$16=1,1.04,IF(입력란!$C$16=2,1.1,IF(입력란!$C$16=3,1.2,1)))*IF(입력란!$C$21=1,1+입력란!$C$38*0.001,IF(입력란!$C$21=2,1+입력란!$C$38*0.0022,IF(입력란!$C$21=3,1+입력란!$C$38*0.0045,1)))*IF(입력란!$C$18&lt;&gt;0,0.98,1)</f>
        <v>510246.70831160579</v>
      </c>
      <c r="J478" s="30">
        <f>S478*(1+IF($AK478+IF(입력란!$C$26=1,10,0)+IF(MID(E478,3,1)="1",IF(G478="생명50%이하",트라이포드!$J$22,트라이포드!$I$22),0)&gt;100,100,$AK478+IF(입력란!$C$26=1,10,0)+IF(MID(E478,3,1)="1",IF(G478="생명50%이하",트라이포드!$J$22,트라이포드!$I$22),0))/100*($AL478/100-1))</f>
        <v>510246.70831160579</v>
      </c>
      <c r="K478" s="30">
        <f>T478*(1+IF($AK478+IF(입력란!$C$26=1,10,0)+IF(MID(E478,3,1)="1",IF(G478="생명50%이하",트라이포드!$J$22,트라이포드!$I$22),0)&gt;100,100,$AK478+IF(입력란!$C$26=1,10,0)+IF(MID(E478,3,1)="1",IF(G478="생명50%이하",트라이포드!$J$22,트라이포드!$I$22),0))/100*($AL478/100-1))</f>
        <v>0</v>
      </c>
      <c r="L478" s="30">
        <f>U478*(1+IF($AK478+IF(입력란!$C$26=1,10,0)+IF(MID(E478,3,1)="1",IF(G478="생명50%이하",트라이포드!$J$22,트라이포드!$I$22),0)&gt;100,100,$AK478+IF(입력란!$C$26=1,10,0)+IF(MID(E478,3,1)="1",IF(G478="생명50%이하",트라이포드!$J$22,트라이포드!$I$22),0))/100*($AL478/100-1))</f>
        <v>0</v>
      </c>
      <c r="M478" s="30">
        <f>V478*(1+IF($AK478+IF(입력란!$C$26=1,10,0)+IF(MID(E478,3,1)="1",IF(G478="생명50%이하",트라이포드!$J$22,트라이포드!$I$22),0)&gt;100,100,$AK478+IF(입력란!$C$26=1,10,0)+IF(MID(E478,3,1)="1",IF(G478="생명50%이하",트라이포드!$J$22,트라이포드!$I$22),0))/100*($AL478/100-1))</f>
        <v>0</v>
      </c>
      <c r="N478" s="39"/>
      <c r="O478" s="39"/>
      <c r="P478" s="39"/>
      <c r="Q478" s="35"/>
      <c r="R478" s="24">
        <f t="shared" si="62"/>
        <v>420320.7274253947</v>
      </c>
      <c r="S478" s="30">
        <f>AN478*IF(MID(E478,3,1)="2",트라이포드!$L$22,트라이포드!$K$22)*IF(MID(E478,5,1)="1",트라이포드!$P$22,트라이포드!$O$22)*(1+입력란!$C$44/100)</f>
        <v>420320.7274253947</v>
      </c>
      <c r="T478" s="30">
        <f>AN478*IF(MID(E478,3,1)="2",트라이포드!$L$22,트라이포드!$K$22)*IF(MID(E478,5,1)="2",트라이포드!$R$22,트라이포드!$F$22)*(1+입력란!$C$44/100)/3</f>
        <v>0</v>
      </c>
      <c r="U478" s="30">
        <f>AN478*IF(MID(E478,3,1)="2",트라이포드!$L$22,트라이포드!$K$22)*IF(MID(E478,5,1)="2",트라이포드!$R$22,트라이포드!$F$22)*(1+입력란!$C$44/100)/3</f>
        <v>0</v>
      </c>
      <c r="V478" s="30">
        <f>AN478*IF(MID(E478,3,1)="2",트라이포드!$L$22,트라이포드!$K$22)*IF(MID(E478,5,1)="2",트라이포드!$R$22,트라이포드!$F$22)*(1+입력란!$C$44/100)/3</f>
        <v>0</v>
      </c>
      <c r="W478" s="26"/>
      <c r="X478" s="26"/>
      <c r="Y478" s="26"/>
      <c r="Z478" s="27"/>
      <c r="AA478" s="30">
        <f t="shared" si="63"/>
        <v>840641.45485078939</v>
      </c>
      <c r="AB478" s="30">
        <f t="shared" si="64"/>
        <v>840641.45485078939</v>
      </c>
      <c r="AC478" s="30">
        <f t="shared" si="65"/>
        <v>0</v>
      </c>
      <c r="AD478" s="30">
        <f t="shared" si="66"/>
        <v>0</v>
      </c>
      <c r="AE478" s="30">
        <f t="shared" si="67"/>
        <v>0</v>
      </c>
      <c r="AF478" s="39"/>
      <c r="AG478" s="39"/>
      <c r="AH478" s="39"/>
      <c r="AI478" s="25"/>
      <c r="AJ478" s="30">
        <f>AQ478*(1-입력란!$C$35/100)</f>
        <v>23.72176897872</v>
      </c>
      <c r="AK4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8" s="26">
        <f>입력란!$C$47+IF(입력란!$C$18=1,10,IF(입력란!$C$18=2,25,IF(입력란!$C$18=3,50,0)))+IF(입력란!$C$23&lt;&gt;0,-12)</f>
        <v>200</v>
      </c>
      <c r="AM478" s="26">
        <f t="shared" si="68"/>
        <v>221110.10434083379</v>
      </c>
      <c r="AN478" s="30">
        <f>(VLOOKUP(C478,$B$4:$AJ$7,28,FALSE)+VLOOKUP(C478,$B$8:$AJ$11,28,FALSE)*입력란!$C$29)*입력란!$C$48/100</f>
        <v>221110.10434083379</v>
      </c>
      <c r="AO478" s="39"/>
      <c r="AP478" s="39"/>
      <c r="AQ478" s="23">
        <v>24</v>
      </c>
    </row>
    <row r="479" spans="2:43" ht="13.5" customHeight="1" x14ac:dyDescent="0.3">
      <c r="B479" s="31">
        <v>464</v>
      </c>
      <c r="C479" s="40">
        <v>10</v>
      </c>
      <c r="D479" s="44" t="s">
        <v>255</v>
      </c>
      <c r="E479" s="38" t="s">
        <v>240</v>
      </c>
      <c r="F479" s="40"/>
      <c r="G479" s="40" t="s">
        <v>413</v>
      </c>
      <c r="H479" s="81">
        <f t="shared" si="61"/>
        <v>15373.89548750585</v>
      </c>
      <c r="I479" s="53">
        <f>SUM(J479:Q479)*IF(입력란!$C$16=1,1.04,IF(입력란!$C$16=2,1.1,IF(입력란!$C$16=3,1.2,1)))*IF(입력란!$C$21=1,1+입력란!$C$38*0.001,IF(입력란!$C$21=2,1+입력란!$C$38*0.0022,IF(입력란!$C$21=3,1+입력란!$C$38*0.0045,1)))*IF(입력란!$C$18&lt;&gt;0,0.98,1)</f>
        <v>364695.99705759966</v>
      </c>
      <c r="J479" s="30">
        <f>S479*(1+IF($AK479+IF(입력란!$C$26=1,10,0)+IF(MID(E479,3,1)="1",IF(G479="생명50%이하",트라이포드!$J$22,트라이포드!$I$22),0)&gt;100,100,$AK479+IF(입력란!$C$26=1,10,0)+IF(MID(E479,3,1)="1",IF(G479="생명50%이하",트라이포드!$J$22,트라이포드!$I$22),0))/100*($AL479/100-1))</f>
        <v>364695.99705759966</v>
      </c>
      <c r="K479" s="30">
        <f>T479*(1+IF($AK479+IF(입력란!$C$26=1,10,0)+IF(MID(E479,3,1)="1",IF(G479="생명50%이하",트라이포드!$J$22,트라이포드!$I$22),0)&gt;100,100,$AK479+IF(입력란!$C$26=1,10,0)+IF(MID(E479,3,1)="1",IF(G479="생명50%이하",트라이포드!$J$22,트라이포드!$I$22),0))/100*($AL479/100-1))</f>
        <v>0</v>
      </c>
      <c r="L479" s="30">
        <f>U479*(1+IF($AK479+IF(입력란!$C$26=1,10,0)+IF(MID(E479,3,1)="1",IF(G479="생명50%이하",트라이포드!$J$22,트라이포드!$I$22),0)&gt;100,100,$AK479+IF(입력란!$C$26=1,10,0)+IF(MID(E479,3,1)="1",IF(G479="생명50%이하",트라이포드!$J$22,트라이포드!$I$22),0))/100*($AL479/100-1))</f>
        <v>0</v>
      </c>
      <c r="M479" s="30">
        <f>V479*(1+IF($AK479+IF(입력란!$C$26=1,10,0)+IF(MID(E479,3,1)="1",IF(G479="생명50%이하",트라이포드!$J$22,트라이포드!$I$22),0)&gt;100,100,$AK479+IF(입력란!$C$26=1,10,0)+IF(MID(E479,3,1)="1",IF(G479="생명50%이하",트라이포드!$J$22,트라이포드!$I$22),0))/100*($AL479/100-1))</f>
        <v>0</v>
      </c>
      <c r="N479" s="39"/>
      <c r="O479" s="39"/>
      <c r="P479" s="39"/>
      <c r="Q479" s="35"/>
      <c r="R479" s="24">
        <f t="shared" si="62"/>
        <v>300421.90233742126</v>
      </c>
      <c r="S479" s="30">
        <f>AN479*IF(MID(E479,3,1)="2",트라이포드!$L$22,트라이포드!$K$22)*IF(MID(E479,5,1)="1",트라이포드!$P$22,트라이포드!$O$22)*(1+입력란!$C$44/100)</f>
        <v>300421.90233742126</v>
      </c>
      <c r="T479" s="30">
        <f>AN479*IF(MID(E479,3,1)="2",트라이포드!$L$22,트라이포드!$K$22)*IF(MID(E479,5,1)="2",트라이포드!$R$22,트라이포드!$F$22)*(1+입력란!$C$44/100)/3</f>
        <v>0</v>
      </c>
      <c r="U479" s="30">
        <f>AN479*IF(MID(E479,3,1)="2",트라이포드!$L$22,트라이포드!$K$22)*IF(MID(E479,5,1)="2",트라이포드!$R$22,트라이포드!$F$22)*(1+입력란!$C$44/100)/3</f>
        <v>0</v>
      </c>
      <c r="V479" s="30">
        <f>AN479*IF(MID(E479,3,1)="2",트라이포드!$L$22,트라이포드!$K$22)*IF(MID(E479,5,1)="2",트라이포드!$R$22,트라이포드!$F$22)*(1+입력란!$C$44/100)/3</f>
        <v>0</v>
      </c>
      <c r="W479" s="26"/>
      <c r="X479" s="26"/>
      <c r="Y479" s="26"/>
      <c r="Z479" s="27"/>
      <c r="AA479" s="30">
        <f t="shared" si="63"/>
        <v>600843.80467484251</v>
      </c>
      <c r="AB479" s="30">
        <f t="shared" si="64"/>
        <v>600843.80467484251</v>
      </c>
      <c r="AC479" s="30">
        <f t="shared" si="65"/>
        <v>0</v>
      </c>
      <c r="AD479" s="30">
        <f t="shared" si="66"/>
        <v>0</v>
      </c>
      <c r="AE479" s="30">
        <f t="shared" si="67"/>
        <v>0</v>
      </c>
      <c r="AF479" s="39"/>
      <c r="AG479" s="39"/>
      <c r="AH479" s="39"/>
      <c r="AI479" s="25"/>
      <c r="AJ479" s="30">
        <f>AQ479*(1-입력란!$C$35/100)</f>
        <v>23.72176897872</v>
      </c>
      <c r="AK47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79" s="26">
        <f>입력란!$C$47+IF(입력란!$C$18=1,10,IF(입력란!$C$18=2,25,IF(입력란!$C$18=3,50,0)))+IF(입력란!$C$23&lt;&gt;0,-12)</f>
        <v>200</v>
      </c>
      <c r="AM479" s="26">
        <f t="shared" si="68"/>
        <v>221252.10434083379</v>
      </c>
      <c r="AN479" s="30">
        <f>(VLOOKUP(C479,$B$4:$AJ$7,28,FALSE)+VLOOKUP(C479,$B$8:$AJ$11,28,FALSE)*입력란!$C$29)*입력란!$C$48/100</f>
        <v>221252.10434083379</v>
      </c>
      <c r="AO479" s="39"/>
      <c r="AP479" s="39"/>
      <c r="AQ479" s="23">
        <v>24</v>
      </c>
    </row>
    <row r="480" spans="2:43" ht="13.5" customHeight="1" x14ac:dyDescent="0.3">
      <c r="B480" s="31">
        <v>465</v>
      </c>
      <c r="C480" s="40">
        <v>10</v>
      </c>
      <c r="D480" s="44" t="s">
        <v>255</v>
      </c>
      <c r="E480" s="38" t="s">
        <v>247</v>
      </c>
      <c r="F480" s="40"/>
      <c r="G480" s="40" t="s">
        <v>413</v>
      </c>
      <c r="H480" s="81">
        <f t="shared" si="61"/>
        <v>30747.7909750117</v>
      </c>
      <c r="I480" s="53">
        <f>SUM(J480:Q480)*IF(입력란!$C$16=1,1.04,IF(입력란!$C$16=2,1.1,IF(입력란!$C$16=3,1.2,1)))*IF(입력란!$C$21=1,1+입력란!$C$38*0.001,IF(입력란!$C$21=2,1+입력란!$C$38*0.0022,IF(입력란!$C$21=3,1+입력란!$C$38*0.0045,1)))*IF(입력란!$C$18&lt;&gt;0,0.98,1)</f>
        <v>729391.99411519931</v>
      </c>
      <c r="J480" s="30">
        <f>S480*(1+IF($AK480+IF(입력란!$C$26=1,10,0)+IF(MID(E480,3,1)="1",IF(G480="생명50%이하",트라이포드!$J$22,트라이포드!$I$22),0)&gt;100,100,$AK480+IF(입력란!$C$26=1,10,0)+IF(MID(E480,3,1)="1",IF(G480="생명50%이하",트라이포드!$J$22,트라이포드!$I$22),0))/100*($AL480/100-1))</f>
        <v>729391.99411519931</v>
      </c>
      <c r="K480" s="30">
        <f>T480*(1+IF($AK480+IF(입력란!$C$26=1,10,0)+IF(MID(E480,3,1)="1",IF(G480="생명50%이하",트라이포드!$J$22,트라이포드!$I$22),0)&gt;100,100,$AK480+IF(입력란!$C$26=1,10,0)+IF(MID(E480,3,1)="1",IF(G480="생명50%이하",트라이포드!$J$22,트라이포드!$I$22),0))/100*($AL480/100-1))</f>
        <v>0</v>
      </c>
      <c r="L480" s="30">
        <f>U480*(1+IF($AK480+IF(입력란!$C$26=1,10,0)+IF(MID(E480,3,1)="1",IF(G480="생명50%이하",트라이포드!$J$22,트라이포드!$I$22),0)&gt;100,100,$AK480+IF(입력란!$C$26=1,10,0)+IF(MID(E480,3,1)="1",IF(G480="생명50%이하",트라이포드!$J$22,트라이포드!$I$22),0))/100*($AL480/100-1))</f>
        <v>0</v>
      </c>
      <c r="M480" s="30">
        <f>V480*(1+IF($AK480+IF(입력란!$C$26=1,10,0)+IF(MID(E480,3,1)="1",IF(G480="생명50%이하",트라이포드!$J$22,트라이포드!$I$22),0)&gt;100,100,$AK480+IF(입력란!$C$26=1,10,0)+IF(MID(E480,3,1)="1",IF(G480="생명50%이하",트라이포드!$J$22,트라이포드!$I$22),0))/100*($AL480/100-1))</f>
        <v>0</v>
      </c>
      <c r="N480" s="39"/>
      <c r="O480" s="39"/>
      <c r="P480" s="39"/>
      <c r="Q480" s="35"/>
      <c r="R480" s="24">
        <f t="shared" si="62"/>
        <v>600843.80467484251</v>
      </c>
      <c r="S480" s="30">
        <f>AN480*IF(MID(E480,3,1)="2",트라이포드!$L$22,트라이포드!$K$22)*IF(MID(E480,5,1)="1",트라이포드!$P$22,트라이포드!$O$22)*(1+입력란!$C$44/100)</f>
        <v>600843.80467484251</v>
      </c>
      <c r="T480" s="30">
        <f>AN480*IF(MID(E480,3,1)="2",트라이포드!$L$22,트라이포드!$K$22)*IF(MID(E480,5,1)="2",트라이포드!$R$22,트라이포드!$F$22)*(1+입력란!$C$44/100)/3</f>
        <v>0</v>
      </c>
      <c r="U480" s="30">
        <f>AN480*IF(MID(E480,3,1)="2",트라이포드!$L$22,트라이포드!$K$22)*IF(MID(E480,5,1)="2",트라이포드!$R$22,트라이포드!$F$22)*(1+입력란!$C$44/100)/3</f>
        <v>0</v>
      </c>
      <c r="V480" s="30">
        <f>AN480*IF(MID(E480,3,1)="2",트라이포드!$L$22,트라이포드!$K$22)*IF(MID(E480,5,1)="2",트라이포드!$R$22,트라이포드!$F$22)*(1+입력란!$C$44/100)/3</f>
        <v>0</v>
      </c>
      <c r="W480" s="26"/>
      <c r="X480" s="26"/>
      <c r="Y480" s="26"/>
      <c r="Z480" s="27"/>
      <c r="AA480" s="30">
        <f t="shared" si="63"/>
        <v>1201687.609349685</v>
      </c>
      <c r="AB480" s="30">
        <f t="shared" si="64"/>
        <v>1201687.609349685</v>
      </c>
      <c r="AC480" s="30">
        <f t="shared" si="65"/>
        <v>0</v>
      </c>
      <c r="AD480" s="30">
        <f t="shared" si="66"/>
        <v>0</v>
      </c>
      <c r="AE480" s="30">
        <f t="shared" si="67"/>
        <v>0</v>
      </c>
      <c r="AF480" s="39"/>
      <c r="AG480" s="39"/>
      <c r="AH480" s="39"/>
      <c r="AI480" s="25"/>
      <c r="AJ480" s="30">
        <f>AQ480*(1-입력란!$C$35/100)</f>
        <v>23.72176897872</v>
      </c>
      <c r="AK48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0" s="26">
        <f>입력란!$C$47+IF(입력란!$C$18=1,10,IF(입력란!$C$18=2,25,IF(입력란!$C$18=3,50,0)))+IF(입력란!$C$23&lt;&gt;0,-12)</f>
        <v>200</v>
      </c>
      <c r="AM480" s="26">
        <f t="shared" si="68"/>
        <v>221252.10434083379</v>
      </c>
      <c r="AN480" s="30">
        <f>(VLOOKUP(C480,$B$4:$AJ$7,28,FALSE)+VLOOKUP(C480,$B$8:$AJ$11,28,FALSE)*입력란!$C$29)*입력란!$C$48/100</f>
        <v>221252.10434083379</v>
      </c>
      <c r="AO480" s="39"/>
      <c r="AP480" s="39"/>
      <c r="AQ480" s="23">
        <v>24</v>
      </c>
    </row>
    <row r="481" spans="2:43" ht="13.5" customHeight="1" x14ac:dyDescent="0.3">
      <c r="B481" s="31">
        <v>466</v>
      </c>
      <c r="C481" s="40">
        <v>10</v>
      </c>
      <c r="D481" s="44" t="s">
        <v>255</v>
      </c>
      <c r="E481" s="38" t="s">
        <v>248</v>
      </c>
      <c r="F481" s="40"/>
      <c r="G481" s="40" t="s">
        <v>413</v>
      </c>
      <c r="H481" s="81">
        <f t="shared" si="61"/>
        <v>33822.57007251287</v>
      </c>
      <c r="I481" s="53">
        <f>SUM(J481:Q481)*IF(입력란!$C$16=1,1.04,IF(입력란!$C$16=2,1.1,IF(입력란!$C$16=3,1.2,1)))*IF(입력란!$C$21=1,1+입력란!$C$38*0.001,IF(입력란!$C$21=2,1+입력란!$C$38*0.0022,IF(입력란!$C$21=3,1+입력란!$C$38*0.0045,1)))*IF(입력란!$C$18&lt;&gt;0,0.98,1)</f>
        <v>802331.19352671923</v>
      </c>
      <c r="J481" s="30">
        <f>S481*(1+IF($AK481+IF(입력란!$C$26=1,10,0)+IF(MID(E481,3,1)="1",IF(G481="생명50%이하",트라이포드!$J$22,트라이포드!$I$22),0)&gt;100,100,$AK481+IF(입력란!$C$26=1,10,0)+IF(MID(E481,3,1)="1",IF(G481="생명50%이하",트라이포드!$J$22,트라이포드!$I$22),0))/100*($AL481/100-1))</f>
        <v>364695.99705759966</v>
      </c>
      <c r="K481" s="30">
        <f>T481*(1+IF($AK481+IF(입력란!$C$26=1,10,0)+IF(MID(E481,3,1)="1",IF(G481="생명50%이하",트라이포드!$J$22,트라이포드!$I$22),0)&gt;100,100,$AK481+IF(입력란!$C$26=1,10,0)+IF(MID(E481,3,1)="1",IF(G481="생명50%이하",트라이포드!$J$22,트라이포드!$I$22),0))/100*($AL481/100-1))</f>
        <v>145878.39882303987</v>
      </c>
      <c r="L481" s="30">
        <f>U481*(1+IF($AK481+IF(입력란!$C$26=1,10,0)+IF(MID(E481,3,1)="1",IF(G481="생명50%이하",트라이포드!$J$22,트라이포드!$I$22),0)&gt;100,100,$AK481+IF(입력란!$C$26=1,10,0)+IF(MID(E481,3,1)="1",IF(G481="생명50%이하",트라이포드!$J$22,트라이포드!$I$22),0))/100*($AL481/100-1))</f>
        <v>145878.39882303987</v>
      </c>
      <c r="M481" s="30">
        <f>V481*(1+IF($AK481+IF(입력란!$C$26=1,10,0)+IF(MID(E481,3,1)="1",IF(G481="생명50%이하",트라이포드!$J$22,트라이포드!$I$22),0)&gt;100,100,$AK481+IF(입력란!$C$26=1,10,0)+IF(MID(E481,3,1)="1",IF(G481="생명50%이하",트라이포드!$J$22,트라이포드!$I$22),0))/100*($AL481/100-1))</f>
        <v>145878.39882303987</v>
      </c>
      <c r="N481" s="39"/>
      <c r="O481" s="39"/>
      <c r="P481" s="39"/>
      <c r="Q481" s="35"/>
      <c r="R481" s="24">
        <f t="shared" si="62"/>
        <v>660928.18514232675</v>
      </c>
      <c r="S481" s="30">
        <f>AN481*IF(MID(E481,3,1)="2",트라이포드!$L$22,트라이포드!$K$22)*IF(MID(E481,5,1)="1",트라이포드!$P$22,트라이포드!$O$22)*(1+입력란!$C$44/100)</f>
        <v>300421.90233742126</v>
      </c>
      <c r="T481" s="30">
        <f>AN481*IF(MID(E481,3,1)="2",트라이포드!$L$22,트라이포드!$K$22)*IF(MID(E481,5,1)="2",트라이포드!$R$22,트라이포드!$F$22)*(1+입력란!$C$44/100)/3</f>
        <v>120168.76093496849</v>
      </c>
      <c r="U481" s="30">
        <f>AN481*IF(MID(E481,3,1)="2",트라이포드!$L$22,트라이포드!$K$22)*IF(MID(E481,5,1)="2",트라이포드!$R$22,트라이포드!$F$22)*(1+입력란!$C$44/100)/3</f>
        <v>120168.76093496849</v>
      </c>
      <c r="V481" s="30">
        <f>AN481*IF(MID(E481,3,1)="2",트라이포드!$L$22,트라이포드!$K$22)*IF(MID(E481,5,1)="2",트라이포드!$R$22,트라이포드!$F$22)*(1+입력란!$C$44/100)/3</f>
        <v>120168.76093496849</v>
      </c>
      <c r="W481" s="26"/>
      <c r="X481" s="26"/>
      <c r="Y481" s="26"/>
      <c r="Z481" s="27"/>
      <c r="AA481" s="30">
        <f t="shared" si="63"/>
        <v>1321856.3702846535</v>
      </c>
      <c r="AB481" s="30">
        <f t="shared" si="64"/>
        <v>600843.80467484251</v>
      </c>
      <c r="AC481" s="30">
        <f t="shared" si="65"/>
        <v>240337.52186993699</v>
      </c>
      <c r="AD481" s="30">
        <f t="shared" si="66"/>
        <v>240337.52186993699</v>
      </c>
      <c r="AE481" s="30">
        <f t="shared" si="67"/>
        <v>240337.52186993699</v>
      </c>
      <c r="AF481" s="39"/>
      <c r="AG481" s="39"/>
      <c r="AH481" s="39"/>
      <c r="AI481" s="25"/>
      <c r="AJ481" s="30">
        <f>AQ481*(1-입력란!$C$35/100)</f>
        <v>23.72176897872</v>
      </c>
      <c r="AK48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1" s="26">
        <f>입력란!$C$47+IF(입력란!$C$18=1,10,IF(입력란!$C$18=2,25,IF(입력란!$C$18=3,50,0)))+IF(입력란!$C$23&lt;&gt;0,-12)</f>
        <v>200</v>
      </c>
      <c r="AM481" s="26">
        <f t="shared" si="68"/>
        <v>221252.10434083379</v>
      </c>
      <c r="AN481" s="30">
        <f>(VLOOKUP(C481,$B$4:$AJ$7,28,FALSE)+VLOOKUP(C481,$B$8:$AJ$11,28,FALSE)*입력란!$C$29)*입력란!$C$48/100</f>
        <v>221252.10434083379</v>
      </c>
      <c r="AO481" s="39"/>
      <c r="AP481" s="39"/>
      <c r="AQ481" s="23">
        <v>24</v>
      </c>
    </row>
    <row r="482" spans="2:43" ht="13.5" customHeight="1" x14ac:dyDescent="0.3">
      <c r="B482" s="31">
        <v>467</v>
      </c>
      <c r="C482" s="40">
        <v>10</v>
      </c>
      <c r="D482" s="44" t="s">
        <v>255</v>
      </c>
      <c r="E482" s="38" t="s">
        <v>256</v>
      </c>
      <c r="F482" s="40"/>
      <c r="G482" s="40" t="s">
        <v>413</v>
      </c>
      <c r="H482" s="81">
        <f t="shared" si="61"/>
        <v>43412.188078234467</v>
      </c>
      <c r="I482" s="53">
        <f>SUM(J482:Q482)*IF(입력란!$C$16=1,1.04,IF(입력란!$C$16=2,1.1,IF(입력란!$C$16=3,1.2,1)))*IF(입력란!$C$21=1,1+입력란!$C$38*0.001,IF(입력란!$C$21=2,1+입력란!$C$38*0.0022,IF(입력란!$C$21=3,1+입력란!$C$38*0.0045,1)))*IF(입력란!$C$18&lt;&gt;0,0.98,1)</f>
        <v>1029813.8964526206</v>
      </c>
      <c r="J482" s="30">
        <f>S482*(1+IF($AK482+IF(입력란!$C$26=1,10,0)+IF(MID(E482,3,1)="1",IF(G482="생명50%이하",트라이포드!$J$22,트라이포드!$I$22),0)&gt;100,100,$AK482+IF(입력란!$C$26=1,10,0)+IF(MID(E482,3,1)="1",IF(G482="생명50%이하",트라이포드!$J$22,트라이포드!$I$22),0))/100*($AL482/100-1))</f>
        <v>1029813.8964526206</v>
      </c>
      <c r="K482" s="30">
        <f>T482*(1+IF($AK482+IF(입력란!$C$26=1,10,0)+IF(MID(E482,3,1)="1",IF(G482="생명50%이하",트라이포드!$J$22,트라이포드!$I$22),0)&gt;100,100,$AK482+IF(입력란!$C$26=1,10,0)+IF(MID(E482,3,1)="1",IF(G482="생명50%이하",트라이포드!$J$22,트라이포드!$I$22),0))/100*($AL482/100-1))</f>
        <v>0</v>
      </c>
      <c r="L482" s="30">
        <f>U482*(1+IF($AK482+IF(입력란!$C$26=1,10,0)+IF(MID(E482,3,1)="1",IF(G482="생명50%이하",트라이포드!$J$22,트라이포드!$I$22),0)&gt;100,100,$AK482+IF(입력란!$C$26=1,10,0)+IF(MID(E482,3,1)="1",IF(G482="생명50%이하",트라이포드!$J$22,트라이포드!$I$22),0))/100*($AL482/100-1))</f>
        <v>0</v>
      </c>
      <c r="M482" s="30">
        <f>V482*(1+IF($AK482+IF(입력란!$C$26=1,10,0)+IF(MID(E482,3,1)="1",IF(G482="생명50%이하",트라이포드!$J$22,트라이포드!$I$22),0)&gt;100,100,$AK482+IF(입력란!$C$26=1,10,0)+IF(MID(E482,3,1)="1",IF(G482="생명50%이하",트라이포드!$J$22,트라이포드!$I$22),0))/100*($AL482/100-1))</f>
        <v>0</v>
      </c>
      <c r="N482" s="39"/>
      <c r="O482" s="39"/>
      <c r="P482" s="39"/>
      <c r="Q482" s="35"/>
      <c r="R482" s="24">
        <f t="shared" si="62"/>
        <v>600843.80467484251</v>
      </c>
      <c r="S482" s="30">
        <f>AN482*IF(MID(E482,3,1)="2",트라이포드!$L$22,트라이포드!$K$22)*IF(MID(E482,5,1)="1",트라이포드!$P$22,트라이포드!$O$22)*(1+입력란!$C$44/100)</f>
        <v>600843.80467484251</v>
      </c>
      <c r="T482" s="30">
        <f>AN482*IF(MID(E482,3,1)="2",트라이포드!$L$22,트라이포드!$K$22)*IF(MID(E482,5,1)="2",트라이포드!$R$22,트라이포드!$F$22)*(1+입력란!$C$44/100)/3</f>
        <v>0</v>
      </c>
      <c r="U482" s="30">
        <f>AN482*IF(MID(E482,3,1)="2",트라이포드!$L$22,트라이포드!$K$22)*IF(MID(E482,5,1)="2",트라이포드!$R$22,트라이포드!$F$22)*(1+입력란!$C$44/100)/3</f>
        <v>0</v>
      </c>
      <c r="V482" s="30">
        <f>AN482*IF(MID(E482,3,1)="2",트라이포드!$L$22,트라이포드!$K$22)*IF(MID(E482,5,1)="2",트라이포드!$R$22,트라이포드!$F$22)*(1+입력란!$C$44/100)/3</f>
        <v>0</v>
      </c>
      <c r="W482" s="26"/>
      <c r="X482" s="26"/>
      <c r="Y482" s="26"/>
      <c r="Z482" s="27"/>
      <c r="AA482" s="30">
        <f t="shared" si="63"/>
        <v>1201687.609349685</v>
      </c>
      <c r="AB482" s="30">
        <f t="shared" si="64"/>
        <v>1201687.609349685</v>
      </c>
      <c r="AC482" s="30">
        <f t="shared" si="65"/>
        <v>0</v>
      </c>
      <c r="AD482" s="30">
        <f t="shared" si="66"/>
        <v>0</v>
      </c>
      <c r="AE482" s="30">
        <f t="shared" si="67"/>
        <v>0</v>
      </c>
      <c r="AF482" s="39"/>
      <c r="AG482" s="39"/>
      <c r="AH482" s="39"/>
      <c r="AI482" s="25"/>
      <c r="AJ482" s="30">
        <f>AQ482*(1-입력란!$C$35/100)</f>
        <v>23.72176897872</v>
      </c>
      <c r="AK48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2" s="26">
        <f>입력란!$C$47+IF(입력란!$C$18=1,10,IF(입력란!$C$18=2,25,IF(입력란!$C$18=3,50,0)))+IF(입력란!$C$23&lt;&gt;0,-12)</f>
        <v>200</v>
      </c>
      <c r="AM482" s="26">
        <f t="shared" si="68"/>
        <v>221252.10434083379</v>
      </c>
      <c r="AN482" s="30">
        <f>(VLOOKUP(C482,$B$4:$AJ$7,28,FALSE)+VLOOKUP(C482,$B$8:$AJ$11,28,FALSE)*입력란!$C$29)*입력란!$C$48/100</f>
        <v>221252.10434083379</v>
      </c>
      <c r="AO482" s="39"/>
      <c r="AP482" s="39"/>
      <c r="AQ482" s="23">
        <v>24</v>
      </c>
    </row>
    <row r="483" spans="2:43" ht="13.5" customHeight="1" x14ac:dyDescent="0.3">
      <c r="B483" s="31">
        <v>468</v>
      </c>
      <c r="C483" s="40">
        <v>10</v>
      </c>
      <c r="D483" s="44" t="s">
        <v>255</v>
      </c>
      <c r="E483" s="38" t="s">
        <v>257</v>
      </c>
      <c r="F483" s="40"/>
      <c r="G483" s="40" t="s">
        <v>413</v>
      </c>
      <c r="H483" s="81">
        <f t="shared" si="61"/>
        <v>47753.406886057906</v>
      </c>
      <c r="I483" s="53">
        <f>SUM(J483:Q483)*IF(입력란!$C$16=1,1.04,IF(입력란!$C$16=2,1.1,IF(입력란!$C$16=3,1.2,1)))*IF(입력란!$C$21=1,1+입력란!$C$38*0.001,IF(입력란!$C$21=2,1+입력란!$C$38*0.0022,IF(입력란!$C$21=3,1+입력란!$C$38*0.0045,1)))*IF(입력란!$C$18&lt;&gt;0,0.98,1)</f>
        <v>1132795.2860978825</v>
      </c>
      <c r="J483" s="30">
        <f>S483*(1+IF($AK483+IF(입력란!$C$26=1,10,0)+IF(MID(E483,3,1)="1",IF(G483="생명50%이하",트라이포드!$J$22,트라이포드!$I$22),0)&gt;100,100,$AK483+IF(입력란!$C$26=1,10,0)+IF(MID(E483,3,1)="1",IF(G483="생명50%이하",트라이포드!$J$22,트라이포드!$I$22),0))/100*($AL483/100-1))</f>
        <v>514906.94822631031</v>
      </c>
      <c r="K483" s="30">
        <f>T483*(1+IF($AK483+IF(입력란!$C$26=1,10,0)+IF(MID(E483,3,1)="1",IF(G483="생명50%이하",트라이포드!$J$22,트라이포드!$I$22),0)&gt;100,100,$AK483+IF(입력란!$C$26=1,10,0)+IF(MID(E483,3,1)="1",IF(G483="생명50%이하",트라이포드!$J$22,트라이포드!$I$22),0))/100*($AL483/100-1))</f>
        <v>205962.77929052411</v>
      </c>
      <c r="L483" s="30">
        <f>U483*(1+IF($AK483+IF(입력란!$C$26=1,10,0)+IF(MID(E483,3,1)="1",IF(G483="생명50%이하",트라이포드!$J$22,트라이포드!$I$22),0)&gt;100,100,$AK483+IF(입력란!$C$26=1,10,0)+IF(MID(E483,3,1)="1",IF(G483="생명50%이하",트라이포드!$J$22,트라이포드!$I$22),0))/100*($AL483/100-1))</f>
        <v>205962.77929052411</v>
      </c>
      <c r="M483" s="30">
        <f>V483*(1+IF($AK483+IF(입력란!$C$26=1,10,0)+IF(MID(E483,3,1)="1",IF(G483="생명50%이하",트라이포드!$J$22,트라이포드!$I$22),0)&gt;100,100,$AK483+IF(입력란!$C$26=1,10,0)+IF(MID(E483,3,1)="1",IF(G483="생명50%이하",트라이포드!$J$22,트라이포드!$I$22),0))/100*($AL483/100-1))</f>
        <v>205962.77929052411</v>
      </c>
      <c r="N483" s="39"/>
      <c r="O483" s="39"/>
      <c r="P483" s="39"/>
      <c r="Q483" s="35"/>
      <c r="R483" s="24">
        <f t="shared" si="62"/>
        <v>660928.18514232675</v>
      </c>
      <c r="S483" s="30">
        <f>AN483*IF(MID(E483,3,1)="2",트라이포드!$L$22,트라이포드!$K$22)*IF(MID(E483,5,1)="1",트라이포드!$P$22,트라이포드!$O$22)*(1+입력란!$C$44/100)</f>
        <v>300421.90233742126</v>
      </c>
      <c r="T483" s="30">
        <f>AN483*IF(MID(E483,3,1)="2",트라이포드!$L$22,트라이포드!$K$22)*IF(MID(E483,5,1)="2",트라이포드!$R$22,트라이포드!$F$22)*(1+입력란!$C$44/100)/3</f>
        <v>120168.76093496849</v>
      </c>
      <c r="U483" s="30">
        <f>AN483*IF(MID(E483,3,1)="2",트라이포드!$L$22,트라이포드!$K$22)*IF(MID(E483,5,1)="2",트라이포드!$R$22,트라이포드!$F$22)*(1+입력란!$C$44/100)/3</f>
        <v>120168.76093496849</v>
      </c>
      <c r="V483" s="30">
        <f>AN483*IF(MID(E483,3,1)="2",트라이포드!$L$22,트라이포드!$K$22)*IF(MID(E483,5,1)="2",트라이포드!$R$22,트라이포드!$F$22)*(1+입력란!$C$44/100)/3</f>
        <v>120168.76093496849</v>
      </c>
      <c r="W483" s="26"/>
      <c r="X483" s="26"/>
      <c r="Y483" s="26"/>
      <c r="Z483" s="27"/>
      <c r="AA483" s="30">
        <f t="shared" si="63"/>
        <v>1321856.3702846535</v>
      </c>
      <c r="AB483" s="30">
        <f t="shared" si="64"/>
        <v>600843.80467484251</v>
      </c>
      <c r="AC483" s="30">
        <f t="shared" si="65"/>
        <v>240337.52186993699</v>
      </c>
      <c r="AD483" s="30">
        <f t="shared" si="66"/>
        <v>240337.52186993699</v>
      </c>
      <c r="AE483" s="30">
        <f t="shared" si="67"/>
        <v>240337.52186993699</v>
      </c>
      <c r="AF483" s="39"/>
      <c r="AG483" s="39"/>
      <c r="AH483" s="39"/>
      <c r="AI483" s="25"/>
      <c r="AJ483" s="30">
        <f>AQ483*(1-입력란!$C$35/100)</f>
        <v>23.72176897872</v>
      </c>
      <c r="AK48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3" s="26">
        <f>입력란!$C$47+IF(입력란!$C$18=1,10,IF(입력란!$C$18=2,25,IF(입력란!$C$18=3,50,0)))+IF(입력란!$C$23&lt;&gt;0,-12)</f>
        <v>200</v>
      </c>
      <c r="AM483" s="26">
        <f t="shared" si="68"/>
        <v>221252.10434083379</v>
      </c>
      <c r="AN483" s="30">
        <f>(VLOOKUP(C483,$B$4:$AJ$7,28,FALSE)+VLOOKUP(C483,$B$8:$AJ$11,28,FALSE)*입력란!$C$29)*입력란!$C$48/100</f>
        <v>221252.10434083379</v>
      </c>
      <c r="AO483" s="39"/>
      <c r="AP483" s="39"/>
      <c r="AQ483" s="23">
        <v>24</v>
      </c>
    </row>
    <row r="484" spans="2:43" ht="13.5" customHeight="1" x14ac:dyDescent="0.3">
      <c r="B484" s="31">
        <v>469</v>
      </c>
      <c r="C484" s="40">
        <v>10</v>
      </c>
      <c r="D484" s="44" t="s">
        <v>255</v>
      </c>
      <c r="E484" s="38" t="s">
        <v>258</v>
      </c>
      <c r="F484" s="40" t="s">
        <v>261</v>
      </c>
      <c r="G484" s="40" t="s">
        <v>413</v>
      </c>
      <c r="H484" s="81">
        <f t="shared" si="61"/>
        <v>43046.907365016377</v>
      </c>
      <c r="I484" s="53">
        <f>SUM(J484:Q484)*IF(입력란!$C$16=1,1.04,IF(입력란!$C$16=2,1.1,IF(입력란!$C$16=3,1.2,1)))*IF(입력란!$C$21=1,1+입력란!$C$38*0.001,IF(입력란!$C$21=2,1+입력란!$C$38*0.0022,IF(입력란!$C$21=3,1+입력란!$C$38*0.0045,1)))*IF(입력란!$C$18&lt;&gt;0,0.98,1)</f>
        <v>1021148.791761279</v>
      </c>
      <c r="J484" s="30">
        <f>S484*(1+IF($AK484+IF(입력란!$C$26=1,10,0)+IF(MID(E484,3,1)="1",IF(G484="생명50%이하",트라이포드!$J$22,트라이포드!$I$22),0)&gt;100,100,$AK484+IF(입력란!$C$26=1,10,0)+IF(MID(E484,3,1)="1",IF(G484="생명50%이하",트라이포드!$J$22,트라이포드!$I$22),0))/100*($AL484/100-1))</f>
        <v>1021148.791761279</v>
      </c>
      <c r="K484" s="30">
        <f>T484*(1+IF($AK484+IF(입력란!$C$26=1,10,0)+IF(MID(E484,3,1)="1",IF(G484="생명50%이하",트라이포드!$J$22,트라이포드!$I$22),0)&gt;100,100,$AK484+IF(입력란!$C$26=1,10,0)+IF(MID(E484,3,1)="1",IF(G484="생명50%이하",트라이포드!$J$22,트라이포드!$I$22),0))/100*($AL484/100-1))</f>
        <v>0</v>
      </c>
      <c r="L484" s="30">
        <f>U484*(1+IF($AK484+IF(입력란!$C$26=1,10,0)+IF(MID(E484,3,1)="1",IF(G484="생명50%이하",트라이포드!$J$22,트라이포드!$I$22),0)&gt;100,100,$AK484+IF(입력란!$C$26=1,10,0)+IF(MID(E484,3,1)="1",IF(G484="생명50%이하",트라이포드!$J$22,트라이포드!$I$22),0))/100*($AL484/100-1))</f>
        <v>0</v>
      </c>
      <c r="M484" s="30">
        <f>V484*(1+IF($AK484+IF(입력란!$C$26=1,10,0)+IF(MID(E484,3,1)="1",IF(G484="생명50%이하",트라이포드!$J$22,트라이포드!$I$22),0)&gt;100,100,$AK484+IF(입력란!$C$26=1,10,0)+IF(MID(E484,3,1)="1",IF(G484="생명50%이하",트라이포드!$J$22,트라이포드!$I$22),0))/100*($AL484/100-1))</f>
        <v>0</v>
      </c>
      <c r="N484" s="39"/>
      <c r="O484" s="39"/>
      <c r="P484" s="39"/>
      <c r="Q484" s="35"/>
      <c r="R484" s="24">
        <f t="shared" si="62"/>
        <v>841181.32654477947</v>
      </c>
      <c r="S484" s="30">
        <f>AN484*IF(MID(E484,3,1)="2",트라이포드!$L$22,트라이포드!$K$22)*IF(MID(E484,5,1)="1",트라이포드!$P$22,트라이포드!$O$22)*(1+입력란!$C$44/100)</f>
        <v>841181.32654477947</v>
      </c>
      <c r="T484" s="30">
        <f>AN484*IF(MID(E484,3,1)="2",트라이포드!$L$22,트라이포드!$K$22)*IF(MID(E484,5,1)="2",트라이포드!$R$22,트라이포드!$F$22)*(1+입력란!$C$44/100)/3</f>
        <v>0</v>
      </c>
      <c r="U484" s="30">
        <f>AN484*IF(MID(E484,3,1)="2",트라이포드!$L$22,트라이포드!$K$22)*IF(MID(E484,5,1)="2",트라이포드!$R$22,트라이포드!$F$22)*(1+입력란!$C$44/100)/3</f>
        <v>0</v>
      </c>
      <c r="V484" s="30">
        <f>AN484*IF(MID(E484,3,1)="2",트라이포드!$L$22,트라이포드!$K$22)*IF(MID(E484,5,1)="2",트라이포드!$R$22,트라이포드!$F$22)*(1+입력란!$C$44/100)/3</f>
        <v>0</v>
      </c>
      <c r="W484" s="26"/>
      <c r="X484" s="26"/>
      <c r="Y484" s="26"/>
      <c r="Z484" s="27"/>
      <c r="AA484" s="30">
        <f t="shared" si="63"/>
        <v>1682362.6530895589</v>
      </c>
      <c r="AB484" s="30">
        <f t="shared" si="64"/>
        <v>1682362.6530895589</v>
      </c>
      <c r="AC484" s="30">
        <f t="shared" si="65"/>
        <v>0</v>
      </c>
      <c r="AD484" s="30">
        <f t="shared" si="66"/>
        <v>0</v>
      </c>
      <c r="AE484" s="30">
        <f t="shared" si="67"/>
        <v>0</v>
      </c>
      <c r="AF484" s="39"/>
      <c r="AG484" s="39"/>
      <c r="AH484" s="39"/>
      <c r="AI484" s="25"/>
      <c r="AJ484" s="30">
        <f>AQ484*(1-입력란!$C$35/100)</f>
        <v>23.72176897872</v>
      </c>
      <c r="AK48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4" s="26">
        <f>입력란!$C$47+IF(입력란!$C$18=1,10,IF(입력란!$C$18=2,25,IF(입력란!$C$18=3,50,0)))+IF(입력란!$C$23&lt;&gt;0,-12)</f>
        <v>200</v>
      </c>
      <c r="AM484" s="26">
        <f t="shared" si="68"/>
        <v>221252.10434083379</v>
      </c>
      <c r="AN484" s="30">
        <f>(VLOOKUP(C484,$B$4:$AJ$7,28,FALSE)+VLOOKUP(C484,$B$8:$AJ$11,28,FALSE)*입력란!$C$29)*입력란!$C$48/100</f>
        <v>221252.10434083379</v>
      </c>
      <c r="AO484" s="39"/>
      <c r="AP484" s="39"/>
      <c r="AQ484" s="23">
        <v>24</v>
      </c>
    </row>
    <row r="485" spans="2:43" ht="13.5" customHeight="1" x14ac:dyDescent="0.3">
      <c r="B485" s="31">
        <v>470</v>
      </c>
      <c r="C485" s="40">
        <v>10</v>
      </c>
      <c r="D485" s="44" t="s">
        <v>255</v>
      </c>
      <c r="E485" s="38" t="s">
        <v>259</v>
      </c>
      <c r="F485" s="40" t="s">
        <v>261</v>
      </c>
      <c r="G485" s="40" t="s">
        <v>413</v>
      </c>
      <c r="H485" s="81">
        <f t="shared" si="61"/>
        <v>47351.598101518015</v>
      </c>
      <c r="I485" s="53">
        <f>SUM(J485:Q485)*IF(입력란!$C$16=1,1.04,IF(입력란!$C$16=2,1.1,IF(입력란!$C$16=3,1.2,1)))*IF(입력란!$C$21=1,1+입력란!$C$38*0.001,IF(입력란!$C$21=2,1+입력란!$C$38*0.0022,IF(입력란!$C$21=3,1+입력란!$C$38*0.0045,1)))*IF(입력란!$C$18&lt;&gt;0,0.98,1)</f>
        <v>1123263.6709374068</v>
      </c>
      <c r="J485" s="30">
        <f>S485*(1+IF($AK485+IF(입력란!$C$26=1,10,0)+IF(MID(E485,3,1)="1",IF(G485="생명50%이하",트라이포드!$J$22,트라이포드!$I$22),0)&gt;100,100,$AK485+IF(입력란!$C$26=1,10,0)+IF(MID(E485,3,1)="1",IF(G485="생명50%이하",트라이포드!$J$22,트라이포드!$I$22),0))/100*($AL485/100-1))</f>
        <v>510574.39588063949</v>
      </c>
      <c r="K485" s="30">
        <f>T485*(1+IF($AK485+IF(입력란!$C$26=1,10,0)+IF(MID(E485,3,1)="1",IF(G485="생명50%이하",트라이포드!$J$22,트라이포드!$I$22),0)&gt;100,100,$AK485+IF(입력란!$C$26=1,10,0)+IF(MID(E485,3,1)="1",IF(G485="생명50%이하",트라이포드!$J$22,트라이포드!$I$22),0))/100*($AL485/100-1))</f>
        <v>204229.7583522558</v>
      </c>
      <c r="L485" s="30">
        <f>U485*(1+IF($AK485+IF(입력란!$C$26=1,10,0)+IF(MID(E485,3,1)="1",IF(G485="생명50%이하",트라이포드!$J$22,트라이포드!$I$22),0)&gt;100,100,$AK485+IF(입력란!$C$26=1,10,0)+IF(MID(E485,3,1)="1",IF(G485="생명50%이하",트라이포드!$J$22,트라이포드!$I$22),0))/100*($AL485/100-1))</f>
        <v>204229.7583522558</v>
      </c>
      <c r="M485" s="30">
        <f>V485*(1+IF($AK485+IF(입력란!$C$26=1,10,0)+IF(MID(E485,3,1)="1",IF(G485="생명50%이하",트라이포드!$J$22,트라이포드!$I$22),0)&gt;100,100,$AK485+IF(입력란!$C$26=1,10,0)+IF(MID(E485,3,1)="1",IF(G485="생명50%이하",트라이포드!$J$22,트라이포드!$I$22),0))/100*($AL485/100-1))</f>
        <v>204229.7583522558</v>
      </c>
      <c r="N485" s="39"/>
      <c r="O485" s="39"/>
      <c r="P485" s="39"/>
      <c r="Q485" s="35"/>
      <c r="R485" s="24">
        <f t="shared" si="62"/>
        <v>925299.45919925743</v>
      </c>
      <c r="S485" s="30">
        <f>AN485*IF(MID(E485,3,1)="2",트라이포드!$L$22,트라이포드!$K$22)*IF(MID(E485,5,1)="1",트라이포드!$P$22,트라이포드!$O$22)*(1+입력란!$C$44/100)</f>
        <v>420590.66327238973</v>
      </c>
      <c r="T485" s="30">
        <f>AN485*IF(MID(E485,3,1)="2",트라이포드!$L$22,트라이포드!$K$22)*IF(MID(E485,5,1)="2",트라이포드!$R$22,트라이포드!$F$22)*(1+입력란!$C$44/100)/3</f>
        <v>168236.26530895589</v>
      </c>
      <c r="U485" s="30">
        <f>AN485*IF(MID(E485,3,1)="2",트라이포드!$L$22,트라이포드!$K$22)*IF(MID(E485,5,1)="2",트라이포드!$R$22,트라이포드!$F$22)*(1+입력란!$C$44/100)/3</f>
        <v>168236.26530895589</v>
      </c>
      <c r="V485" s="30">
        <f>AN485*IF(MID(E485,3,1)="2",트라이포드!$L$22,트라이포드!$K$22)*IF(MID(E485,5,1)="2",트라이포드!$R$22,트라이포드!$F$22)*(1+입력란!$C$44/100)/3</f>
        <v>168236.26530895589</v>
      </c>
      <c r="W485" s="26"/>
      <c r="X485" s="26"/>
      <c r="Y485" s="26"/>
      <c r="Z485" s="27"/>
      <c r="AA485" s="30">
        <f t="shared" si="63"/>
        <v>1850598.9183985149</v>
      </c>
      <c r="AB485" s="30">
        <f t="shared" si="64"/>
        <v>841181.32654477947</v>
      </c>
      <c r="AC485" s="30">
        <f t="shared" si="65"/>
        <v>336472.53061791178</v>
      </c>
      <c r="AD485" s="30">
        <f t="shared" si="66"/>
        <v>336472.53061791178</v>
      </c>
      <c r="AE485" s="30">
        <f t="shared" si="67"/>
        <v>336472.53061791178</v>
      </c>
      <c r="AF485" s="39"/>
      <c r="AG485" s="39"/>
      <c r="AH485" s="39"/>
      <c r="AI485" s="25"/>
      <c r="AJ485" s="30">
        <f>AQ485*(1-입력란!$C$35/100)</f>
        <v>23.72176897872</v>
      </c>
      <c r="AK48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85" s="26">
        <f>입력란!$C$47+IF(입력란!$C$18=1,10,IF(입력란!$C$18=2,25,IF(입력란!$C$18=3,50,0)))+IF(입력란!$C$23&lt;&gt;0,-12)</f>
        <v>200</v>
      </c>
      <c r="AM485" s="26">
        <f t="shared" si="68"/>
        <v>221252.10434083379</v>
      </c>
      <c r="AN485" s="30">
        <f>(VLOOKUP(C485,$B$4:$AJ$7,28,FALSE)+VLOOKUP(C485,$B$8:$AJ$11,28,FALSE)*입력란!$C$29)*입력란!$C$48/100</f>
        <v>221252.10434083379</v>
      </c>
      <c r="AO485" s="39"/>
      <c r="AP485" s="39"/>
      <c r="AQ485" s="23">
        <v>24</v>
      </c>
    </row>
    <row r="486" spans="2:43" ht="13.5" customHeight="1" x14ac:dyDescent="0.3">
      <c r="B486" s="31">
        <v>471</v>
      </c>
      <c r="C486" s="36">
        <v>1</v>
      </c>
      <c r="D486" s="44" t="s">
        <v>255</v>
      </c>
      <c r="E486" s="38" t="s">
        <v>240</v>
      </c>
      <c r="F486" s="40"/>
      <c r="G486" s="40" t="s">
        <v>412</v>
      </c>
      <c r="H486" s="81">
        <f t="shared" ref="H486:H497" si="69">J486*2/(1+1/(K486/J486))</f>
        <v>15315.416177305244</v>
      </c>
      <c r="I486" s="53"/>
      <c r="J486" s="30">
        <f t="array" ref="J486">IFERROR(INDEX($H$16:$H$596,MATCH(1,(C486=$C$16:$C$596)*(D486=$D$16:$D$596)*(E486=$E$16:$E$596)*(""=$G$16:$G$596),0)),"에러")</f>
        <v>15315.416177305244</v>
      </c>
      <c r="K486" s="30">
        <f t="array" ref="K486">IFERROR(INDEX($H$16:$H$596,MATCH(1,(C486=$C$16:$C$596)*(D486=$D$16:$D$596)*(E486=$E$16:$E$596)*("생명50%이하"=$G$16:$G$596),0)),"에러")</f>
        <v>15315.416177305244</v>
      </c>
      <c r="L486" s="30"/>
      <c r="M486" s="30"/>
      <c r="N486" s="39"/>
      <c r="O486" s="39"/>
      <c r="P486" s="39"/>
      <c r="Q486" s="35"/>
      <c r="R486" s="24"/>
      <c r="S486" s="30"/>
      <c r="T486" s="30"/>
      <c r="U486" s="30"/>
      <c r="V486" s="30"/>
      <c r="W486" s="30"/>
      <c r="X486" s="30"/>
      <c r="Y486" s="30"/>
      <c r="Z486" s="27"/>
      <c r="AA486" s="30"/>
      <c r="AB486" s="30"/>
      <c r="AC486" s="30"/>
      <c r="AD486" s="30"/>
      <c r="AE486" s="30"/>
      <c r="AF486" s="39"/>
      <c r="AG486" s="39"/>
      <c r="AH486" s="39"/>
      <c r="AI486" s="27"/>
      <c r="AJ486" s="30"/>
      <c r="AK486" s="26"/>
      <c r="AL486" s="26"/>
      <c r="AM486" s="30"/>
      <c r="AN486" s="30"/>
      <c r="AO486" s="30"/>
      <c r="AP486" s="39"/>
      <c r="AQ486" s="23"/>
    </row>
    <row r="487" spans="2:43" ht="13.5" customHeight="1" x14ac:dyDescent="0.3">
      <c r="B487" s="31">
        <v>472</v>
      </c>
      <c r="C487" s="40">
        <v>4</v>
      </c>
      <c r="D487" s="44" t="s">
        <v>255</v>
      </c>
      <c r="E487" s="38" t="s">
        <v>240</v>
      </c>
      <c r="F487" s="40"/>
      <c r="G487" s="40" t="s">
        <v>412</v>
      </c>
      <c r="H487" s="81">
        <f t="shared" si="69"/>
        <v>15348.574835608153</v>
      </c>
      <c r="I487" s="53"/>
      <c r="J487" s="30">
        <f t="array" ref="J487">IFERROR(INDEX($H$16:$H$596,MATCH(1,(C487=$C$16:$C$596)*(D487=$D$16:$D$596)*(E487=$E$16:$E$596)*(""=$G$16:$G$596),0)),"에러")</f>
        <v>15348.574835608153</v>
      </c>
      <c r="K487" s="30">
        <f t="array" ref="K487">IFERROR(INDEX($H$16:$H$596,MATCH(1,(C487=$C$16:$C$596)*(D487=$D$16:$D$596)*(E487=$E$16:$E$596)*("생명50%이하"=$G$16:$G$596),0)),"에러")</f>
        <v>15348.574835608153</v>
      </c>
      <c r="L487" s="30"/>
      <c r="M487" s="30"/>
      <c r="N487" s="39"/>
      <c r="O487" s="39"/>
      <c r="P487" s="39"/>
      <c r="Q487" s="35"/>
      <c r="R487" s="24"/>
      <c r="S487" s="30"/>
      <c r="T487" s="30"/>
      <c r="U487" s="30"/>
      <c r="V487" s="30"/>
      <c r="W487" s="26"/>
      <c r="X487" s="26"/>
      <c r="Y487" s="26"/>
      <c r="Z487" s="27"/>
      <c r="AA487" s="30"/>
      <c r="AB487" s="30"/>
      <c r="AC487" s="30"/>
      <c r="AD487" s="30"/>
      <c r="AE487" s="30"/>
      <c r="AF487" s="39"/>
      <c r="AG487" s="39"/>
      <c r="AH487" s="39"/>
      <c r="AI487" s="25"/>
      <c r="AJ487" s="30"/>
      <c r="AK487" s="26"/>
      <c r="AL487" s="26"/>
      <c r="AM487" s="26"/>
      <c r="AN487" s="30"/>
      <c r="AO487" s="39"/>
      <c r="AP487" s="39"/>
      <c r="AQ487" s="23"/>
    </row>
    <row r="488" spans="2:43" ht="13.5" customHeight="1" x14ac:dyDescent="0.3">
      <c r="B488" s="31">
        <v>473</v>
      </c>
      <c r="C488" s="40">
        <v>7</v>
      </c>
      <c r="D488" s="44" t="s">
        <v>255</v>
      </c>
      <c r="E488" s="38" t="s">
        <v>240</v>
      </c>
      <c r="F488" s="40"/>
      <c r="G488" s="40" t="s">
        <v>412</v>
      </c>
      <c r="H488" s="81">
        <f t="shared" si="69"/>
        <v>15364.028493626945</v>
      </c>
      <c r="I488" s="53"/>
      <c r="J488" s="30">
        <f t="array" ref="J488">IFERROR(INDEX($H$16:$H$596,MATCH(1,(C488=$C$16:$C$596)*(D488=$D$16:$D$596)*(E488=$E$16:$E$596)*(""=$G$16:$G$596),0)),"에러")</f>
        <v>15364.028493626945</v>
      </c>
      <c r="K488" s="30">
        <f t="array" ref="K488">IFERROR(INDEX($H$16:$H$596,MATCH(1,(C488=$C$16:$C$596)*(D488=$D$16:$D$596)*(E488=$E$16:$E$596)*("생명50%이하"=$G$16:$G$596),0)),"에러")</f>
        <v>15364.028493626945</v>
      </c>
      <c r="L488" s="30"/>
      <c r="M488" s="30"/>
      <c r="N488" s="39"/>
      <c r="O488" s="39"/>
      <c r="P488" s="39"/>
      <c r="Q488" s="35"/>
      <c r="R488" s="24"/>
      <c r="S488" s="30"/>
      <c r="T488" s="30"/>
      <c r="U488" s="30"/>
      <c r="V488" s="30"/>
      <c r="W488" s="26"/>
      <c r="X488" s="26"/>
      <c r="Y488" s="26"/>
      <c r="Z488" s="27"/>
      <c r="AA488" s="30"/>
      <c r="AB488" s="30"/>
      <c r="AC488" s="30"/>
      <c r="AD488" s="30"/>
      <c r="AE488" s="30"/>
      <c r="AF488" s="39"/>
      <c r="AG488" s="39"/>
      <c r="AH488" s="39"/>
      <c r="AI488" s="25"/>
      <c r="AJ488" s="30"/>
      <c r="AK488" s="26"/>
      <c r="AL488" s="26"/>
      <c r="AM488" s="26"/>
      <c r="AN488" s="30"/>
      <c r="AO488" s="39"/>
      <c r="AP488" s="39"/>
      <c r="AQ488" s="23"/>
    </row>
    <row r="489" spans="2:43" ht="13.5" customHeight="1" x14ac:dyDescent="0.3">
      <c r="B489" s="31">
        <v>474</v>
      </c>
      <c r="C489" s="40">
        <v>7</v>
      </c>
      <c r="D489" s="44" t="s">
        <v>255</v>
      </c>
      <c r="E489" s="38" t="s">
        <v>242</v>
      </c>
      <c r="F489" s="40"/>
      <c r="G489" s="40" t="s">
        <v>412</v>
      </c>
      <c r="H489" s="81">
        <f t="shared" si="69"/>
        <v>17987.763834879097</v>
      </c>
      <c r="I489" s="53"/>
      <c r="J489" s="30">
        <f t="array" ref="J489">IFERROR(INDEX($H$16:$H$596,MATCH(1,(C489=$C$16:$C$596)*(D489=$D$16:$D$596)*(E489=$E$16:$E$596)*(""=$G$16:$G$596),0)),"에러")</f>
        <v>15364.028493626945</v>
      </c>
      <c r="K489" s="30">
        <f t="array" ref="K489">IFERROR(INDEX($H$16:$H$596,MATCH(1,(C489=$C$16:$C$596)*(D489=$D$16:$D$596)*(E489=$E$16:$E$596)*("생명50%이하"=$G$16:$G$596),0)),"에러")</f>
        <v>21692.163028776169</v>
      </c>
      <c r="L489" s="30"/>
      <c r="M489" s="30"/>
      <c r="N489" s="39"/>
      <c r="O489" s="39"/>
      <c r="P489" s="39"/>
      <c r="Q489" s="35"/>
      <c r="R489" s="24"/>
      <c r="S489" s="30"/>
      <c r="T489" s="30"/>
      <c r="U489" s="30"/>
      <c r="V489" s="30"/>
      <c r="W489" s="26"/>
      <c r="X489" s="26"/>
      <c r="Y489" s="26"/>
      <c r="Z489" s="27"/>
      <c r="AA489" s="30"/>
      <c r="AB489" s="30"/>
      <c r="AC489" s="30"/>
      <c r="AD489" s="30"/>
      <c r="AE489" s="30"/>
      <c r="AF489" s="39"/>
      <c r="AG489" s="39"/>
      <c r="AH489" s="39"/>
      <c r="AI489" s="25"/>
      <c r="AJ489" s="30"/>
      <c r="AK489" s="26"/>
      <c r="AL489" s="26"/>
      <c r="AM489" s="26"/>
      <c r="AN489" s="30"/>
      <c r="AO489" s="39"/>
      <c r="AP489" s="39"/>
      <c r="AQ489" s="23"/>
    </row>
    <row r="490" spans="2:43" ht="13.5" customHeight="1" x14ac:dyDescent="0.3">
      <c r="B490" s="31">
        <v>475</v>
      </c>
      <c r="C490" s="40">
        <v>7</v>
      </c>
      <c r="D490" s="44" t="s">
        <v>255</v>
      </c>
      <c r="E490" s="38" t="s">
        <v>241</v>
      </c>
      <c r="F490" s="40" t="s">
        <v>261</v>
      </c>
      <c r="G490" s="40" t="s">
        <v>412</v>
      </c>
      <c r="H490" s="81">
        <f t="shared" si="69"/>
        <v>21509.639891077724</v>
      </c>
      <c r="I490" s="53"/>
      <c r="J490" s="30">
        <f t="array" ref="J490">IFERROR(INDEX($H$16:$H$596,MATCH(1,(C490=$C$16:$C$596)*(D490=$D$16:$D$596)*(E490=$E$16:$E$596)*(""=$G$16:$G$596),0)),"에러")</f>
        <v>21509.639891077724</v>
      </c>
      <c r="K490" s="30">
        <f t="array" ref="K490">IFERROR(INDEX($H$16:$H$596,MATCH(1,(C490=$C$16:$C$596)*(D490=$D$16:$D$596)*(E490=$E$16:$E$596)*("생명50%이하"=$G$16:$G$596),0)),"에러")</f>
        <v>21509.639891077724</v>
      </c>
      <c r="L490" s="30"/>
      <c r="M490" s="30"/>
      <c r="N490" s="39"/>
      <c r="O490" s="39"/>
      <c r="P490" s="39"/>
      <c r="Q490" s="35"/>
      <c r="R490" s="24"/>
      <c r="S490" s="30"/>
      <c r="T490" s="30"/>
      <c r="U490" s="30"/>
      <c r="V490" s="30"/>
      <c r="W490" s="26"/>
      <c r="X490" s="26"/>
      <c r="Y490" s="26"/>
      <c r="Z490" s="27"/>
      <c r="AA490" s="30"/>
      <c r="AB490" s="30"/>
      <c r="AC490" s="30"/>
      <c r="AD490" s="30"/>
      <c r="AE490" s="30"/>
      <c r="AF490" s="39"/>
      <c r="AG490" s="39"/>
      <c r="AH490" s="39"/>
      <c r="AI490" s="25"/>
      <c r="AJ490" s="30"/>
      <c r="AK490" s="26"/>
      <c r="AL490" s="26"/>
      <c r="AM490" s="26"/>
      <c r="AN490" s="30"/>
      <c r="AO490" s="39"/>
      <c r="AP490" s="39"/>
      <c r="AQ490" s="23"/>
    </row>
    <row r="491" spans="2:43" ht="13.5" customHeight="1" x14ac:dyDescent="0.3">
      <c r="B491" s="31">
        <v>476</v>
      </c>
      <c r="C491" s="40">
        <v>10</v>
      </c>
      <c r="D491" s="44" t="s">
        <v>255</v>
      </c>
      <c r="E491" s="38" t="s">
        <v>240</v>
      </c>
      <c r="F491" s="40"/>
      <c r="G491" s="40" t="s">
        <v>412</v>
      </c>
      <c r="H491" s="81">
        <f t="shared" si="69"/>
        <v>15373.89548750585</v>
      </c>
      <c r="I491" s="53"/>
      <c r="J491" s="30">
        <f t="array" ref="J491">IFERROR(INDEX($H$16:$H$596,MATCH(1,(C491=$C$16:$C$596)*(D491=$D$16:$D$596)*(E491=$E$16:$E$596)*(""=$G$16:$G$596),0)),"에러")</f>
        <v>15373.89548750585</v>
      </c>
      <c r="K491" s="30">
        <f t="array" ref="K491">IFERROR(INDEX($H$16:$H$596,MATCH(1,(C491=$C$16:$C$596)*(D491=$D$16:$D$596)*(E491=$E$16:$E$596)*("생명50%이하"=$G$16:$G$596),0)),"에러")</f>
        <v>15373.89548750585</v>
      </c>
      <c r="L491" s="30"/>
      <c r="M491" s="30"/>
      <c r="N491" s="39"/>
      <c r="O491" s="39"/>
      <c r="P491" s="39"/>
      <c r="Q491" s="35"/>
      <c r="R491" s="24"/>
      <c r="S491" s="30"/>
      <c r="T491" s="30"/>
      <c r="U491" s="30"/>
      <c r="V491" s="30"/>
      <c r="W491" s="26"/>
      <c r="X491" s="26"/>
      <c r="Y491" s="26"/>
      <c r="Z491" s="27"/>
      <c r="AA491" s="30"/>
      <c r="AB491" s="30"/>
      <c r="AC491" s="30"/>
      <c r="AD491" s="30"/>
      <c r="AE491" s="30"/>
      <c r="AF491" s="39"/>
      <c r="AG491" s="39"/>
      <c r="AH491" s="39"/>
      <c r="AI491" s="25"/>
      <c r="AJ491" s="30"/>
      <c r="AK491" s="26"/>
      <c r="AL491" s="26"/>
      <c r="AM491" s="26"/>
      <c r="AN491" s="30"/>
      <c r="AO491" s="39"/>
      <c r="AP491" s="39"/>
      <c r="AQ491" s="23"/>
    </row>
    <row r="492" spans="2:43" ht="13.5" customHeight="1" x14ac:dyDescent="0.3">
      <c r="B492" s="31">
        <v>477</v>
      </c>
      <c r="C492" s="40">
        <v>10</v>
      </c>
      <c r="D492" s="44" t="s">
        <v>255</v>
      </c>
      <c r="E492" s="38" t="s">
        <v>247</v>
      </c>
      <c r="F492" s="40"/>
      <c r="G492" s="40" t="s">
        <v>412</v>
      </c>
      <c r="H492" s="81">
        <f t="shared" si="69"/>
        <v>30747.7909750117</v>
      </c>
      <c r="I492" s="53"/>
      <c r="J492" s="30">
        <f t="array" ref="J492">IFERROR(INDEX($H$16:$H$596,MATCH(1,(C492=$C$16:$C$596)*(D492=$D$16:$D$596)*(E492=$E$16:$E$596)*(""=$G$16:$G$596),0)),"에러")</f>
        <v>30747.7909750117</v>
      </c>
      <c r="K492" s="30">
        <f t="array" ref="K492">IFERROR(INDEX($H$16:$H$596,MATCH(1,(C492=$C$16:$C$596)*(D492=$D$16:$D$596)*(E492=$E$16:$E$596)*("생명50%이하"=$G$16:$G$596),0)),"에러")</f>
        <v>30747.7909750117</v>
      </c>
      <c r="L492" s="30"/>
      <c r="M492" s="30"/>
      <c r="N492" s="39"/>
      <c r="O492" s="39"/>
      <c r="P492" s="39"/>
      <c r="Q492" s="35"/>
      <c r="R492" s="24"/>
      <c r="S492" s="30"/>
      <c r="T492" s="30"/>
      <c r="U492" s="30"/>
      <c r="V492" s="30"/>
      <c r="W492" s="26"/>
      <c r="X492" s="26"/>
      <c r="Y492" s="26"/>
      <c r="Z492" s="27"/>
      <c r="AA492" s="30"/>
      <c r="AB492" s="30"/>
      <c r="AC492" s="30"/>
      <c r="AD492" s="30"/>
      <c r="AE492" s="30"/>
      <c r="AF492" s="39"/>
      <c r="AG492" s="39"/>
      <c r="AH492" s="39"/>
      <c r="AI492" s="25"/>
      <c r="AJ492" s="30"/>
      <c r="AK492" s="26"/>
      <c r="AL492" s="26"/>
      <c r="AM492" s="26"/>
      <c r="AN492" s="30"/>
      <c r="AO492" s="39"/>
      <c r="AP492" s="39"/>
      <c r="AQ492" s="23"/>
    </row>
    <row r="493" spans="2:43" ht="13.5" customHeight="1" x14ac:dyDescent="0.3">
      <c r="B493" s="31">
        <v>478</v>
      </c>
      <c r="C493" s="40">
        <v>10</v>
      </c>
      <c r="D493" s="44" t="s">
        <v>255</v>
      </c>
      <c r="E493" s="38" t="s">
        <v>248</v>
      </c>
      <c r="F493" s="40"/>
      <c r="G493" s="40" t="s">
        <v>412</v>
      </c>
      <c r="H493" s="81">
        <f t="shared" si="69"/>
        <v>33822.57007251287</v>
      </c>
      <c r="I493" s="53"/>
      <c r="J493" s="30">
        <f t="array" ref="J493">IFERROR(INDEX($H$16:$H$596,MATCH(1,(C493=$C$16:$C$596)*(D493=$D$16:$D$596)*(E493=$E$16:$E$596)*(""=$G$16:$G$596),0)),"에러")</f>
        <v>33822.57007251287</v>
      </c>
      <c r="K493" s="30">
        <f t="array" ref="K493">IFERROR(INDEX($H$16:$H$596,MATCH(1,(C493=$C$16:$C$596)*(D493=$D$16:$D$596)*(E493=$E$16:$E$596)*("생명50%이하"=$G$16:$G$596),0)),"에러")</f>
        <v>33822.57007251287</v>
      </c>
      <c r="L493" s="30"/>
      <c r="M493" s="30"/>
      <c r="N493" s="39"/>
      <c r="O493" s="39"/>
      <c r="P493" s="39"/>
      <c r="Q493" s="35"/>
      <c r="R493" s="24"/>
      <c r="S493" s="30"/>
      <c r="T493" s="30"/>
      <c r="U493" s="30"/>
      <c r="V493" s="30"/>
      <c r="W493" s="26"/>
      <c r="X493" s="26"/>
      <c r="Y493" s="26"/>
      <c r="Z493" s="27"/>
      <c r="AA493" s="30"/>
      <c r="AB493" s="30"/>
      <c r="AC493" s="30"/>
      <c r="AD493" s="30"/>
      <c r="AE493" s="30"/>
      <c r="AF493" s="39"/>
      <c r="AG493" s="39"/>
      <c r="AH493" s="39"/>
      <c r="AI493" s="25"/>
      <c r="AJ493" s="30"/>
      <c r="AK493" s="26"/>
      <c r="AL493" s="26"/>
      <c r="AM493" s="26"/>
      <c r="AN493" s="30"/>
      <c r="AO493" s="39"/>
      <c r="AP493" s="39"/>
      <c r="AQ493" s="23"/>
    </row>
    <row r="494" spans="2:43" ht="13.5" customHeight="1" x14ac:dyDescent="0.3">
      <c r="B494" s="31">
        <v>479</v>
      </c>
      <c r="C494" s="40">
        <v>10</v>
      </c>
      <c r="D494" s="44" t="s">
        <v>255</v>
      </c>
      <c r="E494" s="38" t="s">
        <v>256</v>
      </c>
      <c r="F494" s="40"/>
      <c r="G494" s="40" t="s">
        <v>412</v>
      </c>
      <c r="H494" s="81">
        <f t="shared" si="69"/>
        <v>35998.631656544931</v>
      </c>
      <c r="I494" s="53"/>
      <c r="J494" s="30">
        <f t="array" ref="J494">IFERROR(INDEX($H$16:$H$596,MATCH(1,(C494=$C$16:$C$596)*(D494=$D$16:$D$596)*(E494=$E$16:$E$596)*(""=$G$16:$G$596),0)),"에러")</f>
        <v>30747.7909750117</v>
      </c>
      <c r="K494" s="30">
        <f t="array" ref="K494">IFERROR(INDEX($H$16:$H$596,MATCH(1,(C494=$C$16:$C$596)*(D494=$D$16:$D$596)*(E494=$E$16:$E$596)*("생명50%이하"=$G$16:$G$596),0)),"에러")</f>
        <v>43412.188078234467</v>
      </c>
      <c r="L494" s="30"/>
      <c r="M494" s="30"/>
      <c r="N494" s="39"/>
      <c r="O494" s="39"/>
      <c r="P494" s="39"/>
      <c r="Q494" s="35"/>
      <c r="R494" s="24"/>
      <c r="S494" s="30"/>
      <c r="T494" s="30"/>
      <c r="U494" s="30"/>
      <c r="V494" s="30"/>
      <c r="W494" s="26"/>
      <c r="X494" s="26"/>
      <c r="Y494" s="26"/>
      <c r="Z494" s="27"/>
      <c r="AA494" s="30"/>
      <c r="AB494" s="30"/>
      <c r="AC494" s="30"/>
      <c r="AD494" s="30"/>
      <c r="AE494" s="30"/>
      <c r="AF494" s="39"/>
      <c r="AG494" s="39"/>
      <c r="AH494" s="39"/>
      <c r="AI494" s="25"/>
      <c r="AJ494" s="30"/>
      <c r="AK494" s="26"/>
      <c r="AL494" s="26"/>
      <c r="AM494" s="26"/>
      <c r="AN494" s="30"/>
      <c r="AO494" s="39"/>
      <c r="AP494" s="39"/>
      <c r="AQ494" s="23"/>
    </row>
    <row r="495" spans="2:43" ht="13.5" customHeight="1" x14ac:dyDescent="0.3">
      <c r="B495" s="31">
        <v>480</v>
      </c>
      <c r="C495" s="40">
        <v>10</v>
      </c>
      <c r="D495" s="44" t="s">
        <v>255</v>
      </c>
      <c r="E495" s="38" t="s">
        <v>257</v>
      </c>
      <c r="F495" s="40"/>
      <c r="G495" s="40" t="s">
        <v>412</v>
      </c>
      <c r="H495" s="81">
        <f t="shared" si="69"/>
        <v>39598.494822199427</v>
      </c>
      <c r="I495" s="53"/>
      <c r="J495" s="30">
        <f t="array" ref="J495">IFERROR(INDEX($H$16:$H$596,MATCH(1,(C495=$C$16:$C$596)*(D495=$D$16:$D$596)*(E495=$E$16:$E$596)*(""=$G$16:$G$596),0)),"에러")</f>
        <v>33822.57007251287</v>
      </c>
      <c r="K495" s="30">
        <f t="array" ref="K495">IFERROR(INDEX($H$16:$H$596,MATCH(1,(C495=$C$16:$C$596)*(D495=$D$16:$D$596)*(E495=$E$16:$E$596)*("생명50%이하"=$G$16:$G$596),0)),"에러")</f>
        <v>47753.406886057906</v>
      </c>
      <c r="L495" s="30"/>
      <c r="M495" s="30"/>
      <c r="N495" s="39"/>
      <c r="O495" s="39"/>
      <c r="P495" s="39"/>
      <c r="Q495" s="35"/>
      <c r="R495" s="24"/>
      <c r="S495" s="30"/>
      <c r="T495" s="30"/>
      <c r="U495" s="30"/>
      <c r="V495" s="30"/>
      <c r="W495" s="26"/>
      <c r="X495" s="26"/>
      <c r="Y495" s="26"/>
      <c r="Z495" s="27"/>
      <c r="AA495" s="30"/>
      <c r="AB495" s="30"/>
      <c r="AC495" s="30"/>
      <c r="AD495" s="30"/>
      <c r="AE495" s="30"/>
      <c r="AF495" s="39"/>
      <c r="AG495" s="39"/>
      <c r="AH495" s="39"/>
      <c r="AI495" s="25"/>
      <c r="AJ495" s="30"/>
      <c r="AK495" s="26"/>
      <c r="AL495" s="26"/>
      <c r="AM495" s="26"/>
      <c r="AN495" s="30"/>
      <c r="AO495" s="39"/>
      <c r="AP495" s="39"/>
      <c r="AQ495" s="23"/>
    </row>
    <row r="496" spans="2:43" ht="13.5" customHeight="1" x14ac:dyDescent="0.3">
      <c r="B496" s="31">
        <v>481</v>
      </c>
      <c r="C496" s="40">
        <v>10</v>
      </c>
      <c r="D496" s="44" t="s">
        <v>255</v>
      </c>
      <c r="E496" s="38" t="s">
        <v>258</v>
      </c>
      <c r="F496" s="40" t="s">
        <v>261</v>
      </c>
      <c r="G496" s="40" t="s">
        <v>412</v>
      </c>
      <c r="H496" s="81">
        <f t="shared" si="69"/>
        <v>43046.907365016377</v>
      </c>
      <c r="I496" s="53"/>
      <c r="J496" s="30">
        <f t="array" ref="J496">IFERROR(INDEX($H$16:$H$596,MATCH(1,(C496=$C$16:$C$596)*(D496=$D$16:$D$596)*(E496=$E$16:$E$596)*(""=$G$16:$G$596),0)),"에러")</f>
        <v>43046.907365016377</v>
      </c>
      <c r="K496" s="30">
        <f t="array" ref="K496">IFERROR(INDEX($H$16:$H$596,MATCH(1,(C496=$C$16:$C$596)*(D496=$D$16:$D$596)*(E496=$E$16:$E$596)*("생명50%이하"=$G$16:$G$596),0)),"에러")</f>
        <v>43046.907365016377</v>
      </c>
      <c r="L496" s="30"/>
      <c r="M496" s="30"/>
      <c r="N496" s="39"/>
      <c r="O496" s="39"/>
      <c r="P496" s="39"/>
      <c r="Q496" s="35"/>
      <c r="R496" s="24"/>
      <c r="S496" s="30"/>
      <c r="T496" s="30"/>
      <c r="U496" s="30"/>
      <c r="V496" s="30"/>
      <c r="W496" s="26"/>
      <c r="X496" s="26"/>
      <c r="Y496" s="26"/>
      <c r="Z496" s="27"/>
      <c r="AA496" s="30"/>
      <c r="AB496" s="30"/>
      <c r="AC496" s="30"/>
      <c r="AD496" s="30"/>
      <c r="AE496" s="30"/>
      <c r="AF496" s="39"/>
      <c r="AG496" s="39"/>
      <c r="AH496" s="39"/>
      <c r="AI496" s="25"/>
      <c r="AJ496" s="30"/>
      <c r="AK496" s="26"/>
      <c r="AL496" s="26"/>
      <c r="AM496" s="26"/>
      <c r="AN496" s="30"/>
      <c r="AO496" s="39"/>
      <c r="AP496" s="39"/>
      <c r="AQ496" s="23"/>
    </row>
    <row r="497" spans="2:43" ht="13.5" customHeight="1" x14ac:dyDescent="0.3">
      <c r="B497" s="31">
        <v>482</v>
      </c>
      <c r="C497" s="40">
        <v>10</v>
      </c>
      <c r="D497" s="44" t="s">
        <v>255</v>
      </c>
      <c r="E497" s="38" t="s">
        <v>259</v>
      </c>
      <c r="F497" s="40" t="s">
        <v>261</v>
      </c>
      <c r="G497" s="40" t="s">
        <v>412</v>
      </c>
      <c r="H497" s="81">
        <f t="shared" si="69"/>
        <v>47351.598101518015</v>
      </c>
      <c r="I497" s="53"/>
      <c r="J497" s="30">
        <f t="array" ref="J497">IFERROR(INDEX($H$16:$H$596,MATCH(1,(C497=$C$16:$C$596)*(D497=$D$16:$D$596)*(E497=$E$16:$E$596)*(""=$G$16:$G$596),0)),"에러")</f>
        <v>47351.598101518015</v>
      </c>
      <c r="K497" s="30">
        <f t="array" ref="K497">IFERROR(INDEX($H$16:$H$596,MATCH(1,(C497=$C$16:$C$596)*(D497=$D$16:$D$596)*(E497=$E$16:$E$596)*("생명50%이하"=$G$16:$G$596),0)),"에러")</f>
        <v>47351.598101518015</v>
      </c>
      <c r="L497" s="30"/>
      <c r="M497" s="30"/>
      <c r="N497" s="39"/>
      <c r="O497" s="39"/>
      <c r="P497" s="39"/>
      <c r="Q497" s="35"/>
      <c r="R497" s="24"/>
      <c r="S497" s="30"/>
      <c r="T497" s="30"/>
      <c r="U497" s="30"/>
      <c r="V497" s="30"/>
      <c r="W497" s="26"/>
      <c r="X497" s="26"/>
      <c r="Y497" s="26"/>
      <c r="Z497" s="27"/>
      <c r="AA497" s="30"/>
      <c r="AB497" s="30"/>
      <c r="AC497" s="30"/>
      <c r="AD497" s="30"/>
      <c r="AE497" s="30"/>
      <c r="AF497" s="39"/>
      <c r="AG497" s="39"/>
      <c r="AH497" s="39"/>
      <c r="AI497" s="25"/>
      <c r="AJ497" s="30"/>
      <c r="AK497" s="26"/>
      <c r="AL497" s="26"/>
      <c r="AM497" s="26"/>
      <c r="AN497" s="30"/>
      <c r="AO497" s="39"/>
      <c r="AP497" s="39"/>
      <c r="AQ497" s="23"/>
    </row>
    <row r="498" spans="2:43" ht="13.5" customHeight="1" x14ac:dyDescent="0.3">
      <c r="B498" s="31">
        <v>483</v>
      </c>
      <c r="C498" s="40">
        <v>1</v>
      </c>
      <c r="D498" s="44" t="s">
        <v>260</v>
      </c>
      <c r="E498" s="38" t="s">
        <v>240</v>
      </c>
      <c r="F498" s="40"/>
      <c r="G498" s="40"/>
      <c r="H498" s="81">
        <f t="shared" ref="H498:H523" si="70">I498/AJ498</f>
        <v>17759.500684062237</v>
      </c>
      <c r="I498" s="53">
        <f>SUM(J498:Q498)*IF(입력란!$C$16=1,1.04,IF(입력란!$C$16=2,1.1,IF(입력란!$C$16=3,1.2,1)))*IF(입력란!$C$21=1,1+입력란!$C$38*0.001,IF(입력란!$C$21=2,1+입력란!$C$38*0.0022,IF(입력란!$C$21=3,1+입력란!$C$38*0.0045,1)))*IF(입력란!$C$18&lt;&gt;0,0.98,1)</f>
        <v>473947.61895533721</v>
      </c>
      <c r="J498" s="30">
        <f>S498*(1+IF($AK498+IF(입력란!$C$26=1,10,0)+IF(MID(E498,5,1)="1",IF(G498="생명40%이하",트라이포드!$O$23,0),0)&gt;100,100,$AK498+IF(입력란!$C$26=1,10,0)+IF(MID(E498,5,1)="1",IF(G498="생명40%이하",트라이포드!$O$23,0),0))/100*(($AL498+IF(MID(E498,5,1)="1",IF(G498="생명40%이하",트라이포드!P$23,0)))/100-1))</f>
        <v>157982.53965177908</v>
      </c>
      <c r="K498" s="30">
        <f>T498*(1+IF($AK498+IF(입력란!$C$26=1,10,0)+IF(MID(E498,5,1)="1",IF(G498="생명40%이하",트라이포드!$O$23,0),0)&gt;100,100,$AK498+IF(입력란!$C$26=1,10,0)+IF(MID(E498,5,1)="1",IF(G498="생명40%이하",트라이포드!$O$23,0),0))/100*(($AL498+IF(MID(E498,5,1)="1",IF(G498="생명40%이하",트라이포드!P$23,0)))/100-1))</f>
        <v>157982.53965177908</v>
      </c>
      <c r="L498" s="26">
        <f>U498*(1+IF($AK498+IF(입력란!$C$26=1,10,0)+IF(MID(E498,5,1)="1",IF(G498="생명40%이하",트라이포드!$O$23,0),0)&gt;100,100,$AK498+IF(입력란!$C$26=1,10,0)+IF(MID(E498,5,1)="1",IF(G498="생명40%이하",트라이포드!$O$23,0),0))/100*(($AL498+IF(MID(E498,5,1)="1",IF(G498="생명40%이하",트라이포드!P$23,0)))/100-1))</f>
        <v>157982.53965177908</v>
      </c>
      <c r="M498" s="26">
        <f>V498*(1+IF($AK498+IF(입력란!$C$26=1,10,0)+IF(MID(E498,5,1)="1",IF(G498="생명40%이하",트라이포드!$O$23,0),0)&gt;100,100,$AK498+IF(입력란!$C$26=1,10,0)+IF(MID(E498,5,1)="1",IF(G498="생명40%이하",트라이포드!$O$23,0),0))/100*(($AL498+IF(MID(E498,5,1)="1",IF(G498="생명40%이하",트라이포드!P$23,0)))/100-1))</f>
        <v>0</v>
      </c>
      <c r="N498" s="39"/>
      <c r="O498" s="39"/>
      <c r="P498" s="39"/>
      <c r="Q498" s="35">
        <f>Z498*(1+IF($AK498+IF(입력란!$C$26=1,10,0)&gt;100,100,$AK498+IF(입력란!$C$26=1,10,0))/100*($AL498/100-1))</f>
        <v>0</v>
      </c>
      <c r="R498" s="24">
        <f t="shared" ref="R498:R523" si="71">SUM(S498:Z498)</f>
        <v>390418.99676339375</v>
      </c>
      <c r="S498" s="30">
        <f>AN498*IF(MID(E498,1,1)="2",IF(G498="생명40%이하",트라이포드!$F$23,트라이포드!$E$23),1)*IF(MID(E498,5,1)="2",트라이포드!$R$23,트라이포드!$Q$23)*(1+입력란!$C$44/100)</f>
        <v>130139.66558779792</v>
      </c>
      <c r="T498" s="30">
        <f>AN498*IF(MID(E498,1,1)="2",IF(G498="생명40%이하",트라이포드!$F$23,트라이포드!$E$23),1)*IF(MID(E498,5,1)="2",트라이포드!$R$23,트라이포드!$Q$23)*(1+입력란!$C$44/100)</f>
        <v>130139.66558779792</v>
      </c>
      <c r="U498" s="26">
        <f>AN498*IF(MID(E498,1,1)="2",IF(G498="생명40%이하",트라이포드!$F$23,트라이포드!$E$23),1)*IF(MID(E498,5,1)="2",트라이포드!$R$23,트라이포드!$Q$23)*(1+입력란!$C$44/100)</f>
        <v>130139.66558779792</v>
      </c>
      <c r="V498" s="26">
        <f>AN498*IF(MID(E498,1,1)="2",IF(G498="생명40%이하",트라이포드!$F$23,트라이포드!$E$23),1)*IF(MID(E498,5,1)="2",트라이포드!$R$23,트라이포드!$Q$23)*IF(MID(E498,5,1)="1",1,0)*(1+입력란!$C$44/100)</f>
        <v>0</v>
      </c>
      <c r="W498" s="26"/>
      <c r="X498" s="26"/>
      <c r="Y498" s="26"/>
      <c r="Z498" s="27">
        <f>AN498*0.2*IF(MID(E498,3,1)="3",1,0)*IF(MID(E498,5,1)="1",9,8)*(1+입력란!$C$44/100)</f>
        <v>0</v>
      </c>
      <c r="AA498" s="30">
        <f t="shared" ref="AA498:AA523" si="72">SUM(AB498:AI498)</f>
        <v>780837.9935267875</v>
      </c>
      <c r="AB498" s="30">
        <f t="shared" ref="AB498:AB523" si="73">S498*2</f>
        <v>260279.33117559584</v>
      </c>
      <c r="AC498" s="30">
        <f t="shared" ref="AC498:AC523" si="74">T498*2</f>
        <v>260279.33117559584</v>
      </c>
      <c r="AD498" s="30">
        <f t="shared" ref="AD498:AD523" si="75">U498*2</f>
        <v>260279.33117559584</v>
      </c>
      <c r="AE498" s="30">
        <f t="shared" ref="AE498:AE523" si="76">V498*2</f>
        <v>0</v>
      </c>
      <c r="AF498" s="39"/>
      <c r="AG498" s="39"/>
      <c r="AH498" s="39"/>
      <c r="AI498" s="25">
        <f t="shared" ref="AI498:AI523" si="77">Z498*2</f>
        <v>0</v>
      </c>
      <c r="AJ498" s="30">
        <f>AQ498*(1-입력란!$C$35/100)</f>
        <v>26.686990101059997</v>
      </c>
      <c r="AK49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98" s="26">
        <f>입력란!$C$47+IF(입력란!$C$18=1,10,IF(입력란!$C$18=2,25,IF(입력란!$C$18=3,50,0)))+IF(입력란!$C$23&lt;&gt;0,-12)</f>
        <v>200</v>
      </c>
      <c r="AM498" s="26">
        <f t="shared" ref="AM498:AM523" si="78">SUM(AN498:AP498)</f>
        <v>95844.126694773528</v>
      </c>
      <c r="AN498" s="30">
        <f>(VLOOKUP(C498,$B$4:$AJ$7,29,FALSE)+VLOOKUP(C498,$B$8:$AJ$11,29,FALSE)*입력란!$C$29)*입력란!$C$48/100</f>
        <v>95844.126694773528</v>
      </c>
      <c r="AO498" s="39"/>
      <c r="AP498" s="39"/>
      <c r="AQ498" s="23">
        <v>27</v>
      </c>
    </row>
    <row r="499" spans="2:43" ht="13.5" customHeight="1" x14ac:dyDescent="0.3">
      <c r="B499" s="31">
        <v>484</v>
      </c>
      <c r="C499" s="40">
        <v>4</v>
      </c>
      <c r="D499" s="44" t="s">
        <v>260</v>
      </c>
      <c r="E499" s="38" t="s">
        <v>240</v>
      </c>
      <c r="F499" s="40"/>
      <c r="G499" s="40"/>
      <c r="H499" s="81">
        <f t="shared" si="70"/>
        <v>17798.042181279372</v>
      </c>
      <c r="I499" s="53">
        <f>SUM(J499:Q499)*IF(입력란!$C$16=1,1.04,IF(입력란!$C$16=2,1.1,IF(입력란!$C$16=3,1.2,1)))*IF(입력란!$C$21=1,1+입력란!$C$38*0.001,IF(입력란!$C$21=2,1+입력란!$C$38*0.0022,IF(입력란!$C$21=3,1+입력란!$C$38*0.0045,1)))*IF(입력란!$C$18&lt;&gt;0,0.98,1)</f>
        <v>474976.17551005085</v>
      </c>
      <c r="J499" s="30">
        <f>S499*(1+IF($AK499+IF(입력란!$C$26=1,10,0)+IF(MID(E499,5,1)="1",IF(G499="생명40%이하",트라이포드!$O$23,0),0)&gt;100,100,$AK499+IF(입력란!$C$26=1,10,0)+IF(MID(E499,5,1)="1",IF(G499="생명40%이하",트라이포드!$O$23,0),0))/100*(($AL499+IF(MID(E499,5,1)="1",IF(G499="생명40%이하",트라이포드!P$23,0)))/100-1))</f>
        <v>158325.39183668362</v>
      </c>
      <c r="K499" s="30">
        <f>T499*(1+IF($AK499+IF(입력란!$C$26=1,10,0)+IF(MID(E499,5,1)="1",IF(G499="생명40%이하",트라이포드!$O$23,0),0)&gt;100,100,$AK499+IF(입력란!$C$26=1,10,0)+IF(MID(E499,5,1)="1",IF(G499="생명40%이하",트라이포드!$O$23,0),0))/100*(($AL499+IF(MID(E499,5,1)="1",IF(G499="생명40%이하",트라이포드!P$23,0)))/100-1))</f>
        <v>158325.39183668362</v>
      </c>
      <c r="L499" s="26">
        <f>U499*(1+IF($AK499+IF(입력란!$C$26=1,10,0)+IF(MID(E499,5,1)="1",IF(G499="생명40%이하",트라이포드!$O$23,0),0)&gt;100,100,$AK499+IF(입력란!$C$26=1,10,0)+IF(MID(E499,5,1)="1",IF(G499="생명40%이하",트라이포드!$O$23,0),0))/100*(($AL499+IF(MID(E499,5,1)="1",IF(G499="생명40%이하",트라이포드!P$23,0)))/100-1))</f>
        <v>158325.39183668362</v>
      </c>
      <c r="M499" s="26">
        <f>V499*(1+IF($AK499+IF(입력란!$C$26=1,10,0)+IF(MID(E499,5,1)="1",IF(G499="생명40%이하",트라이포드!$O$23,0),0)&gt;100,100,$AK499+IF(입력란!$C$26=1,10,0)+IF(MID(E499,5,1)="1",IF(G499="생명40%이하",트라이포드!$O$23,0),0))/100*(($AL499+IF(MID(E499,5,1)="1",IF(G499="생명40%이하",트라이포드!P$23,0)))/100-1))</f>
        <v>0</v>
      </c>
      <c r="N499" s="39"/>
      <c r="O499" s="39"/>
      <c r="P499" s="39"/>
      <c r="Q499" s="35">
        <f>Z499*(1+IF($AK499+IF(입력란!$C$26=1,10,0)&gt;100,100,$AK499+IF(입력란!$C$26=1,10,0))/100*($AL499/100-1))</f>
        <v>0</v>
      </c>
      <c r="R499" s="24">
        <f t="shared" si="71"/>
        <v>391266.28030728165</v>
      </c>
      <c r="S499" s="30">
        <f>AN499*IF(MID(E499,1,1)="2",IF(G499="생명40%이하",트라이포드!$F$23,트라이포드!$E$23),1)*IF(MID(E499,5,1)="2",트라이포드!$R$23,트라이포드!$Q$23)*(1+입력란!$C$44/100)</f>
        <v>130422.09343576054</v>
      </c>
      <c r="T499" s="30">
        <f>AN499*IF(MID(E499,1,1)="2",IF(G499="생명40%이하",트라이포드!$F$23,트라이포드!$E$23),1)*IF(MID(E499,5,1)="2",트라이포드!$R$23,트라이포드!$Q$23)*(1+입력란!$C$44/100)</f>
        <v>130422.09343576054</v>
      </c>
      <c r="U499" s="26">
        <f>AN499*IF(MID(E499,1,1)="2",IF(G499="생명40%이하",트라이포드!$F$23,트라이포드!$E$23),1)*IF(MID(E499,5,1)="2",트라이포드!$R$23,트라이포드!$Q$23)*(1+입력란!$C$44/100)</f>
        <v>130422.09343576054</v>
      </c>
      <c r="V499" s="26">
        <f>AN499*IF(MID(E499,1,1)="2",IF(G499="생명40%이하",트라이포드!$F$23,트라이포드!$E$23),1)*IF(MID(E499,5,1)="2",트라이포드!$R$23,트라이포드!$Q$23)*IF(MID(E499,5,1)="1",1,0)*(1+입력란!$C$44/100)</f>
        <v>0</v>
      </c>
      <c r="W499" s="26"/>
      <c r="X499" s="26"/>
      <c r="Y499" s="26"/>
      <c r="Z499" s="27">
        <f>AN499*0.2*IF(MID(E499,3,1)="3",1,0)*IF(MID(E499,5,1)="1",9,8)*(1+입력란!$C$44/100)</f>
        <v>0</v>
      </c>
      <c r="AA499" s="30">
        <f t="shared" si="72"/>
        <v>782532.56061456329</v>
      </c>
      <c r="AB499" s="30">
        <f t="shared" si="73"/>
        <v>260844.18687152109</v>
      </c>
      <c r="AC499" s="30">
        <f t="shared" si="74"/>
        <v>260844.18687152109</v>
      </c>
      <c r="AD499" s="30">
        <f t="shared" si="75"/>
        <v>260844.18687152109</v>
      </c>
      <c r="AE499" s="30">
        <f t="shared" si="76"/>
        <v>0</v>
      </c>
      <c r="AF499" s="39"/>
      <c r="AG499" s="39"/>
      <c r="AH499" s="39"/>
      <c r="AI499" s="25">
        <f t="shared" si="77"/>
        <v>0</v>
      </c>
      <c r="AJ499" s="30">
        <f>AQ499*(1-입력란!$C$35/100)</f>
        <v>26.686990101059997</v>
      </c>
      <c r="AK49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499" s="26">
        <f>입력란!$C$47+IF(입력란!$C$18=1,10,IF(입력란!$C$18=2,25,IF(입력란!$C$18=3,50,0)))+IF(입력란!$C$23&lt;&gt;0,-12)</f>
        <v>200</v>
      </c>
      <c r="AM499" s="26">
        <f t="shared" si="78"/>
        <v>96052.126694773528</v>
      </c>
      <c r="AN499" s="30">
        <f>(VLOOKUP(C499,$B$4:$AJ$7,29,FALSE)+VLOOKUP(C499,$B$8:$AJ$11,29,FALSE)*입력란!$C$29)*입력란!$C$48/100</f>
        <v>96052.126694773528</v>
      </c>
      <c r="AO499" s="39"/>
      <c r="AP499" s="39"/>
      <c r="AQ499" s="23">
        <v>27</v>
      </c>
    </row>
    <row r="500" spans="2:43" ht="13.5" customHeight="1" x14ac:dyDescent="0.3">
      <c r="B500" s="31">
        <v>485</v>
      </c>
      <c r="C500" s="40">
        <v>4</v>
      </c>
      <c r="D500" s="44" t="s">
        <v>260</v>
      </c>
      <c r="E500" s="38" t="s">
        <v>244</v>
      </c>
      <c r="F500" s="40"/>
      <c r="G500" s="40"/>
      <c r="H500" s="81">
        <f t="shared" si="70"/>
        <v>17798.042181279372</v>
      </c>
      <c r="I500" s="53">
        <f>SUM(J500:Q500)*IF(입력란!$C$16=1,1.04,IF(입력란!$C$16=2,1.1,IF(입력란!$C$16=3,1.2,1)))*IF(입력란!$C$21=1,1+입력란!$C$38*0.001,IF(입력란!$C$21=2,1+입력란!$C$38*0.0022,IF(입력란!$C$21=3,1+입력란!$C$38*0.0045,1)))*IF(입력란!$C$18&lt;&gt;0,0.98,1)</f>
        <v>474976.17551005085</v>
      </c>
      <c r="J500" s="30">
        <f>S500*(1+IF($AK500+IF(입력란!$C$26=1,10,0)+IF(MID(E500,5,1)="1",IF(G500="생명40%이하",트라이포드!$O$23,0),0)&gt;100,100,$AK500+IF(입력란!$C$26=1,10,0)+IF(MID(E500,5,1)="1",IF(G500="생명40%이하",트라이포드!$O$23,0),0))/100*(($AL500+IF(MID(E500,5,1)="1",IF(G500="생명40%이하",트라이포드!P$23,0)))/100-1))</f>
        <v>158325.39183668362</v>
      </c>
      <c r="K500" s="30">
        <f>T500*(1+IF($AK500+IF(입력란!$C$26=1,10,0)+IF(MID(E500,5,1)="1",IF(G500="생명40%이하",트라이포드!$O$23,0),0)&gt;100,100,$AK500+IF(입력란!$C$26=1,10,0)+IF(MID(E500,5,1)="1",IF(G500="생명40%이하",트라이포드!$O$23,0),0))/100*(($AL500+IF(MID(E500,5,1)="1",IF(G500="생명40%이하",트라이포드!P$23,0)))/100-1))</f>
        <v>158325.39183668362</v>
      </c>
      <c r="L500" s="26">
        <f>U500*(1+IF($AK500+IF(입력란!$C$26=1,10,0)+IF(MID(E500,5,1)="1",IF(G500="생명40%이하",트라이포드!$O$23,0),0)&gt;100,100,$AK500+IF(입력란!$C$26=1,10,0)+IF(MID(E500,5,1)="1",IF(G500="생명40%이하",트라이포드!$O$23,0),0))/100*(($AL500+IF(MID(E500,5,1)="1",IF(G500="생명40%이하",트라이포드!P$23,0)))/100-1))</f>
        <v>158325.39183668362</v>
      </c>
      <c r="M500" s="26">
        <f>V500*(1+IF($AK500+IF(입력란!$C$26=1,10,0)+IF(MID(E500,5,1)="1",IF(G500="생명40%이하",트라이포드!$O$23,0),0)&gt;100,100,$AK500+IF(입력란!$C$26=1,10,0)+IF(MID(E500,5,1)="1",IF(G500="생명40%이하",트라이포드!$O$23,0),0))/100*(($AL500+IF(MID(E500,5,1)="1",IF(G500="생명40%이하",트라이포드!P$23,0)))/100-1))</f>
        <v>0</v>
      </c>
      <c r="N500" s="39"/>
      <c r="O500" s="39"/>
      <c r="P500" s="39"/>
      <c r="Q500" s="35">
        <f>Z500*(1+IF($AK500+IF(입력란!$C$26=1,10,0)&gt;100,100,$AK500+IF(입력란!$C$26=1,10,0))/100*($AL500/100-1))</f>
        <v>0</v>
      </c>
      <c r="R500" s="24">
        <f t="shared" si="71"/>
        <v>391266.28030728165</v>
      </c>
      <c r="S500" s="30">
        <f>AN500*IF(MID(E500,1,1)="2",IF(G500="생명40%이하",트라이포드!$F$23,트라이포드!$E$23),1)*IF(MID(E500,5,1)="2",트라이포드!$R$23,트라이포드!$Q$23)*(1+입력란!$C$44/100)</f>
        <v>130422.09343576054</v>
      </c>
      <c r="T500" s="30">
        <f>AN500*IF(MID(E500,1,1)="2",IF(G500="생명40%이하",트라이포드!$F$23,트라이포드!$E$23),1)*IF(MID(E500,5,1)="2",트라이포드!$R$23,트라이포드!$Q$23)*(1+입력란!$C$44/100)</f>
        <v>130422.09343576054</v>
      </c>
      <c r="U500" s="26">
        <f>AN500*IF(MID(E500,1,1)="2",IF(G500="생명40%이하",트라이포드!$F$23,트라이포드!$E$23),1)*IF(MID(E500,5,1)="2",트라이포드!$R$23,트라이포드!$Q$23)*(1+입력란!$C$44/100)</f>
        <v>130422.09343576054</v>
      </c>
      <c r="V500" s="26">
        <f>AN500*IF(MID(E500,1,1)="2",IF(G500="생명40%이하",트라이포드!$F$23,트라이포드!$E$23),1)*IF(MID(E500,5,1)="2",트라이포드!$R$23,트라이포드!$Q$23)*IF(MID(E500,5,1)="1",1,0)*(1+입력란!$C$44/100)</f>
        <v>0</v>
      </c>
      <c r="W500" s="26"/>
      <c r="X500" s="26"/>
      <c r="Y500" s="26"/>
      <c r="Z500" s="27">
        <f>AN500*0.2*IF(MID(E500,3,1)="3",1,0)*IF(MID(E500,5,1)="1",9,8)*(1+입력란!$C$44/100)</f>
        <v>0</v>
      </c>
      <c r="AA500" s="30">
        <f t="shared" si="72"/>
        <v>782532.56061456329</v>
      </c>
      <c r="AB500" s="30">
        <f t="shared" si="73"/>
        <v>260844.18687152109</v>
      </c>
      <c r="AC500" s="30">
        <f t="shared" si="74"/>
        <v>260844.18687152109</v>
      </c>
      <c r="AD500" s="30">
        <f t="shared" si="75"/>
        <v>260844.18687152109</v>
      </c>
      <c r="AE500" s="30">
        <f t="shared" si="76"/>
        <v>0</v>
      </c>
      <c r="AF500" s="39"/>
      <c r="AG500" s="39"/>
      <c r="AH500" s="39"/>
      <c r="AI500" s="25">
        <f t="shared" si="77"/>
        <v>0</v>
      </c>
      <c r="AJ500" s="30">
        <f>AQ500*(1-입력란!$C$35/100)</f>
        <v>26.686990101059997</v>
      </c>
      <c r="AK50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0" s="26">
        <f>입력란!$C$47+IF(입력란!$C$18=1,10,IF(입력란!$C$18=2,25,IF(입력란!$C$18=3,50,0)))+IF(입력란!$C$23&lt;&gt;0,-12)</f>
        <v>200</v>
      </c>
      <c r="AM500" s="26">
        <f t="shared" si="78"/>
        <v>96052.126694773528</v>
      </c>
      <c r="AN500" s="30">
        <f>(VLOOKUP(C500,$B$4:$AJ$7,29,FALSE)+VLOOKUP(C500,$B$8:$AJ$11,29,FALSE)*입력란!$C$29)*입력란!$C$48/100</f>
        <v>96052.126694773528</v>
      </c>
      <c r="AO500" s="39"/>
      <c r="AP500" s="39"/>
      <c r="AQ500" s="23">
        <v>27</v>
      </c>
    </row>
    <row r="501" spans="2:43" ht="13.5" customHeight="1" x14ac:dyDescent="0.3">
      <c r="B501" s="31">
        <v>486</v>
      </c>
      <c r="C501" s="40">
        <v>7</v>
      </c>
      <c r="D501" s="44" t="s">
        <v>260</v>
      </c>
      <c r="E501" s="38" t="s">
        <v>240</v>
      </c>
      <c r="F501" s="40"/>
      <c r="G501" s="40"/>
      <c r="H501" s="81">
        <f t="shared" si="70"/>
        <v>17815.97880113811</v>
      </c>
      <c r="I501" s="53">
        <f>SUM(J501:Q501)*IF(입력란!$C$16=1,1.04,IF(입력란!$C$16=2,1.1,IF(입력란!$C$16=3,1.2,1)))*IF(입력란!$C$21=1,1+입력란!$C$38*0.001,IF(입력란!$C$21=2,1+입력란!$C$38*0.0022,IF(입력란!$C$21=3,1+입력란!$C$38*0.0045,1)))*IF(입력란!$C$18&lt;&gt;0,0.98,1)</f>
        <v>475454.84990666754</v>
      </c>
      <c r="J501" s="30">
        <f>S501*(1+IF($AK501+IF(입력란!$C$26=1,10,0)+IF(MID(E501,5,1)="1",IF(G501="생명40%이하",트라이포드!$O$23,0),0)&gt;100,100,$AK501+IF(입력란!$C$26=1,10,0)+IF(MID(E501,5,1)="1",IF(G501="생명40%이하",트라이포드!$O$23,0),0))/100*(($AL501+IF(MID(E501,5,1)="1",IF(G501="생명40%이하",트라이포드!P$23,0)))/100-1))</f>
        <v>158484.94996888918</v>
      </c>
      <c r="K501" s="30">
        <f>T501*(1+IF($AK501+IF(입력란!$C$26=1,10,0)+IF(MID(E501,5,1)="1",IF(G501="생명40%이하",트라이포드!$O$23,0),0)&gt;100,100,$AK501+IF(입력란!$C$26=1,10,0)+IF(MID(E501,5,1)="1",IF(G501="생명40%이하",트라이포드!$O$23,0),0))/100*(($AL501+IF(MID(E501,5,1)="1",IF(G501="생명40%이하",트라이포드!P$23,0)))/100-1))</f>
        <v>158484.94996888918</v>
      </c>
      <c r="L501" s="26">
        <f>U501*(1+IF($AK501+IF(입력란!$C$26=1,10,0)+IF(MID(E501,5,1)="1",IF(G501="생명40%이하",트라이포드!$O$23,0),0)&gt;100,100,$AK501+IF(입력란!$C$26=1,10,0)+IF(MID(E501,5,1)="1",IF(G501="생명40%이하",트라이포드!$O$23,0),0))/100*(($AL501+IF(MID(E501,5,1)="1",IF(G501="생명40%이하",트라이포드!P$23,0)))/100-1))</f>
        <v>158484.94996888918</v>
      </c>
      <c r="M501" s="26">
        <f>V501*(1+IF($AK501+IF(입력란!$C$26=1,10,0)+IF(MID(E501,5,1)="1",IF(G501="생명40%이하",트라이포드!$O$23,0),0)&gt;100,100,$AK501+IF(입력란!$C$26=1,10,0)+IF(MID(E501,5,1)="1",IF(G501="생명40%이하",트라이포드!$O$23,0),0))/100*(($AL501+IF(MID(E501,5,1)="1",IF(G501="생명40%이하",트라이포드!P$23,0)))/100-1))</f>
        <v>0</v>
      </c>
      <c r="N501" s="39"/>
      <c r="O501" s="39"/>
      <c r="P501" s="39"/>
      <c r="Q501" s="35">
        <f>Z501*(1+IF($AK501+IF(입력란!$C$26=1,10,0)&gt;100,100,$AK501+IF(입력란!$C$26=1,10,0))/100*($AL501/100-1))</f>
        <v>0</v>
      </c>
      <c r="R501" s="24">
        <f t="shared" si="71"/>
        <v>391660.59303347563</v>
      </c>
      <c r="S501" s="30">
        <f>AN501*IF(MID(E501,1,1)="2",IF(G501="생명40%이하",트라이포드!$F$23,트라이포드!$E$23),1)*IF(MID(E501,5,1)="2",트라이포드!$R$23,트라이포드!$Q$23)*(1+입력란!$C$44/100)</f>
        <v>130553.53101115854</v>
      </c>
      <c r="T501" s="30">
        <f>AN501*IF(MID(E501,1,1)="2",IF(G501="생명40%이하",트라이포드!$F$23,트라이포드!$E$23),1)*IF(MID(E501,5,1)="2",트라이포드!$R$23,트라이포드!$Q$23)*(1+입력란!$C$44/100)</f>
        <v>130553.53101115854</v>
      </c>
      <c r="U501" s="26">
        <f>AN501*IF(MID(E501,1,1)="2",IF(G501="생명40%이하",트라이포드!$F$23,트라이포드!$E$23),1)*IF(MID(E501,5,1)="2",트라이포드!$R$23,트라이포드!$Q$23)*(1+입력란!$C$44/100)</f>
        <v>130553.53101115854</v>
      </c>
      <c r="V501" s="26">
        <f>AN501*IF(MID(E501,1,1)="2",IF(G501="생명40%이하",트라이포드!$F$23,트라이포드!$E$23),1)*IF(MID(E501,5,1)="2",트라이포드!$R$23,트라이포드!$Q$23)*IF(MID(E501,5,1)="1",1,0)*(1+입력란!$C$44/100)</f>
        <v>0</v>
      </c>
      <c r="W501" s="26"/>
      <c r="X501" s="26"/>
      <c r="Y501" s="26"/>
      <c r="Z501" s="27">
        <f>AN501*0.2*IF(MID(E501,3,1)="3",1,0)*IF(MID(E501,5,1)="1",9,8)*(1+입력란!$C$44/100)</f>
        <v>0</v>
      </c>
      <c r="AA501" s="30">
        <f t="shared" si="72"/>
        <v>783321.18606695125</v>
      </c>
      <c r="AB501" s="30">
        <f t="shared" si="73"/>
        <v>261107.06202231708</v>
      </c>
      <c r="AC501" s="30">
        <f t="shared" si="74"/>
        <v>261107.06202231708</v>
      </c>
      <c r="AD501" s="30">
        <f t="shared" si="75"/>
        <v>261107.06202231708</v>
      </c>
      <c r="AE501" s="30">
        <f t="shared" si="76"/>
        <v>0</v>
      </c>
      <c r="AF501" s="39"/>
      <c r="AG501" s="39"/>
      <c r="AH501" s="39"/>
      <c r="AI501" s="25">
        <f t="shared" si="77"/>
        <v>0</v>
      </c>
      <c r="AJ501" s="30">
        <f>AQ501*(1-입력란!$C$35/100)</f>
        <v>26.686990101059997</v>
      </c>
      <c r="AK50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1" s="26">
        <f>입력란!$C$47+IF(입력란!$C$18=1,10,IF(입력란!$C$18=2,25,IF(입력란!$C$18=3,50,0)))+IF(입력란!$C$23&lt;&gt;0,-12)</f>
        <v>200</v>
      </c>
      <c r="AM501" s="26">
        <f t="shared" si="78"/>
        <v>96148.92669477353</v>
      </c>
      <c r="AN501" s="30">
        <f>(VLOOKUP(C501,$B$4:$AJ$7,29,FALSE)+VLOOKUP(C501,$B$8:$AJ$11,29,FALSE)*입력란!$C$29)*입력란!$C$48/100</f>
        <v>96148.92669477353</v>
      </c>
      <c r="AO501" s="39"/>
      <c r="AP501" s="39"/>
      <c r="AQ501" s="23">
        <v>27</v>
      </c>
    </row>
    <row r="502" spans="2:43" ht="13.5" customHeight="1" x14ac:dyDescent="0.3">
      <c r="B502" s="31">
        <v>487</v>
      </c>
      <c r="C502" s="40">
        <v>7</v>
      </c>
      <c r="D502" s="44" t="s">
        <v>260</v>
      </c>
      <c r="E502" s="38" t="s">
        <v>243</v>
      </c>
      <c r="F502" s="40" t="s">
        <v>262</v>
      </c>
      <c r="G502" s="40"/>
      <c r="H502" s="81">
        <f t="shared" si="70"/>
        <v>27317.834161745104</v>
      </c>
      <c r="I502" s="53">
        <f>SUM(J502:Q502)*IF(입력란!$C$16=1,1.04,IF(입력란!$C$16=2,1.1,IF(입력란!$C$16=3,1.2,1)))*IF(입력란!$C$21=1,1+입력란!$C$38*0.001,IF(입력란!$C$21=2,1+입력란!$C$38*0.0022,IF(입력란!$C$21=3,1+입력란!$C$38*0.0045,1)))*IF(입력란!$C$18&lt;&gt;0,0.98,1)</f>
        <v>729030.7698568902</v>
      </c>
      <c r="J502" s="30">
        <f>S502*(1+IF($AK502+IF(입력란!$C$26=1,10,0)+IF(MID(E502,5,1)="1",IF(G502="생명40%이하",트라이포드!$O$23,0),0)&gt;100,100,$AK502+IF(입력란!$C$26=1,10,0)+IF(MID(E502,5,1)="1",IF(G502="생명40%이하",트라이포드!$O$23,0),0))/100*(($AL502+IF(MID(E502,5,1)="1",IF(G502="생명40%이하",트라이포드!P$23,0)))/100-1))</f>
        <v>158484.94996888918</v>
      </c>
      <c r="K502" s="30">
        <f>T502*(1+IF($AK502+IF(입력란!$C$26=1,10,0)+IF(MID(E502,5,1)="1",IF(G502="생명40%이하",트라이포드!$O$23,0),0)&gt;100,100,$AK502+IF(입력란!$C$26=1,10,0)+IF(MID(E502,5,1)="1",IF(G502="생명40%이하",트라이포드!$O$23,0),0))/100*(($AL502+IF(MID(E502,5,1)="1",IF(G502="생명40%이하",트라이포드!P$23,0)))/100-1))</f>
        <v>158484.94996888918</v>
      </c>
      <c r="L502" s="26">
        <f>U502*(1+IF($AK502+IF(입력란!$C$26=1,10,0)+IF(MID(E502,5,1)="1",IF(G502="생명40%이하",트라이포드!$O$23,0),0)&gt;100,100,$AK502+IF(입력란!$C$26=1,10,0)+IF(MID(E502,5,1)="1",IF(G502="생명40%이하",트라이포드!$O$23,0),0))/100*(($AL502+IF(MID(E502,5,1)="1",IF(G502="생명40%이하",트라이포드!P$23,0)))/100-1))</f>
        <v>158484.94996888918</v>
      </c>
      <c r="M502" s="26">
        <f>V502*(1+IF($AK502+IF(입력란!$C$26=1,10,0)+IF(MID(E502,5,1)="1",IF(G502="생명40%이하",트라이포드!$O$23,0),0)&gt;100,100,$AK502+IF(입력란!$C$26=1,10,0)+IF(MID(E502,5,1)="1",IF(G502="생명40%이하",트라이포드!$O$23,0),0))/100*(($AL502+IF(MID(E502,5,1)="1",IF(G502="생명40%이하",트라이포드!P$23,0)))/100-1))</f>
        <v>0</v>
      </c>
      <c r="N502" s="39"/>
      <c r="O502" s="39"/>
      <c r="P502" s="39"/>
      <c r="Q502" s="35">
        <f>Z502*(1+IF($AK502+IF(입력란!$C$26=1,10,0)&gt;100,100,$AK502+IF(입력란!$C$26=1,10,0))/100*($AL502/100-1))</f>
        <v>253575.91995022271</v>
      </c>
      <c r="R502" s="24">
        <f t="shared" si="71"/>
        <v>600546.24265132926</v>
      </c>
      <c r="S502" s="30">
        <f>AN502*IF(MID(E502,1,1)="2",IF(G502="생명40%이하",트라이포드!$F$23,트라이포드!$E$23),1)*IF(MID(E502,5,1)="2",트라이포드!$R$23,트라이포드!$Q$23)*(1+입력란!$C$44/100)</f>
        <v>130553.53101115854</v>
      </c>
      <c r="T502" s="30">
        <f>AN502*IF(MID(E502,1,1)="2",IF(G502="생명40%이하",트라이포드!$F$23,트라이포드!$E$23),1)*IF(MID(E502,5,1)="2",트라이포드!$R$23,트라이포드!$Q$23)*(1+입력란!$C$44/100)</f>
        <v>130553.53101115854</v>
      </c>
      <c r="U502" s="26">
        <f>AN502*IF(MID(E502,1,1)="2",IF(G502="생명40%이하",트라이포드!$F$23,트라이포드!$E$23),1)*IF(MID(E502,5,1)="2",트라이포드!$R$23,트라이포드!$Q$23)*(1+입력란!$C$44/100)</f>
        <v>130553.53101115854</v>
      </c>
      <c r="V502" s="26">
        <f>AN502*IF(MID(E502,1,1)="2",IF(G502="생명40%이하",트라이포드!$F$23,트라이포드!$E$23),1)*IF(MID(E502,5,1)="2",트라이포드!$R$23,트라이포드!$Q$23)*IF(MID(E502,5,1)="1",1,0)*(1+입력란!$C$44/100)</f>
        <v>0</v>
      </c>
      <c r="W502" s="26"/>
      <c r="X502" s="26"/>
      <c r="Y502" s="26"/>
      <c r="Z502" s="27">
        <f>AN502*0.2*IF(MID(E502,3,1)="3",1,0)*IF(MID(E502,5,1)="1",9,8)*(1+입력란!$C$44/100)</f>
        <v>208885.64961785366</v>
      </c>
      <c r="AA502" s="30">
        <f t="shared" si="72"/>
        <v>1201092.4853026585</v>
      </c>
      <c r="AB502" s="30">
        <f t="shared" si="73"/>
        <v>261107.06202231708</v>
      </c>
      <c r="AC502" s="30">
        <f t="shared" si="74"/>
        <v>261107.06202231708</v>
      </c>
      <c r="AD502" s="30">
        <f t="shared" si="75"/>
        <v>261107.06202231708</v>
      </c>
      <c r="AE502" s="30">
        <f t="shared" si="76"/>
        <v>0</v>
      </c>
      <c r="AF502" s="39"/>
      <c r="AG502" s="39"/>
      <c r="AH502" s="39"/>
      <c r="AI502" s="25">
        <f t="shared" si="77"/>
        <v>417771.29923570732</v>
      </c>
      <c r="AJ502" s="30">
        <f>AQ502*(1-입력란!$C$35/100)</f>
        <v>26.686990101059997</v>
      </c>
      <c r="AK50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2" s="26">
        <f>입력란!$C$47+IF(입력란!$C$18=1,10,IF(입력란!$C$18=2,25,IF(입력란!$C$18=3,50,0)))+IF(입력란!$C$23&lt;&gt;0,-12)</f>
        <v>200</v>
      </c>
      <c r="AM502" s="26">
        <f t="shared" si="78"/>
        <v>96148.92669477353</v>
      </c>
      <c r="AN502" s="30">
        <f>(VLOOKUP(C502,$B$4:$AJ$7,29,FALSE)+VLOOKUP(C502,$B$8:$AJ$11,29,FALSE)*입력란!$C$29)*입력란!$C$48/100</f>
        <v>96148.92669477353</v>
      </c>
      <c r="AO502" s="39"/>
      <c r="AP502" s="39"/>
      <c r="AQ502" s="23">
        <v>27</v>
      </c>
    </row>
    <row r="503" spans="2:43" ht="13.5" customHeight="1" x14ac:dyDescent="0.3">
      <c r="B503" s="31">
        <v>488</v>
      </c>
      <c r="C503" s="40">
        <v>7</v>
      </c>
      <c r="D503" s="44" t="s">
        <v>260</v>
      </c>
      <c r="E503" s="38" t="s">
        <v>246</v>
      </c>
      <c r="F503" s="40" t="s">
        <v>415</v>
      </c>
      <c r="G503" s="40"/>
      <c r="H503" s="81">
        <f t="shared" si="70"/>
        <v>27317.834161745104</v>
      </c>
      <c r="I503" s="53">
        <f>SUM(J503:Q503)*IF(입력란!$C$16=1,1.04,IF(입력란!$C$16=2,1.1,IF(입력란!$C$16=3,1.2,1)))*IF(입력란!$C$21=1,1+입력란!$C$38*0.001,IF(입력란!$C$21=2,1+입력란!$C$38*0.0022,IF(입력란!$C$21=3,1+입력란!$C$38*0.0045,1)))*IF(입력란!$C$18&lt;&gt;0,0.98,1)</f>
        <v>729030.7698568902</v>
      </c>
      <c r="J503" s="30">
        <f>S503*(1+IF($AK503+IF(입력란!$C$26=1,10,0)+IF(MID(E503,5,1)="1",IF(G503="생명40%이하",트라이포드!$O$23,0),0)&gt;100,100,$AK503+IF(입력란!$C$26=1,10,0)+IF(MID(E503,5,1)="1",IF(G503="생명40%이하",트라이포드!$O$23,0),0))/100*(($AL503+IF(MID(E503,5,1)="1",IF(G503="생명40%이하",트라이포드!P$23,0)))/100-1))</f>
        <v>158484.94996888918</v>
      </c>
      <c r="K503" s="30">
        <f>T503*(1+IF($AK503+IF(입력란!$C$26=1,10,0)+IF(MID(E503,5,1)="1",IF(G503="생명40%이하",트라이포드!$O$23,0),0)&gt;100,100,$AK503+IF(입력란!$C$26=1,10,0)+IF(MID(E503,5,1)="1",IF(G503="생명40%이하",트라이포드!$O$23,0),0))/100*(($AL503+IF(MID(E503,5,1)="1",IF(G503="생명40%이하",트라이포드!P$23,0)))/100-1))</f>
        <v>158484.94996888918</v>
      </c>
      <c r="L503" s="26">
        <f>U503*(1+IF($AK503+IF(입력란!$C$26=1,10,0)+IF(MID(E503,5,1)="1",IF(G503="생명40%이하",트라이포드!$O$23,0),0)&gt;100,100,$AK503+IF(입력란!$C$26=1,10,0)+IF(MID(E503,5,1)="1",IF(G503="생명40%이하",트라이포드!$O$23,0),0))/100*(($AL503+IF(MID(E503,5,1)="1",IF(G503="생명40%이하",트라이포드!P$23,0)))/100-1))</f>
        <v>158484.94996888918</v>
      </c>
      <c r="M503" s="26">
        <f>V503*(1+IF($AK503+IF(입력란!$C$26=1,10,0)+IF(MID(E503,5,1)="1",IF(G503="생명40%이하",트라이포드!$O$23,0),0)&gt;100,100,$AK503+IF(입력란!$C$26=1,10,0)+IF(MID(E503,5,1)="1",IF(G503="생명40%이하",트라이포드!$O$23,0),0))/100*(($AL503+IF(MID(E503,5,1)="1",IF(G503="생명40%이하",트라이포드!P$23,0)))/100-1))</f>
        <v>0</v>
      </c>
      <c r="N503" s="39"/>
      <c r="O503" s="39"/>
      <c r="P503" s="39"/>
      <c r="Q503" s="35">
        <f>Z503*(1+IF($AK503+IF(입력란!$C$26=1,10,0)&gt;100,100,$AK503+IF(입력란!$C$26=1,10,0))/100*($AL503/100-1))</f>
        <v>253575.91995022271</v>
      </c>
      <c r="R503" s="24">
        <f t="shared" si="71"/>
        <v>600546.24265132926</v>
      </c>
      <c r="S503" s="30">
        <f>AN503*IF(MID(E503,1,1)="2",IF(G503="생명40%이하",트라이포드!$F$23,트라이포드!$E$23),1)*IF(MID(E503,5,1)="2",트라이포드!$R$23,트라이포드!$Q$23)*(1+입력란!$C$44/100)</f>
        <v>130553.53101115854</v>
      </c>
      <c r="T503" s="30">
        <f>AN503*IF(MID(E503,1,1)="2",IF(G503="생명40%이하",트라이포드!$F$23,트라이포드!$E$23),1)*IF(MID(E503,5,1)="2",트라이포드!$R$23,트라이포드!$Q$23)*(1+입력란!$C$44/100)</f>
        <v>130553.53101115854</v>
      </c>
      <c r="U503" s="26">
        <f>AN503*IF(MID(E503,1,1)="2",IF(G503="생명40%이하",트라이포드!$F$23,트라이포드!$E$23),1)*IF(MID(E503,5,1)="2",트라이포드!$R$23,트라이포드!$Q$23)*(1+입력란!$C$44/100)</f>
        <v>130553.53101115854</v>
      </c>
      <c r="V503" s="26">
        <f>AN503*IF(MID(E503,1,1)="2",IF(G503="생명40%이하",트라이포드!$F$23,트라이포드!$E$23),1)*IF(MID(E503,5,1)="2",트라이포드!$R$23,트라이포드!$Q$23)*IF(MID(E503,5,1)="1",1,0)*(1+입력란!$C$44/100)</f>
        <v>0</v>
      </c>
      <c r="W503" s="26"/>
      <c r="X503" s="26"/>
      <c r="Y503" s="26"/>
      <c r="Z503" s="27">
        <f>AN503*0.2*IF(MID(E503,3,1)="3",1,0)*IF(MID(E503,5,1)="1",9,8)*(1+입력란!$C$44/100)</f>
        <v>208885.64961785366</v>
      </c>
      <c r="AA503" s="30">
        <f t="shared" si="72"/>
        <v>1201092.4853026585</v>
      </c>
      <c r="AB503" s="30">
        <f t="shared" si="73"/>
        <v>261107.06202231708</v>
      </c>
      <c r="AC503" s="30">
        <f t="shared" si="74"/>
        <v>261107.06202231708</v>
      </c>
      <c r="AD503" s="30">
        <f t="shared" si="75"/>
        <v>261107.06202231708</v>
      </c>
      <c r="AE503" s="30">
        <f t="shared" si="76"/>
        <v>0</v>
      </c>
      <c r="AF503" s="39"/>
      <c r="AG503" s="39"/>
      <c r="AH503" s="39"/>
      <c r="AI503" s="25">
        <f t="shared" si="77"/>
        <v>417771.29923570732</v>
      </c>
      <c r="AJ503" s="30">
        <f>AQ503*(1-입력란!$C$35/100)</f>
        <v>26.686990101059997</v>
      </c>
      <c r="AK50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3" s="26">
        <f>입력란!$C$47+IF(입력란!$C$18=1,10,IF(입력란!$C$18=2,25,IF(입력란!$C$18=3,50,0)))+IF(입력란!$C$23&lt;&gt;0,-12)</f>
        <v>200</v>
      </c>
      <c r="AM503" s="26">
        <f t="shared" si="78"/>
        <v>96148.92669477353</v>
      </c>
      <c r="AN503" s="30">
        <f>(VLOOKUP(C503,$B$4:$AJ$7,29,FALSE)+VLOOKUP(C503,$B$8:$AJ$11,29,FALSE)*입력란!$C$29)*입력란!$C$48/100</f>
        <v>96148.92669477353</v>
      </c>
      <c r="AO503" s="39"/>
      <c r="AP503" s="39"/>
      <c r="AQ503" s="23">
        <v>27</v>
      </c>
    </row>
    <row r="504" spans="2:43" ht="13.5" customHeight="1" x14ac:dyDescent="0.3">
      <c r="B504" s="31">
        <v>489</v>
      </c>
      <c r="C504" s="40">
        <v>10</v>
      </c>
      <c r="D504" s="44" t="s">
        <v>260</v>
      </c>
      <c r="E504" s="38" t="s">
        <v>240</v>
      </c>
      <c r="F504" s="40"/>
      <c r="G504" s="40"/>
      <c r="H504" s="81">
        <f t="shared" si="70"/>
        <v>17826.864765471735</v>
      </c>
      <c r="I504" s="53">
        <f>SUM(J504:Q504)*IF(입력란!$C$16=1,1.04,IF(입력란!$C$16=2,1.1,IF(입력란!$C$16=3,1.2,1)))*IF(입력란!$C$21=1,1+입력란!$C$38*0.001,IF(입력란!$C$21=2,1+입력란!$C$38*0.0022,IF(입력란!$C$21=3,1+입력란!$C$38*0.0045,1)))*IF(입력란!$C$18&lt;&gt;0,0.98,1)</f>
        <v>475745.36352907948</v>
      </c>
      <c r="J504" s="30">
        <f>S504*(1+IF($AK504+IF(입력란!$C$26=1,10,0)+IF(MID(E504,5,1)="1",IF(G504="생명40%이하",트라이포드!$O$23,0),0)&gt;100,100,$AK504+IF(입력란!$C$26=1,10,0)+IF(MID(E504,5,1)="1",IF(G504="생명40%이하",트라이포드!$O$23,0),0))/100*(($AL504+IF(MID(E504,5,1)="1",IF(G504="생명40%이하",트라이포드!P$23,0)))/100-1))</f>
        <v>158581.78784302648</v>
      </c>
      <c r="K504" s="30">
        <f>T504*(1+IF($AK504+IF(입력란!$C$26=1,10,0)+IF(MID(E504,5,1)="1",IF(G504="생명40%이하",트라이포드!$O$23,0),0)&gt;100,100,$AK504+IF(입력란!$C$26=1,10,0)+IF(MID(E504,5,1)="1",IF(G504="생명40%이하",트라이포드!$O$23,0),0))/100*(($AL504+IF(MID(E504,5,1)="1",IF(G504="생명40%이하",트라이포드!P$23,0)))/100-1))</f>
        <v>158581.78784302648</v>
      </c>
      <c r="L504" s="26">
        <f>U504*(1+IF($AK504+IF(입력란!$C$26=1,10,0)+IF(MID(E504,5,1)="1",IF(G504="생명40%이하",트라이포드!$O$23,0),0)&gt;100,100,$AK504+IF(입력란!$C$26=1,10,0)+IF(MID(E504,5,1)="1",IF(G504="생명40%이하",트라이포드!$O$23,0),0))/100*(($AL504+IF(MID(E504,5,1)="1",IF(G504="생명40%이하",트라이포드!P$23,0)))/100-1))</f>
        <v>158581.78784302648</v>
      </c>
      <c r="M504" s="26">
        <f>V504*(1+IF($AK504+IF(입력란!$C$26=1,10,0)+IF(MID(E504,5,1)="1",IF(G504="생명40%이하",트라이포드!$O$23,0),0)&gt;100,100,$AK504+IF(입력란!$C$26=1,10,0)+IF(MID(E504,5,1)="1",IF(G504="생명40%이하",트라이포드!$O$23,0),0))/100*(($AL504+IF(MID(E504,5,1)="1",IF(G504="생명40%이하",트라이포드!P$23,0)))/100-1))</f>
        <v>0</v>
      </c>
      <c r="N504" s="39"/>
      <c r="O504" s="39"/>
      <c r="P504" s="39"/>
      <c r="Q504" s="35">
        <f>Z504*(1+IF($AK504+IF(입력란!$C$26=1,10,0)&gt;100,100,$AK504+IF(입력란!$C$26=1,10,0))/100*($AL504/100-1))</f>
        <v>0</v>
      </c>
      <c r="R504" s="24">
        <f t="shared" si="71"/>
        <v>391899.90647756075</v>
      </c>
      <c r="S504" s="30">
        <f>AN504*IF(MID(E504,1,1)="2",IF(G504="생명40%이하",트라이포드!$F$23,트라이포드!$E$23),1)*IF(MID(E504,5,1)="2",트라이포드!$R$23,트라이포드!$Q$23)*(1+입력란!$C$44/100)</f>
        <v>130633.30215918692</v>
      </c>
      <c r="T504" s="30">
        <f>AN504*IF(MID(E504,1,1)="2",IF(G504="생명40%이하",트라이포드!$F$23,트라이포드!$E$23),1)*IF(MID(E504,5,1)="2",트라이포드!$R$23,트라이포드!$Q$23)*(1+입력란!$C$44/100)</f>
        <v>130633.30215918692</v>
      </c>
      <c r="U504" s="26">
        <f>AN504*IF(MID(E504,1,1)="2",IF(G504="생명40%이하",트라이포드!$F$23,트라이포드!$E$23),1)*IF(MID(E504,5,1)="2",트라이포드!$R$23,트라이포드!$Q$23)*(1+입력란!$C$44/100)</f>
        <v>130633.30215918692</v>
      </c>
      <c r="V504" s="26">
        <f>AN504*IF(MID(E504,1,1)="2",IF(G504="생명40%이하",트라이포드!$F$23,트라이포드!$E$23),1)*IF(MID(E504,5,1)="2",트라이포드!$R$23,트라이포드!$Q$23)*IF(MID(E504,5,1)="1",1,0)*(1+입력란!$C$44/100)</f>
        <v>0</v>
      </c>
      <c r="W504" s="26"/>
      <c r="X504" s="26"/>
      <c r="Y504" s="26"/>
      <c r="Z504" s="27">
        <f>AN504*0.2*IF(MID(E504,3,1)="3",1,0)*IF(MID(E504,5,1)="1",9,8)*(1+입력란!$C$44/100)</f>
        <v>0</v>
      </c>
      <c r="AA504" s="30">
        <f t="shared" si="72"/>
        <v>783799.81295512151</v>
      </c>
      <c r="AB504" s="30">
        <f t="shared" si="73"/>
        <v>261266.60431837384</v>
      </c>
      <c r="AC504" s="30">
        <f t="shared" si="74"/>
        <v>261266.60431837384</v>
      </c>
      <c r="AD504" s="30">
        <f t="shared" si="75"/>
        <v>261266.60431837384</v>
      </c>
      <c r="AE504" s="30">
        <f t="shared" si="76"/>
        <v>0</v>
      </c>
      <c r="AF504" s="39"/>
      <c r="AG504" s="39"/>
      <c r="AH504" s="39"/>
      <c r="AI504" s="25">
        <f t="shared" si="77"/>
        <v>0</v>
      </c>
      <c r="AJ504" s="30">
        <f>AQ504*(1-입력란!$C$35/100)</f>
        <v>26.686990101059997</v>
      </c>
      <c r="AK50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4" s="26">
        <f>입력란!$C$47+IF(입력란!$C$18=1,10,IF(입력란!$C$18=2,25,IF(입력란!$C$18=3,50,0)))+IF(입력란!$C$23&lt;&gt;0,-12)</f>
        <v>200</v>
      </c>
      <c r="AM504" s="26">
        <f t="shared" si="78"/>
        <v>96207.675854637171</v>
      </c>
      <c r="AN504" s="30">
        <f>(VLOOKUP(C504,$B$4:$AJ$7,29,FALSE)+VLOOKUP(C504,$B$8:$AJ$11,29,FALSE)*입력란!$C$29)*입력란!$C$48/100</f>
        <v>96207.675854637171</v>
      </c>
      <c r="AO504" s="39"/>
      <c r="AP504" s="39"/>
      <c r="AQ504" s="23">
        <v>27</v>
      </c>
    </row>
    <row r="505" spans="2:43" ht="13.5" customHeight="1" x14ac:dyDescent="0.3">
      <c r="B505" s="31">
        <v>490</v>
      </c>
      <c r="C505" s="8">
        <v>10</v>
      </c>
      <c r="D505" s="44" t="s">
        <v>260</v>
      </c>
      <c r="E505" s="40" t="s">
        <v>247</v>
      </c>
      <c r="F505" s="40"/>
      <c r="G505" s="40"/>
      <c r="H505" s="81">
        <f t="shared" si="70"/>
        <v>23769.153020628979</v>
      </c>
      <c r="I505" s="53">
        <f>SUM(J505:Q505)*IF(입력란!$C$16=1,1.04,IF(입력란!$C$16=2,1.1,IF(입력란!$C$16=3,1.2,1)))*IF(입력란!$C$21=1,1+입력란!$C$38*0.001,IF(입력란!$C$21=2,1+입력란!$C$38*0.0022,IF(입력란!$C$21=3,1+입력란!$C$38*0.0045,1)))*IF(입력란!$C$18&lt;&gt;0,0.98,1)</f>
        <v>634327.15137210593</v>
      </c>
      <c r="J505" s="30">
        <f>S505*(1+IF($AK505+IF(입력란!$C$26=1,10,0)+IF(MID(E505,5,1)="1",IF(G505="생명40%이하",트라이포드!$O$23,0),0)&gt;100,100,$AK505+IF(입력란!$C$26=1,10,0)+IF(MID(E505,5,1)="1",IF(G505="생명40%이하",트라이포드!$O$23,0),0))/100*(($AL505+IF(MID(E505,5,1)="1",IF(G505="생명40%이하",트라이포드!P$23,0)))/100-1))</f>
        <v>158581.78784302648</v>
      </c>
      <c r="K505" s="30">
        <f>T505*(1+IF($AK505+IF(입력란!$C$26=1,10,0)+IF(MID(E505,5,1)="1",IF(G505="생명40%이하",트라이포드!$O$23,0),0)&gt;100,100,$AK505+IF(입력란!$C$26=1,10,0)+IF(MID(E505,5,1)="1",IF(G505="생명40%이하",트라이포드!$O$23,0),0))/100*(($AL505+IF(MID(E505,5,1)="1",IF(G505="생명40%이하",트라이포드!P$23,0)))/100-1))</f>
        <v>158581.78784302648</v>
      </c>
      <c r="L505" s="26">
        <f>U505*(1+IF($AK505+IF(입력란!$C$26=1,10,0)+IF(MID(E505,5,1)="1",IF(G505="생명40%이하",트라이포드!$O$23,0),0)&gt;100,100,$AK505+IF(입력란!$C$26=1,10,0)+IF(MID(E505,5,1)="1",IF(G505="생명40%이하",트라이포드!$O$23,0),0))/100*(($AL505+IF(MID(E505,5,1)="1",IF(G505="생명40%이하",트라이포드!P$23,0)))/100-1))</f>
        <v>158581.78784302648</v>
      </c>
      <c r="M505" s="26">
        <f>V505*(1+IF($AK505+IF(입력란!$C$26=1,10,0)+IF(MID(E505,5,1)="1",IF(G505="생명40%이하",트라이포드!$O$23,0),0)&gt;100,100,$AK505+IF(입력란!$C$26=1,10,0)+IF(MID(E505,5,1)="1",IF(G505="생명40%이하",트라이포드!$O$23,0),0))/100*(($AL505+IF(MID(E505,5,1)="1",IF(G505="생명40%이하",트라이포드!P$23,0)))/100-1))</f>
        <v>158581.78784302648</v>
      </c>
      <c r="N505" s="39"/>
      <c r="O505" s="39"/>
      <c r="P505" s="39"/>
      <c r="Q505" s="35">
        <f>Z505*(1+IF($AK505+IF(입력란!$C$26=1,10,0)&gt;100,100,$AK505+IF(입력란!$C$26=1,10,0))/100*($AL505/100-1))</f>
        <v>0</v>
      </c>
      <c r="R505" s="24">
        <f t="shared" si="71"/>
        <v>522533.20863674767</v>
      </c>
      <c r="S505" s="30">
        <f>AN505*IF(MID(E505,1,1)="2",IF(G505="생명40%이하",트라이포드!$F$23,트라이포드!$E$23),1)*IF(MID(E505,5,1)="2",트라이포드!$R$23,트라이포드!$Q$23)*(1+입력란!$C$44/100)</f>
        <v>130633.30215918692</v>
      </c>
      <c r="T505" s="30">
        <f>AN505*IF(MID(E505,1,1)="2",IF(G505="생명40%이하",트라이포드!$F$23,트라이포드!$E$23),1)*IF(MID(E505,5,1)="2",트라이포드!$R$23,트라이포드!$Q$23)*(1+입력란!$C$44/100)</f>
        <v>130633.30215918692</v>
      </c>
      <c r="U505" s="26">
        <f>AN505*IF(MID(E505,1,1)="2",IF(G505="생명40%이하",트라이포드!$F$23,트라이포드!$E$23),1)*IF(MID(E505,5,1)="2",트라이포드!$R$23,트라이포드!$Q$23)*(1+입력란!$C$44/100)</f>
        <v>130633.30215918692</v>
      </c>
      <c r="V505" s="26">
        <f>AN505*IF(MID(E505,1,1)="2",IF(G505="생명40%이하",트라이포드!$F$23,트라이포드!$E$23),1)*IF(MID(E505,5,1)="2",트라이포드!$R$23,트라이포드!$Q$23)*IF(MID(E505,5,1)="1",1,0)*(1+입력란!$C$44/100)</f>
        <v>130633.30215918692</v>
      </c>
      <c r="W505" s="26"/>
      <c r="X505" s="26"/>
      <c r="Y505" s="26"/>
      <c r="Z505" s="27">
        <f>AN505*0.2*IF(MID(E505,3,1)="3",1,0)*IF(MID(E505,5,1)="1",9,8)*(1+입력란!$C$44/100)</f>
        <v>0</v>
      </c>
      <c r="AA505" s="30">
        <f t="shared" si="72"/>
        <v>1045066.4172734953</v>
      </c>
      <c r="AB505" s="30">
        <f t="shared" si="73"/>
        <v>261266.60431837384</v>
      </c>
      <c r="AC505" s="30">
        <f t="shared" si="74"/>
        <v>261266.60431837384</v>
      </c>
      <c r="AD505" s="30">
        <f t="shared" si="75"/>
        <v>261266.60431837384</v>
      </c>
      <c r="AE505" s="30">
        <f t="shared" si="76"/>
        <v>261266.60431837384</v>
      </c>
      <c r="AF505" s="39"/>
      <c r="AG505" s="39"/>
      <c r="AH505" s="39"/>
      <c r="AI505" s="25">
        <f t="shared" si="77"/>
        <v>0</v>
      </c>
      <c r="AJ505" s="30">
        <f>AQ505*(1-입력란!$C$35/100)</f>
        <v>26.686990101059997</v>
      </c>
      <c r="AK50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5" s="26">
        <f>입력란!$C$47+IF(입력란!$C$18=1,10,IF(입력란!$C$18=2,25,IF(입력란!$C$18=3,50,0)))+IF(입력란!$C$23&lt;&gt;0,-12)</f>
        <v>200</v>
      </c>
      <c r="AM505" s="26">
        <f t="shared" si="78"/>
        <v>96207.675854637171</v>
      </c>
      <c r="AN505" s="30">
        <f>(VLOOKUP(C505,$B$4:$AJ$7,29,FALSE)+VLOOKUP(C505,$B$8:$AJ$11,29,FALSE)*입력란!$C$29)*입력란!$C$48/100</f>
        <v>96207.675854637171</v>
      </c>
      <c r="AO505" s="39"/>
      <c r="AP505" s="39"/>
      <c r="AQ505" s="23">
        <v>27</v>
      </c>
    </row>
    <row r="506" spans="2:43" ht="13.5" customHeight="1" x14ac:dyDescent="0.3">
      <c r="B506" s="31">
        <v>491</v>
      </c>
      <c r="C506" s="8">
        <v>10</v>
      </c>
      <c r="D506" s="44" t="s">
        <v>260</v>
      </c>
      <c r="E506" s="40" t="s">
        <v>248</v>
      </c>
      <c r="F506" s="40"/>
      <c r="G506" s="40"/>
      <c r="H506" s="81">
        <f t="shared" si="70"/>
        <v>26740.297148207603</v>
      </c>
      <c r="I506" s="53">
        <f>SUM(J506:Q506)*IF(입력란!$C$16=1,1.04,IF(입력란!$C$16=2,1.1,IF(입력란!$C$16=3,1.2,1)))*IF(입력란!$C$21=1,1+입력란!$C$38*0.001,IF(입력란!$C$21=2,1+입력란!$C$38*0.0022,IF(입력란!$C$21=3,1+입력란!$C$38*0.0045,1)))*IF(입력란!$C$18&lt;&gt;0,0.98,1)</f>
        <v>713618.04529361916</v>
      </c>
      <c r="J506" s="30">
        <f>S506*(1+IF($AK506+IF(입력란!$C$26=1,10,0)+IF(MID(E506,5,1)="1",IF(G506="생명40%이하",트라이포드!$O$23,0),0)&gt;100,100,$AK506+IF(입력란!$C$26=1,10,0)+IF(MID(E506,5,1)="1",IF(G506="생명40%이하",트라이포드!$O$23,0),0))/100*(($AL506+IF(MID(E506,5,1)="1",IF(G506="생명40%이하",트라이포드!P$23,0)))/100-1))</f>
        <v>237872.68176453974</v>
      </c>
      <c r="K506" s="30">
        <f>T506*(1+IF($AK506+IF(입력란!$C$26=1,10,0)+IF(MID(E506,5,1)="1",IF(G506="생명40%이하",트라이포드!$O$23,0),0)&gt;100,100,$AK506+IF(입력란!$C$26=1,10,0)+IF(MID(E506,5,1)="1",IF(G506="생명40%이하",트라이포드!$O$23,0),0))/100*(($AL506+IF(MID(E506,5,1)="1",IF(G506="생명40%이하",트라이포드!P$23,0)))/100-1))</f>
        <v>237872.68176453974</v>
      </c>
      <c r="L506" s="26">
        <f>U506*(1+IF($AK506+IF(입력란!$C$26=1,10,0)+IF(MID(E506,5,1)="1",IF(G506="생명40%이하",트라이포드!$O$23,0),0)&gt;100,100,$AK506+IF(입력란!$C$26=1,10,0)+IF(MID(E506,5,1)="1",IF(G506="생명40%이하",트라이포드!$O$23,0),0))/100*(($AL506+IF(MID(E506,5,1)="1",IF(G506="생명40%이하",트라이포드!P$23,0)))/100-1))</f>
        <v>237872.68176453974</v>
      </c>
      <c r="M506" s="26">
        <f>V506*(1+IF($AK506+IF(입력란!$C$26=1,10,0)+IF(MID(E506,5,1)="1",IF(G506="생명40%이하",트라이포드!$O$23,0),0)&gt;100,100,$AK506+IF(입력란!$C$26=1,10,0)+IF(MID(E506,5,1)="1",IF(G506="생명40%이하",트라이포드!$O$23,0),0))/100*(($AL506+IF(MID(E506,5,1)="1",IF(G506="생명40%이하",트라이포드!P$23,0)))/100-1))</f>
        <v>0</v>
      </c>
      <c r="N506" s="39"/>
      <c r="O506" s="39"/>
      <c r="P506" s="39"/>
      <c r="Q506" s="35">
        <f>Z506*(1+IF($AK506+IF(입력란!$C$26=1,10,0)&gt;100,100,$AK506+IF(입력란!$C$26=1,10,0))/100*($AL506/100-1))</f>
        <v>0</v>
      </c>
      <c r="R506" s="24">
        <f t="shared" si="71"/>
        <v>587849.85971634113</v>
      </c>
      <c r="S506" s="30">
        <f>AN506*IF(MID(E506,1,1)="2",IF(G506="생명40%이하",트라이포드!$F$23,트라이포드!$E$23),1)*IF(MID(E506,5,1)="2",트라이포드!$R$23,트라이포드!$Q$23)*(1+입력란!$C$44/100)</f>
        <v>195949.95323878038</v>
      </c>
      <c r="T506" s="30">
        <f>AN506*IF(MID(E506,1,1)="2",IF(G506="생명40%이하",트라이포드!$F$23,트라이포드!$E$23),1)*IF(MID(E506,5,1)="2",트라이포드!$R$23,트라이포드!$Q$23)*(1+입력란!$C$44/100)</f>
        <v>195949.95323878038</v>
      </c>
      <c r="U506" s="26">
        <f>AN506*IF(MID(E506,1,1)="2",IF(G506="생명40%이하",트라이포드!$F$23,트라이포드!$E$23),1)*IF(MID(E506,5,1)="2",트라이포드!$R$23,트라이포드!$Q$23)*(1+입력란!$C$44/100)</f>
        <v>195949.95323878038</v>
      </c>
      <c r="V506" s="26">
        <f>AN506*IF(MID(E506,1,1)="2",IF(G506="생명40%이하",트라이포드!$F$23,트라이포드!$E$23),1)*IF(MID(E506,5,1)="2",트라이포드!$R$23,트라이포드!$Q$23)*IF(MID(E506,5,1)="1",1,0)*(1+입력란!$C$44/100)</f>
        <v>0</v>
      </c>
      <c r="W506" s="26"/>
      <c r="X506" s="26"/>
      <c r="Y506" s="26"/>
      <c r="Z506" s="27">
        <f>AN506*0.2*IF(MID(E506,3,1)="3",1,0)*IF(MID(E506,5,1)="1",9,8)*(1+입력란!$C$44/100)</f>
        <v>0</v>
      </c>
      <c r="AA506" s="30">
        <f t="shared" si="72"/>
        <v>1175699.7194326823</v>
      </c>
      <c r="AB506" s="30">
        <f t="shared" si="73"/>
        <v>391899.90647756075</v>
      </c>
      <c r="AC506" s="30">
        <f t="shared" si="74"/>
        <v>391899.90647756075</v>
      </c>
      <c r="AD506" s="30">
        <f t="shared" si="75"/>
        <v>391899.90647756075</v>
      </c>
      <c r="AE506" s="30">
        <f t="shared" si="76"/>
        <v>0</v>
      </c>
      <c r="AF506" s="39"/>
      <c r="AG506" s="39"/>
      <c r="AH506" s="39"/>
      <c r="AI506" s="25">
        <f t="shared" si="77"/>
        <v>0</v>
      </c>
      <c r="AJ506" s="30">
        <f>AQ506*(1-입력란!$C$35/100)</f>
        <v>26.686990101059997</v>
      </c>
      <c r="AK50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6" s="26">
        <f>입력란!$C$47+IF(입력란!$C$18=1,10,IF(입력란!$C$18=2,25,IF(입력란!$C$18=3,50,0)))+IF(입력란!$C$23&lt;&gt;0,-12)</f>
        <v>200</v>
      </c>
      <c r="AM506" s="26">
        <f t="shared" si="78"/>
        <v>96207.675854637171</v>
      </c>
      <c r="AN506" s="30">
        <f>(VLOOKUP(C506,$B$4:$AJ$7,29,FALSE)+VLOOKUP(C506,$B$8:$AJ$11,29,FALSE)*입력란!$C$29)*입력란!$C$48/100</f>
        <v>96207.675854637171</v>
      </c>
      <c r="AO506" s="39"/>
      <c r="AP506" s="39"/>
      <c r="AQ506" s="23">
        <v>27</v>
      </c>
    </row>
    <row r="507" spans="2:43" ht="13.5" customHeight="1" x14ac:dyDescent="0.3">
      <c r="B507" s="31">
        <v>492</v>
      </c>
      <c r="C507" s="8">
        <v>10</v>
      </c>
      <c r="D507" s="44" t="s">
        <v>260</v>
      </c>
      <c r="E507" s="40" t="s">
        <v>249</v>
      </c>
      <c r="F507" s="40"/>
      <c r="G507" s="40"/>
      <c r="H507" s="81">
        <f t="shared" si="70"/>
        <v>23769.153020628979</v>
      </c>
      <c r="I507" s="53">
        <f>SUM(J507:Q507)*IF(입력란!$C$16=1,1.04,IF(입력란!$C$16=2,1.1,IF(입력란!$C$16=3,1.2,1)))*IF(입력란!$C$21=1,1+입력란!$C$38*0.001,IF(입력란!$C$21=2,1+입력란!$C$38*0.0022,IF(입력란!$C$21=3,1+입력란!$C$38*0.0045,1)))*IF(입력란!$C$18&lt;&gt;0,0.98,1)</f>
        <v>634327.15137210593</v>
      </c>
      <c r="J507" s="30">
        <f>S507*(1+IF($AK507+IF(입력란!$C$26=1,10,0)+IF(MID(E507,5,1)="1",IF(G507="생명40%이하",트라이포드!$O$23,0),0)&gt;100,100,$AK507+IF(입력란!$C$26=1,10,0)+IF(MID(E507,5,1)="1",IF(G507="생명40%이하",트라이포드!$O$23,0),0))/100*(($AL507+IF(MID(E507,5,1)="1",IF(G507="생명40%이하",트라이포드!P$23,0)))/100-1))</f>
        <v>158581.78784302648</v>
      </c>
      <c r="K507" s="30">
        <f>T507*(1+IF($AK507+IF(입력란!$C$26=1,10,0)+IF(MID(E507,5,1)="1",IF(G507="생명40%이하",트라이포드!$O$23,0),0)&gt;100,100,$AK507+IF(입력란!$C$26=1,10,0)+IF(MID(E507,5,1)="1",IF(G507="생명40%이하",트라이포드!$O$23,0),0))/100*(($AL507+IF(MID(E507,5,1)="1",IF(G507="생명40%이하",트라이포드!P$23,0)))/100-1))</f>
        <v>158581.78784302648</v>
      </c>
      <c r="L507" s="26">
        <f>U507*(1+IF($AK507+IF(입력란!$C$26=1,10,0)+IF(MID(E507,5,1)="1",IF(G507="생명40%이하",트라이포드!$O$23,0),0)&gt;100,100,$AK507+IF(입력란!$C$26=1,10,0)+IF(MID(E507,5,1)="1",IF(G507="생명40%이하",트라이포드!$O$23,0),0))/100*(($AL507+IF(MID(E507,5,1)="1",IF(G507="생명40%이하",트라이포드!P$23,0)))/100-1))</f>
        <v>158581.78784302648</v>
      </c>
      <c r="M507" s="26">
        <f>V507*(1+IF($AK507+IF(입력란!$C$26=1,10,0)+IF(MID(E507,5,1)="1",IF(G507="생명40%이하",트라이포드!$O$23,0),0)&gt;100,100,$AK507+IF(입력란!$C$26=1,10,0)+IF(MID(E507,5,1)="1",IF(G507="생명40%이하",트라이포드!$O$23,0),0))/100*(($AL507+IF(MID(E507,5,1)="1",IF(G507="생명40%이하",트라이포드!P$23,0)))/100-1))</f>
        <v>158581.78784302648</v>
      </c>
      <c r="N507" s="39"/>
      <c r="O507" s="39"/>
      <c r="P507" s="39"/>
      <c r="Q507" s="35">
        <f>Z507*(1+IF($AK507+IF(입력란!$C$26=1,10,0)&gt;100,100,$AK507+IF(입력란!$C$26=1,10,0))/100*($AL507/100-1))</f>
        <v>0</v>
      </c>
      <c r="R507" s="24">
        <f t="shared" si="71"/>
        <v>522533.20863674767</v>
      </c>
      <c r="S507" s="30">
        <f>AN507*IF(MID(E507,1,1)="2",IF(G507="생명40%이하",트라이포드!$F$23,트라이포드!$E$23),1)*IF(MID(E507,5,1)="2",트라이포드!$R$23,트라이포드!$Q$23)*(1+입력란!$C$44/100)</f>
        <v>130633.30215918692</v>
      </c>
      <c r="T507" s="30">
        <f>AN507*IF(MID(E507,1,1)="2",IF(G507="생명40%이하",트라이포드!$F$23,트라이포드!$E$23),1)*IF(MID(E507,5,1)="2",트라이포드!$R$23,트라이포드!$Q$23)*(1+입력란!$C$44/100)</f>
        <v>130633.30215918692</v>
      </c>
      <c r="U507" s="26">
        <f>AN507*IF(MID(E507,1,1)="2",IF(G507="생명40%이하",트라이포드!$F$23,트라이포드!$E$23),1)*IF(MID(E507,5,1)="2",트라이포드!$R$23,트라이포드!$Q$23)*(1+입력란!$C$44/100)</f>
        <v>130633.30215918692</v>
      </c>
      <c r="V507" s="26">
        <f>AN507*IF(MID(E507,1,1)="2",IF(G507="생명40%이하",트라이포드!$F$23,트라이포드!$E$23),1)*IF(MID(E507,5,1)="2",트라이포드!$R$23,트라이포드!$Q$23)*IF(MID(E507,5,1)="1",1,0)*(1+입력란!$C$44/100)</f>
        <v>130633.30215918692</v>
      </c>
      <c r="W507" s="26"/>
      <c r="X507" s="26"/>
      <c r="Y507" s="26"/>
      <c r="Z507" s="27">
        <f>AN507*0.2*IF(MID(E507,3,1)="3",1,0)*IF(MID(E507,5,1)="1",9,8)*(1+입력란!$C$44/100)</f>
        <v>0</v>
      </c>
      <c r="AA507" s="30">
        <f t="shared" si="72"/>
        <v>1045066.4172734953</v>
      </c>
      <c r="AB507" s="30">
        <f t="shared" si="73"/>
        <v>261266.60431837384</v>
      </c>
      <c r="AC507" s="30">
        <f t="shared" si="74"/>
        <v>261266.60431837384</v>
      </c>
      <c r="AD507" s="30">
        <f t="shared" si="75"/>
        <v>261266.60431837384</v>
      </c>
      <c r="AE507" s="30">
        <f t="shared" si="76"/>
        <v>261266.60431837384</v>
      </c>
      <c r="AF507" s="39"/>
      <c r="AG507" s="39"/>
      <c r="AH507" s="39"/>
      <c r="AI507" s="25">
        <f t="shared" si="77"/>
        <v>0</v>
      </c>
      <c r="AJ507" s="30">
        <f>AQ507*(1-입력란!$C$35/100)</f>
        <v>26.686990101059997</v>
      </c>
      <c r="AK50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7" s="26">
        <f>입력란!$C$47+IF(입력란!$C$18=1,10,IF(입력란!$C$18=2,25,IF(입력란!$C$18=3,50,0)))+IF(입력란!$C$23&lt;&gt;0,-12)</f>
        <v>200</v>
      </c>
      <c r="AM507" s="26">
        <f t="shared" si="78"/>
        <v>96207.675854637171</v>
      </c>
      <c r="AN507" s="30">
        <f>(VLOOKUP(C507,$B$4:$AJ$7,29,FALSE)+VLOOKUP(C507,$B$8:$AJ$11,29,FALSE)*입력란!$C$29)*입력란!$C$48/100</f>
        <v>96207.675854637171</v>
      </c>
      <c r="AO507" s="39"/>
      <c r="AP507" s="39"/>
      <c r="AQ507" s="23">
        <v>27</v>
      </c>
    </row>
    <row r="508" spans="2:43" ht="13.5" customHeight="1" x14ac:dyDescent="0.3">
      <c r="B508" s="31">
        <v>493</v>
      </c>
      <c r="C508" s="8">
        <v>10</v>
      </c>
      <c r="D508" s="44" t="s">
        <v>260</v>
      </c>
      <c r="E508" s="40" t="s">
        <v>250</v>
      </c>
      <c r="F508" s="40"/>
      <c r="G508" s="40"/>
      <c r="H508" s="81">
        <f t="shared" si="70"/>
        <v>26740.297148207603</v>
      </c>
      <c r="I508" s="53">
        <f>SUM(J508:Q508)*IF(입력란!$C$16=1,1.04,IF(입력란!$C$16=2,1.1,IF(입력란!$C$16=3,1.2,1)))*IF(입력란!$C$21=1,1+입력란!$C$38*0.001,IF(입력란!$C$21=2,1+입력란!$C$38*0.0022,IF(입력란!$C$21=3,1+입력란!$C$38*0.0045,1)))*IF(입력란!$C$18&lt;&gt;0,0.98,1)</f>
        <v>713618.04529361916</v>
      </c>
      <c r="J508" s="30">
        <f>S508*(1+IF($AK508+IF(입력란!$C$26=1,10,0)+IF(MID(E508,5,1)="1",IF(G508="생명40%이하",트라이포드!$O$23,0),0)&gt;100,100,$AK508+IF(입력란!$C$26=1,10,0)+IF(MID(E508,5,1)="1",IF(G508="생명40%이하",트라이포드!$O$23,0),0))/100*(($AL508+IF(MID(E508,5,1)="1",IF(G508="생명40%이하",트라이포드!P$23,0)))/100-1))</f>
        <v>237872.68176453974</v>
      </c>
      <c r="K508" s="30">
        <f>T508*(1+IF($AK508+IF(입력란!$C$26=1,10,0)+IF(MID(E508,5,1)="1",IF(G508="생명40%이하",트라이포드!$O$23,0),0)&gt;100,100,$AK508+IF(입력란!$C$26=1,10,0)+IF(MID(E508,5,1)="1",IF(G508="생명40%이하",트라이포드!$O$23,0),0))/100*(($AL508+IF(MID(E508,5,1)="1",IF(G508="생명40%이하",트라이포드!P$23,0)))/100-1))</f>
        <v>237872.68176453974</v>
      </c>
      <c r="L508" s="26">
        <f>U508*(1+IF($AK508+IF(입력란!$C$26=1,10,0)+IF(MID(E508,5,1)="1",IF(G508="생명40%이하",트라이포드!$O$23,0),0)&gt;100,100,$AK508+IF(입력란!$C$26=1,10,0)+IF(MID(E508,5,1)="1",IF(G508="생명40%이하",트라이포드!$O$23,0),0))/100*(($AL508+IF(MID(E508,5,1)="1",IF(G508="생명40%이하",트라이포드!P$23,0)))/100-1))</f>
        <v>237872.68176453974</v>
      </c>
      <c r="M508" s="26">
        <f>V508*(1+IF($AK508+IF(입력란!$C$26=1,10,0)+IF(MID(E508,5,1)="1",IF(G508="생명40%이하",트라이포드!$O$23,0),0)&gt;100,100,$AK508+IF(입력란!$C$26=1,10,0)+IF(MID(E508,5,1)="1",IF(G508="생명40%이하",트라이포드!$O$23,0),0))/100*(($AL508+IF(MID(E508,5,1)="1",IF(G508="생명40%이하",트라이포드!P$23,0)))/100-1))</f>
        <v>0</v>
      </c>
      <c r="N508" s="39"/>
      <c r="O508" s="39"/>
      <c r="P508" s="39"/>
      <c r="Q508" s="35">
        <f>Z508*(1+IF($AK508+IF(입력란!$C$26=1,10,0)&gt;100,100,$AK508+IF(입력란!$C$26=1,10,0))/100*($AL508/100-1))</f>
        <v>0</v>
      </c>
      <c r="R508" s="24">
        <f t="shared" si="71"/>
        <v>587849.85971634113</v>
      </c>
      <c r="S508" s="30">
        <f>AN508*IF(MID(E508,1,1)="2",IF(G508="생명40%이하",트라이포드!$F$23,트라이포드!$E$23),1)*IF(MID(E508,5,1)="2",트라이포드!$R$23,트라이포드!$Q$23)*(1+입력란!$C$44/100)</f>
        <v>195949.95323878038</v>
      </c>
      <c r="T508" s="30">
        <f>AN508*IF(MID(E508,1,1)="2",IF(G508="생명40%이하",트라이포드!$F$23,트라이포드!$E$23),1)*IF(MID(E508,5,1)="2",트라이포드!$R$23,트라이포드!$Q$23)*(1+입력란!$C$44/100)</f>
        <v>195949.95323878038</v>
      </c>
      <c r="U508" s="26">
        <f>AN508*IF(MID(E508,1,1)="2",IF(G508="생명40%이하",트라이포드!$F$23,트라이포드!$E$23),1)*IF(MID(E508,5,1)="2",트라이포드!$R$23,트라이포드!$Q$23)*(1+입력란!$C$44/100)</f>
        <v>195949.95323878038</v>
      </c>
      <c r="V508" s="26">
        <f>AN508*IF(MID(E508,1,1)="2",IF(G508="생명40%이하",트라이포드!$F$23,트라이포드!$E$23),1)*IF(MID(E508,5,1)="2",트라이포드!$R$23,트라이포드!$Q$23)*IF(MID(E508,5,1)="1",1,0)*(1+입력란!$C$44/100)</f>
        <v>0</v>
      </c>
      <c r="W508" s="26"/>
      <c r="X508" s="26"/>
      <c r="Y508" s="26"/>
      <c r="Z508" s="27">
        <f>AN508*0.2*IF(MID(E508,3,1)="3",1,0)*IF(MID(E508,5,1)="1",9,8)*(1+입력란!$C$44/100)</f>
        <v>0</v>
      </c>
      <c r="AA508" s="30">
        <f t="shared" si="72"/>
        <v>1175699.7194326823</v>
      </c>
      <c r="AB508" s="30">
        <f t="shared" si="73"/>
        <v>391899.90647756075</v>
      </c>
      <c r="AC508" s="30">
        <f t="shared" si="74"/>
        <v>391899.90647756075</v>
      </c>
      <c r="AD508" s="30">
        <f t="shared" si="75"/>
        <v>391899.90647756075</v>
      </c>
      <c r="AE508" s="30">
        <f t="shared" si="76"/>
        <v>0</v>
      </c>
      <c r="AF508" s="39"/>
      <c r="AG508" s="39"/>
      <c r="AH508" s="39"/>
      <c r="AI508" s="25">
        <f t="shared" si="77"/>
        <v>0</v>
      </c>
      <c r="AJ508" s="30">
        <f>AQ508*(1-입력란!$C$35/100)</f>
        <v>26.686990101059997</v>
      </c>
      <c r="AK50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8" s="26">
        <f>입력란!$C$47+IF(입력란!$C$18=1,10,IF(입력란!$C$18=2,25,IF(입력란!$C$18=3,50,0)))+IF(입력란!$C$23&lt;&gt;0,-12)</f>
        <v>200</v>
      </c>
      <c r="AM508" s="26">
        <f t="shared" si="78"/>
        <v>96207.675854637171</v>
      </c>
      <c r="AN508" s="30">
        <f>(VLOOKUP(C508,$B$4:$AJ$7,29,FALSE)+VLOOKUP(C508,$B$8:$AJ$11,29,FALSE)*입력란!$C$29)*입력란!$C$48/100</f>
        <v>96207.675854637171</v>
      </c>
      <c r="AO508" s="39"/>
      <c r="AP508" s="39"/>
      <c r="AQ508" s="23">
        <v>27</v>
      </c>
    </row>
    <row r="509" spans="2:43" ht="13.5" customHeight="1" x14ac:dyDescent="0.3">
      <c r="B509" s="31">
        <v>494</v>
      </c>
      <c r="C509" s="40">
        <v>10</v>
      </c>
      <c r="D509" s="44" t="s">
        <v>260</v>
      </c>
      <c r="E509" s="38" t="s">
        <v>253</v>
      </c>
      <c r="F509" s="40" t="s">
        <v>262</v>
      </c>
      <c r="G509" s="40"/>
      <c r="H509" s="81">
        <f t="shared" si="70"/>
        <v>34465.271879912019</v>
      </c>
      <c r="I509" s="53">
        <f>SUM(J509:Q509)*IF(입력란!$C$16=1,1.04,IF(입력란!$C$16=2,1.1,IF(입력란!$C$16=3,1.2,1)))*IF(입력란!$C$21=1,1+입력란!$C$38*0.001,IF(입력란!$C$21=2,1+입력란!$C$38*0.0022,IF(입력란!$C$21=3,1+입력란!$C$38*0.0045,1)))*IF(입력란!$C$18&lt;&gt;0,0.98,1)</f>
        <v>919774.36948955362</v>
      </c>
      <c r="J509" s="30">
        <f>S509*(1+IF($AK509+IF(입력란!$C$26=1,10,0)+IF(MID(E509,5,1)="1",IF(G509="생명40%이하",트라이포드!$O$23,0),0)&gt;100,100,$AK509+IF(입력란!$C$26=1,10,0)+IF(MID(E509,5,1)="1",IF(G509="생명40%이하",트라이포드!$O$23,0),0))/100*(($AL509+IF(MID(E509,5,1)="1",IF(G509="생명40%이하",트라이포드!P$23,0)))/100-1))</f>
        <v>158581.78784302648</v>
      </c>
      <c r="K509" s="30">
        <f>T509*(1+IF($AK509+IF(입력란!$C$26=1,10,0)+IF(MID(E509,5,1)="1",IF(G509="생명40%이하",트라이포드!$O$23,0),0)&gt;100,100,$AK509+IF(입력란!$C$26=1,10,0)+IF(MID(E509,5,1)="1",IF(G509="생명40%이하",트라이포드!$O$23,0),0))/100*(($AL509+IF(MID(E509,5,1)="1",IF(G509="생명40%이하",트라이포드!P$23,0)))/100-1))</f>
        <v>158581.78784302648</v>
      </c>
      <c r="L509" s="26">
        <f>U509*(1+IF($AK509+IF(입력란!$C$26=1,10,0)+IF(MID(E509,5,1)="1",IF(G509="생명40%이하",트라이포드!$O$23,0),0)&gt;100,100,$AK509+IF(입력란!$C$26=1,10,0)+IF(MID(E509,5,1)="1",IF(G509="생명40%이하",트라이포드!$O$23,0),0))/100*(($AL509+IF(MID(E509,5,1)="1",IF(G509="생명40%이하",트라이포드!P$23,0)))/100-1))</f>
        <v>158581.78784302648</v>
      </c>
      <c r="M509" s="26">
        <f>V509*(1+IF($AK509+IF(입력란!$C$26=1,10,0)+IF(MID(E509,5,1)="1",IF(G509="생명40%이하",트라이포드!$O$23,0),0)&gt;100,100,$AK509+IF(입력란!$C$26=1,10,0)+IF(MID(E509,5,1)="1",IF(G509="생명40%이하",트라이포드!$O$23,0),0))/100*(($AL509+IF(MID(E509,5,1)="1",IF(G509="생명40%이하",트라이포드!P$23,0)))/100-1))</f>
        <v>158581.78784302648</v>
      </c>
      <c r="N509" s="39"/>
      <c r="O509" s="39"/>
      <c r="P509" s="39"/>
      <c r="Q509" s="35">
        <f>Z509*(1+IF($AK509+IF(입력란!$C$26=1,10,0)&gt;100,100,$AK509+IF(입력란!$C$26=1,10,0))/100*($AL509/100-1))</f>
        <v>285447.21811744769</v>
      </c>
      <c r="R509" s="24">
        <f t="shared" si="71"/>
        <v>757673.15252328408</v>
      </c>
      <c r="S509" s="30">
        <f>AN509*IF(MID(E509,1,1)="2",IF(G509="생명40%이하",트라이포드!$F$23,트라이포드!$E$23),1)*IF(MID(E509,5,1)="2",트라이포드!$R$23,트라이포드!$Q$23)*(1+입력란!$C$44/100)</f>
        <v>130633.30215918692</v>
      </c>
      <c r="T509" s="30">
        <f>AN509*IF(MID(E509,1,1)="2",IF(G509="생명40%이하",트라이포드!$F$23,트라이포드!$E$23),1)*IF(MID(E509,5,1)="2",트라이포드!$R$23,트라이포드!$Q$23)*(1+입력란!$C$44/100)</f>
        <v>130633.30215918692</v>
      </c>
      <c r="U509" s="26">
        <f>AN509*IF(MID(E509,1,1)="2",IF(G509="생명40%이하",트라이포드!$F$23,트라이포드!$E$23),1)*IF(MID(E509,5,1)="2",트라이포드!$R$23,트라이포드!$Q$23)*(1+입력란!$C$44/100)</f>
        <v>130633.30215918692</v>
      </c>
      <c r="V509" s="26">
        <f>AN509*IF(MID(E509,1,1)="2",IF(G509="생명40%이하",트라이포드!$F$23,트라이포드!$E$23),1)*IF(MID(E509,5,1)="2",트라이포드!$R$23,트라이포드!$Q$23)*IF(MID(E509,5,1)="1",1,0)*(1+입력란!$C$44/100)</f>
        <v>130633.30215918692</v>
      </c>
      <c r="W509" s="26"/>
      <c r="X509" s="26"/>
      <c r="Y509" s="26"/>
      <c r="Z509" s="27">
        <f>AN509*0.2*IF(MID(E509,3,1)="3",1,0)*IF(MID(E509,5,1)="1",9,8)*(1+입력란!$C$44/100)</f>
        <v>235139.94388653646</v>
      </c>
      <c r="AA509" s="30">
        <f t="shared" si="72"/>
        <v>1515346.3050465682</v>
      </c>
      <c r="AB509" s="30">
        <f t="shared" si="73"/>
        <v>261266.60431837384</v>
      </c>
      <c r="AC509" s="30">
        <f t="shared" si="74"/>
        <v>261266.60431837384</v>
      </c>
      <c r="AD509" s="30">
        <f t="shared" si="75"/>
        <v>261266.60431837384</v>
      </c>
      <c r="AE509" s="30">
        <f t="shared" si="76"/>
        <v>261266.60431837384</v>
      </c>
      <c r="AF509" s="39"/>
      <c r="AG509" s="39"/>
      <c r="AH509" s="39"/>
      <c r="AI509" s="25">
        <f t="shared" si="77"/>
        <v>470279.88777307293</v>
      </c>
      <c r="AJ509" s="30">
        <f>AQ509*(1-입력란!$C$35/100)</f>
        <v>26.686990101059997</v>
      </c>
      <c r="AK50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09" s="26">
        <f>입력란!$C$47+IF(입력란!$C$18=1,10,IF(입력란!$C$18=2,25,IF(입력란!$C$18=3,50,0)))+IF(입력란!$C$23&lt;&gt;0,-12)</f>
        <v>200</v>
      </c>
      <c r="AM509" s="26">
        <f t="shared" si="78"/>
        <v>96207.675854637171</v>
      </c>
      <c r="AN509" s="30">
        <f>(VLOOKUP(C509,$B$4:$AJ$7,29,FALSE)+VLOOKUP(C509,$B$8:$AJ$11,29,FALSE)*입력란!$C$29)*입력란!$C$48/100</f>
        <v>96207.675854637171</v>
      </c>
      <c r="AO509" s="39"/>
      <c r="AP509" s="39"/>
      <c r="AQ509" s="23">
        <v>27</v>
      </c>
    </row>
    <row r="510" spans="2:43" ht="13.5" customHeight="1" x14ac:dyDescent="0.3">
      <c r="B510" s="31">
        <v>495</v>
      </c>
      <c r="C510" s="40">
        <v>10</v>
      </c>
      <c r="D510" s="44" t="s">
        <v>260</v>
      </c>
      <c r="E510" s="38" t="s">
        <v>254</v>
      </c>
      <c r="F510" s="40" t="s">
        <v>262</v>
      </c>
      <c r="G510" s="40"/>
      <c r="H510" s="81">
        <f t="shared" si="70"/>
        <v>36247.958356459196</v>
      </c>
      <c r="I510" s="53">
        <f>SUM(J510:Q510)*IF(입력란!$C$16=1,1.04,IF(입력란!$C$16=2,1.1,IF(입력란!$C$16=3,1.2,1)))*IF(입력란!$C$21=1,1+입력란!$C$38*0.001,IF(입력란!$C$21=2,1+입력란!$C$38*0.0022,IF(입력란!$C$21=3,1+입력란!$C$38*0.0045,1)))*IF(입력란!$C$18&lt;&gt;0,0.98,1)</f>
        <v>967348.90584246162</v>
      </c>
      <c r="J510" s="30">
        <f>S510*(1+IF($AK510+IF(입력란!$C$26=1,10,0)+IF(MID(E510,5,1)="1",IF(G510="생명40%이하",트라이포드!$O$23,0),0)&gt;100,100,$AK510+IF(입력란!$C$26=1,10,0)+IF(MID(E510,5,1)="1",IF(G510="생명40%이하",트라이포드!$O$23,0),0))/100*(($AL510+IF(MID(E510,5,1)="1",IF(G510="생명40%이하",트라이포드!P$23,0)))/100-1))</f>
        <v>237872.68176453974</v>
      </c>
      <c r="K510" s="30">
        <f>T510*(1+IF($AK510+IF(입력란!$C$26=1,10,0)+IF(MID(E510,5,1)="1",IF(G510="생명40%이하",트라이포드!$O$23,0),0)&gt;100,100,$AK510+IF(입력란!$C$26=1,10,0)+IF(MID(E510,5,1)="1",IF(G510="생명40%이하",트라이포드!$O$23,0),0))/100*(($AL510+IF(MID(E510,5,1)="1",IF(G510="생명40%이하",트라이포드!P$23,0)))/100-1))</f>
        <v>237872.68176453974</v>
      </c>
      <c r="L510" s="26">
        <f>U510*(1+IF($AK510+IF(입력란!$C$26=1,10,0)+IF(MID(E510,5,1)="1",IF(G510="생명40%이하",트라이포드!$O$23,0),0)&gt;100,100,$AK510+IF(입력란!$C$26=1,10,0)+IF(MID(E510,5,1)="1",IF(G510="생명40%이하",트라이포드!$O$23,0),0))/100*(($AL510+IF(MID(E510,5,1)="1",IF(G510="생명40%이하",트라이포드!P$23,0)))/100-1))</f>
        <v>237872.68176453974</v>
      </c>
      <c r="M510" s="26">
        <f>V510*(1+IF($AK510+IF(입력란!$C$26=1,10,0)+IF(MID(E510,5,1)="1",IF(G510="생명40%이하",트라이포드!$O$23,0),0)&gt;100,100,$AK510+IF(입력란!$C$26=1,10,0)+IF(MID(E510,5,1)="1",IF(G510="생명40%이하",트라이포드!$O$23,0),0))/100*(($AL510+IF(MID(E510,5,1)="1",IF(G510="생명40%이하",트라이포드!P$23,0)))/100-1))</f>
        <v>0</v>
      </c>
      <c r="N510" s="39"/>
      <c r="O510" s="39"/>
      <c r="P510" s="39"/>
      <c r="Q510" s="35">
        <f>Z510*(1+IF($AK510+IF(입력란!$C$26=1,10,0)&gt;100,100,$AK510+IF(입력란!$C$26=1,10,0))/100*($AL510/100-1))</f>
        <v>253730.86054884241</v>
      </c>
      <c r="R510" s="24">
        <f t="shared" si="71"/>
        <v>796863.14317104022</v>
      </c>
      <c r="S510" s="30">
        <f>AN510*IF(MID(E510,1,1)="2",IF(G510="생명40%이하",트라이포드!$F$23,트라이포드!$E$23),1)*IF(MID(E510,5,1)="2",트라이포드!$R$23,트라이포드!$Q$23)*(1+입력란!$C$44/100)</f>
        <v>195949.95323878038</v>
      </c>
      <c r="T510" s="30">
        <f>AN510*IF(MID(E510,1,1)="2",IF(G510="생명40%이하",트라이포드!$F$23,트라이포드!$E$23),1)*IF(MID(E510,5,1)="2",트라이포드!$R$23,트라이포드!$Q$23)*(1+입력란!$C$44/100)</f>
        <v>195949.95323878038</v>
      </c>
      <c r="U510" s="26">
        <f>AN510*IF(MID(E510,1,1)="2",IF(G510="생명40%이하",트라이포드!$F$23,트라이포드!$E$23),1)*IF(MID(E510,5,1)="2",트라이포드!$R$23,트라이포드!$Q$23)*(1+입력란!$C$44/100)</f>
        <v>195949.95323878038</v>
      </c>
      <c r="V510" s="26">
        <f>AN510*IF(MID(E510,1,1)="2",IF(G510="생명40%이하",트라이포드!$F$23,트라이포드!$E$23),1)*IF(MID(E510,5,1)="2",트라이포드!$R$23,트라이포드!$Q$23)*IF(MID(E510,5,1)="1",1,0)*(1+입력란!$C$44/100)</f>
        <v>0</v>
      </c>
      <c r="W510" s="26"/>
      <c r="X510" s="26"/>
      <c r="Y510" s="26"/>
      <c r="Z510" s="27">
        <f>AN510*0.2*IF(MID(E510,3,1)="3",1,0)*IF(MID(E510,5,1)="1",9,8)*(1+입력란!$C$44/100)</f>
        <v>209013.28345469909</v>
      </c>
      <c r="AA510" s="30">
        <f t="shared" si="72"/>
        <v>1593726.2863420804</v>
      </c>
      <c r="AB510" s="30">
        <f t="shared" si="73"/>
        <v>391899.90647756075</v>
      </c>
      <c r="AC510" s="30">
        <f t="shared" si="74"/>
        <v>391899.90647756075</v>
      </c>
      <c r="AD510" s="30">
        <f t="shared" si="75"/>
        <v>391899.90647756075</v>
      </c>
      <c r="AE510" s="30">
        <f t="shared" si="76"/>
        <v>0</v>
      </c>
      <c r="AF510" s="39"/>
      <c r="AG510" s="39"/>
      <c r="AH510" s="39"/>
      <c r="AI510" s="25">
        <f t="shared" si="77"/>
        <v>418026.56690939819</v>
      </c>
      <c r="AJ510" s="30">
        <f>AQ510*(1-입력란!$C$35/100)</f>
        <v>26.686990101059997</v>
      </c>
      <c r="AK51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0" s="26">
        <f>입력란!$C$47+IF(입력란!$C$18=1,10,IF(입력란!$C$18=2,25,IF(입력란!$C$18=3,50,0)))+IF(입력란!$C$23&lt;&gt;0,-12)</f>
        <v>200</v>
      </c>
      <c r="AM510" s="26">
        <f t="shared" si="78"/>
        <v>96207.675854637171</v>
      </c>
      <c r="AN510" s="30">
        <f>(VLOOKUP(C510,$B$4:$AJ$7,29,FALSE)+VLOOKUP(C510,$B$8:$AJ$11,29,FALSE)*입력란!$C$29)*입력란!$C$48/100</f>
        <v>96207.675854637171</v>
      </c>
      <c r="AO510" s="39"/>
      <c r="AP510" s="39"/>
      <c r="AQ510" s="23">
        <v>27</v>
      </c>
    </row>
    <row r="511" spans="2:43" ht="13.5" customHeight="1" x14ac:dyDescent="0.3">
      <c r="B511" s="31">
        <v>496</v>
      </c>
      <c r="C511" s="40">
        <v>1</v>
      </c>
      <c r="D511" s="44" t="s">
        <v>260</v>
      </c>
      <c r="E511" s="38" t="s">
        <v>240</v>
      </c>
      <c r="F511" s="40"/>
      <c r="G511" s="40" t="s">
        <v>417</v>
      </c>
      <c r="H511" s="81">
        <f t="shared" si="70"/>
        <v>17759.500684062237</v>
      </c>
      <c r="I511" s="53">
        <f>SUM(J511:Q511)*IF(입력란!$C$16=1,1.04,IF(입력란!$C$16=2,1.1,IF(입력란!$C$16=3,1.2,1)))*IF(입력란!$C$21=1,1+입력란!$C$38*0.001,IF(입력란!$C$21=2,1+입력란!$C$38*0.0022,IF(입력란!$C$21=3,1+입력란!$C$38*0.0045,1)))*IF(입력란!$C$18&lt;&gt;0,0.98,1)</f>
        <v>473947.61895533721</v>
      </c>
      <c r="J511" s="30">
        <f>S511*(1+IF($AK511+IF(입력란!$C$26=1,10,0)+IF(MID(E511,5,1)="1",IF(G511="생명40%이하",트라이포드!$O$23,0),0)&gt;100,100,$AK511+IF(입력란!$C$26=1,10,0)+IF(MID(E511,5,1)="1",IF(G511="생명40%이하",트라이포드!$O$23,0),0))/100*(($AL511+IF(MID(E511,5,1)="1",IF(G511="생명40%이하",트라이포드!P$23,0)))/100-1))</f>
        <v>157982.53965177908</v>
      </c>
      <c r="K511" s="30">
        <f>T511*(1+IF($AK511+IF(입력란!$C$26=1,10,0)+IF(MID(E511,5,1)="1",IF(G511="생명40%이하",트라이포드!$O$23,0),0)&gt;100,100,$AK511+IF(입력란!$C$26=1,10,0)+IF(MID(E511,5,1)="1",IF(G511="생명40%이하",트라이포드!$O$23,0),0))/100*(($AL511+IF(MID(E511,5,1)="1",IF(G511="생명40%이하",트라이포드!P$23,0)))/100-1))</f>
        <v>157982.53965177908</v>
      </c>
      <c r="L511" s="26">
        <f>U511*(1+IF($AK511+IF(입력란!$C$26=1,10,0)+IF(MID(E511,5,1)="1",IF(G511="생명40%이하",트라이포드!$O$23,0),0)&gt;100,100,$AK511+IF(입력란!$C$26=1,10,0)+IF(MID(E511,5,1)="1",IF(G511="생명40%이하",트라이포드!$O$23,0),0))/100*(($AL511+IF(MID(E511,5,1)="1",IF(G511="생명40%이하",트라이포드!P$23,0)))/100-1))</f>
        <v>157982.53965177908</v>
      </c>
      <c r="M511" s="26">
        <f>V511*(1+IF($AK511+IF(입력란!$C$26=1,10,0)+IF(MID(E511,5,1)="1",IF(G511="생명40%이하",트라이포드!$O$23,0),0)&gt;100,100,$AK511+IF(입력란!$C$26=1,10,0)+IF(MID(E511,5,1)="1",IF(G511="생명40%이하",트라이포드!$O$23,0),0))/100*(($AL511+IF(MID(E511,5,1)="1",IF(G511="생명40%이하",트라이포드!P$23,0)))/100-1))</f>
        <v>0</v>
      </c>
      <c r="N511" s="39"/>
      <c r="O511" s="39"/>
      <c r="P511" s="39"/>
      <c r="Q511" s="35">
        <f>Z511*(1+IF($AK511+IF(입력란!$C$26=1,10,0)&gt;100,100,$AK511+IF(입력란!$C$26=1,10,0))/100*($AL511/100-1))</f>
        <v>0</v>
      </c>
      <c r="R511" s="24">
        <f t="shared" si="71"/>
        <v>390418.99676339375</v>
      </c>
      <c r="S511" s="30">
        <f>AN511*IF(MID(E511,1,1)="2",IF(G511="생명40%이하",트라이포드!$F$23,트라이포드!$E$23),1)*IF(MID(E511,5,1)="2",트라이포드!$R$23,트라이포드!$Q$23)*(1+입력란!$C$44/100)</f>
        <v>130139.66558779792</v>
      </c>
      <c r="T511" s="30">
        <f>AN511*IF(MID(E511,1,1)="2",IF(G511="생명40%이하",트라이포드!$F$23,트라이포드!$E$23),1)*IF(MID(E511,5,1)="2",트라이포드!$R$23,트라이포드!$Q$23)*(1+입력란!$C$44/100)</f>
        <v>130139.66558779792</v>
      </c>
      <c r="U511" s="26">
        <f>AN511*IF(MID(E511,1,1)="2",IF(G511="생명40%이하",트라이포드!$F$23,트라이포드!$E$23),1)*IF(MID(E511,5,1)="2",트라이포드!$R$23,트라이포드!$Q$23)*(1+입력란!$C$44/100)</f>
        <v>130139.66558779792</v>
      </c>
      <c r="V511" s="26">
        <f>AN511*IF(MID(E511,1,1)="2",IF(G511="생명40%이하",트라이포드!$F$23,트라이포드!$E$23),1)*IF(MID(E511,5,1)="2",트라이포드!$R$23,트라이포드!$Q$23)*IF(MID(E511,5,1)="1",1,0)*(1+입력란!$C$44/100)</f>
        <v>0</v>
      </c>
      <c r="W511" s="26"/>
      <c r="X511" s="26"/>
      <c r="Y511" s="26"/>
      <c r="Z511" s="27">
        <f>AN511*0.2*IF(MID(E511,3,1)="3",1,0)*IF(MID(E511,5,1)="1",9,8)*(1+입력란!$C$44/100)</f>
        <v>0</v>
      </c>
      <c r="AA511" s="30">
        <f t="shared" si="72"/>
        <v>780837.9935267875</v>
      </c>
      <c r="AB511" s="30">
        <f t="shared" si="73"/>
        <v>260279.33117559584</v>
      </c>
      <c r="AC511" s="30">
        <f t="shared" si="74"/>
        <v>260279.33117559584</v>
      </c>
      <c r="AD511" s="30">
        <f t="shared" si="75"/>
        <v>260279.33117559584</v>
      </c>
      <c r="AE511" s="30">
        <f t="shared" si="76"/>
        <v>0</v>
      </c>
      <c r="AF511" s="39"/>
      <c r="AG511" s="39"/>
      <c r="AH511" s="39"/>
      <c r="AI511" s="25">
        <f t="shared" si="77"/>
        <v>0</v>
      </c>
      <c r="AJ511" s="30">
        <f>AQ511*(1-입력란!$C$35/100)</f>
        <v>26.686990101059997</v>
      </c>
      <c r="AK51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1" s="26">
        <f>입력란!$C$47+IF(입력란!$C$18=1,10,IF(입력란!$C$18=2,25,IF(입력란!$C$18=3,50,0)))+IF(입력란!$C$23&lt;&gt;0,-12)</f>
        <v>200</v>
      </c>
      <c r="AM511" s="26">
        <f t="shared" si="78"/>
        <v>95844.126694773528</v>
      </c>
      <c r="AN511" s="30">
        <f>(VLOOKUP(C511,$B$4:$AJ$7,29,FALSE)+VLOOKUP(C511,$B$8:$AJ$11,29,FALSE)*입력란!$C$29)*입력란!$C$48/100</f>
        <v>95844.126694773528</v>
      </c>
      <c r="AO511" s="39"/>
      <c r="AP511" s="39"/>
      <c r="AQ511" s="23">
        <v>27</v>
      </c>
    </row>
    <row r="512" spans="2:43" ht="13.5" customHeight="1" x14ac:dyDescent="0.3">
      <c r="B512" s="31">
        <v>497</v>
      </c>
      <c r="C512" s="40">
        <v>4</v>
      </c>
      <c r="D512" s="44" t="s">
        <v>260</v>
      </c>
      <c r="E512" s="38" t="s">
        <v>240</v>
      </c>
      <c r="F512" s="40"/>
      <c r="G512" s="40" t="s">
        <v>417</v>
      </c>
      <c r="H512" s="81">
        <f t="shared" si="70"/>
        <v>17798.042181279372</v>
      </c>
      <c r="I512" s="53">
        <f>SUM(J512:Q512)*IF(입력란!$C$16=1,1.04,IF(입력란!$C$16=2,1.1,IF(입력란!$C$16=3,1.2,1)))*IF(입력란!$C$21=1,1+입력란!$C$38*0.001,IF(입력란!$C$21=2,1+입력란!$C$38*0.0022,IF(입력란!$C$21=3,1+입력란!$C$38*0.0045,1)))*IF(입력란!$C$18&lt;&gt;0,0.98,1)</f>
        <v>474976.17551005085</v>
      </c>
      <c r="J512" s="30">
        <f>S512*(1+IF($AK512+IF(입력란!$C$26=1,10,0)+IF(MID(E512,5,1)="1",IF(G512="생명40%이하",트라이포드!$O$23,0),0)&gt;100,100,$AK512+IF(입력란!$C$26=1,10,0)+IF(MID(E512,5,1)="1",IF(G512="생명40%이하",트라이포드!$O$23,0),0))/100*(($AL512+IF(MID(E512,5,1)="1",IF(G512="생명40%이하",트라이포드!P$23,0)))/100-1))</f>
        <v>158325.39183668362</v>
      </c>
      <c r="K512" s="30">
        <f>T512*(1+IF($AK512+IF(입력란!$C$26=1,10,0)+IF(MID(E512,5,1)="1",IF(G512="생명40%이하",트라이포드!$O$23,0),0)&gt;100,100,$AK512+IF(입력란!$C$26=1,10,0)+IF(MID(E512,5,1)="1",IF(G512="생명40%이하",트라이포드!$O$23,0),0))/100*(($AL512+IF(MID(E512,5,1)="1",IF(G512="생명40%이하",트라이포드!P$23,0)))/100-1))</f>
        <v>158325.39183668362</v>
      </c>
      <c r="L512" s="26">
        <f>U512*(1+IF($AK512+IF(입력란!$C$26=1,10,0)+IF(MID(E512,5,1)="1",IF(G512="생명40%이하",트라이포드!$O$23,0),0)&gt;100,100,$AK512+IF(입력란!$C$26=1,10,0)+IF(MID(E512,5,1)="1",IF(G512="생명40%이하",트라이포드!$O$23,0),0))/100*(($AL512+IF(MID(E512,5,1)="1",IF(G512="생명40%이하",트라이포드!P$23,0)))/100-1))</f>
        <v>158325.39183668362</v>
      </c>
      <c r="M512" s="26">
        <f>V512*(1+IF($AK512+IF(입력란!$C$26=1,10,0)+IF(MID(E512,5,1)="1",IF(G512="생명40%이하",트라이포드!$O$23,0),0)&gt;100,100,$AK512+IF(입력란!$C$26=1,10,0)+IF(MID(E512,5,1)="1",IF(G512="생명40%이하",트라이포드!$O$23,0),0))/100*(($AL512+IF(MID(E512,5,1)="1",IF(G512="생명40%이하",트라이포드!P$23,0)))/100-1))</f>
        <v>0</v>
      </c>
      <c r="N512" s="39"/>
      <c r="O512" s="39"/>
      <c r="P512" s="39"/>
      <c r="Q512" s="35">
        <f>Z512*(1+IF($AK512+IF(입력란!$C$26=1,10,0)&gt;100,100,$AK512+IF(입력란!$C$26=1,10,0))/100*($AL512/100-1))</f>
        <v>0</v>
      </c>
      <c r="R512" s="24">
        <f t="shared" si="71"/>
        <v>391266.28030728165</v>
      </c>
      <c r="S512" s="30">
        <f>AN512*IF(MID(E512,1,1)="2",IF(G512="생명40%이하",트라이포드!$F$23,트라이포드!$E$23),1)*IF(MID(E512,5,1)="2",트라이포드!$R$23,트라이포드!$Q$23)*(1+입력란!$C$44/100)</f>
        <v>130422.09343576054</v>
      </c>
      <c r="T512" s="30">
        <f>AN512*IF(MID(E512,1,1)="2",IF(G512="생명40%이하",트라이포드!$F$23,트라이포드!$E$23),1)*IF(MID(E512,5,1)="2",트라이포드!$R$23,트라이포드!$Q$23)*(1+입력란!$C$44/100)</f>
        <v>130422.09343576054</v>
      </c>
      <c r="U512" s="26">
        <f>AN512*IF(MID(E512,1,1)="2",IF(G512="생명40%이하",트라이포드!$F$23,트라이포드!$E$23),1)*IF(MID(E512,5,1)="2",트라이포드!$R$23,트라이포드!$Q$23)*(1+입력란!$C$44/100)</f>
        <v>130422.09343576054</v>
      </c>
      <c r="V512" s="26">
        <f>AN512*IF(MID(E512,1,1)="2",IF(G512="생명40%이하",트라이포드!$F$23,트라이포드!$E$23),1)*IF(MID(E512,5,1)="2",트라이포드!$R$23,트라이포드!$Q$23)*IF(MID(E512,5,1)="1",1,0)*(1+입력란!$C$44/100)</f>
        <v>0</v>
      </c>
      <c r="W512" s="26"/>
      <c r="X512" s="26"/>
      <c r="Y512" s="26"/>
      <c r="Z512" s="27">
        <f>AN512*0.2*IF(MID(E512,3,1)="3",1,0)*IF(MID(E512,5,1)="1",9,8)*(1+입력란!$C$44/100)</f>
        <v>0</v>
      </c>
      <c r="AA512" s="30">
        <f t="shared" si="72"/>
        <v>782532.56061456329</v>
      </c>
      <c r="AB512" s="30">
        <f t="shared" si="73"/>
        <v>260844.18687152109</v>
      </c>
      <c r="AC512" s="30">
        <f t="shared" si="74"/>
        <v>260844.18687152109</v>
      </c>
      <c r="AD512" s="30">
        <f t="shared" si="75"/>
        <v>260844.18687152109</v>
      </c>
      <c r="AE512" s="30">
        <f t="shared" si="76"/>
        <v>0</v>
      </c>
      <c r="AF512" s="39"/>
      <c r="AG512" s="39"/>
      <c r="AH512" s="39"/>
      <c r="AI512" s="25">
        <f t="shared" si="77"/>
        <v>0</v>
      </c>
      <c r="AJ512" s="30">
        <f>AQ512*(1-입력란!$C$35/100)</f>
        <v>26.686990101059997</v>
      </c>
      <c r="AK51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2" s="26">
        <f>입력란!$C$47+IF(입력란!$C$18=1,10,IF(입력란!$C$18=2,25,IF(입력란!$C$18=3,50,0)))+IF(입력란!$C$23&lt;&gt;0,-12)</f>
        <v>200</v>
      </c>
      <c r="AM512" s="26">
        <f t="shared" si="78"/>
        <v>96052.126694773528</v>
      </c>
      <c r="AN512" s="30">
        <f>(VLOOKUP(C512,$B$4:$AJ$7,29,FALSE)+VLOOKUP(C512,$B$8:$AJ$11,29,FALSE)*입력란!$C$29)*입력란!$C$48/100</f>
        <v>96052.126694773528</v>
      </c>
      <c r="AO512" s="39"/>
      <c r="AP512" s="39"/>
      <c r="AQ512" s="23">
        <v>27</v>
      </c>
    </row>
    <row r="513" spans="2:43" ht="13.5" customHeight="1" x14ac:dyDescent="0.3">
      <c r="B513" s="31">
        <v>498</v>
      </c>
      <c r="C513" s="40">
        <v>4</v>
      </c>
      <c r="D513" s="44" t="s">
        <v>260</v>
      </c>
      <c r="E513" s="38" t="s">
        <v>244</v>
      </c>
      <c r="F513" s="40"/>
      <c r="G513" s="40" t="s">
        <v>416</v>
      </c>
      <c r="H513" s="81">
        <f t="shared" si="70"/>
        <v>22247.552726599217</v>
      </c>
      <c r="I513" s="53">
        <f>SUM(J513:Q513)*IF(입력란!$C$16=1,1.04,IF(입력란!$C$16=2,1.1,IF(입력란!$C$16=3,1.2,1)))*IF(입력란!$C$21=1,1+입력란!$C$38*0.001,IF(입력란!$C$21=2,1+입력란!$C$38*0.0022,IF(입력란!$C$21=3,1+입력란!$C$38*0.0045,1)))*IF(입력란!$C$18&lt;&gt;0,0.98,1)</f>
        <v>593720.21938756364</v>
      </c>
      <c r="J513" s="30">
        <f>S513*(1+IF($AK513+IF(입력란!$C$26=1,10,0)+IF(MID(E513,5,1)="1",IF(G513="생명40%이하",트라이포드!$O$23,0),0)&gt;100,100,$AK513+IF(입력란!$C$26=1,10,0)+IF(MID(E513,5,1)="1",IF(G513="생명40%이하",트라이포드!$O$23,0),0))/100*(($AL513+IF(MID(E513,5,1)="1",IF(G513="생명40%이하",트라이포드!P$23,0)))/100-1))</f>
        <v>197906.73979585455</v>
      </c>
      <c r="K513" s="30">
        <f>T513*(1+IF($AK513+IF(입력란!$C$26=1,10,0)+IF(MID(E513,5,1)="1",IF(G513="생명40%이하",트라이포드!$O$23,0),0)&gt;100,100,$AK513+IF(입력란!$C$26=1,10,0)+IF(MID(E513,5,1)="1",IF(G513="생명40%이하",트라이포드!$O$23,0),0))/100*(($AL513+IF(MID(E513,5,1)="1",IF(G513="생명40%이하",트라이포드!P$23,0)))/100-1))</f>
        <v>197906.73979585455</v>
      </c>
      <c r="L513" s="26">
        <f>U513*(1+IF($AK513+IF(입력란!$C$26=1,10,0)+IF(MID(E513,5,1)="1",IF(G513="생명40%이하",트라이포드!$O$23,0),0)&gt;100,100,$AK513+IF(입력란!$C$26=1,10,0)+IF(MID(E513,5,1)="1",IF(G513="생명40%이하",트라이포드!$O$23,0),0))/100*(($AL513+IF(MID(E513,5,1)="1",IF(G513="생명40%이하",트라이포드!P$23,0)))/100-1))</f>
        <v>197906.73979585455</v>
      </c>
      <c r="M513" s="26">
        <f>V513*(1+IF($AK513+IF(입력란!$C$26=1,10,0)+IF(MID(E513,5,1)="1",IF(G513="생명40%이하",트라이포드!$O$23,0),0)&gt;100,100,$AK513+IF(입력란!$C$26=1,10,0)+IF(MID(E513,5,1)="1",IF(G513="생명40%이하",트라이포드!$O$23,0),0))/100*(($AL513+IF(MID(E513,5,1)="1",IF(G513="생명40%이하",트라이포드!P$23,0)))/100-1))</f>
        <v>0</v>
      </c>
      <c r="N513" s="39"/>
      <c r="O513" s="39"/>
      <c r="P513" s="39"/>
      <c r="Q513" s="35">
        <f>Z513*(1+IF($AK513+IF(입력란!$C$26=1,10,0)&gt;100,100,$AK513+IF(입력란!$C$26=1,10,0))/100*($AL513/100-1))</f>
        <v>0</v>
      </c>
      <c r="R513" s="24">
        <f t="shared" si="71"/>
        <v>489082.85038410209</v>
      </c>
      <c r="S513" s="30">
        <f>AN513*IF(MID(E513,1,1)="2",IF(G513="생명40%이하",트라이포드!$F$23,트라이포드!$E$23),1)*IF(MID(E513,5,1)="2",트라이포드!$R$23,트라이포드!$Q$23)*(1+입력란!$C$44/100)</f>
        <v>163027.61679470071</v>
      </c>
      <c r="T513" s="30">
        <f>AN513*IF(MID(E513,1,1)="2",IF(G513="생명40%이하",트라이포드!$F$23,트라이포드!$E$23),1)*IF(MID(E513,5,1)="2",트라이포드!$R$23,트라이포드!$Q$23)*(1+입력란!$C$44/100)</f>
        <v>163027.61679470071</v>
      </c>
      <c r="U513" s="26">
        <f>AN513*IF(MID(E513,1,1)="2",IF(G513="생명40%이하",트라이포드!$F$23,트라이포드!$E$23),1)*IF(MID(E513,5,1)="2",트라이포드!$R$23,트라이포드!$Q$23)*(1+입력란!$C$44/100)</f>
        <v>163027.61679470071</v>
      </c>
      <c r="V513" s="26">
        <f>AN513*IF(MID(E513,1,1)="2",IF(G513="생명40%이하",트라이포드!$F$23,트라이포드!$E$23),1)*IF(MID(E513,5,1)="2",트라이포드!$R$23,트라이포드!$Q$23)*IF(MID(E513,5,1)="1",1,0)*(1+입력란!$C$44/100)</f>
        <v>0</v>
      </c>
      <c r="W513" s="26"/>
      <c r="X513" s="26"/>
      <c r="Y513" s="26"/>
      <c r="Z513" s="27">
        <f>AN513*0.2*IF(MID(E513,3,1)="3",1,0)*IF(MID(E513,5,1)="1",9,8)*(1+입력란!$C$44/100)</f>
        <v>0</v>
      </c>
      <c r="AA513" s="30">
        <f t="shared" si="72"/>
        <v>978165.70076820417</v>
      </c>
      <c r="AB513" s="30">
        <f t="shared" si="73"/>
        <v>326055.23358940141</v>
      </c>
      <c r="AC513" s="30">
        <f t="shared" si="74"/>
        <v>326055.23358940141</v>
      </c>
      <c r="AD513" s="30">
        <f t="shared" si="75"/>
        <v>326055.23358940141</v>
      </c>
      <c r="AE513" s="30">
        <f t="shared" si="76"/>
        <v>0</v>
      </c>
      <c r="AF513" s="39"/>
      <c r="AG513" s="39"/>
      <c r="AH513" s="39"/>
      <c r="AI513" s="25">
        <f t="shared" si="77"/>
        <v>0</v>
      </c>
      <c r="AJ513" s="30">
        <f>AQ513*(1-입력란!$C$35/100)</f>
        <v>26.686990101059997</v>
      </c>
      <c r="AK51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3" s="26">
        <f>입력란!$C$47+IF(입력란!$C$18=1,10,IF(입력란!$C$18=2,25,IF(입력란!$C$18=3,50,0)))+IF(입력란!$C$23&lt;&gt;0,-12)</f>
        <v>200</v>
      </c>
      <c r="AM513" s="26">
        <f t="shared" si="78"/>
        <v>96052.126694773528</v>
      </c>
      <c r="AN513" s="30">
        <f>(VLOOKUP(C513,$B$4:$AJ$7,29,FALSE)+VLOOKUP(C513,$B$8:$AJ$11,29,FALSE)*입력란!$C$29)*입력란!$C$48/100</f>
        <v>96052.126694773528</v>
      </c>
      <c r="AO513" s="39"/>
      <c r="AP513" s="39"/>
      <c r="AQ513" s="23">
        <v>27</v>
      </c>
    </row>
    <row r="514" spans="2:43" ht="13.5" customHeight="1" x14ac:dyDescent="0.3">
      <c r="B514" s="31">
        <v>499</v>
      </c>
      <c r="C514" s="40">
        <v>7</v>
      </c>
      <c r="D514" s="44" t="s">
        <v>260</v>
      </c>
      <c r="E514" s="38" t="s">
        <v>240</v>
      </c>
      <c r="F514" s="40"/>
      <c r="G514" s="40" t="s">
        <v>416</v>
      </c>
      <c r="H514" s="81">
        <f t="shared" si="70"/>
        <v>17815.97880113811</v>
      </c>
      <c r="I514" s="53">
        <f>SUM(J514:Q514)*IF(입력란!$C$16=1,1.04,IF(입력란!$C$16=2,1.1,IF(입력란!$C$16=3,1.2,1)))*IF(입력란!$C$21=1,1+입력란!$C$38*0.001,IF(입력란!$C$21=2,1+입력란!$C$38*0.0022,IF(입력란!$C$21=3,1+입력란!$C$38*0.0045,1)))*IF(입력란!$C$18&lt;&gt;0,0.98,1)</f>
        <v>475454.84990666754</v>
      </c>
      <c r="J514" s="30">
        <f>S514*(1+IF($AK514+IF(입력란!$C$26=1,10,0)+IF(MID(E514,5,1)="1",IF(G514="생명40%이하",트라이포드!$O$23,0),0)&gt;100,100,$AK514+IF(입력란!$C$26=1,10,0)+IF(MID(E514,5,1)="1",IF(G514="생명40%이하",트라이포드!$O$23,0),0))/100*(($AL514+IF(MID(E514,5,1)="1",IF(G514="생명40%이하",트라이포드!P$23,0)))/100-1))</f>
        <v>158484.94996888918</v>
      </c>
      <c r="K514" s="30">
        <f>T514*(1+IF($AK514+IF(입력란!$C$26=1,10,0)+IF(MID(E514,5,1)="1",IF(G514="생명40%이하",트라이포드!$O$23,0),0)&gt;100,100,$AK514+IF(입력란!$C$26=1,10,0)+IF(MID(E514,5,1)="1",IF(G514="생명40%이하",트라이포드!$O$23,0),0))/100*(($AL514+IF(MID(E514,5,1)="1",IF(G514="생명40%이하",트라이포드!P$23,0)))/100-1))</f>
        <v>158484.94996888918</v>
      </c>
      <c r="L514" s="26">
        <f>U514*(1+IF($AK514+IF(입력란!$C$26=1,10,0)+IF(MID(E514,5,1)="1",IF(G514="생명40%이하",트라이포드!$O$23,0),0)&gt;100,100,$AK514+IF(입력란!$C$26=1,10,0)+IF(MID(E514,5,1)="1",IF(G514="생명40%이하",트라이포드!$O$23,0),0))/100*(($AL514+IF(MID(E514,5,1)="1",IF(G514="생명40%이하",트라이포드!P$23,0)))/100-1))</f>
        <v>158484.94996888918</v>
      </c>
      <c r="M514" s="26">
        <f>V514*(1+IF($AK514+IF(입력란!$C$26=1,10,0)+IF(MID(E514,5,1)="1",IF(G514="생명40%이하",트라이포드!$O$23,0),0)&gt;100,100,$AK514+IF(입력란!$C$26=1,10,0)+IF(MID(E514,5,1)="1",IF(G514="생명40%이하",트라이포드!$O$23,0),0))/100*(($AL514+IF(MID(E514,5,1)="1",IF(G514="생명40%이하",트라이포드!P$23,0)))/100-1))</f>
        <v>0</v>
      </c>
      <c r="N514" s="39"/>
      <c r="O514" s="39"/>
      <c r="P514" s="39"/>
      <c r="Q514" s="35">
        <f>Z514*(1+IF($AK514+IF(입력란!$C$26=1,10,0)&gt;100,100,$AK514+IF(입력란!$C$26=1,10,0))/100*($AL514/100-1))</f>
        <v>0</v>
      </c>
      <c r="R514" s="24">
        <f t="shared" si="71"/>
        <v>391660.59303347563</v>
      </c>
      <c r="S514" s="30">
        <f>AN514*IF(MID(E514,1,1)="2",IF(G514="생명40%이하",트라이포드!$F$23,트라이포드!$E$23),1)*IF(MID(E514,5,1)="2",트라이포드!$R$23,트라이포드!$Q$23)*(1+입력란!$C$44/100)</f>
        <v>130553.53101115854</v>
      </c>
      <c r="T514" s="30">
        <f>AN514*IF(MID(E514,1,1)="2",IF(G514="생명40%이하",트라이포드!$F$23,트라이포드!$E$23),1)*IF(MID(E514,5,1)="2",트라이포드!$R$23,트라이포드!$Q$23)*(1+입력란!$C$44/100)</f>
        <v>130553.53101115854</v>
      </c>
      <c r="U514" s="26">
        <f>AN514*IF(MID(E514,1,1)="2",IF(G514="생명40%이하",트라이포드!$F$23,트라이포드!$E$23),1)*IF(MID(E514,5,1)="2",트라이포드!$R$23,트라이포드!$Q$23)*(1+입력란!$C$44/100)</f>
        <v>130553.53101115854</v>
      </c>
      <c r="V514" s="26">
        <f>AN514*IF(MID(E514,1,1)="2",IF(G514="생명40%이하",트라이포드!$F$23,트라이포드!$E$23),1)*IF(MID(E514,5,1)="2",트라이포드!$R$23,트라이포드!$Q$23)*IF(MID(E514,5,1)="1",1,0)*(1+입력란!$C$44/100)</f>
        <v>0</v>
      </c>
      <c r="W514" s="26"/>
      <c r="X514" s="26"/>
      <c r="Y514" s="26"/>
      <c r="Z514" s="27">
        <f>AN514*0.2*IF(MID(E514,3,1)="3",1,0)*IF(MID(E514,5,1)="1",9,8)*(1+입력란!$C$44/100)</f>
        <v>0</v>
      </c>
      <c r="AA514" s="30">
        <f t="shared" si="72"/>
        <v>783321.18606695125</v>
      </c>
      <c r="AB514" s="30">
        <f t="shared" si="73"/>
        <v>261107.06202231708</v>
      </c>
      <c r="AC514" s="30">
        <f t="shared" si="74"/>
        <v>261107.06202231708</v>
      </c>
      <c r="AD514" s="30">
        <f t="shared" si="75"/>
        <v>261107.06202231708</v>
      </c>
      <c r="AE514" s="30">
        <f t="shared" si="76"/>
        <v>0</v>
      </c>
      <c r="AF514" s="39"/>
      <c r="AG514" s="39"/>
      <c r="AH514" s="39"/>
      <c r="AI514" s="25">
        <f t="shared" si="77"/>
        <v>0</v>
      </c>
      <c r="AJ514" s="30">
        <f>AQ514*(1-입력란!$C$35/100)</f>
        <v>26.686990101059997</v>
      </c>
      <c r="AK51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4" s="26">
        <f>입력란!$C$47+IF(입력란!$C$18=1,10,IF(입력란!$C$18=2,25,IF(입력란!$C$18=3,50,0)))+IF(입력란!$C$23&lt;&gt;0,-12)</f>
        <v>200</v>
      </c>
      <c r="AM514" s="26">
        <f t="shared" si="78"/>
        <v>96148.92669477353</v>
      </c>
      <c r="AN514" s="30">
        <f>(VLOOKUP(C514,$B$4:$AJ$7,29,FALSE)+VLOOKUP(C514,$B$8:$AJ$11,29,FALSE)*입력란!$C$29)*입력란!$C$48/100</f>
        <v>96148.92669477353</v>
      </c>
      <c r="AO514" s="39"/>
      <c r="AP514" s="39"/>
      <c r="AQ514" s="23">
        <v>27</v>
      </c>
    </row>
    <row r="515" spans="2:43" ht="13.5" customHeight="1" x14ac:dyDescent="0.3">
      <c r="B515" s="31">
        <v>500</v>
      </c>
      <c r="C515" s="40">
        <v>7</v>
      </c>
      <c r="D515" s="44" t="s">
        <v>260</v>
      </c>
      <c r="E515" s="38" t="s">
        <v>243</v>
      </c>
      <c r="F515" s="40" t="s">
        <v>262</v>
      </c>
      <c r="G515" s="40" t="s">
        <v>416</v>
      </c>
      <c r="H515" s="81">
        <f t="shared" si="70"/>
        <v>27317.834161745104</v>
      </c>
      <c r="I515" s="53">
        <f>SUM(J515:Q515)*IF(입력란!$C$16=1,1.04,IF(입력란!$C$16=2,1.1,IF(입력란!$C$16=3,1.2,1)))*IF(입력란!$C$21=1,1+입력란!$C$38*0.001,IF(입력란!$C$21=2,1+입력란!$C$38*0.0022,IF(입력란!$C$21=3,1+입력란!$C$38*0.0045,1)))*IF(입력란!$C$18&lt;&gt;0,0.98,1)</f>
        <v>729030.7698568902</v>
      </c>
      <c r="J515" s="30">
        <f>S515*(1+IF($AK515+IF(입력란!$C$26=1,10,0)+IF(MID(E515,5,1)="1",IF(G515="생명40%이하",트라이포드!$O$23,0),0)&gt;100,100,$AK515+IF(입력란!$C$26=1,10,0)+IF(MID(E515,5,1)="1",IF(G515="생명40%이하",트라이포드!$O$23,0),0))/100*(($AL515+IF(MID(E515,5,1)="1",IF(G515="생명40%이하",트라이포드!P$23,0)))/100-1))</f>
        <v>158484.94996888918</v>
      </c>
      <c r="K515" s="30">
        <f>T515*(1+IF($AK515+IF(입력란!$C$26=1,10,0)+IF(MID(E515,5,1)="1",IF(G515="생명40%이하",트라이포드!$O$23,0),0)&gt;100,100,$AK515+IF(입력란!$C$26=1,10,0)+IF(MID(E515,5,1)="1",IF(G515="생명40%이하",트라이포드!$O$23,0),0))/100*(($AL515+IF(MID(E515,5,1)="1",IF(G515="생명40%이하",트라이포드!P$23,0)))/100-1))</f>
        <v>158484.94996888918</v>
      </c>
      <c r="L515" s="26">
        <f>U515*(1+IF($AK515+IF(입력란!$C$26=1,10,0)+IF(MID(E515,5,1)="1",IF(G515="생명40%이하",트라이포드!$O$23,0),0)&gt;100,100,$AK515+IF(입력란!$C$26=1,10,0)+IF(MID(E515,5,1)="1",IF(G515="생명40%이하",트라이포드!$O$23,0),0))/100*(($AL515+IF(MID(E515,5,1)="1",IF(G515="생명40%이하",트라이포드!P$23,0)))/100-1))</f>
        <v>158484.94996888918</v>
      </c>
      <c r="M515" s="26">
        <f>V515*(1+IF($AK515+IF(입력란!$C$26=1,10,0)+IF(MID(E515,5,1)="1",IF(G515="생명40%이하",트라이포드!$O$23,0),0)&gt;100,100,$AK515+IF(입력란!$C$26=1,10,0)+IF(MID(E515,5,1)="1",IF(G515="생명40%이하",트라이포드!$O$23,0),0))/100*(($AL515+IF(MID(E515,5,1)="1",IF(G515="생명40%이하",트라이포드!P$23,0)))/100-1))</f>
        <v>0</v>
      </c>
      <c r="N515" s="39"/>
      <c r="O515" s="39"/>
      <c r="P515" s="39"/>
      <c r="Q515" s="35">
        <f>Z515*(1+IF($AK515+IF(입력란!$C$26=1,10,0)&gt;100,100,$AK515+IF(입력란!$C$26=1,10,0))/100*($AL515/100-1))</f>
        <v>253575.91995022271</v>
      </c>
      <c r="R515" s="24">
        <f t="shared" si="71"/>
        <v>600546.24265132926</v>
      </c>
      <c r="S515" s="30">
        <f>AN515*IF(MID(E515,1,1)="2",IF(G515="생명40%이하",트라이포드!$F$23,트라이포드!$E$23),1)*IF(MID(E515,5,1)="2",트라이포드!$R$23,트라이포드!$Q$23)*(1+입력란!$C$44/100)</f>
        <v>130553.53101115854</v>
      </c>
      <c r="T515" s="30">
        <f>AN515*IF(MID(E515,1,1)="2",IF(G515="생명40%이하",트라이포드!$F$23,트라이포드!$E$23),1)*IF(MID(E515,5,1)="2",트라이포드!$R$23,트라이포드!$Q$23)*(1+입력란!$C$44/100)</f>
        <v>130553.53101115854</v>
      </c>
      <c r="U515" s="26">
        <f>AN515*IF(MID(E515,1,1)="2",IF(G515="생명40%이하",트라이포드!$F$23,트라이포드!$E$23),1)*IF(MID(E515,5,1)="2",트라이포드!$R$23,트라이포드!$Q$23)*(1+입력란!$C$44/100)</f>
        <v>130553.53101115854</v>
      </c>
      <c r="V515" s="26">
        <f>AN515*IF(MID(E515,1,1)="2",IF(G515="생명40%이하",트라이포드!$F$23,트라이포드!$E$23),1)*IF(MID(E515,5,1)="2",트라이포드!$R$23,트라이포드!$Q$23)*IF(MID(E515,5,1)="1",1,0)*(1+입력란!$C$44/100)</f>
        <v>0</v>
      </c>
      <c r="W515" s="26"/>
      <c r="X515" s="26"/>
      <c r="Y515" s="26"/>
      <c r="Z515" s="27">
        <f>AN515*0.2*IF(MID(E515,3,1)="3",1,0)*IF(MID(E515,5,1)="1",9,8)*(1+입력란!$C$44/100)</f>
        <v>208885.64961785366</v>
      </c>
      <c r="AA515" s="30">
        <f t="shared" si="72"/>
        <v>1201092.4853026585</v>
      </c>
      <c r="AB515" s="30">
        <f t="shared" si="73"/>
        <v>261107.06202231708</v>
      </c>
      <c r="AC515" s="30">
        <f t="shared" si="74"/>
        <v>261107.06202231708</v>
      </c>
      <c r="AD515" s="30">
        <f t="shared" si="75"/>
        <v>261107.06202231708</v>
      </c>
      <c r="AE515" s="30">
        <f t="shared" si="76"/>
        <v>0</v>
      </c>
      <c r="AF515" s="39"/>
      <c r="AG515" s="39"/>
      <c r="AH515" s="39"/>
      <c r="AI515" s="25">
        <f t="shared" si="77"/>
        <v>417771.29923570732</v>
      </c>
      <c r="AJ515" s="30">
        <f>AQ515*(1-입력란!$C$35/100)</f>
        <v>26.686990101059997</v>
      </c>
      <c r="AK51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5" s="26">
        <f>입력란!$C$47+IF(입력란!$C$18=1,10,IF(입력란!$C$18=2,25,IF(입력란!$C$18=3,50,0)))+IF(입력란!$C$23&lt;&gt;0,-12)</f>
        <v>200</v>
      </c>
      <c r="AM515" s="26">
        <f t="shared" si="78"/>
        <v>96148.92669477353</v>
      </c>
      <c r="AN515" s="30">
        <f>(VLOOKUP(C515,$B$4:$AJ$7,29,FALSE)+VLOOKUP(C515,$B$8:$AJ$11,29,FALSE)*입력란!$C$29)*입력란!$C$48/100</f>
        <v>96148.92669477353</v>
      </c>
      <c r="AO515" s="39"/>
      <c r="AP515" s="39"/>
      <c r="AQ515" s="23">
        <v>27</v>
      </c>
    </row>
    <row r="516" spans="2:43" ht="13.5" customHeight="1" x14ac:dyDescent="0.3">
      <c r="B516" s="31">
        <v>501</v>
      </c>
      <c r="C516" s="40">
        <v>7</v>
      </c>
      <c r="D516" s="44" t="s">
        <v>260</v>
      </c>
      <c r="E516" s="38" t="s">
        <v>246</v>
      </c>
      <c r="F516" s="40" t="s">
        <v>415</v>
      </c>
      <c r="G516" s="40" t="s">
        <v>416</v>
      </c>
      <c r="H516" s="81">
        <f t="shared" si="70"/>
        <v>31771.828862029641</v>
      </c>
      <c r="I516" s="53">
        <f>SUM(J516:Q516)*IF(입력란!$C$16=1,1.04,IF(입력란!$C$16=2,1.1,IF(입력란!$C$16=3,1.2,1)))*IF(입력란!$C$21=1,1+입력란!$C$38*0.001,IF(입력란!$C$21=2,1+입력란!$C$38*0.0022,IF(입력란!$C$21=3,1+입력란!$C$38*0.0045,1)))*IF(입력란!$C$18&lt;&gt;0,0.98,1)</f>
        <v>847894.48233355733</v>
      </c>
      <c r="J516" s="30">
        <f>S516*(1+IF($AK516+IF(입력란!$C$26=1,10,0)+IF(MID(E516,5,1)="1",IF(G516="생명40%이하",트라이포드!$O$23,0),0)&gt;100,100,$AK516+IF(입력란!$C$26=1,10,0)+IF(MID(E516,5,1)="1",IF(G516="생명40%이하",트라이포드!$O$23,0),0))/100*(($AL516+IF(MID(E516,5,1)="1",IF(G516="생명40%이하",트라이포드!P$23,0)))/100-1))</f>
        <v>198106.18746111152</v>
      </c>
      <c r="K516" s="30">
        <f>T516*(1+IF($AK516+IF(입력란!$C$26=1,10,0)+IF(MID(E516,5,1)="1",IF(G516="생명40%이하",트라이포드!$O$23,0),0)&gt;100,100,$AK516+IF(입력란!$C$26=1,10,0)+IF(MID(E516,5,1)="1",IF(G516="생명40%이하",트라이포드!$O$23,0),0))/100*(($AL516+IF(MID(E516,5,1)="1",IF(G516="생명40%이하",트라이포드!P$23,0)))/100-1))</f>
        <v>198106.18746111152</v>
      </c>
      <c r="L516" s="26">
        <f>U516*(1+IF($AK516+IF(입력란!$C$26=1,10,0)+IF(MID(E516,5,1)="1",IF(G516="생명40%이하",트라이포드!$O$23,0),0)&gt;100,100,$AK516+IF(입력란!$C$26=1,10,0)+IF(MID(E516,5,1)="1",IF(G516="생명40%이하",트라이포드!$O$23,0),0))/100*(($AL516+IF(MID(E516,5,1)="1",IF(G516="생명40%이하",트라이포드!P$23,0)))/100-1))</f>
        <v>198106.18746111152</v>
      </c>
      <c r="M516" s="26">
        <f>V516*(1+IF($AK516+IF(입력란!$C$26=1,10,0)+IF(MID(E516,5,1)="1",IF(G516="생명40%이하",트라이포드!$O$23,0),0)&gt;100,100,$AK516+IF(입력란!$C$26=1,10,0)+IF(MID(E516,5,1)="1",IF(G516="생명40%이하",트라이포드!$O$23,0),0))/100*(($AL516+IF(MID(E516,5,1)="1",IF(G516="생명40%이하",트라이포드!P$23,0)))/100-1))</f>
        <v>0</v>
      </c>
      <c r="N516" s="39"/>
      <c r="O516" s="39"/>
      <c r="P516" s="39"/>
      <c r="Q516" s="35">
        <f>Z516*(1+IF($AK516+IF(입력란!$C$26=1,10,0)&gt;100,100,$AK516+IF(입력란!$C$26=1,10,0))/100*($AL516/100-1))</f>
        <v>253575.91995022271</v>
      </c>
      <c r="R516" s="24">
        <f t="shared" si="71"/>
        <v>698461.39090969821</v>
      </c>
      <c r="S516" s="30">
        <f>AN516*IF(MID(E516,1,1)="2",IF(G516="생명40%이하",트라이포드!$F$23,트라이포드!$E$23),1)*IF(MID(E516,5,1)="2",트라이포드!$R$23,트라이포드!$Q$23)*(1+입력란!$C$44/100)</f>
        <v>163191.91376394819</v>
      </c>
      <c r="T516" s="30">
        <f>AN516*IF(MID(E516,1,1)="2",IF(G516="생명40%이하",트라이포드!$F$23,트라이포드!$E$23),1)*IF(MID(E516,5,1)="2",트라이포드!$R$23,트라이포드!$Q$23)*(1+입력란!$C$44/100)</f>
        <v>163191.91376394819</v>
      </c>
      <c r="U516" s="26">
        <f>AN516*IF(MID(E516,1,1)="2",IF(G516="생명40%이하",트라이포드!$F$23,트라이포드!$E$23),1)*IF(MID(E516,5,1)="2",트라이포드!$R$23,트라이포드!$Q$23)*(1+입력란!$C$44/100)</f>
        <v>163191.91376394819</v>
      </c>
      <c r="V516" s="26">
        <f>AN516*IF(MID(E516,1,1)="2",IF(G516="생명40%이하",트라이포드!$F$23,트라이포드!$E$23),1)*IF(MID(E516,5,1)="2",트라이포드!$R$23,트라이포드!$Q$23)*IF(MID(E516,5,1)="1",1,0)*(1+입력란!$C$44/100)</f>
        <v>0</v>
      </c>
      <c r="W516" s="26"/>
      <c r="X516" s="26"/>
      <c r="Y516" s="26"/>
      <c r="Z516" s="27">
        <f>AN516*0.2*IF(MID(E516,3,1)="3",1,0)*IF(MID(E516,5,1)="1",9,8)*(1+입력란!$C$44/100)</f>
        <v>208885.64961785366</v>
      </c>
      <c r="AA516" s="30">
        <f t="shared" si="72"/>
        <v>1396922.7818193964</v>
      </c>
      <c r="AB516" s="30">
        <f t="shared" si="73"/>
        <v>326383.82752789638</v>
      </c>
      <c r="AC516" s="30">
        <f t="shared" si="74"/>
        <v>326383.82752789638</v>
      </c>
      <c r="AD516" s="30">
        <f t="shared" si="75"/>
        <v>326383.82752789638</v>
      </c>
      <c r="AE516" s="30">
        <f t="shared" si="76"/>
        <v>0</v>
      </c>
      <c r="AF516" s="39"/>
      <c r="AG516" s="39"/>
      <c r="AH516" s="39"/>
      <c r="AI516" s="25">
        <f t="shared" si="77"/>
        <v>417771.29923570732</v>
      </c>
      <c r="AJ516" s="30">
        <f>AQ516*(1-입력란!$C$35/100)</f>
        <v>26.686990101059997</v>
      </c>
      <c r="AK51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6" s="26">
        <f>입력란!$C$47+IF(입력란!$C$18=1,10,IF(입력란!$C$18=2,25,IF(입력란!$C$18=3,50,0)))+IF(입력란!$C$23&lt;&gt;0,-12)</f>
        <v>200</v>
      </c>
      <c r="AM516" s="26">
        <f t="shared" si="78"/>
        <v>96148.92669477353</v>
      </c>
      <c r="AN516" s="30">
        <f>(VLOOKUP(C516,$B$4:$AJ$7,29,FALSE)+VLOOKUP(C516,$B$8:$AJ$11,29,FALSE)*입력란!$C$29)*입력란!$C$48/100</f>
        <v>96148.92669477353</v>
      </c>
      <c r="AO516" s="39"/>
      <c r="AP516" s="39"/>
      <c r="AQ516" s="23">
        <v>27</v>
      </c>
    </row>
    <row r="517" spans="2:43" ht="13.5" customHeight="1" x14ac:dyDescent="0.3">
      <c r="B517" s="31">
        <v>502</v>
      </c>
      <c r="C517" s="40">
        <v>10</v>
      </c>
      <c r="D517" s="44" t="s">
        <v>260</v>
      </c>
      <c r="E517" s="38" t="s">
        <v>240</v>
      </c>
      <c r="F517" s="40"/>
      <c r="G517" s="40" t="s">
        <v>416</v>
      </c>
      <c r="H517" s="81">
        <f t="shared" si="70"/>
        <v>17826.864765471735</v>
      </c>
      <c r="I517" s="53">
        <f>SUM(J517:Q517)*IF(입력란!$C$16=1,1.04,IF(입력란!$C$16=2,1.1,IF(입력란!$C$16=3,1.2,1)))*IF(입력란!$C$21=1,1+입력란!$C$38*0.001,IF(입력란!$C$21=2,1+입력란!$C$38*0.0022,IF(입력란!$C$21=3,1+입력란!$C$38*0.0045,1)))*IF(입력란!$C$18&lt;&gt;0,0.98,1)</f>
        <v>475745.36352907948</v>
      </c>
      <c r="J517" s="30">
        <f>S517*(1+IF($AK517+IF(입력란!$C$26=1,10,0)+IF(MID(E517,5,1)="1",IF(G517="생명40%이하",트라이포드!$O$23,0),0)&gt;100,100,$AK517+IF(입력란!$C$26=1,10,0)+IF(MID(E517,5,1)="1",IF(G517="생명40%이하",트라이포드!$O$23,0),0))/100*(($AL517+IF(MID(E517,5,1)="1",IF(G517="생명40%이하",트라이포드!P$23,0)))/100-1))</f>
        <v>158581.78784302648</v>
      </c>
      <c r="K517" s="30">
        <f>T517*(1+IF($AK517+IF(입력란!$C$26=1,10,0)+IF(MID(E517,5,1)="1",IF(G517="생명40%이하",트라이포드!$O$23,0),0)&gt;100,100,$AK517+IF(입력란!$C$26=1,10,0)+IF(MID(E517,5,1)="1",IF(G517="생명40%이하",트라이포드!$O$23,0),0))/100*(($AL517+IF(MID(E517,5,1)="1",IF(G517="생명40%이하",트라이포드!P$23,0)))/100-1))</f>
        <v>158581.78784302648</v>
      </c>
      <c r="L517" s="26">
        <f>U517*(1+IF($AK517+IF(입력란!$C$26=1,10,0)+IF(MID(E517,5,1)="1",IF(G517="생명40%이하",트라이포드!$O$23,0),0)&gt;100,100,$AK517+IF(입력란!$C$26=1,10,0)+IF(MID(E517,5,1)="1",IF(G517="생명40%이하",트라이포드!$O$23,0),0))/100*(($AL517+IF(MID(E517,5,1)="1",IF(G517="생명40%이하",트라이포드!P$23,0)))/100-1))</f>
        <v>158581.78784302648</v>
      </c>
      <c r="M517" s="26">
        <f>V517*(1+IF($AK517+IF(입력란!$C$26=1,10,0)+IF(MID(E517,5,1)="1",IF(G517="생명40%이하",트라이포드!$O$23,0),0)&gt;100,100,$AK517+IF(입력란!$C$26=1,10,0)+IF(MID(E517,5,1)="1",IF(G517="생명40%이하",트라이포드!$O$23,0),0))/100*(($AL517+IF(MID(E517,5,1)="1",IF(G517="생명40%이하",트라이포드!P$23,0)))/100-1))</f>
        <v>0</v>
      </c>
      <c r="N517" s="39"/>
      <c r="O517" s="39"/>
      <c r="P517" s="39"/>
      <c r="Q517" s="35">
        <f>Z517*(1+IF($AK517+IF(입력란!$C$26=1,10,0)&gt;100,100,$AK517+IF(입력란!$C$26=1,10,0))/100*($AL517/100-1))</f>
        <v>0</v>
      </c>
      <c r="R517" s="24">
        <f t="shared" si="71"/>
        <v>391899.90647756075</v>
      </c>
      <c r="S517" s="30">
        <f>AN517*IF(MID(E517,1,1)="2",IF(G517="생명40%이하",트라이포드!$F$23,트라이포드!$E$23),1)*IF(MID(E517,5,1)="2",트라이포드!$R$23,트라이포드!$Q$23)*(1+입력란!$C$44/100)</f>
        <v>130633.30215918692</v>
      </c>
      <c r="T517" s="30">
        <f>AN517*IF(MID(E517,1,1)="2",IF(G517="생명40%이하",트라이포드!$F$23,트라이포드!$E$23),1)*IF(MID(E517,5,1)="2",트라이포드!$R$23,트라이포드!$Q$23)*(1+입력란!$C$44/100)</f>
        <v>130633.30215918692</v>
      </c>
      <c r="U517" s="26">
        <f>AN517*IF(MID(E517,1,1)="2",IF(G517="생명40%이하",트라이포드!$F$23,트라이포드!$E$23),1)*IF(MID(E517,5,1)="2",트라이포드!$R$23,트라이포드!$Q$23)*(1+입력란!$C$44/100)</f>
        <v>130633.30215918692</v>
      </c>
      <c r="V517" s="26">
        <f>AN517*IF(MID(E517,1,1)="2",IF(G517="생명40%이하",트라이포드!$F$23,트라이포드!$E$23),1)*IF(MID(E517,5,1)="2",트라이포드!$R$23,트라이포드!$Q$23)*IF(MID(E517,5,1)="1",1,0)*(1+입력란!$C$44/100)</f>
        <v>0</v>
      </c>
      <c r="W517" s="26"/>
      <c r="X517" s="26"/>
      <c r="Y517" s="26"/>
      <c r="Z517" s="27">
        <f>AN517*0.2*IF(MID(E517,3,1)="3",1,0)*IF(MID(E517,5,1)="1",9,8)*(1+입력란!$C$44/100)</f>
        <v>0</v>
      </c>
      <c r="AA517" s="30">
        <f t="shared" si="72"/>
        <v>783799.81295512151</v>
      </c>
      <c r="AB517" s="30">
        <f t="shared" si="73"/>
        <v>261266.60431837384</v>
      </c>
      <c r="AC517" s="30">
        <f t="shared" si="74"/>
        <v>261266.60431837384</v>
      </c>
      <c r="AD517" s="30">
        <f t="shared" si="75"/>
        <v>261266.60431837384</v>
      </c>
      <c r="AE517" s="30">
        <f t="shared" si="76"/>
        <v>0</v>
      </c>
      <c r="AF517" s="39"/>
      <c r="AG517" s="39"/>
      <c r="AH517" s="39"/>
      <c r="AI517" s="25">
        <f t="shared" si="77"/>
        <v>0</v>
      </c>
      <c r="AJ517" s="30">
        <f>AQ517*(1-입력란!$C$35/100)</f>
        <v>26.686990101059997</v>
      </c>
      <c r="AK51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7" s="26">
        <f>입력란!$C$47+IF(입력란!$C$18=1,10,IF(입력란!$C$18=2,25,IF(입력란!$C$18=3,50,0)))+IF(입력란!$C$23&lt;&gt;0,-12)</f>
        <v>200</v>
      </c>
      <c r="AM517" s="26">
        <f t="shared" si="78"/>
        <v>96207.675854637171</v>
      </c>
      <c r="AN517" s="30">
        <f>(VLOOKUP(C517,$B$4:$AJ$7,29,FALSE)+VLOOKUP(C517,$B$8:$AJ$11,29,FALSE)*입력란!$C$29)*입력란!$C$48/100</f>
        <v>96207.675854637171</v>
      </c>
      <c r="AO517" s="39"/>
      <c r="AP517" s="39"/>
      <c r="AQ517" s="23">
        <v>27</v>
      </c>
    </row>
    <row r="518" spans="2:43" ht="13.5" customHeight="1" x14ac:dyDescent="0.3">
      <c r="B518" s="31">
        <v>503</v>
      </c>
      <c r="C518" s="8">
        <v>10</v>
      </c>
      <c r="D518" s="44" t="s">
        <v>260</v>
      </c>
      <c r="E518" s="40" t="s">
        <v>247</v>
      </c>
      <c r="F518" s="40"/>
      <c r="G518" s="40" t="s">
        <v>416</v>
      </c>
      <c r="H518" s="81">
        <f t="shared" si="70"/>
        <v>39160.145573403788</v>
      </c>
      <c r="I518" s="53">
        <f>SUM(J518:Q518)*IF(입력란!$C$16=1,1.04,IF(입력란!$C$16=2,1.1,IF(입력란!$C$16=3,1.2,1)))*IF(입력란!$C$21=1,1+입력란!$C$38*0.001,IF(입력란!$C$21=2,1+입력란!$C$38*0.0022,IF(입력란!$C$21=3,1+입력란!$C$38*0.0045,1)))*IF(입력란!$C$18&lt;&gt;0,0.98,1)</f>
        <v>1045066.4172734953</v>
      </c>
      <c r="J518" s="30">
        <f>S518*(1+IF($AK518+IF(입력란!$C$26=1,10,0)+IF(MID(E518,5,1)="1",IF(G518="생명40%이하",트라이포드!$O$23,0),0)&gt;100,100,$AK518+IF(입력란!$C$26=1,10,0)+IF(MID(E518,5,1)="1",IF(G518="생명40%이하",트라이포드!$O$23,0),0))/100*(($AL518+IF(MID(E518,5,1)="1",IF(G518="생명40%이하",트라이포드!P$23,0)))/100-1))</f>
        <v>261266.60431837384</v>
      </c>
      <c r="K518" s="30">
        <f>T518*(1+IF($AK518+IF(입력란!$C$26=1,10,0)+IF(MID(E518,5,1)="1",IF(G518="생명40%이하",트라이포드!$O$23,0),0)&gt;100,100,$AK518+IF(입력란!$C$26=1,10,0)+IF(MID(E518,5,1)="1",IF(G518="생명40%이하",트라이포드!$O$23,0),0))/100*(($AL518+IF(MID(E518,5,1)="1",IF(G518="생명40%이하",트라이포드!P$23,0)))/100-1))</f>
        <v>261266.60431837384</v>
      </c>
      <c r="L518" s="26">
        <f>U518*(1+IF($AK518+IF(입력란!$C$26=1,10,0)+IF(MID(E518,5,1)="1",IF(G518="생명40%이하",트라이포드!$O$23,0),0)&gt;100,100,$AK518+IF(입력란!$C$26=1,10,0)+IF(MID(E518,5,1)="1",IF(G518="생명40%이하",트라이포드!$O$23,0),0))/100*(($AL518+IF(MID(E518,5,1)="1",IF(G518="생명40%이하",트라이포드!P$23,0)))/100-1))</f>
        <v>261266.60431837384</v>
      </c>
      <c r="M518" s="26">
        <f>V518*(1+IF($AK518+IF(입력란!$C$26=1,10,0)+IF(MID(E518,5,1)="1",IF(G518="생명40%이하",트라이포드!$O$23,0),0)&gt;100,100,$AK518+IF(입력란!$C$26=1,10,0)+IF(MID(E518,5,1)="1",IF(G518="생명40%이하",트라이포드!$O$23,0),0))/100*(($AL518+IF(MID(E518,5,1)="1",IF(G518="생명40%이하",트라이포드!P$23,0)))/100-1))</f>
        <v>261266.60431837384</v>
      </c>
      <c r="N518" s="39"/>
      <c r="O518" s="39"/>
      <c r="P518" s="39"/>
      <c r="Q518" s="35">
        <f>Z518*(1+IF($AK518+IF(입력란!$C$26=1,10,0)&gt;100,100,$AK518+IF(입력란!$C$26=1,10,0))/100*($AL518/100-1))</f>
        <v>0</v>
      </c>
      <c r="R518" s="24">
        <f t="shared" si="71"/>
        <v>522533.20863674767</v>
      </c>
      <c r="S518" s="30">
        <f>AN518*IF(MID(E518,1,1)="2",IF(G518="생명40%이하",트라이포드!$F$23,트라이포드!$E$23),1)*IF(MID(E518,5,1)="2",트라이포드!$R$23,트라이포드!$Q$23)*(1+입력란!$C$44/100)</f>
        <v>130633.30215918692</v>
      </c>
      <c r="T518" s="30">
        <f>AN518*IF(MID(E518,1,1)="2",IF(G518="생명40%이하",트라이포드!$F$23,트라이포드!$E$23),1)*IF(MID(E518,5,1)="2",트라이포드!$R$23,트라이포드!$Q$23)*(1+입력란!$C$44/100)</f>
        <v>130633.30215918692</v>
      </c>
      <c r="U518" s="26">
        <f>AN518*IF(MID(E518,1,1)="2",IF(G518="생명40%이하",트라이포드!$F$23,트라이포드!$E$23),1)*IF(MID(E518,5,1)="2",트라이포드!$R$23,트라이포드!$Q$23)*(1+입력란!$C$44/100)</f>
        <v>130633.30215918692</v>
      </c>
      <c r="V518" s="26">
        <f>AN518*IF(MID(E518,1,1)="2",IF(G518="생명40%이하",트라이포드!$F$23,트라이포드!$E$23),1)*IF(MID(E518,5,1)="2",트라이포드!$R$23,트라이포드!$Q$23)*IF(MID(E518,5,1)="1",1,0)*(1+입력란!$C$44/100)</f>
        <v>130633.30215918692</v>
      </c>
      <c r="W518" s="26"/>
      <c r="X518" s="26"/>
      <c r="Y518" s="26"/>
      <c r="Z518" s="27">
        <f>AN518*0.2*IF(MID(E518,3,1)="3",1,0)*IF(MID(E518,5,1)="1",9,8)*(1+입력란!$C$44/100)</f>
        <v>0</v>
      </c>
      <c r="AA518" s="30">
        <f t="shared" si="72"/>
        <v>1045066.4172734953</v>
      </c>
      <c r="AB518" s="30">
        <f t="shared" si="73"/>
        <v>261266.60431837384</v>
      </c>
      <c r="AC518" s="30">
        <f t="shared" si="74"/>
        <v>261266.60431837384</v>
      </c>
      <c r="AD518" s="30">
        <f t="shared" si="75"/>
        <v>261266.60431837384</v>
      </c>
      <c r="AE518" s="30">
        <f t="shared" si="76"/>
        <v>261266.60431837384</v>
      </c>
      <c r="AF518" s="39"/>
      <c r="AG518" s="39"/>
      <c r="AH518" s="39"/>
      <c r="AI518" s="25">
        <f t="shared" si="77"/>
        <v>0</v>
      </c>
      <c r="AJ518" s="30">
        <f>AQ518*(1-입력란!$C$35/100)</f>
        <v>26.686990101059997</v>
      </c>
      <c r="AK51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8" s="26">
        <f>입력란!$C$47+IF(입력란!$C$18=1,10,IF(입력란!$C$18=2,25,IF(입력란!$C$18=3,50,0)))+IF(입력란!$C$23&lt;&gt;0,-12)</f>
        <v>200</v>
      </c>
      <c r="AM518" s="26">
        <f t="shared" si="78"/>
        <v>96207.675854637171</v>
      </c>
      <c r="AN518" s="30">
        <f>(VLOOKUP(C518,$B$4:$AJ$7,29,FALSE)+VLOOKUP(C518,$B$8:$AJ$11,29,FALSE)*입력란!$C$29)*입력란!$C$48/100</f>
        <v>96207.675854637171</v>
      </c>
      <c r="AO518" s="39"/>
      <c r="AP518" s="39"/>
      <c r="AQ518" s="23">
        <v>27</v>
      </c>
    </row>
    <row r="519" spans="2:43" ht="13.5" customHeight="1" x14ac:dyDescent="0.3">
      <c r="B519" s="31">
        <v>504</v>
      </c>
      <c r="C519" s="8">
        <v>10</v>
      </c>
      <c r="D519" s="44" t="s">
        <v>260</v>
      </c>
      <c r="E519" s="40" t="s">
        <v>248</v>
      </c>
      <c r="F519" s="40"/>
      <c r="G519" s="40" t="s">
        <v>416</v>
      </c>
      <c r="H519" s="81">
        <f t="shared" si="70"/>
        <v>26740.297148207603</v>
      </c>
      <c r="I519" s="53">
        <f>SUM(J519:Q519)*IF(입력란!$C$16=1,1.04,IF(입력란!$C$16=2,1.1,IF(입력란!$C$16=3,1.2,1)))*IF(입력란!$C$21=1,1+입력란!$C$38*0.001,IF(입력란!$C$21=2,1+입력란!$C$38*0.0022,IF(입력란!$C$21=3,1+입력란!$C$38*0.0045,1)))*IF(입력란!$C$18&lt;&gt;0,0.98,1)</f>
        <v>713618.04529361916</v>
      </c>
      <c r="J519" s="30">
        <f>S519*(1+IF($AK519+IF(입력란!$C$26=1,10,0)+IF(MID(E519,5,1)="1",IF(G519="생명40%이하",트라이포드!$O$23,0),0)&gt;100,100,$AK519+IF(입력란!$C$26=1,10,0)+IF(MID(E519,5,1)="1",IF(G519="생명40%이하",트라이포드!$O$23,0),0))/100*(($AL519+IF(MID(E519,5,1)="1",IF(G519="생명40%이하",트라이포드!P$23,0)))/100-1))</f>
        <v>237872.68176453974</v>
      </c>
      <c r="K519" s="30">
        <f>T519*(1+IF($AK519+IF(입력란!$C$26=1,10,0)+IF(MID(E519,5,1)="1",IF(G519="생명40%이하",트라이포드!$O$23,0),0)&gt;100,100,$AK519+IF(입력란!$C$26=1,10,0)+IF(MID(E519,5,1)="1",IF(G519="생명40%이하",트라이포드!$O$23,0),0))/100*(($AL519+IF(MID(E519,5,1)="1",IF(G519="생명40%이하",트라이포드!P$23,0)))/100-1))</f>
        <v>237872.68176453974</v>
      </c>
      <c r="L519" s="26">
        <f>U519*(1+IF($AK519+IF(입력란!$C$26=1,10,0)+IF(MID(E519,5,1)="1",IF(G519="생명40%이하",트라이포드!$O$23,0),0)&gt;100,100,$AK519+IF(입력란!$C$26=1,10,0)+IF(MID(E519,5,1)="1",IF(G519="생명40%이하",트라이포드!$O$23,0),0))/100*(($AL519+IF(MID(E519,5,1)="1",IF(G519="생명40%이하",트라이포드!P$23,0)))/100-1))</f>
        <v>237872.68176453974</v>
      </c>
      <c r="M519" s="26">
        <f>V519*(1+IF($AK519+IF(입력란!$C$26=1,10,0)+IF(MID(E519,5,1)="1",IF(G519="생명40%이하",트라이포드!$O$23,0),0)&gt;100,100,$AK519+IF(입력란!$C$26=1,10,0)+IF(MID(E519,5,1)="1",IF(G519="생명40%이하",트라이포드!$O$23,0),0))/100*(($AL519+IF(MID(E519,5,1)="1",IF(G519="생명40%이하",트라이포드!P$23,0)))/100-1))</f>
        <v>0</v>
      </c>
      <c r="N519" s="39"/>
      <c r="O519" s="39"/>
      <c r="P519" s="39"/>
      <c r="Q519" s="35">
        <f>Z519*(1+IF($AK519+IF(입력란!$C$26=1,10,0)&gt;100,100,$AK519+IF(입력란!$C$26=1,10,0))/100*($AL519/100-1))</f>
        <v>0</v>
      </c>
      <c r="R519" s="24">
        <f t="shared" si="71"/>
        <v>587849.85971634113</v>
      </c>
      <c r="S519" s="30">
        <f>AN519*IF(MID(E519,1,1)="2",IF(G519="생명40%이하",트라이포드!$F$23,트라이포드!$E$23),1)*IF(MID(E519,5,1)="2",트라이포드!$R$23,트라이포드!$Q$23)*(1+입력란!$C$44/100)</f>
        <v>195949.95323878038</v>
      </c>
      <c r="T519" s="30">
        <f>AN519*IF(MID(E519,1,1)="2",IF(G519="생명40%이하",트라이포드!$F$23,트라이포드!$E$23),1)*IF(MID(E519,5,1)="2",트라이포드!$R$23,트라이포드!$Q$23)*(1+입력란!$C$44/100)</f>
        <v>195949.95323878038</v>
      </c>
      <c r="U519" s="26">
        <f>AN519*IF(MID(E519,1,1)="2",IF(G519="생명40%이하",트라이포드!$F$23,트라이포드!$E$23),1)*IF(MID(E519,5,1)="2",트라이포드!$R$23,트라이포드!$Q$23)*(1+입력란!$C$44/100)</f>
        <v>195949.95323878038</v>
      </c>
      <c r="V519" s="26">
        <f>AN519*IF(MID(E519,1,1)="2",IF(G519="생명40%이하",트라이포드!$F$23,트라이포드!$E$23),1)*IF(MID(E519,5,1)="2",트라이포드!$R$23,트라이포드!$Q$23)*IF(MID(E519,5,1)="1",1,0)*(1+입력란!$C$44/100)</f>
        <v>0</v>
      </c>
      <c r="W519" s="26"/>
      <c r="X519" s="26"/>
      <c r="Y519" s="26"/>
      <c r="Z519" s="27">
        <f>AN519*0.2*IF(MID(E519,3,1)="3",1,0)*IF(MID(E519,5,1)="1",9,8)*(1+입력란!$C$44/100)</f>
        <v>0</v>
      </c>
      <c r="AA519" s="30">
        <f t="shared" si="72"/>
        <v>1175699.7194326823</v>
      </c>
      <c r="AB519" s="30">
        <f t="shared" si="73"/>
        <v>391899.90647756075</v>
      </c>
      <c r="AC519" s="30">
        <f t="shared" si="74"/>
        <v>391899.90647756075</v>
      </c>
      <c r="AD519" s="30">
        <f t="shared" si="75"/>
        <v>391899.90647756075</v>
      </c>
      <c r="AE519" s="30">
        <f t="shared" si="76"/>
        <v>0</v>
      </c>
      <c r="AF519" s="39"/>
      <c r="AG519" s="39"/>
      <c r="AH519" s="39"/>
      <c r="AI519" s="25">
        <f t="shared" si="77"/>
        <v>0</v>
      </c>
      <c r="AJ519" s="30">
        <f>AQ519*(1-입력란!$C$35/100)</f>
        <v>26.686990101059997</v>
      </c>
      <c r="AK51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19" s="26">
        <f>입력란!$C$47+IF(입력란!$C$18=1,10,IF(입력란!$C$18=2,25,IF(입력란!$C$18=3,50,0)))+IF(입력란!$C$23&lt;&gt;0,-12)</f>
        <v>200</v>
      </c>
      <c r="AM519" s="26">
        <f t="shared" si="78"/>
        <v>96207.675854637171</v>
      </c>
      <c r="AN519" s="30">
        <f>(VLOOKUP(C519,$B$4:$AJ$7,29,FALSE)+VLOOKUP(C519,$B$8:$AJ$11,29,FALSE)*입력란!$C$29)*입력란!$C$48/100</f>
        <v>96207.675854637171</v>
      </c>
      <c r="AO519" s="39"/>
      <c r="AP519" s="39"/>
      <c r="AQ519" s="23">
        <v>27</v>
      </c>
    </row>
    <row r="520" spans="2:43" ht="13.5" customHeight="1" x14ac:dyDescent="0.3">
      <c r="B520" s="31">
        <v>505</v>
      </c>
      <c r="C520" s="8">
        <v>10</v>
      </c>
      <c r="D520" s="44" t="s">
        <v>260</v>
      </c>
      <c r="E520" s="40" t="s">
        <v>249</v>
      </c>
      <c r="F520" s="40"/>
      <c r="G520" s="40" t="s">
        <v>416</v>
      </c>
      <c r="H520" s="81">
        <f t="shared" si="70"/>
        <v>48950.181966754732</v>
      </c>
      <c r="I520" s="53">
        <f>SUM(J520:Q520)*IF(입력란!$C$16=1,1.04,IF(입력란!$C$16=2,1.1,IF(입력란!$C$16=3,1.2,1)))*IF(입력란!$C$21=1,1+입력란!$C$38*0.001,IF(입력란!$C$21=2,1+입력란!$C$38*0.0022,IF(입력란!$C$21=3,1+입력란!$C$38*0.0045,1)))*IF(입력란!$C$18&lt;&gt;0,0.98,1)</f>
        <v>1306333.0215918692</v>
      </c>
      <c r="J520" s="30">
        <f>S520*(1+IF($AK520+IF(입력란!$C$26=1,10,0)+IF(MID(E520,5,1)="1",IF(G520="생명40%이하",트라이포드!$O$23,0),0)&gt;100,100,$AK520+IF(입력란!$C$26=1,10,0)+IF(MID(E520,5,1)="1",IF(G520="생명40%이하",트라이포드!$O$23,0),0))/100*(($AL520+IF(MID(E520,5,1)="1",IF(G520="생명40%이하",트라이포드!P$23,0)))/100-1))</f>
        <v>326583.2553979673</v>
      </c>
      <c r="K520" s="30">
        <f>T520*(1+IF($AK520+IF(입력란!$C$26=1,10,0)+IF(MID(E520,5,1)="1",IF(G520="생명40%이하",트라이포드!$O$23,0),0)&gt;100,100,$AK520+IF(입력란!$C$26=1,10,0)+IF(MID(E520,5,1)="1",IF(G520="생명40%이하",트라이포드!$O$23,0),0))/100*(($AL520+IF(MID(E520,5,1)="1",IF(G520="생명40%이하",트라이포드!P$23,0)))/100-1))</f>
        <v>326583.2553979673</v>
      </c>
      <c r="L520" s="26">
        <f>U520*(1+IF($AK520+IF(입력란!$C$26=1,10,0)+IF(MID(E520,5,1)="1",IF(G520="생명40%이하",트라이포드!$O$23,0),0)&gt;100,100,$AK520+IF(입력란!$C$26=1,10,0)+IF(MID(E520,5,1)="1",IF(G520="생명40%이하",트라이포드!$O$23,0),0))/100*(($AL520+IF(MID(E520,5,1)="1",IF(G520="생명40%이하",트라이포드!P$23,0)))/100-1))</f>
        <v>326583.2553979673</v>
      </c>
      <c r="M520" s="26">
        <f>V520*(1+IF($AK520+IF(입력란!$C$26=1,10,0)+IF(MID(E520,5,1)="1",IF(G520="생명40%이하",트라이포드!$O$23,0),0)&gt;100,100,$AK520+IF(입력란!$C$26=1,10,0)+IF(MID(E520,5,1)="1",IF(G520="생명40%이하",트라이포드!$O$23,0),0))/100*(($AL520+IF(MID(E520,5,1)="1",IF(G520="생명40%이하",트라이포드!P$23,0)))/100-1))</f>
        <v>326583.2553979673</v>
      </c>
      <c r="N520" s="39"/>
      <c r="O520" s="39"/>
      <c r="P520" s="39"/>
      <c r="Q520" s="35">
        <f>Z520*(1+IF($AK520+IF(입력란!$C$26=1,10,0)&gt;100,100,$AK520+IF(입력란!$C$26=1,10,0))/100*($AL520/100-1))</f>
        <v>0</v>
      </c>
      <c r="R520" s="24">
        <f t="shared" si="71"/>
        <v>653166.51079593459</v>
      </c>
      <c r="S520" s="30">
        <f>AN520*IF(MID(E520,1,1)="2",IF(G520="생명40%이하",트라이포드!$F$23,트라이포드!$E$23),1)*IF(MID(E520,5,1)="2",트라이포드!$R$23,트라이포드!$Q$23)*(1+입력란!$C$44/100)</f>
        <v>163291.62769898365</v>
      </c>
      <c r="T520" s="30">
        <f>AN520*IF(MID(E520,1,1)="2",IF(G520="생명40%이하",트라이포드!$F$23,트라이포드!$E$23),1)*IF(MID(E520,5,1)="2",트라이포드!$R$23,트라이포드!$Q$23)*(1+입력란!$C$44/100)</f>
        <v>163291.62769898365</v>
      </c>
      <c r="U520" s="26">
        <f>AN520*IF(MID(E520,1,1)="2",IF(G520="생명40%이하",트라이포드!$F$23,트라이포드!$E$23),1)*IF(MID(E520,5,1)="2",트라이포드!$R$23,트라이포드!$Q$23)*(1+입력란!$C$44/100)</f>
        <v>163291.62769898365</v>
      </c>
      <c r="V520" s="26">
        <f>AN520*IF(MID(E520,1,1)="2",IF(G520="생명40%이하",트라이포드!$F$23,트라이포드!$E$23),1)*IF(MID(E520,5,1)="2",트라이포드!$R$23,트라이포드!$Q$23)*IF(MID(E520,5,1)="1",1,0)*(1+입력란!$C$44/100)</f>
        <v>163291.62769898365</v>
      </c>
      <c r="W520" s="26"/>
      <c r="X520" s="26"/>
      <c r="Y520" s="26"/>
      <c r="Z520" s="27">
        <f>AN520*0.2*IF(MID(E520,3,1)="3",1,0)*IF(MID(E520,5,1)="1",9,8)*(1+입력란!$C$44/100)</f>
        <v>0</v>
      </c>
      <c r="AA520" s="30">
        <f t="shared" si="72"/>
        <v>1306333.0215918692</v>
      </c>
      <c r="AB520" s="30">
        <f t="shared" si="73"/>
        <v>326583.2553979673</v>
      </c>
      <c r="AC520" s="30">
        <f t="shared" si="74"/>
        <v>326583.2553979673</v>
      </c>
      <c r="AD520" s="30">
        <f t="shared" si="75"/>
        <v>326583.2553979673</v>
      </c>
      <c r="AE520" s="30">
        <f t="shared" si="76"/>
        <v>326583.2553979673</v>
      </c>
      <c r="AF520" s="39"/>
      <c r="AG520" s="39"/>
      <c r="AH520" s="39"/>
      <c r="AI520" s="25">
        <f t="shared" si="77"/>
        <v>0</v>
      </c>
      <c r="AJ520" s="30">
        <f>AQ520*(1-입력란!$C$35/100)</f>
        <v>26.686990101059997</v>
      </c>
      <c r="AK52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20" s="26">
        <f>입력란!$C$47+IF(입력란!$C$18=1,10,IF(입력란!$C$18=2,25,IF(입력란!$C$18=3,50,0)))+IF(입력란!$C$23&lt;&gt;0,-12)</f>
        <v>200</v>
      </c>
      <c r="AM520" s="26">
        <f t="shared" si="78"/>
        <v>96207.675854637171</v>
      </c>
      <c r="AN520" s="30">
        <f>(VLOOKUP(C520,$B$4:$AJ$7,29,FALSE)+VLOOKUP(C520,$B$8:$AJ$11,29,FALSE)*입력란!$C$29)*입력란!$C$48/100</f>
        <v>96207.675854637171</v>
      </c>
      <c r="AO520" s="39"/>
      <c r="AP520" s="39"/>
      <c r="AQ520" s="23">
        <v>27</v>
      </c>
    </row>
    <row r="521" spans="2:43" ht="13.5" customHeight="1" x14ac:dyDescent="0.3">
      <c r="B521" s="31">
        <v>506</v>
      </c>
      <c r="C521" s="8">
        <v>10</v>
      </c>
      <c r="D521" s="44" t="s">
        <v>260</v>
      </c>
      <c r="E521" s="40" t="s">
        <v>250</v>
      </c>
      <c r="F521" s="40"/>
      <c r="G521" s="40" t="s">
        <v>416</v>
      </c>
      <c r="H521" s="81">
        <f t="shared" si="70"/>
        <v>33425.371435259498</v>
      </c>
      <c r="I521" s="53">
        <f>SUM(J521:Q521)*IF(입력란!$C$16=1,1.04,IF(입력란!$C$16=2,1.1,IF(입력란!$C$16=3,1.2,1)))*IF(입력란!$C$21=1,1+입력란!$C$38*0.001,IF(입력란!$C$21=2,1+입력란!$C$38*0.0022,IF(입력란!$C$21=3,1+입력란!$C$38*0.0045,1)))*IF(입력란!$C$18&lt;&gt;0,0.98,1)</f>
        <v>892022.55661702389</v>
      </c>
      <c r="J521" s="30">
        <f>S521*(1+IF($AK521+IF(입력란!$C$26=1,10,0)+IF(MID(E521,5,1)="1",IF(G521="생명40%이하",트라이포드!$O$23,0),0)&gt;100,100,$AK521+IF(입력란!$C$26=1,10,0)+IF(MID(E521,5,1)="1",IF(G521="생명40%이하",트라이포드!$O$23,0),0))/100*(($AL521+IF(MID(E521,5,1)="1",IF(G521="생명40%이하",트라이포드!P$23,0)))/100-1))</f>
        <v>297340.85220567463</v>
      </c>
      <c r="K521" s="30">
        <f>T521*(1+IF($AK521+IF(입력란!$C$26=1,10,0)+IF(MID(E521,5,1)="1",IF(G521="생명40%이하",트라이포드!$O$23,0),0)&gt;100,100,$AK521+IF(입력란!$C$26=1,10,0)+IF(MID(E521,5,1)="1",IF(G521="생명40%이하",트라이포드!$O$23,0),0))/100*(($AL521+IF(MID(E521,5,1)="1",IF(G521="생명40%이하",트라이포드!P$23,0)))/100-1))</f>
        <v>297340.85220567463</v>
      </c>
      <c r="L521" s="26">
        <f>U521*(1+IF($AK521+IF(입력란!$C$26=1,10,0)+IF(MID(E521,5,1)="1",IF(G521="생명40%이하",트라이포드!$O$23,0),0)&gt;100,100,$AK521+IF(입력란!$C$26=1,10,0)+IF(MID(E521,5,1)="1",IF(G521="생명40%이하",트라이포드!$O$23,0),0))/100*(($AL521+IF(MID(E521,5,1)="1",IF(G521="생명40%이하",트라이포드!P$23,0)))/100-1))</f>
        <v>297340.85220567463</v>
      </c>
      <c r="M521" s="26">
        <f>V521*(1+IF($AK521+IF(입력란!$C$26=1,10,0)+IF(MID(E521,5,1)="1",IF(G521="생명40%이하",트라이포드!$O$23,0),0)&gt;100,100,$AK521+IF(입력란!$C$26=1,10,0)+IF(MID(E521,5,1)="1",IF(G521="생명40%이하",트라이포드!$O$23,0),0))/100*(($AL521+IF(MID(E521,5,1)="1",IF(G521="생명40%이하",트라이포드!P$23,0)))/100-1))</f>
        <v>0</v>
      </c>
      <c r="N521" s="39"/>
      <c r="O521" s="39"/>
      <c r="P521" s="39"/>
      <c r="Q521" s="35">
        <f>Z521*(1+IF($AK521+IF(입력란!$C$26=1,10,0)&gt;100,100,$AK521+IF(입력란!$C$26=1,10,0))/100*($AL521/100-1))</f>
        <v>0</v>
      </c>
      <c r="R521" s="24">
        <f t="shared" si="71"/>
        <v>734812.32464542636</v>
      </c>
      <c r="S521" s="30">
        <f>AN521*IF(MID(E521,1,1)="2",IF(G521="생명40%이하",트라이포드!$F$23,트라이포드!$E$23),1)*IF(MID(E521,5,1)="2",트라이포드!$R$23,트라이포드!$Q$23)*(1+입력란!$C$44/100)</f>
        <v>244937.44154847544</v>
      </c>
      <c r="T521" s="30">
        <f>AN521*IF(MID(E521,1,1)="2",IF(G521="생명40%이하",트라이포드!$F$23,트라이포드!$E$23),1)*IF(MID(E521,5,1)="2",트라이포드!$R$23,트라이포드!$Q$23)*(1+입력란!$C$44/100)</f>
        <v>244937.44154847544</v>
      </c>
      <c r="U521" s="26">
        <f>AN521*IF(MID(E521,1,1)="2",IF(G521="생명40%이하",트라이포드!$F$23,트라이포드!$E$23),1)*IF(MID(E521,5,1)="2",트라이포드!$R$23,트라이포드!$Q$23)*(1+입력란!$C$44/100)</f>
        <v>244937.44154847544</v>
      </c>
      <c r="V521" s="26">
        <f>AN521*IF(MID(E521,1,1)="2",IF(G521="생명40%이하",트라이포드!$F$23,트라이포드!$E$23),1)*IF(MID(E521,5,1)="2",트라이포드!$R$23,트라이포드!$Q$23)*IF(MID(E521,5,1)="1",1,0)*(1+입력란!$C$44/100)</f>
        <v>0</v>
      </c>
      <c r="W521" s="26"/>
      <c r="X521" s="26"/>
      <c r="Y521" s="26"/>
      <c r="Z521" s="27">
        <f>AN521*0.2*IF(MID(E521,3,1)="3",1,0)*IF(MID(E521,5,1)="1",9,8)*(1+입력란!$C$44/100)</f>
        <v>0</v>
      </c>
      <c r="AA521" s="30">
        <f t="shared" si="72"/>
        <v>1469624.6492908527</v>
      </c>
      <c r="AB521" s="30">
        <f t="shared" si="73"/>
        <v>489874.88309695089</v>
      </c>
      <c r="AC521" s="30">
        <f t="shared" si="74"/>
        <v>489874.88309695089</v>
      </c>
      <c r="AD521" s="30">
        <f t="shared" si="75"/>
        <v>489874.88309695089</v>
      </c>
      <c r="AE521" s="30">
        <f t="shared" si="76"/>
        <v>0</v>
      </c>
      <c r="AF521" s="39"/>
      <c r="AG521" s="39"/>
      <c r="AH521" s="39"/>
      <c r="AI521" s="25">
        <f t="shared" si="77"/>
        <v>0</v>
      </c>
      <c r="AJ521" s="30">
        <f>AQ521*(1-입력란!$C$35/100)</f>
        <v>26.686990101059997</v>
      </c>
      <c r="AK52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21" s="26">
        <f>입력란!$C$47+IF(입력란!$C$18=1,10,IF(입력란!$C$18=2,25,IF(입력란!$C$18=3,50,0)))+IF(입력란!$C$23&lt;&gt;0,-12)</f>
        <v>200</v>
      </c>
      <c r="AM521" s="26">
        <f t="shared" si="78"/>
        <v>96207.675854637171</v>
      </c>
      <c r="AN521" s="30">
        <f>(VLOOKUP(C521,$B$4:$AJ$7,29,FALSE)+VLOOKUP(C521,$B$8:$AJ$11,29,FALSE)*입력란!$C$29)*입력란!$C$48/100</f>
        <v>96207.675854637171</v>
      </c>
      <c r="AO521" s="39"/>
      <c r="AP521" s="39"/>
      <c r="AQ521" s="23">
        <v>27</v>
      </c>
    </row>
    <row r="522" spans="2:43" ht="13.5" customHeight="1" x14ac:dyDescent="0.3">
      <c r="B522" s="31">
        <v>507</v>
      </c>
      <c r="C522" s="40">
        <v>10</v>
      </c>
      <c r="D522" s="44" t="s">
        <v>260</v>
      </c>
      <c r="E522" s="38" t="s">
        <v>253</v>
      </c>
      <c r="F522" s="40" t="s">
        <v>415</v>
      </c>
      <c r="G522" s="40" t="s">
        <v>416</v>
      </c>
      <c r="H522" s="81">
        <f t="shared" si="70"/>
        <v>59646.300826037768</v>
      </c>
      <c r="I522" s="53">
        <f>SUM(J522:Q522)*IF(입력란!$C$16=1,1.04,IF(입력란!$C$16=2,1.1,IF(입력란!$C$16=3,1.2,1)))*IF(입력란!$C$21=1,1+입력란!$C$38*0.001,IF(입력란!$C$21=2,1+입력란!$C$38*0.0022,IF(입력란!$C$21=3,1+입력란!$C$38*0.0045,1)))*IF(입력란!$C$18&lt;&gt;0,0.98,1)</f>
        <v>1591780.2397093168</v>
      </c>
      <c r="J522" s="30">
        <f>S522*(1+IF($AK522+IF(입력란!$C$26=1,10,0)+IF(MID(E522,5,1)="1",IF(G522="생명40%이하",트라이포드!$O$23,0),0)&gt;100,100,$AK522+IF(입력란!$C$26=1,10,0)+IF(MID(E522,5,1)="1",IF(G522="생명40%이하",트라이포드!$O$23,0),0))/100*(($AL522+IF(MID(E522,5,1)="1",IF(G522="생명40%이하",트라이포드!P$23,0)))/100-1))</f>
        <v>326583.2553979673</v>
      </c>
      <c r="K522" s="30">
        <f>T522*(1+IF($AK522+IF(입력란!$C$26=1,10,0)+IF(MID(E522,5,1)="1",IF(G522="생명40%이하",트라이포드!$O$23,0),0)&gt;100,100,$AK522+IF(입력란!$C$26=1,10,0)+IF(MID(E522,5,1)="1",IF(G522="생명40%이하",트라이포드!$O$23,0),0))/100*(($AL522+IF(MID(E522,5,1)="1",IF(G522="생명40%이하",트라이포드!P$23,0)))/100-1))</f>
        <v>326583.2553979673</v>
      </c>
      <c r="L522" s="26">
        <f>U522*(1+IF($AK522+IF(입력란!$C$26=1,10,0)+IF(MID(E522,5,1)="1",IF(G522="생명40%이하",트라이포드!$O$23,0),0)&gt;100,100,$AK522+IF(입력란!$C$26=1,10,0)+IF(MID(E522,5,1)="1",IF(G522="생명40%이하",트라이포드!$O$23,0),0))/100*(($AL522+IF(MID(E522,5,1)="1",IF(G522="생명40%이하",트라이포드!P$23,0)))/100-1))</f>
        <v>326583.2553979673</v>
      </c>
      <c r="M522" s="26">
        <f>V522*(1+IF($AK522+IF(입력란!$C$26=1,10,0)+IF(MID(E522,5,1)="1",IF(G522="생명40%이하",트라이포드!$O$23,0),0)&gt;100,100,$AK522+IF(입력란!$C$26=1,10,0)+IF(MID(E522,5,1)="1",IF(G522="생명40%이하",트라이포드!$O$23,0),0))/100*(($AL522+IF(MID(E522,5,1)="1",IF(G522="생명40%이하",트라이포드!P$23,0)))/100-1))</f>
        <v>326583.2553979673</v>
      </c>
      <c r="N522" s="39"/>
      <c r="O522" s="39"/>
      <c r="P522" s="39"/>
      <c r="Q522" s="35">
        <f>Z522*(1+IF($AK522+IF(입력란!$C$26=1,10,0)&gt;100,100,$AK522+IF(입력란!$C$26=1,10,0))/100*($AL522/100-1))</f>
        <v>285447.21811744769</v>
      </c>
      <c r="R522" s="24">
        <f t="shared" si="71"/>
        <v>888306.454682471</v>
      </c>
      <c r="S522" s="30">
        <f>AN522*IF(MID(E522,1,1)="2",IF(G522="생명40%이하",트라이포드!$F$23,트라이포드!$E$23),1)*IF(MID(E522,5,1)="2",트라이포드!$R$23,트라이포드!$Q$23)*(1+입력란!$C$44/100)</f>
        <v>163291.62769898365</v>
      </c>
      <c r="T522" s="30">
        <f>AN522*IF(MID(E522,1,1)="2",IF(G522="생명40%이하",트라이포드!$F$23,트라이포드!$E$23),1)*IF(MID(E522,5,1)="2",트라이포드!$R$23,트라이포드!$Q$23)*(1+입력란!$C$44/100)</f>
        <v>163291.62769898365</v>
      </c>
      <c r="U522" s="26">
        <f>AN522*IF(MID(E522,1,1)="2",IF(G522="생명40%이하",트라이포드!$F$23,트라이포드!$E$23),1)*IF(MID(E522,5,1)="2",트라이포드!$R$23,트라이포드!$Q$23)*(1+입력란!$C$44/100)</f>
        <v>163291.62769898365</v>
      </c>
      <c r="V522" s="26">
        <f>AN522*IF(MID(E522,1,1)="2",IF(G522="생명40%이하",트라이포드!$F$23,트라이포드!$E$23),1)*IF(MID(E522,5,1)="2",트라이포드!$R$23,트라이포드!$Q$23)*IF(MID(E522,5,1)="1",1,0)*(1+입력란!$C$44/100)</f>
        <v>163291.62769898365</v>
      </c>
      <c r="W522" s="26"/>
      <c r="X522" s="26"/>
      <c r="Y522" s="26"/>
      <c r="Z522" s="27">
        <f>AN522*0.2*IF(MID(E522,3,1)="3",1,0)*IF(MID(E522,5,1)="1",9,8)*(1+입력란!$C$44/100)</f>
        <v>235139.94388653646</v>
      </c>
      <c r="AA522" s="30">
        <f t="shared" si="72"/>
        <v>1776612.909364942</v>
      </c>
      <c r="AB522" s="30">
        <f t="shared" si="73"/>
        <v>326583.2553979673</v>
      </c>
      <c r="AC522" s="30">
        <f t="shared" si="74"/>
        <v>326583.2553979673</v>
      </c>
      <c r="AD522" s="30">
        <f t="shared" si="75"/>
        <v>326583.2553979673</v>
      </c>
      <c r="AE522" s="30">
        <f t="shared" si="76"/>
        <v>326583.2553979673</v>
      </c>
      <c r="AF522" s="39"/>
      <c r="AG522" s="39"/>
      <c r="AH522" s="39"/>
      <c r="AI522" s="25">
        <f t="shared" si="77"/>
        <v>470279.88777307293</v>
      </c>
      <c r="AJ522" s="30">
        <f>AQ522*(1-입력란!$C$35/100)</f>
        <v>26.686990101059997</v>
      </c>
      <c r="AK52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22" s="26">
        <f>입력란!$C$47+IF(입력란!$C$18=1,10,IF(입력란!$C$18=2,25,IF(입력란!$C$18=3,50,0)))+IF(입력란!$C$23&lt;&gt;0,-12)</f>
        <v>200</v>
      </c>
      <c r="AM522" s="26">
        <f t="shared" si="78"/>
        <v>96207.675854637171</v>
      </c>
      <c r="AN522" s="30">
        <f>(VLOOKUP(C522,$B$4:$AJ$7,29,FALSE)+VLOOKUP(C522,$B$8:$AJ$11,29,FALSE)*입력란!$C$29)*입력란!$C$48/100</f>
        <v>96207.675854637171</v>
      </c>
      <c r="AO522" s="39"/>
      <c r="AP522" s="39"/>
      <c r="AQ522" s="23">
        <v>27</v>
      </c>
    </row>
    <row r="523" spans="2:43" ht="13.5" customHeight="1" x14ac:dyDescent="0.3">
      <c r="B523" s="31">
        <v>508</v>
      </c>
      <c r="C523" s="40">
        <v>10</v>
      </c>
      <c r="D523" s="44" t="s">
        <v>260</v>
      </c>
      <c r="E523" s="38" t="s">
        <v>254</v>
      </c>
      <c r="F523" s="40" t="s">
        <v>262</v>
      </c>
      <c r="G523" s="40" t="s">
        <v>416</v>
      </c>
      <c r="H523" s="81">
        <f t="shared" si="70"/>
        <v>42933.032643511098</v>
      </c>
      <c r="I523" s="53">
        <f>SUM(J523:Q523)*IF(입력란!$C$16=1,1.04,IF(입력란!$C$16=2,1.1,IF(입력란!$C$16=3,1.2,1)))*IF(입력란!$C$21=1,1+입력란!$C$38*0.001,IF(입력란!$C$21=2,1+입력란!$C$38*0.0022,IF(입력란!$C$21=3,1+입력란!$C$38*0.0045,1)))*IF(입력란!$C$18&lt;&gt;0,0.98,1)</f>
        <v>1145753.4171658664</v>
      </c>
      <c r="J523" s="30">
        <f>S523*(1+IF($AK523+IF(입력란!$C$26=1,10,0)+IF(MID(E523,5,1)="1",IF(G523="생명40%이하",트라이포드!$O$23,0),0)&gt;100,100,$AK523+IF(입력란!$C$26=1,10,0)+IF(MID(E523,5,1)="1",IF(G523="생명40%이하",트라이포드!$O$23,0),0))/100*(($AL523+IF(MID(E523,5,1)="1",IF(G523="생명40%이하",트라이포드!P$23,0)))/100-1))</f>
        <v>297340.85220567463</v>
      </c>
      <c r="K523" s="30">
        <f>T523*(1+IF($AK523+IF(입력란!$C$26=1,10,0)+IF(MID(E523,5,1)="1",IF(G523="생명40%이하",트라이포드!$O$23,0),0)&gt;100,100,$AK523+IF(입력란!$C$26=1,10,0)+IF(MID(E523,5,1)="1",IF(G523="생명40%이하",트라이포드!$O$23,0),0))/100*(($AL523+IF(MID(E523,5,1)="1",IF(G523="생명40%이하",트라이포드!P$23,0)))/100-1))</f>
        <v>297340.85220567463</v>
      </c>
      <c r="L523" s="26">
        <f>U523*(1+IF($AK523+IF(입력란!$C$26=1,10,0)+IF(MID(E523,5,1)="1",IF(G523="생명40%이하",트라이포드!$O$23,0),0)&gt;100,100,$AK523+IF(입력란!$C$26=1,10,0)+IF(MID(E523,5,1)="1",IF(G523="생명40%이하",트라이포드!$O$23,0),0))/100*(($AL523+IF(MID(E523,5,1)="1",IF(G523="생명40%이하",트라이포드!P$23,0)))/100-1))</f>
        <v>297340.85220567463</v>
      </c>
      <c r="M523" s="26">
        <f>V523*(1+IF($AK523+IF(입력란!$C$26=1,10,0)+IF(MID(E523,5,1)="1",IF(G523="생명40%이하",트라이포드!$O$23,0),0)&gt;100,100,$AK523+IF(입력란!$C$26=1,10,0)+IF(MID(E523,5,1)="1",IF(G523="생명40%이하",트라이포드!$O$23,0),0))/100*(($AL523+IF(MID(E523,5,1)="1",IF(G523="생명40%이하",트라이포드!P$23,0)))/100-1))</f>
        <v>0</v>
      </c>
      <c r="N523" s="39"/>
      <c r="O523" s="39"/>
      <c r="P523" s="39"/>
      <c r="Q523" s="35">
        <f>Z523*(1+IF($AK523+IF(입력란!$C$26=1,10,0)&gt;100,100,$AK523+IF(입력란!$C$26=1,10,0))/100*($AL523/100-1))</f>
        <v>253730.86054884241</v>
      </c>
      <c r="R523" s="24">
        <f t="shared" si="71"/>
        <v>943825.60810012545</v>
      </c>
      <c r="S523" s="30">
        <f>AN523*IF(MID(E523,1,1)="2",IF(G523="생명40%이하",트라이포드!$F$23,트라이포드!$E$23),1)*IF(MID(E523,5,1)="2",트라이포드!$R$23,트라이포드!$Q$23)*(1+입력란!$C$44/100)</f>
        <v>244937.44154847544</v>
      </c>
      <c r="T523" s="30">
        <f>AN523*IF(MID(E523,1,1)="2",IF(G523="생명40%이하",트라이포드!$F$23,트라이포드!$E$23),1)*IF(MID(E523,5,1)="2",트라이포드!$R$23,트라이포드!$Q$23)*(1+입력란!$C$44/100)</f>
        <v>244937.44154847544</v>
      </c>
      <c r="U523" s="26">
        <f>AN523*IF(MID(E523,1,1)="2",IF(G523="생명40%이하",트라이포드!$F$23,트라이포드!$E$23),1)*IF(MID(E523,5,1)="2",트라이포드!$R$23,트라이포드!$Q$23)*(1+입력란!$C$44/100)</f>
        <v>244937.44154847544</v>
      </c>
      <c r="V523" s="26">
        <f>AN523*IF(MID(E523,1,1)="2",IF(G523="생명40%이하",트라이포드!$F$23,트라이포드!$E$23),1)*IF(MID(E523,5,1)="2",트라이포드!$R$23,트라이포드!$Q$23)*IF(MID(E523,5,1)="1",1,0)*(1+입력란!$C$44/100)</f>
        <v>0</v>
      </c>
      <c r="W523" s="26"/>
      <c r="X523" s="26"/>
      <c r="Y523" s="26"/>
      <c r="Z523" s="27">
        <f>AN523*0.2*IF(MID(E523,3,1)="3",1,0)*IF(MID(E523,5,1)="1",9,8)*(1+입력란!$C$44/100)</f>
        <v>209013.28345469909</v>
      </c>
      <c r="AA523" s="30">
        <f t="shared" si="72"/>
        <v>1887651.2162002509</v>
      </c>
      <c r="AB523" s="30">
        <f t="shared" si="73"/>
        <v>489874.88309695089</v>
      </c>
      <c r="AC523" s="30">
        <f t="shared" si="74"/>
        <v>489874.88309695089</v>
      </c>
      <c r="AD523" s="30">
        <f t="shared" si="75"/>
        <v>489874.88309695089</v>
      </c>
      <c r="AE523" s="30">
        <f t="shared" si="76"/>
        <v>0</v>
      </c>
      <c r="AF523" s="39"/>
      <c r="AG523" s="39"/>
      <c r="AH523" s="39"/>
      <c r="AI523" s="25">
        <f t="shared" si="77"/>
        <v>418026.56690939819</v>
      </c>
      <c r="AJ523" s="30">
        <f>AQ523*(1-입력란!$C$35/100)</f>
        <v>26.686990101059997</v>
      </c>
      <c r="AK52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23" s="26">
        <f>입력란!$C$47+IF(입력란!$C$18=1,10,IF(입력란!$C$18=2,25,IF(입력란!$C$18=3,50,0)))+IF(입력란!$C$23&lt;&gt;0,-12)</f>
        <v>200</v>
      </c>
      <c r="AM523" s="26">
        <f t="shared" si="78"/>
        <v>96207.675854637171</v>
      </c>
      <c r="AN523" s="30">
        <f>(VLOOKUP(C523,$B$4:$AJ$7,29,FALSE)+VLOOKUP(C523,$B$8:$AJ$11,29,FALSE)*입력란!$C$29)*입력란!$C$48/100</f>
        <v>96207.675854637171</v>
      </c>
      <c r="AO523" s="39"/>
      <c r="AP523" s="39"/>
      <c r="AQ523" s="23">
        <v>27</v>
      </c>
    </row>
    <row r="524" spans="2:43" ht="13.5" customHeight="1" x14ac:dyDescent="0.3">
      <c r="B524" s="31">
        <v>509</v>
      </c>
      <c r="C524" s="40">
        <v>1</v>
      </c>
      <c r="D524" s="44" t="s">
        <v>260</v>
      </c>
      <c r="E524" s="38" t="s">
        <v>240</v>
      </c>
      <c r="F524" s="40"/>
      <c r="G524" s="40" t="s">
        <v>412</v>
      </c>
      <c r="H524" s="81">
        <f t="shared" ref="H524:H536" si="79">J524*2.5/(1.5+J524/K524)</f>
        <v>17759.500684062237</v>
      </c>
      <c r="I524" s="53"/>
      <c r="J524" s="30">
        <f t="array" ref="J524">IFERROR(INDEX($H$16:$H$596,MATCH(1,(C524=$C$16:$C$596)*(D524=$D$16:$D$596)*(E524=$E$16:$E$596)*(""=$G$16:$G$596),0)),"에러")</f>
        <v>17759.500684062237</v>
      </c>
      <c r="K524" s="30">
        <f t="array" ref="K524">IFERROR(INDEX($H$16:$H$596,MATCH(1,(C524=$C$16:$C$596)*(D524=$D$16:$D$596)*(E524=$E$16:$E$596)*("생명40%이하"=$G$16:$G$596),0)),"에러")</f>
        <v>17759.500684062237</v>
      </c>
      <c r="L524" s="26"/>
      <c r="M524" s="26"/>
      <c r="N524" s="39"/>
      <c r="O524" s="39"/>
      <c r="P524" s="39"/>
      <c r="Q524" s="35"/>
      <c r="R524" s="24"/>
      <c r="S524" s="30"/>
      <c r="T524" s="30"/>
      <c r="U524" s="26"/>
      <c r="V524" s="26"/>
      <c r="W524" s="26"/>
      <c r="X524" s="26"/>
      <c r="Y524" s="26"/>
      <c r="Z524" s="27"/>
      <c r="AA524" s="30"/>
      <c r="AB524" s="30"/>
      <c r="AC524" s="30"/>
      <c r="AD524" s="30"/>
      <c r="AE524" s="30"/>
      <c r="AF524" s="39"/>
      <c r="AG524" s="39"/>
      <c r="AH524" s="39"/>
      <c r="AI524" s="25"/>
      <c r="AJ524" s="30"/>
      <c r="AK524" s="26"/>
      <c r="AL524" s="26"/>
      <c r="AM524" s="26"/>
      <c r="AN524" s="30"/>
      <c r="AO524" s="39"/>
      <c r="AP524" s="39"/>
      <c r="AQ524" s="23"/>
    </row>
    <row r="525" spans="2:43" ht="13.5" customHeight="1" x14ac:dyDescent="0.3">
      <c r="B525" s="31">
        <v>510</v>
      </c>
      <c r="C525" s="40">
        <v>4</v>
      </c>
      <c r="D525" s="44" t="s">
        <v>260</v>
      </c>
      <c r="E525" s="38" t="s">
        <v>240</v>
      </c>
      <c r="F525" s="40"/>
      <c r="G525" s="40" t="s">
        <v>412</v>
      </c>
      <c r="H525" s="81">
        <f t="shared" si="79"/>
        <v>17798.042181279372</v>
      </c>
      <c r="I525" s="53"/>
      <c r="J525" s="30">
        <f t="array" ref="J525">IFERROR(INDEX($H$16:$H$596,MATCH(1,(C525=$C$16:$C$596)*(D525=$D$16:$D$596)*(E525=$E$16:$E$596)*(""=$G$16:$G$596),0)),"에러")</f>
        <v>17798.042181279372</v>
      </c>
      <c r="K525" s="30">
        <f t="array" ref="K525">IFERROR(INDEX($H$16:$H$596,MATCH(1,(C525=$C$16:$C$596)*(D525=$D$16:$D$596)*(E525=$E$16:$E$596)*("생명40%이하"=$G$16:$G$596),0)),"에러")</f>
        <v>17798.042181279372</v>
      </c>
      <c r="L525" s="26"/>
      <c r="M525" s="26"/>
      <c r="N525" s="39"/>
      <c r="O525" s="39"/>
      <c r="P525" s="39"/>
      <c r="Q525" s="35"/>
      <c r="R525" s="24"/>
      <c r="S525" s="30"/>
      <c r="T525" s="30"/>
      <c r="U525" s="26"/>
      <c r="V525" s="26"/>
      <c r="W525" s="26"/>
      <c r="X525" s="26"/>
      <c r="Y525" s="26"/>
      <c r="Z525" s="27"/>
      <c r="AA525" s="30"/>
      <c r="AB525" s="30"/>
      <c r="AC525" s="30"/>
      <c r="AD525" s="30"/>
      <c r="AE525" s="30"/>
      <c r="AF525" s="39"/>
      <c r="AG525" s="39"/>
      <c r="AH525" s="39"/>
      <c r="AI525" s="25"/>
      <c r="AJ525" s="30"/>
      <c r="AK525" s="26"/>
      <c r="AL525" s="26"/>
      <c r="AM525" s="26"/>
      <c r="AN525" s="30"/>
      <c r="AO525" s="39"/>
      <c r="AP525" s="39"/>
      <c r="AQ525" s="23"/>
    </row>
    <row r="526" spans="2:43" ht="13.5" customHeight="1" x14ac:dyDescent="0.3">
      <c r="B526" s="31">
        <v>511</v>
      </c>
      <c r="C526" s="40">
        <v>4</v>
      </c>
      <c r="D526" s="44" t="s">
        <v>260</v>
      </c>
      <c r="E526" s="38" t="s">
        <v>244</v>
      </c>
      <c r="F526" s="40"/>
      <c r="G526" s="40" t="s">
        <v>412</v>
      </c>
      <c r="H526" s="81">
        <f t="shared" si="79"/>
        <v>19345.698023129753</v>
      </c>
      <c r="I526" s="53"/>
      <c r="J526" s="30">
        <f t="array" ref="J526">IFERROR(INDEX($H$16:$H$596,MATCH(1,(C526=$C$16:$C$596)*(D526=$D$16:$D$596)*(E526=$E$16:$E$596)*(""=$G$16:$G$596),0)),"에러")</f>
        <v>17798.042181279372</v>
      </c>
      <c r="K526" s="30">
        <f t="array" ref="K526">IFERROR(INDEX($H$16:$H$596,MATCH(1,(C526=$C$16:$C$596)*(D526=$D$16:$D$596)*(E526=$E$16:$E$596)*("생명40%이하"=$G$16:$G$596),0)),"에러")</f>
        <v>22247.552726599217</v>
      </c>
      <c r="L526" s="26"/>
      <c r="M526" s="26"/>
      <c r="N526" s="39"/>
      <c r="O526" s="39"/>
      <c r="P526" s="39"/>
      <c r="Q526" s="35"/>
      <c r="R526" s="24"/>
      <c r="S526" s="30"/>
      <c r="T526" s="30"/>
      <c r="U526" s="26"/>
      <c r="V526" s="26"/>
      <c r="W526" s="26"/>
      <c r="X526" s="26"/>
      <c r="Y526" s="26"/>
      <c r="Z526" s="27"/>
      <c r="AA526" s="30"/>
      <c r="AB526" s="30"/>
      <c r="AC526" s="30"/>
      <c r="AD526" s="30"/>
      <c r="AE526" s="30"/>
      <c r="AF526" s="39"/>
      <c r="AG526" s="39"/>
      <c r="AH526" s="39"/>
      <c r="AI526" s="25"/>
      <c r="AJ526" s="30"/>
      <c r="AK526" s="26"/>
      <c r="AL526" s="26"/>
      <c r="AM526" s="26"/>
      <c r="AN526" s="30"/>
      <c r="AO526" s="39"/>
      <c r="AP526" s="39"/>
      <c r="AQ526" s="23"/>
    </row>
    <row r="527" spans="2:43" ht="13.5" customHeight="1" x14ac:dyDescent="0.3">
      <c r="B527" s="31">
        <v>512</v>
      </c>
      <c r="C527" s="40">
        <v>7</v>
      </c>
      <c r="D527" s="44" t="s">
        <v>260</v>
      </c>
      <c r="E527" s="38" t="s">
        <v>240</v>
      </c>
      <c r="F527" s="40"/>
      <c r="G527" s="40" t="s">
        <v>412</v>
      </c>
      <c r="H527" s="81">
        <f t="shared" si="79"/>
        <v>17815.97880113811</v>
      </c>
      <c r="I527" s="53"/>
      <c r="J527" s="30">
        <f t="array" ref="J527">IFERROR(INDEX($H$16:$H$596,MATCH(1,(C527=$C$16:$C$596)*(D527=$D$16:$D$596)*(E527=$E$16:$E$596)*(""=$G$16:$G$596),0)),"에러")</f>
        <v>17815.97880113811</v>
      </c>
      <c r="K527" s="30">
        <f t="array" ref="K527">IFERROR(INDEX($H$16:$H$596,MATCH(1,(C527=$C$16:$C$596)*(D527=$D$16:$D$596)*(E527=$E$16:$E$596)*("생명40%이하"=$G$16:$G$596),0)),"에러")</f>
        <v>17815.97880113811</v>
      </c>
      <c r="L527" s="26"/>
      <c r="M527" s="26"/>
      <c r="N527" s="39"/>
      <c r="O527" s="39"/>
      <c r="P527" s="39"/>
      <c r="Q527" s="35"/>
      <c r="R527" s="24"/>
      <c r="S527" s="30"/>
      <c r="T527" s="30"/>
      <c r="U527" s="26"/>
      <c r="V527" s="26"/>
      <c r="W527" s="26"/>
      <c r="X527" s="26"/>
      <c r="Y527" s="26"/>
      <c r="Z527" s="27"/>
      <c r="AA527" s="30"/>
      <c r="AB527" s="30"/>
      <c r="AC527" s="30"/>
      <c r="AD527" s="30"/>
      <c r="AE527" s="30"/>
      <c r="AF527" s="39"/>
      <c r="AG527" s="39"/>
      <c r="AH527" s="39"/>
      <c r="AI527" s="25"/>
      <c r="AJ527" s="30"/>
      <c r="AK527" s="26"/>
      <c r="AL527" s="26"/>
      <c r="AM527" s="26"/>
      <c r="AN527" s="30"/>
      <c r="AO527" s="39"/>
      <c r="AP527" s="39"/>
      <c r="AQ527" s="23"/>
    </row>
    <row r="528" spans="2:43" ht="13.5" customHeight="1" x14ac:dyDescent="0.3">
      <c r="B528" s="31">
        <v>513</v>
      </c>
      <c r="C528" s="40">
        <v>7</v>
      </c>
      <c r="D528" s="44" t="s">
        <v>260</v>
      </c>
      <c r="E528" s="38" t="s">
        <v>243</v>
      </c>
      <c r="F528" s="40" t="s">
        <v>262</v>
      </c>
      <c r="G528" s="40" t="s">
        <v>412</v>
      </c>
      <c r="H528" s="81">
        <f t="shared" si="79"/>
        <v>27317.834161745104</v>
      </c>
      <c r="I528" s="53"/>
      <c r="J528" s="30">
        <f t="array" ref="J528">IFERROR(INDEX($H$16:$H$596,MATCH(1,(C528=$C$16:$C$596)*(D528=$D$16:$D$596)*(E528=$E$16:$E$596)*(""=$G$16:$G$596),0)),"에러")</f>
        <v>27317.834161745104</v>
      </c>
      <c r="K528" s="30">
        <f t="array" ref="K528">IFERROR(INDEX($H$16:$H$596,MATCH(1,(C528=$C$16:$C$596)*(D528=$D$16:$D$596)*(E528=$E$16:$E$596)*("생명40%이하"=$G$16:$G$596),0)),"에러")</f>
        <v>27317.834161745104</v>
      </c>
      <c r="L528" s="26"/>
      <c r="M528" s="26"/>
      <c r="N528" s="39"/>
      <c r="O528" s="39"/>
      <c r="P528" s="39"/>
      <c r="Q528" s="35"/>
      <c r="R528" s="24"/>
      <c r="S528" s="30"/>
      <c r="T528" s="30"/>
      <c r="U528" s="26"/>
      <c r="V528" s="26"/>
      <c r="W528" s="26"/>
      <c r="X528" s="26"/>
      <c r="Y528" s="26"/>
      <c r="Z528" s="27"/>
      <c r="AA528" s="30"/>
      <c r="AB528" s="30"/>
      <c r="AC528" s="30"/>
      <c r="AD528" s="30"/>
      <c r="AE528" s="30"/>
      <c r="AF528" s="39"/>
      <c r="AG528" s="39"/>
      <c r="AH528" s="39"/>
      <c r="AI528" s="25"/>
      <c r="AJ528" s="30"/>
      <c r="AK528" s="26"/>
      <c r="AL528" s="26"/>
      <c r="AM528" s="26"/>
      <c r="AN528" s="30"/>
      <c r="AO528" s="39"/>
      <c r="AP528" s="39"/>
      <c r="AQ528" s="23"/>
    </row>
    <row r="529" spans="2:43" ht="13.5" customHeight="1" x14ac:dyDescent="0.3">
      <c r="B529" s="31">
        <v>514</v>
      </c>
      <c r="C529" s="40">
        <v>7</v>
      </c>
      <c r="D529" s="44" t="s">
        <v>260</v>
      </c>
      <c r="E529" s="38" t="s">
        <v>246</v>
      </c>
      <c r="F529" s="40" t="s">
        <v>415</v>
      </c>
      <c r="G529" s="40" t="s">
        <v>412</v>
      </c>
      <c r="H529" s="81">
        <f t="shared" si="79"/>
        <v>28940.675795116105</v>
      </c>
      <c r="I529" s="53"/>
      <c r="J529" s="30">
        <f t="array" ref="J529">IFERROR(INDEX($H$16:$H$596,MATCH(1,(C529=$C$16:$C$596)*(D529=$D$16:$D$596)*(E529=$E$16:$E$596)*(""=$G$16:$G$596),0)),"에러")</f>
        <v>27317.834161745104</v>
      </c>
      <c r="K529" s="30">
        <f t="array" ref="K529">IFERROR(INDEX($H$16:$H$596,MATCH(1,(C529=$C$16:$C$596)*(D529=$D$16:$D$596)*(E529=$E$16:$E$596)*("생명40%이하"=$G$16:$G$596),0)),"에러")</f>
        <v>31771.828862029641</v>
      </c>
      <c r="L529" s="26"/>
      <c r="M529" s="26"/>
      <c r="N529" s="39"/>
      <c r="O529" s="39"/>
      <c r="P529" s="39"/>
      <c r="Q529" s="35"/>
      <c r="R529" s="24"/>
      <c r="S529" s="30"/>
      <c r="T529" s="30"/>
      <c r="U529" s="26"/>
      <c r="V529" s="26"/>
      <c r="W529" s="26"/>
      <c r="X529" s="26"/>
      <c r="Y529" s="26"/>
      <c r="Z529" s="27"/>
      <c r="AA529" s="30"/>
      <c r="AB529" s="30"/>
      <c r="AC529" s="30"/>
      <c r="AD529" s="30"/>
      <c r="AE529" s="30"/>
      <c r="AF529" s="39"/>
      <c r="AG529" s="39"/>
      <c r="AH529" s="39"/>
      <c r="AI529" s="25"/>
      <c r="AJ529" s="30"/>
      <c r="AK529" s="26"/>
      <c r="AL529" s="26"/>
      <c r="AM529" s="26"/>
      <c r="AN529" s="30"/>
      <c r="AO529" s="39"/>
      <c r="AP529" s="39"/>
      <c r="AQ529" s="23"/>
    </row>
    <row r="530" spans="2:43" ht="13.5" customHeight="1" x14ac:dyDescent="0.3">
      <c r="B530" s="31">
        <v>515</v>
      </c>
      <c r="C530" s="40">
        <v>10</v>
      </c>
      <c r="D530" s="44" t="s">
        <v>260</v>
      </c>
      <c r="E530" s="38" t="s">
        <v>240</v>
      </c>
      <c r="F530" s="40"/>
      <c r="G530" s="40" t="s">
        <v>412</v>
      </c>
      <c r="H530" s="81">
        <f t="shared" si="79"/>
        <v>17826.864765471735</v>
      </c>
      <c r="I530" s="53"/>
      <c r="J530" s="30">
        <f t="array" ref="J530">IFERROR(INDEX($H$16:$H$596,MATCH(1,(C530=$C$16:$C$596)*(D530=$D$16:$D$596)*(E530=$E$16:$E$596)*(""=$G$16:$G$596),0)),"에러")</f>
        <v>17826.864765471735</v>
      </c>
      <c r="K530" s="30">
        <f t="array" ref="K530">IFERROR(INDEX($H$16:$H$596,MATCH(1,(C530=$C$16:$C$596)*(D530=$D$16:$D$596)*(E530=$E$16:$E$596)*("생명40%이하"=$G$16:$G$596),0)),"에러")</f>
        <v>17826.864765471735</v>
      </c>
      <c r="L530" s="26"/>
      <c r="M530" s="26"/>
      <c r="N530" s="39"/>
      <c r="O530" s="39"/>
      <c r="P530" s="39"/>
      <c r="Q530" s="35"/>
      <c r="R530" s="24"/>
      <c r="S530" s="30"/>
      <c r="T530" s="30"/>
      <c r="U530" s="26"/>
      <c r="V530" s="26"/>
      <c r="W530" s="26"/>
      <c r="X530" s="26"/>
      <c r="Y530" s="26"/>
      <c r="Z530" s="27"/>
      <c r="AA530" s="30"/>
      <c r="AB530" s="30"/>
      <c r="AC530" s="30"/>
      <c r="AD530" s="30"/>
      <c r="AE530" s="30"/>
      <c r="AF530" s="39"/>
      <c r="AG530" s="39"/>
      <c r="AH530" s="39"/>
      <c r="AI530" s="25"/>
      <c r="AJ530" s="30"/>
      <c r="AK530" s="26"/>
      <c r="AL530" s="26"/>
      <c r="AM530" s="26"/>
      <c r="AN530" s="30"/>
      <c r="AO530" s="39"/>
      <c r="AP530" s="39"/>
      <c r="AQ530" s="23"/>
    </row>
    <row r="531" spans="2:43" ht="13.5" customHeight="1" x14ac:dyDescent="0.3">
      <c r="B531" s="31">
        <v>516</v>
      </c>
      <c r="C531" s="8">
        <v>10</v>
      </c>
      <c r="D531" s="44" t="s">
        <v>260</v>
      </c>
      <c r="E531" s="40" t="s">
        <v>247</v>
      </c>
      <c r="F531" s="40"/>
      <c r="G531" s="40" t="s">
        <v>412</v>
      </c>
      <c r="H531" s="81">
        <f t="shared" si="79"/>
        <v>28202.962792832437</v>
      </c>
      <c r="I531" s="53"/>
      <c r="J531" s="30">
        <f t="array" ref="J531">IFERROR(INDEX($H$16:$H$596,MATCH(1,(C531=$C$16:$C$596)*(D531=$D$16:$D$596)*(E531=$E$16:$E$596)*(""=$G$16:$G$596),0)),"에러")</f>
        <v>23769.153020628979</v>
      </c>
      <c r="K531" s="30">
        <f t="array" ref="K531">IFERROR(INDEX($H$16:$H$596,MATCH(1,(C531=$C$16:$C$596)*(D531=$D$16:$D$596)*(E531=$E$16:$E$596)*("생명40%이하"=$G$16:$G$596),0)),"에러")</f>
        <v>39160.145573403788</v>
      </c>
      <c r="L531" s="26"/>
      <c r="M531" s="26"/>
      <c r="N531" s="39"/>
      <c r="O531" s="39"/>
      <c r="P531" s="39"/>
      <c r="Q531" s="35"/>
      <c r="R531" s="24"/>
      <c r="S531" s="30"/>
      <c r="T531" s="30"/>
      <c r="U531" s="26"/>
      <c r="V531" s="26"/>
      <c r="W531" s="26"/>
      <c r="X531" s="26"/>
      <c r="Y531" s="26"/>
      <c r="Z531" s="27"/>
      <c r="AA531" s="30"/>
      <c r="AB531" s="30"/>
      <c r="AC531" s="30"/>
      <c r="AD531" s="30"/>
      <c r="AE531" s="30"/>
      <c r="AF531" s="39"/>
      <c r="AG531" s="39"/>
      <c r="AH531" s="39"/>
      <c r="AI531" s="25"/>
      <c r="AJ531" s="30"/>
      <c r="AK531" s="26"/>
      <c r="AL531" s="26"/>
      <c r="AM531" s="26"/>
      <c r="AN531" s="30"/>
      <c r="AO531" s="39"/>
      <c r="AP531" s="39"/>
      <c r="AQ531" s="23"/>
    </row>
    <row r="532" spans="2:43" ht="13.5" customHeight="1" x14ac:dyDescent="0.3">
      <c r="B532" s="31">
        <v>517</v>
      </c>
      <c r="C532" s="8">
        <v>10</v>
      </c>
      <c r="D532" s="44" t="s">
        <v>260</v>
      </c>
      <c r="E532" s="40" t="s">
        <v>248</v>
      </c>
      <c r="F532" s="40"/>
      <c r="G532" s="40" t="s">
        <v>412</v>
      </c>
      <c r="H532" s="81">
        <f t="shared" si="79"/>
        <v>26740.297148207603</v>
      </c>
      <c r="I532" s="53"/>
      <c r="J532" s="30">
        <f t="array" ref="J532">IFERROR(INDEX($H$16:$H$596,MATCH(1,(C532=$C$16:$C$596)*(D532=$D$16:$D$596)*(E532=$E$16:$E$596)*(""=$G$16:$G$596),0)),"에러")</f>
        <v>26740.297148207603</v>
      </c>
      <c r="K532" s="30">
        <f t="array" ref="K532">IFERROR(INDEX($H$16:$H$596,MATCH(1,(C532=$C$16:$C$596)*(D532=$D$16:$D$596)*(E532=$E$16:$E$596)*("생명40%이하"=$G$16:$G$596),0)),"에러")</f>
        <v>26740.297148207603</v>
      </c>
      <c r="L532" s="26"/>
      <c r="M532" s="26"/>
      <c r="N532" s="39"/>
      <c r="O532" s="39"/>
      <c r="P532" s="39"/>
      <c r="Q532" s="35"/>
      <c r="R532" s="24"/>
      <c r="S532" s="30"/>
      <c r="T532" s="30"/>
      <c r="U532" s="26"/>
      <c r="V532" s="26"/>
      <c r="W532" s="26"/>
      <c r="X532" s="26"/>
      <c r="Y532" s="26"/>
      <c r="Z532" s="27"/>
      <c r="AA532" s="30"/>
      <c r="AB532" s="30"/>
      <c r="AC532" s="30"/>
      <c r="AD532" s="30"/>
      <c r="AE532" s="30"/>
      <c r="AF532" s="39"/>
      <c r="AG532" s="39"/>
      <c r="AH532" s="39"/>
      <c r="AI532" s="25"/>
      <c r="AJ532" s="30"/>
      <c r="AK532" s="26"/>
      <c r="AL532" s="26"/>
      <c r="AM532" s="26"/>
      <c r="AN532" s="30"/>
      <c r="AO532" s="39"/>
      <c r="AP532" s="39"/>
      <c r="AQ532" s="23"/>
    </row>
    <row r="533" spans="2:43" ht="13.5" customHeight="1" x14ac:dyDescent="0.3">
      <c r="B533" s="31">
        <v>518</v>
      </c>
      <c r="C533" s="8">
        <v>10</v>
      </c>
      <c r="D533" s="44" t="s">
        <v>260</v>
      </c>
      <c r="E533" s="40" t="s">
        <v>249</v>
      </c>
      <c r="F533" s="40"/>
      <c r="G533" s="40" t="s">
        <v>412</v>
      </c>
      <c r="H533" s="81">
        <f t="shared" si="79"/>
        <v>29927.240012339866</v>
      </c>
      <c r="I533" s="53"/>
      <c r="J533" s="30">
        <f t="array" ref="J533">IFERROR(INDEX($H$16:$H$596,MATCH(1,(C533=$C$16:$C$596)*(D533=$D$16:$D$596)*(E533=$E$16:$E$596)*(""=$G$16:$G$596),0)),"에러")</f>
        <v>23769.153020628979</v>
      </c>
      <c r="K533" s="30">
        <f t="array" ref="K533">IFERROR(INDEX($H$16:$H$596,MATCH(1,(C533=$C$16:$C$596)*(D533=$D$16:$D$596)*(E533=$E$16:$E$596)*("생명40%이하"=$G$16:$G$596),0)),"에러")</f>
        <v>48950.181966754732</v>
      </c>
      <c r="L533" s="26"/>
      <c r="M533" s="26"/>
      <c r="N533" s="39"/>
      <c r="O533" s="39"/>
      <c r="P533" s="39"/>
      <c r="Q533" s="35"/>
      <c r="R533" s="24"/>
      <c r="S533" s="30"/>
      <c r="T533" s="30"/>
      <c r="U533" s="26"/>
      <c r="V533" s="26"/>
      <c r="W533" s="26"/>
      <c r="X533" s="26"/>
      <c r="Y533" s="26"/>
      <c r="Z533" s="27"/>
      <c r="AA533" s="30"/>
      <c r="AB533" s="30"/>
      <c r="AC533" s="30"/>
      <c r="AD533" s="30"/>
      <c r="AE533" s="30"/>
      <c r="AF533" s="39"/>
      <c r="AG533" s="39"/>
      <c r="AH533" s="39"/>
      <c r="AI533" s="25"/>
      <c r="AJ533" s="30"/>
      <c r="AK533" s="26"/>
      <c r="AL533" s="26"/>
      <c r="AM533" s="26"/>
      <c r="AN533" s="30"/>
      <c r="AO533" s="39"/>
      <c r="AP533" s="39"/>
      <c r="AQ533" s="23"/>
    </row>
    <row r="534" spans="2:43" ht="13.5" customHeight="1" x14ac:dyDescent="0.3">
      <c r="B534" s="31">
        <v>519</v>
      </c>
      <c r="C534" s="8">
        <v>10</v>
      </c>
      <c r="D534" s="44" t="s">
        <v>260</v>
      </c>
      <c r="E534" s="40" t="s">
        <v>250</v>
      </c>
      <c r="F534" s="40"/>
      <c r="G534" s="40" t="s">
        <v>412</v>
      </c>
      <c r="H534" s="81">
        <f t="shared" si="79"/>
        <v>29065.540378486523</v>
      </c>
      <c r="I534" s="53"/>
      <c r="J534" s="30">
        <f t="array" ref="J534">IFERROR(INDEX($H$16:$H$596,MATCH(1,(C534=$C$16:$C$596)*(D534=$D$16:$D$596)*(E534=$E$16:$E$596)*(""=$G$16:$G$596),0)),"에러")</f>
        <v>26740.297148207603</v>
      </c>
      <c r="K534" s="30">
        <f t="array" ref="K534">IFERROR(INDEX($H$16:$H$596,MATCH(1,(C534=$C$16:$C$596)*(D534=$D$16:$D$596)*(E534=$E$16:$E$596)*("생명40%이하"=$G$16:$G$596),0)),"에러")</f>
        <v>33425.371435259498</v>
      </c>
      <c r="L534" s="26"/>
      <c r="M534" s="26"/>
      <c r="N534" s="39"/>
      <c r="O534" s="39"/>
      <c r="P534" s="39"/>
      <c r="Q534" s="35"/>
      <c r="R534" s="24"/>
      <c r="S534" s="30"/>
      <c r="T534" s="30"/>
      <c r="U534" s="26"/>
      <c r="V534" s="26"/>
      <c r="W534" s="26"/>
      <c r="X534" s="26"/>
      <c r="Y534" s="26"/>
      <c r="Z534" s="27"/>
      <c r="AA534" s="30"/>
      <c r="AB534" s="30"/>
      <c r="AC534" s="30"/>
      <c r="AD534" s="30"/>
      <c r="AE534" s="30"/>
      <c r="AF534" s="39"/>
      <c r="AG534" s="39"/>
      <c r="AH534" s="39"/>
      <c r="AI534" s="25"/>
      <c r="AJ534" s="30"/>
      <c r="AK534" s="26"/>
      <c r="AL534" s="26"/>
      <c r="AM534" s="26"/>
      <c r="AN534" s="30"/>
      <c r="AO534" s="39"/>
      <c r="AP534" s="39"/>
      <c r="AQ534" s="23"/>
    </row>
    <row r="535" spans="2:43" ht="13.5" customHeight="1" x14ac:dyDescent="0.3">
      <c r="B535" s="31">
        <v>520</v>
      </c>
      <c r="C535" s="40">
        <v>10</v>
      </c>
      <c r="D535" s="44" t="s">
        <v>260</v>
      </c>
      <c r="E535" s="38" t="s">
        <v>253</v>
      </c>
      <c r="F535" s="40" t="s">
        <v>415</v>
      </c>
      <c r="G535" s="40" t="s">
        <v>412</v>
      </c>
      <c r="H535" s="81">
        <f t="shared" si="79"/>
        <v>41467.918006865984</v>
      </c>
      <c r="I535" s="53"/>
      <c r="J535" s="30">
        <f t="array" ref="J535">IFERROR(INDEX($H$16:$H$596,MATCH(1,(C535=$C$16:$C$596)*(D535=$D$16:$D$596)*(E535=$E$16:$E$596)*(""=$G$16:$G$596),0)),"에러")</f>
        <v>34465.271879912019</v>
      </c>
      <c r="K535" s="30">
        <f t="array" ref="K535">IFERROR(INDEX($H$16:$H$596,MATCH(1,(C535=$C$16:$C$596)*(D535=$D$16:$D$596)*(E535=$E$16:$E$596)*("생명40%이하"=$G$16:$G$596),0)),"에러")</f>
        <v>59646.300826037768</v>
      </c>
      <c r="L535" s="26"/>
      <c r="M535" s="26"/>
      <c r="N535" s="39"/>
      <c r="O535" s="39"/>
      <c r="P535" s="39"/>
      <c r="Q535" s="35"/>
      <c r="R535" s="24"/>
      <c r="S535" s="30"/>
      <c r="T535" s="30"/>
      <c r="U535" s="26"/>
      <c r="V535" s="26"/>
      <c r="W535" s="26"/>
      <c r="X535" s="26"/>
      <c r="Y535" s="26"/>
      <c r="Z535" s="27"/>
      <c r="AA535" s="30"/>
      <c r="AB535" s="30"/>
      <c r="AC535" s="30"/>
      <c r="AD535" s="30"/>
      <c r="AE535" s="30"/>
      <c r="AF535" s="39"/>
      <c r="AG535" s="39"/>
      <c r="AH535" s="39"/>
      <c r="AI535" s="25"/>
      <c r="AJ535" s="30"/>
      <c r="AK535" s="26"/>
      <c r="AL535" s="26"/>
      <c r="AM535" s="26"/>
      <c r="AN535" s="30"/>
      <c r="AO535" s="39"/>
      <c r="AP535" s="39"/>
      <c r="AQ535" s="23"/>
    </row>
    <row r="536" spans="2:43" ht="13.5" customHeight="1" x14ac:dyDescent="0.3">
      <c r="B536" s="31">
        <v>521</v>
      </c>
      <c r="C536" s="40">
        <v>10</v>
      </c>
      <c r="D536" s="44" t="s">
        <v>260</v>
      </c>
      <c r="E536" s="38" t="s">
        <v>254</v>
      </c>
      <c r="F536" s="40" t="s">
        <v>262</v>
      </c>
      <c r="G536" s="40" t="s">
        <v>412</v>
      </c>
      <c r="H536" s="81">
        <f t="shared" si="79"/>
        <v>38655.571826629915</v>
      </c>
      <c r="I536" s="53"/>
      <c r="J536" s="30">
        <f t="array" ref="J536">IFERROR(INDEX($H$16:$H$596,MATCH(1,(C536=$C$16:$C$596)*(D536=$D$16:$D$596)*(E536=$E$16:$E$596)*(""=$G$16:$G$596),0)),"에러")</f>
        <v>36247.958356459196</v>
      </c>
      <c r="K536" s="30">
        <f t="array" ref="K536">IFERROR(INDEX($H$16:$H$596,MATCH(1,(C536=$C$16:$C$596)*(D536=$D$16:$D$596)*(E536=$E$16:$E$596)*("생명40%이하"=$G$16:$G$596),0)),"에러")</f>
        <v>42933.032643511098</v>
      </c>
      <c r="L536" s="26"/>
      <c r="M536" s="26"/>
      <c r="N536" s="39"/>
      <c r="O536" s="39"/>
      <c r="P536" s="39"/>
      <c r="Q536" s="35"/>
      <c r="R536" s="24"/>
      <c r="S536" s="30"/>
      <c r="T536" s="30"/>
      <c r="U536" s="26"/>
      <c r="V536" s="26"/>
      <c r="W536" s="26"/>
      <c r="X536" s="26"/>
      <c r="Y536" s="26"/>
      <c r="Z536" s="27"/>
      <c r="AA536" s="30"/>
      <c r="AB536" s="30"/>
      <c r="AC536" s="30"/>
      <c r="AD536" s="30"/>
      <c r="AE536" s="30"/>
      <c r="AF536" s="39"/>
      <c r="AG536" s="39"/>
      <c r="AH536" s="39"/>
      <c r="AI536" s="25"/>
      <c r="AJ536" s="30"/>
      <c r="AK536" s="26"/>
      <c r="AL536" s="26"/>
      <c r="AM536" s="26"/>
      <c r="AN536" s="30"/>
      <c r="AO536" s="39"/>
      <c r="AP536" s="39"/>
      <c r="AQ536" s="23"/>
    </row>
    <row r="537" spans="2:43" ht="13.5" customHeight="1" x14ac:dyDescent="0.3">
      <c r="B537" s="31">
        <v>522</v>
      </c>
      <c r="C537" s="40">
        <v>1</v>
      </c>
      <c r="D537" s="44" t="s">
        <v>263</v>
      </c>
      <c r="E537" s="38" t="s">
        <v>240</v>
      </c>
      <c r="F537" s="40"/>
      <c r="G537" s="40"/>
      <c r="H537" s="81">
        <f t="shared" ref="H537:H578" si="80">I537/AJ537</f>
        <v>15158.220369695948</v>
      </c>
      <c r="I537" s="53">
        <f>SUM(J537:Q537)*IF(입력란!$C$16=1,1.04,IF(입력란!$C$16=2,1.1,IF(입력란!$C$16=3,1.2,1)))*IF(입력란!$C$21=1,1+입력란!$C$38*0.001,IF(입력란!$C$21=2,1+입력란!$C$38*0.0022,IF(입력란!$C$21=3,1+입력란!$C$38*0.0045,1)))*IF(입력란!$C$18&lt;&gt;0,0.98,1)</f>
        <v>359579.80173845496</v>
      </c>
      <c r="J537" s="26">
        <f>S537*(1+IF($AK537+IF(입력란!$C$26=1,10,0)&gt;100,100,$AK537+IF(입력란!$C$26=1,10,0))/100*(($AL537+트라이포드!H$24)/100-1))</f>
        <v>76707.893375782209</v>
      </c>
      <c r="K537" s="26">
        <f>T537*(1+IF($AK537+IF(입력란!$C$26=1,10,0)&gt;100,100,$AK537+IF(입력란!$C$26=1,10,0))/100*(($AL537+트라이포드!H$24)/100-1))</f>
        <v>76707.893375782209</v>
      </c>
      <c r="L537" s="26">
        <f>U537*(1+IF($AK537+IF(입력란!$C$26=1,10,0)&gt;100,100,$AK537+IF(입력란!$C$26=1,10,0))/100*(($AL537+트라이포드!H$24)/100-1))</f>
        <v>76707.893375782209</v>
      </c>
      <c r="M537" s="26">
        <f>V537*(1+IF($AK537+IF(입력란!$C$26=1,10,0)+IF(MID(E537,1,1)="3",IF(MID(E537,5,1)="2",0,100),0)&gt;100,100,$AK537+IF(입력란!$C$26=1,10,0)+IF(MID(E537,1,1)="1",IF(MID(E537,5,1)="2",0,100),0))/100*(($AL537+트라이포드!H$24)/100-1))</f>
        <v>129456.12161110835</v>
      </c>
      <c r="N537" s="39">
        <f>W537*(1+IF($AK537+IF(입력란!$C$26=1,10,0)&gt;100,100,$AK537+IF(입력란!$C$26=1,10,0))/100*(($AL537+트라이포드!H$24)/100-1))</f>
        <v>0</v>
      </c>
      <c r="O537" s="39">
        <f>X537*(1+IF($AK537+IF(입력란!$C$26=1,10,0)+IF(MID(E537,1,1)="3",IF(MID(E537,5,1)="2",100,0),0)&gt;100,100,$AK537+IF(입력란!$C$26=1,10,0)+IF(MID(E537,1,1)="1",IF(MID(E537,5,1)="2",0,100),0))/100*(($AL537+트라이포드!H$24)/100-1))</f>
        <v>0</v>
      </c>
      <c r="P537" s="39"/>
      <c r="Q537" s="35"/>
      <c r="R537" s="24">
        <f t="shared" ref="R537:R578" si="81">SUM(S537:Z537)</f>
        <v>296207.38629417412</v>
      </c>
      <c r="S537" s="30">
        <f>AN537*IF(MID(E537,3,1)="1",트라이포드!$J$24,트라이포드!$I$24)*(1+입력란!$C$44/100)</f>
        <v>63188.879061397834</v>
      </c>
      <c r="T537" s="26">
        <f>AN537*IF(MID(E537,3,1)="1",트라이포드!$J$24,트라이포드!$I$24)*(1+입력란!$C$44/100)</f>
        <v>63188.879061397834</v>
      </c>
      <c r="U537" s="26">
        <f>AN537*IF(MID(E537,3,1)="1",트라이포드!$J$24,트라이포드!$I$24)*(1+입력란!$C$44/100)</f>
        <v>63188.879061397834</v>
      </c>
      <c r="V537" s="26">
        <f>IF(MID(E537,5,1)="2",AN537,AO537)*IF(MID(E537,3,1)="1",트라이포드!$J$24,트라이포드!$I$24)*(1+입력란!$C$44/100)</f>
        <v>106640.74910998064</v>
      </c>
      <c r="W537" s="26">
        <f>IF(MID(E537,5,1)="2",AN537,0)*IF(MID(E537,3,1)="1",트라이포드!$J$24,트라이포드!$I$24)*(1+입력란!$C$44/100)</f>
        <v>0</v>
      </c>
      <c r="X537" s="26">
        <f>IF(MID(E537,5,1)="2",AO537,0)*IF(MID(E537,3,1)="1",트라이포드!$J$24,트라이포드!$I$24)*(1+입력란!$C$44/100)</f>
        <v>0</v>
      </c>
      <c r="Y537" s="26"/>
      <c r="Z537" s="25"/>
      <c r="AA537" s="30">
        <f t="shared" ref="AA537:AA578" si="82">SUM(AB537:AI537)</f>
        <v>592414.77258834825</v>
      </c>
      <c r="AB537" s="30">
        <f t="shared" ref="AB537:AB546" si="83">S537*2</f>
        <v>126377.75812279567</v>
      </c>
      <c r="AC537" s="30">
        <f t="shared" ref="AC537:AC546" si="84">T537*2</f>
        <v>126377.75812279567</v>
      </c>
      <c r="AD537" s="30">
        <f t="shared" ref="AD537:AD546" si="85">U537*2</f>
        <v>126377.75812279567</v>
      </c>
      <c r="AE537" s="30">
        <f t="shared" ref="AE537:AE546" si="86">V537*2</f>
        <v>213281.49821996127</v>
      </c>
      <c r="AF537" s="30">
        <f t="shared" ref="AF537:AF546" si="87">W537*2</f>
        <v>0</v>
      </c>
      <c r="AG537" s="30">
        <f t="shared" ref="AG537:AG546" si="88">X537*2</f>
        <v>0</v>
      </c>
      <c r="AH537" s="39"/>
      <c r="AI537" s="25"/>
      <c r="AJ537" s="30">
        <f>AQ537*(1-입력란!$C$35/100)</f>
        <v>23.72176897872</v>
      </c>
      <c r="AK53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37" s="26">
        <f>입력란!$C$47+IF(입력란!$C$18=1,10,IF(입력란!$C$18=2,25,IF(입력란!$C$18=3,50,0)))+IF(입력란!$C$23&lt;&gt;0,-12)</f>
        <v>200</v>
      </c>
      <c r="AM537" s="26">
        <f t="shared" ref="AM537:AM578" si="89">SUM(AN537:AP537)</f>
        <v>125074.64442501264</v>
      </c>
      <c r="AN537" s="30">
        <f>(VLOOKUP(C537,$B$4:$AJ$7,30,FALSE)+VLOOKUP(C537,$B$8:$AJ$11,30,FALSE)*입력란!$C$29)*입력란!$C$48/100</f>
        <v>46536.794935710837</v>
      </c>
      <c r="AO537" s="39">
        <f>(VLOOKUP(C537,$B$4:$AJ$7,31,FALSE)+VLOOKUP(C537,$B$8:$AJ$11,31,FALSE)*입력란!$C$29)*입력란!$C$48/100</f>
        <v>78537.849489301792</v>
      </c>
      <c r="AP537" s="39"/>
      <c r="AQ537" s="23">
        <v>24</v>
      </c>
    </row>
    <row r="538" spans="2:43" ht="13.5" customHeight="1" x14ac:dyDescent="0.3">
      <c r="B538" s="31">
        <v>523</v>
      </c>
      <c r="C538" s="40">
        <v>4</v>
      </c>
      <c r="D538" s="44" t="s">
        <v>263</v>
      </c>
      <c r="E538" s="38" t="s">
        <v>240</v>
      </c>
      <c r="F538" s="40"/>
      <c r="G538" s="40"/>
      <c r="H538" s="81">
        <f t="shared" si="80"/>
        <v>15191.917718642684</v>
      </c>
      <c r="I538" s="53">
        <f>SUM(J538:Q538)*IF(입력란!$C$16=1,1.04,IF(입력란!$C$16=2,1.1,IF(입력란!$C$16=3,1.2,1)))*IF(입력란!$C$21=1,1+입력란!$C$38*0.001,IF(입력란!$C$21=2,1+입력란!$C$38*0.0022,IF(입력란!$C$21=3,1+입력란!$C$38*0.0045,1)))*IF(입력란!$C$18&lt;&gt;0,0.98,1)</f>
        <v>360379.16246536473</v>
      </c>
      <c r="J538" s="26">
        <f>S538*(1+IF($AK538+IF(입력란!$C$26=1,10,0)&gt;100,100,$AK538+IF(입력란!$C$26=1,10,0))/100*(($AL538+트라이포드!H$24)/100-1))</f>
        <v>76880.721931694847</v>
      </c>
      <c r="K538" s="26">
        <f>T538*(1+IF($AK538+IF(입력란!$C$26=1,10,0)&gt;100,100,$AK538+IF(입력란!$C$26=1,10,0))/100*(($AL538+트라이포드!H$24)/100-1))</f>
        <v>76880.721931694847</v>
      </c>
      <c r="L538" s="26">
        <f>U538*(1+IF($AK538+IF(입력란!$C$26=1,10,0)&gt;100,100,$AK538+IF(입력란!$C$26=1,10,0))/100*(($AL538+트라이포드!H$24)/100-1))</f>
        <v>76880.721931694847</v>
      </c>
      <c r="M538" s="26">
        <f>V538*(1+IF($AK538+IF(입력란!$C$26=1,10,0)+IF(MID(E538,1,1)="3",IF(MID(E538,5,1)="2",0,100),0)&gt;100,100,$AK538+IF(입력란!$C$26=1,10,0)+IF(MID(E538,1,1)="1",IF(MID(E538,5,1)="2",0,100),0))/100*(($AL538+트라이포드!H$24)/100-1))</f>
        <v>129736.99667028016</v>
      </c>
      <c r="N538" s="39">
        <f>W538*(1+IF($AK538+IF(입력란!$C$26=1,10,0)&gt;100,100,$AK538+IF(입력란!$C$26=1,10,0))/100*(($AL538+트라이포드!H$24)/100-1))</f>
        <v>0</v>
      </c>
      <c r="O538" s="39">
        <f>X538*(1+IF($AK538+IF(입력란!$C$26=1,10,0)+IF(MID(E538,1,1)="3",IF(MID(E538,5,1)="2",100,0),0)&gt;100,100,$AK538+IF(입력란!$C$26=1,10,0)+IF(MID(E538,1,1)="1",IF(MID(E538,5,1)="2",0,100),0))/100*(($AL538+트라이포드!H$24)/100-1))</f>
        <v>0</v>
      </c>
      <c r="P538" s="39"/>
      <c r="Q538" s="35"/>
      <c r="R538" s="24">
        <f t="shared" si="81"/>
        <v>296865.86752832407</v>
      </c>
      <c r="S538" s="30">
        <f>AN538*IF(MID(E538,3,1)="1",트라이포드!$J$24,트라이포드!$I$24)*(1+입력란!$C$44/100)</f>
        <v>63331.24827840161</v>
      </c>
      <c r="T538" s="26">
        <f>AN538*IF(MID(E538,3,1)="1",트라이포드!$J$24,트라이포드!$I$24)*(1+입력란!$C$44/100)</f>
        <v>63331.24827840161</v>
      </c>
      <c r="U538" s="26">
        <f>AN538*IF(MID(E538,3,1)="1",트라이포드!$J$24,트라이포드!$I$24)*(1+입력란!$C$44/100)</f>
        <v>63331.24827840161</v>
      </c>
      <c r="V538" s="26">
        <f>IF(MID(E538,5,1)="2",AN538,AO538)*IF(MID(E538,3,1)="1",트라이포드!$J$24,트라이포드!$I$24)*(1+입력란!$C$44/100)</f>
        <v>106872.12269311927</v>
      </c>
      <c r="W538" s="26">
        <f>IF(MID(E538,5,1)="2",AN538,0)*IF(MID(E538,3,1)="1",트라이포드!$J$24,트라이포드!$I$24)*(1+입력란!$C$44/100)</f>
        <v>0</v>
      </c>
      <c r="X538" s="26">
        <f>IF(MID(E538,5,1)="2",AO538,0)*IF(MID(E538,3,1)="1",트라이포드!$J$24,트라이포드!$I$24)*(1+입력란!$C$44/100)</f>
        <v>0</v>
      </c>
      <c r="Y538" s="26"/>
      <c r="Z538" s="25"/>
      <c r="AA538" s="30">
        <f t="shared" si="82"/>
        <v>593731.73505664815</v>
      </c>
      <c r="AB538" s="30">
        <f t="shared" si="83"/>
        <v>126662.49655680322</v>
      </c>
      <c r="AC538" s="26">
        <f t="shared" si="84"/>
        <v>126662.49655680322</v>
      </c>
      <c r="AD538" s="26">
        <f t="shared" si="85"/>
        <v>126662.49655680322</v>
      </c>
      <c r="AE538" s="26">
        <f t="shared" si="86"/>
        <v>213744.24538623853</v>
      </c>
      <c r="AF538" s="30">
        <f t="shared" si="87"/>
        <v>0</v>
      </c>
      <c r="AG538" s="26">
        <f t="shared" si="88"/>
        <v>0</v>
      </c>
      <c r="AH538" s="39"/>
      <c r="AI538" s="25"/>
      <c r="AJ538" s="30">
        <f>AQ538*(1-입력란!$C$35/100)</f>
        <v>23.72176897872</v>
      </c>
      <c r="AK53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38" s="26">
        <f>입력란!$C$47+IF(입력란!$C$18=1,10,IF(입력란!$C$18=2,25,IF(입력란!$C$18=3,50,0)))+IF(입력란!$C$23&lt;&gt;0,-12)</f>
        <v>200</v>
      </c>
      <c r="AM538" s="26">
        <f t="shared" si="89"/>
        <v>125349.895265149</v>
      </c>
      <c r="AN538" s="30">
        <f>(VLOOKUP(C538,$B$4:$AJ$7,30,FALSE)+VLOOKUP(C538,$B$8:$AJ$11,30,FALSE)*입력란!$C$29)*입력란!$C$48/100</f>
        <v>46641.645775847195</v>
      </c>
      <c r="AO538" s="39">
        <f>(VLOOKUP(C538,$B$4:$AJ$7,31,FALSE)+VLOOKUP(C538,$B$8:$AJ$11,31,FALSE)*입력란!$C$29)*입력란!$C$48/100</f>
        <v>78708.249489301801</v>
      </c>
      <c r="AP538" s="39"/>
      <c r="AQ538" s="23">
        <v>24</v>
      </c>
    </row>
    <row r="539" spans="2:43" ht="13.5" customHeight="1" x14ac:dyDescent="0.3">
      <c r="B539" s="31">
        <v>524</v>
      </c>
      <c r="C539" s="40">
        <v>4</v>
      </c>
      <c r="D539" s="44" t="s">
        <v>263</v>
      </c>
      <c r="E539" s="38" t="s">
        <v>264</v>
      </c>
      <c r="F539" s="40"/>
      <c r="G539" s="40"/>
      <c r="H539" s="81">
        <f t="shared" si="80"/>
        <v>18733.274553848289</v>
      </c>
      <c r="I539" s="53">
        <f>SUM(J539:Q539)*IF(입력란!$C$16=1,1.04,IF(입력란!$C$16=2,1.1,IF(입력란!$C$16=3,1.2,1)))*IF(입력란!$C$21=1,1+입력란!$C$38*0.001,IF(입력란!$C$21=2,1+입력란!$C$38*0.0022,IF(입력란!$C$21=3,1+입력란!$C$38*0.0045,1)))*IF(입력란!$C$18&lt;&gt;0,0.98,1)</f>
        <v>444386.41118132311</v>
      </c>
      <c r="J539" s="26">
        <f>S539*(1+IF($AK539+IF(입력란!$C$26=1,10,0)&gt;100,100,$AK539+IF(입력란!$C$26=1,10,0))/100*(($AL539+트라이포드!H$24)/100-1))</f>
        <v>76880.721931694847</v>
      </c>
      <c r="K539" s="26">
        <f>T539*(1+IF($AK539+IF(입력란!$C$26=1,10,0)&gt;100,100,$AK539+IF(입력란!$C$26=1,10,0))/100*(($AL539+트라이포드!H$24)/100-1))</f>
        <v>76880.721931694847</v>
      </c>
      <c r="L539" s="26">
        <f>U539*(1+IF($AK539+IF(입력란!$C$26=1,10,0)&gt;100,100,$AK539+IF(입력란!$C$26=1,10,0))/100*(($AL539+트라이포드!H$24)/100-1))</f>
        <v>76880.721931694847</v>
      </c>
      <c r="M539" s="26">
        <f>V539*(1+IF($AK539+IF(입력란!$C$26=1,10,0)+IF(MID(E539,1,1)="3",IF(MID(E539,5,1)="2",0,100),0)&gt;100,100,$AK539+IF(입력란!$C$26=1,10,0)+IF(MID(E539,1,1)="1",IF(MID(E539,5,1)="2",0,100),0))/100*(($AL539+트라이포드!H$24)/100-1))</f>
        <v>213744.24538623853</v>
      </c>
      <c r="N539" s="39">
        <f>W539*(1+IF($AK539+IF(입력란!$C$26=1,10,0)&gt;100,100,$AK539+IF(입력란!$C$26=1,10,0))/100*(($AL539+트라이포드!H$24)/100-1))</f>
        <v>0</v>
      </c>
      <c r="O539" s="39">
        <f>X539*(1+IF($AK539+IF(입력란!$C$26=1,10,0)+IF(MID(E539,1,1)="3",IF(MID(E539,5,1)="2",100,0),0)&gt;100,100,$AK539+IF(입력란!$C$26=1,10,0)+IF(MID(E539,1,1)="1",IF(MID(E539,5,1)="2",0,100),0))/100*(($AL539+트라이포드!H$24)/100-1))</f>
        <v>0</v>
      </c>
      <c r="P539" s="39"/>
      <c r="Q539" s="35"/>
      <c r="R539" s="24">
        <f t="shared" si="81"/>
        <v>296865.86752832407</v>
      </c>
      <c r="S539" s="30">
        <f>AN539*IF(MID(E539,3,1)="1",트라이포드!$J$24,트라이포드!$I$24)*(1+입력란!$C$44/100)</f>
        <v>63331.24827840161</v>
      </c>
      <c r="T539" s="26">
        <f>AN539*IF(MID(E539,3,1)="1",트라이포드!$J$24,트라이포드!$I$24)*(1+입력란!$C$44/100)</f>
        <v>63331.24827840161</v>
      </c>
      <c r="U539" s="26">
        <f>AN539*IF(MID(E539,3,1)="1",트라이포드!$J$24,트라이포드!$I$24)*(1+입력란!$C$44/100)</f>
        <v>63331.24827840161</v>
      </c>
      <c r="V539" s="26">
        <f>IF(MID(E539,5,1)="2",AN539,AO539)*IF(MID(E539,3,1)="1",트라이포드!$J$24,트라이포드!$I$24)*(1+입력란!$C$44/100)</f>
        <v>106872.12269311927</v>
      </c>
      <c r="W539" s="26">
        <f>IF(MID(E539,5,1)="2",AN539,0)*IF(MID(E539,3,1)="1",트라이포드!$J$24,트라이포드!$I$24)*(1+입력란!$C$44/100)</f>
        <v>0</v>
      </c>
      <c r="X539" s="26">
        <f>IF(MID(E539,5,1)="2",AO539,0)*IF(MID(E539,3,1)="1",트라이포드!$J$24,트라이포드!$I$24)*(1+입력란!$C$44/100)</f>
        <v>0</v>
      </c>
      <c r="Y539" s="26"/>
      <c r="Z539" s="25"/>
      <c r="AA539" s="30">
        <f t="shared" si="82"/>
        <v>593731.73505664815</v>
      </c>
      <c r="AB539" s="30">
        <f t="shared" si="83"/>
        <v>126662.49655680322</v>
      </c>
      <c r="AC539" s="26">
        <f t="shared" si="84"/>
        <v>126662.49655680322</v>
      </c>
      <c r="AD539" s="26">
        <f t="shared" si="85"/>
        <v>126662.49655680322</v>
      </c>
      <c r="AE539" s="26">
        <f t="shared" si="86"/>
        <v>213744.24538623853</v>
      </c>
      <c r="AF539" s="30">
        <f t="shared" si="87"/>
        <v>0</v>
      </c>
      <c r="AG539" s="26">
        <f t="shared" si="88"/>
        <v>0</v>
      </c>
      <c r="AH539" s="39"/>
      <c r="AI539" s="25"/>
      <c r="AJ539" s="30">
        <f>AQ539*(1-입력란!$C$35/100)</f>
        <v>23.72176897872</v>
      </c>
      <c r="AK53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39" s="26">
        <f>입력란!$C$47+IF(입력란!$C$18=1,10,IF(입력란!$C$18=2,25,IF(입력란!$C$18=3,50,0)))+IF(입력란!$C$23&lt;&gt;0,-12)</f>
        <v>200</v>
      </c>
      <c r="AM539" s="26">
        <f t="shared" si="89"/>
        <v>125349.895265149</v>
      </c>
      <c r="AN539" s="30">
        <f>(VLOOKUP(C539,$B$4:$AJ$7,30,FALSE)+VLOOKUP(C539,$B$8:$AJ$11,30,FALSE)*입력란!$C$29)*입력란!$C$48/100</f>
        <v>46641.645775847195</v>
      </c>
      <c r="AO539" s="39">
        <f>(VLOOKUP(C539,$B$4:$AJ$7,31,FALSE)+VLOOKUP(C539,$B$8:$AJ$11,31,FALSE)*입력란!$C$29)*입력란!$C$48/100</f>
        <v>78708.249489301801</v>
      </c>
      <c r="AP539" s="39"/>
      <c r="AQ539" s="23">
        <v>24</v>
      </c>
    </row>
    <row r="540" spans="2:43" ht="13.5" customHeight="1" x14ac:dyDescent="0.3">
      <c r="B540" s="31">
        <v>525</v>
      </c>
      <c r="C540" s="40">
        <v>7</v>
      </c>
      <c r="D540" s="44" t="s">
        <v>263</v>
      </c>
      <c r="E540" s="38" t="s">
        <v>240</v>
      </c>
      <c r="F540" s="40"/>
      <c r="G540" s="40"/>
      <c r="H540" s="81">
        <f t="shared" si="80"/>
        <v>15206.499153830198</v>
      </c>
      <c r="I540" s="53">
        <f>SUM(J540:Q540)*IF(입력란!$C$16=1,1.04,IF(입력란!$C$16=2,1.1,IF(입력란!$C$16=3,1.2,1)))*IF(입력란!$C$21=1,1+입력란!$C$38*0.001,IF(입력란!$C$21=2,1+입력란!$C$38*0.0022,IF(입력란!$C$21=3,1+입력란!$C$38*0.0045,1)))*IF(입력란!$C$18&lt;&gt;0,0.98,1)</f>
        <v>360725.05990226113</v>
      </c>
      <c r="J540" s="26">
        <f>S540*(1+IF($AK540+IF(입력란!$C$26=1,10,0)&gt;100,100,$AK540+IF(입력란!$C$26=1,10,0))/100*(($AL540+트라이포드!H$24)/100-1))</f>
        <v>76952.505223089101</v>
      </c>
      <c r="K540" s="26">
        <f>T540*(1+IF($AK540+IF(입력란!$C$26=1,10,0)&gt;100,100,$AK540+IF(입력란!$C$26=1,10,0))/100*(($AL540+트라이포드!H$24)/100-1))</f>
        <v>76952.505223089101</v>
      </c>
      <c r="L540" s="26">
        <f>U540*(1+IF($AK540+IF(입력란!$C$26=1,10,0)&gt;100,100,$AK540+IF(입력란!$C$26=1,10,0))/100*(($AL540+트라이포드!H$24)/100-1))</f>
        <v>76952.505223089101</v>
      </c>
      <c r="M540" s="26">
        <f>V540*(1+IF($AK540+IF(입력란!$C$26=1,10,0)+IF(MID(E540,1,1)="3",IF(MID(E540,5,1)="2",0,100),0)&gt;100,100,$AK540+IF(입력란!$C$26=1,10,0)+IF(MID(E540,1,1)="1",IF(MID(E540,5,1)="2",0,100),0))/100*(($AL540+트라이포드!H$24)/100-1))</f>
        <v>129867.54423299381</v>
      </c>
      <c r="N540" s="39">
        <f>W540*(1+IF($AK540+IF(입력란!$C$26=1,10,0)&gt;100,100,$AK540+IF(입력란!$C$26=1,10,0))/100*(($AL540+트라이포드!H$24)/100-1))</f>
        <v>0</v>
      </c>
      <c r="O540" s="39">
        <f>X540*(1+IF($AK540+IF(입력란!$C$26=1,10,0)+IF(MID(E540,1,1)="3",IF(MID(E540,5,1)="2",100,0),0)&gt;100,100,$AK540+IF(입력란!$C$26=1,10,0)+IF(MID(E540,1,1)="1",IF(MID(E540,5,1)="2",0,100),0))/100*(($AL540+트라이포드!H$24)/100-1))</f>
        <v>0</v>
      </c>
      <c r="P540" s="39"/>
      <c r="Q540" s="35"/>
      <c r="R540" s="24">
        <f t="shared" si="81"/>
        <v>297150.80393246468</v>
      </c>
      <c r="S540" s="30">
        <f>AN540*IF(MID(E540,3,1)="1",트라이포드!$J$24,트라이포드!$I$24)*(1+입력란!$C$44/100)</f>
        <v>63390.380468309631</v>
      </c>
      <c r="T540" s="26">
        <f>AN540*IF(MID(E540,3,1)="1",트라이포드!$J$24,트라이포드!$I$24)*(1+입력란!$C$44/100)</f>
        <v>63390.380468309631</v>
      </c>
      <c r="U540" s="26">
        <f>AN540*IF(MID(E540,3,1)="1",트라이포드!$J$24,트라이포드!$I$24)*(1+입력란!$C$44/100)</f>
        <v>63390.380468309631</v>
      </c>
      <c r="V540" s="26">
        <f>IF(MID(E540,5,1)="2",AN540,AO540)*IF(MID(E540,3,1)="1",트라이포드!$J$24,트라이포드!$I$24)*(1+입력란!$C$44/100)</f>
        <v>106979.66252753579</v>
      </c>
      <c r="W540" s="26">
        <f>IF(MID(E540,5,1)="2",AN540,0)*IF(MID(E540,3,1)="1",트라이포드!$J$24,트라이포드!$I$24)*(1+입력란!$C$44/100)</f>
        <v>0</v>
      </c>
      <c r="X540" s="26">
        <f>IF(MID(E540,5,1)="2",AO540,0)*IF(MID(E540,3,1)="1",트라이포드!$J$24,트라이포드!$I$24)*(1+입력란!$C$44/100)</f>
        <v>0</v>
      </c>
      <c r="Y540" s="26"/>
      <c r="Z540" s="25"/>
      <c r="AA540" s="30">
        <f t="shared" si="82"/>
        <v>594301.60786492936</v>
      </c>
      <c r="AB540" s="30">
        <f t="shared" si="83"/>
        <v>126780.76093661926</v>
      </c>
      <c r="AC540" s="26">
        <f t="shared" si="84"/>
        <v>126780.76093661926</v>
      </c>
      <c r="AD540" s="26">
        <f t="shared" si="85"/>
        <v>126780.76093661926</v>
      </c>
      <c r="AE540" s="26">
        <f t="shared" si="86"/>
        <v>213959.32505507159</v>
      </c>
      <c r="AF540" s="30">
        <f t="shared" si="87"/>
        <v>0</v>
      </c>
      <c r="AG540" s="26">
        <f t="shared" si="88"/>
        <v>0</v>
      </c>
      <c r="AH540" s="39"/>
      <c r="AI540" s="25"/>
      <c r="AJ540" s="30">
        <f>AQ540*(1-입력란!$C$35/100)</f>
        <v>23.72176897872</v>
      </c>
      <c r="AK54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0" s="26">
        <f>입력란!$C$47+IF(입력란!$C$18=1,10,IF(입력란!$C$18=2,25,IF(입력란!$C$18=3,50,0)))+IF(입력란!$C$23&lt;&gt;0,-12)</f>
        <v>200</v>
      </c>
      <c r="AM540" s="26">
        <f t="shared" si="89"/>
        <v>125472.64442501264</v>
      </c>
      <c r="AN540" s="30">
        <f>(VLOOKUP(C540,$B$4:$AJ$7,30,FALSE)+VLOOKUP(C540,$B$8:$AJ$11,30,FALSE)*입력란!$C$29)*입력란!$C$48/100</f>
        <v>46685.194935710839</v>
      </c>
      <c r="AO540" s="39">
        <f>(VLOOKUP(C540,$B$4:$AJ$7,31,FALSE)+VLOOKUP(C540,$B$8:$AJ$11,31,FALSE)*입력란!$C$29)*입력란!$C$48/100</f>
        <v>78787.449489301798</v>
      </c>
      <c r="AP540" s="39"/>
      <c r="AQ540" s="23">
        <v>24</v>
      </c>
    </row>
    <row r="541" spans="2:43" ht="13.5" customHeight="1" x14ac:dyDescent="0.3">
      <c r="B541" s="31">
        <v>526</v>
      </c>
      <c r="C541" s="40">
        <v>7</v>
      </c>
      <c r="D541" s="44" t="s">
        <v>263</v>
      </c>
      <c r="E541" s="38" t="s">
        <v>242</v>
      </c>
      <c r="F541" s="40"/>
      <c r="G541" s="40"/>
      <c r="H541" s="81">
        <f t="shared" si="80"/>
        <v>19008.123942287748</v>
      </c>
      <c r="I541" s="53">
        <f>SUM(J541:Q541)*IF(입력란!$C$16=1,1.04,IF(입력란!$C$16=2,1.1,IF(입력란!$C$16=3,1.2,1)))*IF(입력란!$C$21=1,1+입력란!$C$38*0.001,IF(입력란!$C$21=2,1+입력란!$C$38*0.0022,IF(입력란!$C$21=3,1+입력란!$C$38*0.0045,1)))*IF(입력란!$C$18&lt;&gt;0,0.98,1)</f>
        <v>450906.32487782644</v>
      </c>
      <c r="J541" s="26">
        <f>S541*(1+IF($AK541+IF(입력란!$C$26=1,10,0)&gt;100,100,$AK541+IF(입력란!$C$26=1,10,0))/100*(($AL541+트라이포드!H$24)/100-1))</f>
        <v>96190.631528861384</v>
      </c>
      <c r="K541" s="26">
        <f>T541*(1+IF($AK541+IF(입력란!$C$26=1,10,0)&gt;100,100,$AK541+IF(입력란!$C$26=1,10,0))/100*(($AL541+트라이포드!H$24)/100-1))</f>
        <v>96190.631528861384</v>
      </c>
      <c r="L541" s="26">
        <f>U541*(1+IF($AK541+IF(입력란!$C$26=1,10,0)&gt;100,100,$AK541+IF(입력란!$C$26=1,10,0))/100*(($AL541+트라이포드!H$24)/100-1))</f>
        <v>96190.631528861384</v>
      </c>
      <c r="M541" s="26">
        <f>V541*(1+IF($AK541+IF(입력란!$C$26=1,10,0)+IF(MID(E541,1,1)="3",IF(MID(E541,5,1)="2",0,100),0)&gt;100,100,$AK541+IF(입력란!$C$26=1,10,0)+IF(MID(E541,1,1)="1",IF(MID(E541,5,1)="2",0,100),0))/100*(($AL541+트라이포드!H$24)/100-1))</f>
        <v>162334.43029124226</v>
      </c>
      <c r="N541" s="39">
        <f>W541*(1+IF($AK541+IF(입력란!$C$26=1,10,0)&gt;100,100,$AK541+IF(입력란!$C$26=1,10,0))/100*(($AL541+트라이포드!H$24)/100-1))</f>
        <v>0</v>
      </c>
      <c r="O541" s="39">
        <f>X541*(1+IF($AK541+IF(입력란!$C$26=1,10,0)+IF(MID(E541,1,1)="3",IF(MID(E541,5,1)="2",100,0),0)&gt;100,100,$AK541+IF(입력란!$C$26=1,10,0)+IF(MID(E541,1,1)="1",IF(MID(E541,5,1)="2",0,100),0))/100*(($AL541+트라이포드!H$24)/100-1))</f>
        <v>0</v>
      </c>
      <c r="P541" s="39"/>
      <c r="Q541" s="35"/>
      <c r="R541" s="24">
        <f t="shared" si="81"/>
        <v>371438.50491558085</v>
      </c>
      <c r="S541" s="30">
        <f>AN541*IF(MID(E541,3,1)="1",트라이포드!$J$24,트라이포드!$I$24)*(1+입력란!$C$44/100)</f>
        <v>79237.975585387045</v>
      </c>
      <c r="T541" s="26">
        <f>AN541*IF(MID(E541,3,1)="1",트라이포드!$J$24,트라이포드!$I$24)*(1+입력란!$C$44/100)</f>
        <v>79237.975585387045</v>
      </c>
      <c r="U541" s="26">
        <f>AN541*IF(MID(E541,3,1)="1",트라이포드!$J$24,트라이포드!$I$24)*(1+입력란!$C$44/100)</f>
        <v>79237.975585387045</v>
      </c>
      <c r="V541" s="26">
        <f>IF(MID(E541,5,1)="2",AN541,AO541)*IF(MID(E541,3,1)="1",트라이포드!$J$24,트라이포드!$I$24)*(1+입력란!$C$44/100)</f>
        <v>133724.57815941973</v>
      </c>
      <c r="W541" s="26">
        <f>IF(MID(E541,5,1)="2",AN541,0)*IF(MID(E541,3,1)="1",트라이포드!$J$24,트라이포드!$I$24)*(1+입력란!$C$44/100)</f>
        <v>0</v>
      </c>
      <c r="X541" s="26">
        <f>IF(MID(E541,5,1)="2",AO541,0)*IF(MID(E541,3,1)="1",트라이포드!$J$24,트라이포드!$I$24)*(1+입력란!$C$44/100)</f>
        <v>0</v>
      </c>
      <c r="Y541" s="26"/>
      <c r="Z541" s="25"/>
      <c r="AA541" s="30">
        <f t="shared" si="82"/>
        <v>742877.0098311617</v>
      </c>
      <c r="AB541" s="30">
        <f t="shared" si="83"/>
        <v>158475.95117077409</v>
      </c>
      <c r="AC541" s="26">
        <f t="shared" si="84"/>
        <v>158475.95117077409</v>
      </c>
      <c r="AD541" s="26">
        <f t="shared" si="85"/>
        <v>158475.95117077409</v>
      </c>
      <c r="AE541" s="26">
        <f t="shared" si="86"/>
        <v>267449.15631883946</v>
      </c>
      <c r="AF541" s="30">
        <f t="shared" si="87"/>
        <v>0</v>
      </c>
      <c r="AG541" s="26">
        <f t="shared" si="88"/>
        <v>0</v>
      </c>
      <c r="AH541" s="39"/>
      <c r="AI541" s="25"/>
      <c r="AJ541" s="30">
        <f>AQ541*(1-입력란!$C$35/100)</f>
        <v>23.72176897872</v>
      </c>
      <c r="AK54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1" s="26">
        <f>입력란!$C$47+IF(입력란!$C$18=1,10,IF(입력란!$C$18=2,25,IF(입력란!$C$18=3,50,0)))+IF(입력란!$C$23&lt;&gt;0,-12)</f>
        <v>200</v>
      </c>
      <c r="AM541" s="26">
        <f t="shared" si="89"/>
        <v>125472.64442501264</v>
      </c>
      <c r="AN541" s="30">
        <f>(VLOOKUP(C541,$B$4:$AJ$7,30,FALSE)+VLOOKUP(C541,$B$8:$AJ$11,30,FALSE)*입력란!$C$29)*입력란!$C$48/100</f>
        <v>46685.194935710839</v>
      </c>
      <c r="AO541" s="39">
        <f>(VLOOKUP(C541,$B$4:$AJ$7,31,FALSE)+VLOOKUP(C541,$B$8:$AJ$11,31,FALSE)*입력란!$C$29)*입력란!$C$48/100</f>
        <v>78787.449489301798</v>
      </c>
      <c r="AP541" s="39"/>
      <c r="AQ541" s="23">
        <v>24</v>
      </c>
    </row>
    <row r="542" spans="2:43" ht="13.5" customHeight="1" x14ac:dyDescent="0.3">
      <c r="B542" s="31">
        <v>527</v>
      </c>
      <c r="C542" s="40">
        <v>7</v>
      </c>
      <c r="D542" s="44" t="s">
        <v>263</v>
      </c>
      <c r="E542" s="38" t="s">
        <v>265</v>
      </c>
      <c r="F542" s="40"/>
      <c r="G542" s="40"/>
      <c r="H542" s="81">
        <f t="shared" si="80"/>
        <v>23439.274339287742</v>
      </c>
      <c r="I542" s="53">
        <f>SUM(J542:Q542)*IF(입력란!$C$16=1,1.04,IF(입력란!$C$16=2,1.1,IF(입력란!$C$16=3,1.2,1)))*IF(입력란!$C$21=1,1+입력란!$C$38*0.001,IF(입력란!$C$21=2,1+입력란!$C$38*0.0022,IF(입력란!$C$21=3,1+입력란!$C$38*0.0045,1)))*IF(입력란!$C$18&lt;&gt;0,0.98,1)</f>
        <v>556021.0509054237</v>
      </c>
      <c r="J542" s="26">
        <f>S542*(1+IF($AK542+IF(입력란!$C$26=1,10,0)&gt;100,100,$AK542+IF(입력란!$C$26=1,10,0))/100*(($AL542+트라이포드!H$24)/100-1))</f>
        <v>96190.631528861384</v>
      </c>
      <c r="K542" s="26">
        <f>T542*(1+IF($AK542+IF(입력란!$C$26=1,10,0)&gt;100,100,$AK542+IF(입력란!$C$26=1,10,0))/100*(($AL542+트라이포드!H$24)/100-1))</f>
        <v>96190.631528861384</v>
      </c>
      <c r="L542" s="26">
        <f>U542*(1+IF($AK542+IF(입력란!$C$26=1,10,0)&gt;100,100,$AK542+IF(입력란!$C$26=1,10,0))/100*(($AL542+트라이포드!H$24)/100-1))</f>
        <v>96190.631528861384</v>
      </c>
      <c r="M542" s="26">
        <f>V542*(1+IF($AK542+IF(입력란!$C$26=1,10,0)+IF(MID(E542,1,1)="3",IF(MID(E542,5,1)="2",0,100),0)&gt;100,100,$AK542+IF(입력란!$C$26=1,10,0)+IF(MID(E542,1,1)="1",IF(MID(E542,5,1)="2",0,100),0))/100*(($AL542+트라이포드!H$24)/100-1))</f>
        <v>267449.15631883946</v>
      </c>
      <c r="N542" s="39">
        <f>W542*(1+IF($AK542+IF(입력란!$C$26=1,10,0)&gt;100,100,$AK542+IF(입력란!$C$26=1,10,0))/100*(($AL542+트라이포드!H$24)/100-1))</f>
        <v>0</v>
      </c>
      <c r="O542" s="39">
        <f>X542*(1+IF($AK542+IF(입력란!$C$26=1,10,0)+IF(MID(E542,1,1)="3",IF(MID(E542,5,1)="2",100,0),0)&gt;100,100,$AK542+IF(입력란!$C$26=1,10,0)+IF(MID(E542,1,1)="1",IF(MID(E542,5,1)="2",0,100),0))/100*(($AL542+트라이포드!H$24)/100-1))</f>
        <v>0</v>
      </c>
      <c r="P542" s="39"/>
      <c r="Q542" s="35"/>
      <c r="R542" s="24">
        <f t="shared" si="81"/>
        <v>371438.50491558085</v>
      </c>
      <c r="S542" s="30">
        <f>AN542*IF(MID(E542,3,1)="1",트라이포드!$J$24,트라이포드!$I$24)*(1+입력란!$C$44/100)</f>
        <v>79237.975585387045</v>
      </c>
      <c r="T542" s="26">
        <f>AN542*IF(MID(E542,3,1)="1",트라이포드!$J$24,트라이포드!$I$24)*(1+입력란!$C$44/100)</f>
        <v>79237.975585387045</v>
      </c>
      <c r="U542" s="26">
        <f>AN542*IF(MID(E542,3,1)="1",트라이포드!$J$24,트라이포드!$I$24)*(1+입력란!$C$44/100)</f>
        <v>79237.975585387045</v>
      </c>
      <c r="V542" s="26">
        <f>IF(MID(E542,5,1)="2",AN542,AO542)*IF(MID(E542,3,1)="1",트라이포드!$J$24,트라이포드!$I$24)*(1+입력란!$C$44/100)</f>
        <v>133724.57815941973</v>
      </c>
      <c r="W542" s="26">
        <f>IF(MID(E542,5,1)="2",AN542,0)*IF(MID(E542,3,1)="1",트라이포드!$J$24,트라이포드!$I$24)*(1+입력란!$C$44/100)</f>
        <v>0</v>
      </c>
      <c r="X542" s="26">
        <f>IF(MID(E542,5,1)="2",AO542,0)*IF(MID(E542,3,1)="1",트라이포드!$J$24,트라이포드!$I$24)*(1+입력란!$C$44/100)</f>
        <v>0</v>
      </c>
      <c r="Y542" s="26"/>
      <c r="Z542" s="25"/>
      <c r="AA542" s="30">
        <f t="shared" si="82"/>
        <v>742877.0098311617</v>
      </c>
      <c r="AB542" s="30">
        <f t="shared" si="83"/>
        <v>158475.95117077409</v>
      </c>
      <c r="AC542" s="26">
        <f t="shared" si="84"/>
        <v>158475.95117077409</v>
      </c>
      <c r="AD542" s="26">
        <f t="shared" si="85"/>
        <v>158475.95117077409</v>
      </c>
      <c r="AE542" s="26">
        <f t="shared" si="86"/>
        <v>267449.15631883946</v>
      </c>
      <c r="AF542" s="30">
        <f t="shared" si="87"/>
        <v>0</v>
      </c>
      <c r="AG542" s="26">
        <f t="shared" si="88"/>
        <v>0</v>
      </c>
      <c r="AH542" s="39"/>
      <c r="AI542" s="25"/>
      <c r="AJ542" s="30">
        <f>AQ542*(1-입력란!$C$35/100)</f>
        <v>23.72176897872</v>
      </c>
      <c r="AK54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2" s="26">
        <f>입력란!$C$47+IF(입력란!$C$18=1,10,IF(입력란!$C$18=2,25,IF(입력란!$C$18=3,50,0)))+IF(입력란!$C$23&lt;&gt;0,-12)</f>
        <v>200</v>
      </c>
      <c r="AM542" s="26">
        <f t="shared" si="89"/>
        <v>125472.64442501264</v>
      </c>
      <c r="AN542" s="30">
        <f>(VLOOKUP(C542,$B$4:$AJ$7,30,FALSE)+VLOOKUP(C542,$B$8:$AJ$11,30,FALSE)*입력란!$C$29)*입력란!$C$48/100</f>
        <v>46685.194935710839</v>
      </c>
      <c r="AO542" s="39">
        <f>(VLOOKUP(C542,$B$4:$AJ$7,31,FALSE)+VLOOKUP(C542,$B$8:$AJ$11,31,FALSE)*입력란!$C$29)*입력란!$C$48/100</f>
        <v>78787.449489301798</v>
      </c>
      <c r="AP542" s="39"/>
      <c r="AQ542" s="23">
        <v>24</v>
      </c>
    </row>
    <row r="543" spans="2:43" ht="13.5" customHeight="1" x14ac:dyDescent="0.3">
      <c r="B543" s="31">
        <v>528</v>
      </c>
      <c r="C543" s="40">
        <v>10</v>
      </c>
      <c r="D543" s="44" t="s">
        <v>263</v>
      </c>
      <c r="E543" s="38" t="s">
        <v>240</v>
      </c>
      <c r="F543" s="40"/>
      <c r="G543" s="40"/>
      <c r="H543" s="81">
        <f t="shared" si="80"/>
        <v>15216.904838352921</v>
      </c>
      <c r="I543" s="53">
        <f>SUM(J543:Q543)*IF(입력란!$C$16=1,1.04,IF(입력란!$C$16=2,1.1,IF(입력란!$C$16=3,1.2,1)))*IF(입력란!$C$21=1,1+입력란!$C$38*0.001,IF(입력란!$C$21=2,1+입력란!$C$38*0.0022,IF(입력란!$C$21=3,1+입력란!$C$38*0.0045,1)))*IF(입력란!$C$18&lt;&gt;0,0.98,1)</f>
        <v>360971.90114657459</v>
      </c>
      <c r="J543" s="26">
        <f>S543*(1+IF($AK543+IF(입력란!$C$26=1,10,0)&gt;100,100,$AK543+IF(입력란!$C$26=1,10,0))/100*(($AL543+트라이포드!H$24)/100-1))</f>
        <v>77007.313507659579</v>
      </c>
      <c r="K543" s="26">
        <f>T543*(1+IF($AK543+IF(입력란!$C$26=1,10,0)&gt;100,100,$AK543+IF(입력란!$C$26=1,10,0))/100*(($AL543+트라이포드!H$24)/100-1))</f>
        <v>77007.313507659579</v>
      </c>
      <c r="L543" s="26">
        <f>U543*(1+IF($AK543+IF(입력란!$C$26=1,10,0)&gt;100,100,$AK543+IF(입력란!$C$26=1,10,0))/100*(($AL543+트라이포드!H$24)/100-1))</f>
        <v>77007.313507659579</v>
      </c>
      <c r="M543" s="26">
        <f>V543*(1+IF($AK543+IF(입력란!$C$26=1,10,0)+IF(MID(E543,1,1)="3",IF(MID(E543,5,1)="2",0,100),0)&gt;100,100,$AK543+IF(입력란!$C$26=1,10,0)+IF(MID(E543,1,1)="1",IF(MID(E543,5,1)="2",0,100),0))/100*(($AL543+트라이포드!H$24)/100-1))</f>
        <v>129949.96062359585</v>
      </c>
      <c r="N543" s="39">
        <f>W543*(1+IF($AK543+IF(입력란!$C$26=1,10,0)&gt;100,100,$AK543+IF(입력란!$C$26=1,10,0))/100*(($AL543+트라이포드!H$24)/100-1))</f>
        <v>0</v>
      </c>
      <c r="O543" s="39">
        <f>X543*(1+IF($AK543+IF(입력란!$C$26=1,10,0)+IF(MID(E543,1,1)="3",IF(MID(E543,5,1)="2",100,0),0)&gt;100,100,$AK543+IF(입력란!$C$26=1,10,0)+IF(MID(E543,1,1)="1",IF(MID(E543,5,1)="2",0,100),0))/100*(($AL543+트라이포드!H$24)/100-1))</f>
        <v>0</v>
      </c>
      <c r="P543" s="39"/>
      <c r="Q543" s="35"/>
      <c r="R543" s="24">
        <f t="shared" si="81"/>
        <v>297354.14182701329</v>
      </c>
      <c r="S543" s="30">
        <f>AN543*IF(MID(E543,3,1)="1",트라이포드!$J$24,트라이포드!$I$24)*(1+입력란!$C$44/100)</f>
        <v>63435.529329957033</v>
      </c>
      <c r="T543" s="26">
        <f>AN543*IF(MID(E543,3,1)="1",트라이포드!$J$24,트라이포드!$I$24)*(1+입력란!$C$44/100)</f>
        <v>63435.529329957033</v>
      </c>
      <c r="U543" s="26">
        <f>AN543*IF(MID(E543,3,1)="1",트라이포드!$J$24,트라이포드!$I$24)*(1+입력란!$C$44/100)</f>
        <v>63435.529329957033</v>
      </c>
      <c r="V543" s="26">
        <f>IF(MID(E543,5,1)="2",AN543,AO543)*IF(MID(E543,3,1)="1",트라이포드!$J$24,트라이포드!$I$24)*(1+입력란!$C$44/100)</f>
        <v>107047.55383714219</v>
      </c>
      <c r="W543" s="26">
        <f>IF(MID(E543,5,1)="2",AN543,0)*IF(MID(E543,3,1)="1",트라이포드!$J$24,트라이포드!$I$24)*(1+입력란!$C$44/100)</f>
        <v>0</v>
      </c>
      <c r="X543" s="26">
        <f>IF(MID(E543,5,1)="2",AO543,0)*IF(MID(E543,3,1)="1",트라이포드!$J$24,트라이포드!$I$24)*(1+입력란!$C$44/100)</f>
        <v>0</v>
      </c>
      <c r="Y543" s="26"/>
      <c r="Z543" s="25"/>
      <c r="AA543" s="30">
        <f t="shared" si="82"/>
        <v>594708.28365402657</v>
      </c>
      <c r="AB543" s="30">
        <f t="shared" si="83"/>
        <v>126871.05865991407</v>
      </c>
      <c r="AC543" s="26">
        <f t="shared" si="84"/>
        <v>126871.05865991407</v>
      </c>
      <c r="AD543" s="26">
        <f t="shared" si="85"/>
        <v>126871.05865991407</v>
      </c>
      <c r="AE543" s="26">
        <f t="shared" si="86"/>
        <v>214095.10767428437</v>
      </c>
      <c r="AF543" s="30">
        <f t="shared" si="87"/>
        <v>0</v>
      </c>
      <c r="AG543" s="26">
        <f t="shared" si="88"/>
        <v>0</v>
      </c>
      <c r="AH543" s="39"/>
      <c r="AI543" s="25"/>
      <c r="AJ543" s="30">
        <f>AQ543*(1-입력란!$C$35/100)</f>
        <v>23.72176897872</v>
      </c>
      <c r="AK54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3" s="26">
        <f>입력란!$C$47+IF(입력란!$C$18=1,10,IF(입력란!$C$18=2,25,IF(입력란!$C$18=3,50,0)))+IF(입력란!$C$23&lt;&gt;0,-12)</f>
        <v>200</v>
      </c>
      <c r="AM543" s="26">
        <f t="shared" si="89"/>
        <v>125555.89526514898</v>
      </c>
      <c r="AN543" s="30">
        <f>(VLOOKUP(C543,$B$4:$AJ$7,30,FALSE)+VLOOKUP(C543,$B$8:$AJ$11,30,FALSE)*입력란!$C$29)*입력란!$C$48/100</f>
        <v>46718.445775847191</v>
      </c>
      <c r="AO543" s="39">
        <f>(VLOOKUP(C543,$B$4:$AJ$7,31,FALSE)+VLOOKUP(C543,$B$8:$AJ$11,31,FALSE)*입력란!$C$29)*입력란!$C$48/100</f>
        <v>78837.449489301798</v>
      </c>
      <c r="AP543" s="39"/>
      <c r="AQ543" s="23">
        <v>24</v>
      </c>
    </row>
    <row r="544" spans="2:43" ht="13.5" customHeight="1" x14ac:dyDescent="0.3">
      <c r="B544" s="31">
        <v>529</v>
      </c>
      <c r="C544" s="40">
        <v>10</v>
      </c>
      <c r="D544" s="44" t="s">
        <v>263</v>
      </c>
      <c r="E544" s="38" t="s">
        <v>248</v>
      </c>
      <c r="F544" s="40"/>
      <c r="G544" s="40"/>
      <c r="H544" s="81">
        <f t="shared" si="80"/>
        <v>21709.448760919593</v>
      </c>
      <c r="I544" s="53">
        <f>SUM(J544:Q544)*IF(입력란!$C$16=1,1.04,IF(입력란!$C$16=2,1.1,IF(입력란!$C$16=3,1.2,1)))*IF(입력란!$C$21=1,1+입력란!$C$38*0.001,IF(입력란!$C$21=2,1+입력란!$C$38*0.0022,IF(입력란!$C$21=3,1+입력란!$C$38*0.0045,1)))*IF(입력란!$C$18&lt;&gt;0,0.98,1)</f>
        <v>514986.52816189377</v>
      </c>
      <c r="J544" s="26">
        <f>S544*(1+IF($AK544+IF(입력란!$C$26=1,10,0)&gt;100,100,$AK544+IF(입력란!$C$26=1,10,0))/100*(($AL544+트라이포드!H$24)/100-1))</f>
        <v>77007.313507659579</v>
      </c>
      <c r="K544" s="26">
        <f>T544*(1+IF($AK544+IF(입력란!$C$26=1,10,0)&gt;100,100,$AK544+IF(입력란!$C$26=1,10,0))/100*(($AL544+트라이포드!H$24)/100-1))</f>
        <v>77007.313507659579</v>
      </c>
      <c r="L544" s="26">
        <f>U544*(1+IF($AK544+IF(입력란!$C$26=1,10,0)&gt;100,100,$AK544+IF(입력란!$C$26=1,10,0))/100*(($AL544+트라이포드!H$24)/100-1))</f>
        <v>77007.313507659579</v>
      </c>
      <c r="M544" s="26">
        <f>V544*(1+IF($AK544+IF(입력란!$C$26=1,10,0)+IF(MID(E544,1,1)="3",IF(MID(E544,5,1)="2",0,100),0)&gt;100,100,$AK544+IF(입력란!$C$26=1,10,0)+IF(MID(E544,1,1)="1",IF(MID(E544,5,1)="2",0,100),0))/100*(($AL544+트라이포드!H$24)/100-1))</f>
        <v>77007.313507659579</v>
      </c>
      <c r="N544" s="39">
        <f>W544*(1+IF($AK544+IF(입력란!$C$26=1,10,0)&gt;100,100,$AK544+IF(입력란!$C$26=1,10,0))/100*(($AL544+트라이포드!H$24)/100-1))</f>
        <v>77007.313507659579</v>
      </c>
      <c r="O544" s="39">
        <f>X544*(1+IF($AK544+IF(입력란!$C$26=1,10,0)+IF(MID(E544,1,1)="3",IF(MID(E544,5,1)="2",100,0),0)&gt;100,100,$AK544+IF(입력란!$C$26=1,10,0)+IF(MID(E544,1,1)="1",IF(MID(E544,5,1)="2",0,100),0))/100*(($AL544+트라이포드!H$24)/100-1))</f>
        <v>129949.96062359585</v>
      </c>
      <c r="P544" s="39"/>
      <c r="Q544" s="35"/>
      <c r="R544" s="24">
        <f t="shared" si="81"/>
        <v>424225.20048692735</v>
      </c>
      <c r="S544" s="30">
        <f>AN544*IF(MID(E544,3,1)="1",트라이포드!$J$24,트라이포드!$I$24)*(1+입력란!$C$44/100)</f>
        <v>63435.529329957033</v>
      </c>
      <c r="T544" s="26">
        <f>AN544*IF(MID(E544,3,1)="1",트라이포드!$J$24,트라이포드!$I$24)*(1+입력란!$C$44/100)</f>
        <v>63435.529329957033</v>
      </c>
      <c r="U544" s="26">
        <f>AN544*IF(MID(E544,3,1)="1",트라이포드!$J$24,트라이포드!$I$24)*(1+입력란!$C$44/100)</f>
        <v>63435.529329957033</v>
      </c>
      <c r="V544" s="26">
        <f>IF(MID(E544,5,1)="2",AN544,AO544)*IF(MID(E544,3,1)="1",트라이포드!$J$24,트라이포드!$I$24)*(1+입력란!$C$44/100)</f>
        <v>63435.529329957033</v>
      </c>
      <c r="W544" s="26">
        <f>IF(MID(E544,5,1)="2",AN544,0)*IF(MID(E544,3,1)="1",트라이포드!$J$24,트라이포드!$I$24)*(1+입력란!$C$44/100)</f>
        <v>63435.529329957033</v>
      </c>
      <c r="X544" s="26">
        <f>IF(MID(E544,5,1)="2",AO544,0)*IF(MID(E544,3,1)="1",트라이포드!$J$24,트라이포드!$I$24)*(1+입력란!$C$44/100)</f>
        <v>107047.55383714219</v>
      </c>
      <c r="Y544" s="26"/>
      <c r="Z544" s="25"/>
      <c r="AA544" s="30">
        <f t="shared" si="82"/>
        <v>848450.4009738547</v>
      </c>
      <c r="AB544" s="30">
        <f t="shared" si="83"/>
        <v>126871.05865991407</v>
      </c>
      <c r="AC544" s="26">
        <f t="shared" si="84"/>
        <v>126871.05865991407</v>
      </c>
      <c r="AD544" s="26">
        <f t="shared" si="85"/>
        <v>126871.05865991407</v>
      </c>
      <c r="AE544" s="26">
        <f t="shared" si="86"/>
        <v>126871.05865991407</v>
      </c>
      <c r="AF544" s="30">
        <f t="shared" si="87"/>
        <v>126871.05865991407</v>
      </c>
      <c r="AG544" s="26">
        <f t="shared" si="88"/>
        <v>214095.10767428437</v>
      </c>
      <c r="AH544" s="39"/>
      <c r="AI544" s="25"/>
      <c r="AJ544" s="30">
        <f>AQ544*(1-입력란!$C$35/100)</f>
        <v>23.72176897872</v>
      </c>
      <c r="AK54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4" s="26">
        <f>입력란!$C$47+IF(입력란!$C$18=1,10,IF(입력란!$C$18=2,25,IF(입력란!$C$18=3,50,0)))+IF(입력란!$C$23&lt;&gt;0,-12)</f>
        <v>200</v>
      </c>
      <c r="AM544" s="26">
        <f t="shared" si="89"/>
        <v>125555.89526514898</v>
      </c>
      <c r="AN544" s="30">
        <f>(VLOOKUP(C544,$B$4:$AJ$7,30,FALSE)+VLOOKUP(C544,$B$8:$AJ$11,30,FALSE)*입력란!$C$29)*입력란!$C$48/100</f>
        <v>46718.445775847191</v>
      </c>
      <c r="AO544" s="39">
        <f>(VLOOKUP(C544,$B$4:$AJ$7,31,FALSE)+VLOOKUP(C544,$B$8:$AJ$11,31,FALSE)*입력란!$C$29)*입력란!$C$48/100</f>
        <v>78837.449489301798</v>
      </c>
      <c r="AP544" s="39"/>
      <c r="AQ544" s="23">
        <v>24</v>
      </c>
    </row>
    <row r="545" spans="2:43" ht="13.5" customHeight="1" x14ac:dyDescent="0.3">
      <c r="B545" s="31">
        <v>530</v>
      </c>
      <c r="C545" s="40">
        <v>10</v>
      </c>
      <c r="D545" s="44" t="s">
        <v>263</v>
      </c>
      <c r="E545" s="38" t="s">
        <v>266</v>
      </c>
      <c r="F545" s="40"/>
      <c r="G545" s="40"/>
      <c r="H545" s="81">
        <f t="shared" si="80"/>
        <v>25256.61875174837</v>
      </c>
      <c r="I545" s="53">
        <f>SUM(J545:Q545)*IF(입력란!$C$16=1,1.04,IF(입력란!$C$16=2,1.1,IF(입력란!$C$16=3,1.2,1)))*IF(입력란!$C$21=1,1+입력란!$C$38*0.001,IF(입력란!$C$21=2,1+입력란!$C$38*0.0022,IF(입력란!$C$21=3,1+입력란!$C$38*0.0045,1)))*IF(입력란!$C$18&lt;&gt;0,0.98,1)</f>
        <v>599131.67521258234</v>
      </c>
      <c r="J545" s="26">
        <f>S545*(1+IF($AK545+IF(입력란!$C$26=1,10,0)&gt;100,100,$AK545+IF(입력란!$C$26=1,10,0))/100*(($AL545+트라이포드!H$24)/100-1))</f>
        <v>77007.313507659579</v>
      </c>
      <c r="K545" s="26">
        <f>T545*(1+IF($AK545+IF(입력란!$C$26=1,10,0)&gt;100,100,$AK545+IF(입력란!$C$26=1,10,0))/100*(($AL545+트라이포드!H$24)/100-1))</f>
        <v>77007.313507659579</v>
      </c>
      <c r="L545" s="26">
        <f>U545*(1+IF($AK545+IF(입력란!$C$26=1,10,0)&gt;100,100,$AK545+IF(입력란!$C$26=1,10,0))/100*(($AL545+트라이포드!H$24)/100-1))</f>
        <v>77007.313507659579</v>
      </c>
      <c r="M545" s="26">
        <f>V545*(1+IF($AK545+IF(입력란!$C$26=1,10,0)+IF(MID(E545,1,1)="3",IF(MID(E545,5,1)="2",0,100),0)&gt;100,100,$AK545+IF(입력란!$C$26=1,10,0)+IF(MID(E545,1,1)="1",IF(MID(E545,5,1)="2",0,100),0))/100*(($AL545+트라이포드!H$24)/100-1))</f>
        <v>77007.313507659579</v>
      </c>
      <c r="N545" s="39">
        <f>W545*(1+IF($AK545+IF(입력란!$C$26=1,10,0)&gt;100,100,$AK545+IF(입력란!$C$26=1,10,0))/100*(($AL545+트라이포드!H$24)/100-1))</f>
        <v>77007.313507659579</v>
      </c>
      <c r="O545" s="39">
        <f>X545*(1+IF($AK545+IF(입력란!$C$26=1,10,0)+IF(MID(E545,1,1)="3",IF(MID(E545,5,1)="2",100,0),0)&gt;100,100,$AK545+IF(입력란!$C$26=1,10,0)+IF(MID(E545,1,1)="1",IF(MID(E545,5,1)="2",0,100),0))/100*(($AL545+트라이포드!H$24)/100-1))</f>
        <v>214095.10767428437</v>
      </c>
      <c r="P545" s="39"/>
      <c r="Q545" s="35"/>
      <c r="R545" s="24">
        <f t="shared" si="81"/>
        <v>424225.20048692735</v>
      </c>
      <c r="S545" s="30">
        <f>AN545*IF(MID(E545,3,1)="1",트라이포드!$J$24,트라이포드!$I$24)*(1+입력란!$C$44/100)</f>
        <v>63435.529329957033</v>
      </c>
      <c r="T545" s="26">
        <f>AN545*IF(MID(E545,3,1)="1",트라이포드!$J$24,트라이포드!$I$24)*(1+입력란!$C$44/100)</f>
        <v>63435.529329957033</v>
      </c>
      <c r="U545" s="26">
        <f>AN545*IF(MID(E545,3,1)="1",트라이포드!$J$24,트라이포드!$I$24)*(1+입력란!$C$44/100)</f>
        <v>63435.529329957033</v>
      </c>
      <c r="V545" s="26">
        <f>IF(MID(E545,5,1)="2",AN545,AO545)*IF(MID(E545,3,1)="1",트라이포드!$J$24,트라이포드!$I$24)*(1+입력란!$C$44/100)</f>
        <v>63435.529329957033</v>
      </c>
      <c r="W545" s="26">
        <f>IF(MID(E545,5,1)="2",AN545,0)*IF(MID(E545,3,1)="1",트라이포드!$J$24,트라이포드!$I$24)*(1+입력란!$C$44/100)</f>
        <v>63435.529329957033</v>
      </c>
      <c r="X545" s="26">
        <f>IF(MID(E545,5,1)="2",AO545,0)*IF(MID(E545,3,1)="1",트라이포드!$J$24,트라이포드!$I$24)*(1+입력란!$C$44/100)</f>
        <v>107047.55383714219</v>
      </c>
      <c r="Y545" s="26"/>
      <c r="Z545" s="25"/>
      <c r="AA545" s="30">
        <f t="shared" si="82"/>
        <v>848450.4009738547</v>
      </c>
      <c r="AB545" s="30">
        <f t="shared" si="83"/>
        <v>126871.05865991407</v>
      </c>
      <c r="AC545" s="26">
        <f t="shared" si="84"/>
        <v>126871.05865991407</v>
      </c>
      <c r="AD545" s="26">
        <f t="shared" si="85"/>
        <v>126871.05865991407</v>
      </c>
      <c r="AE545" s="26">
        <f t="shared" si="86"/>
        <v>126871.05865991407</v>
      </c>
      <c r="AF545" s="30">
        <f t="shared" si="87"/>
        <v>126871.05865991407</v>
      </c>
      <c r="AG545" s="26">
        <f t="shared" si="88"/>
        <v>214095.10767428437</v>
      </c>
      <c r="AH545" s="39"/>
      <c r="AI545" s="25"/>
      <c r="AJ545" s="30">
        <f>AQ545*(1-입력란!$C$35/100)</f>
        <v>23.72176897872</v>
      </c>
      <c r="AK54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5" s="26">
        <f>입력란!$C$47+IF(입력란!$C$18=1,10,IF(입력란!$C$18=2,25,IF(입력란!$C$18=3,50,0)))+IF(입력란!$C$23&lt;&gt;0,-12)</f>
        <v>200</v>
      </c>
      <c r="AM545" s="26">
        <f t="shared" si="89"/>
        <v>125555.89526514898</v>
      </c>
      <c r="AN545" s="30">
        <f>(VLOOKUP(C545,$B$4:$AJ$7,30,FALSE)+VLOOKUP(C545,$B$8:$AJ$11,30,FALSE)*입력란!$C$29)*입력란!$C$48/100</f>
        <v>46718.445775847191</v>
      </c>
      <c r="AO545" s="39">
        <f>(VLOOKUP(C545,$B$4:$AJ$7,31,FALSE)+VLOOKUP(C545,$B$8:$AJ$11,31,FALSE)*입력란!$C$29)*입력란!$C$48/100</f>
        <v>78837.449489301798</v>
      </c>
      <c r="AP545" s="39"/>
      <c r="AQ545" s="23">
        <v>24</v>
      </c>
    </row>
    <row r="546" spans="2:43" ht="13.5" customHeight="1" x14ac:dyDescent="0.3">
      <c r="B546" s="31">
        <v>531</v>
      </c>
      <c r="C546" s="40">
        <v>10</v>
      </c>
      <c r="D546" s="44" t="s">
        <v>263</v>
      </c>
      <c r="E546" s="38" t="s">
        <v>267</v>
      </c>
      <c r="F546" s="40"/>
      <c r="G546" s="40"/>
      <c r="H546" s="81">
        <f t="shared" si="80"/>
        <v>31570.773439685461</v>
      </c>
      <c r="I546" s="53">
        <f>SUM(J546:Q546)*IF(입력란!$C$16=1,1.04,IF(입력란!$C$16=2,1.1,IF(입력란!$C$16=3,1.2,1)))*IF(입력란!$C$21=1,1+입력란!$C$38*0.001,IF(입력란!$C$21=2,1+입력란!$C$38*0.0022,IF(입력란!$C$21=3,1+입력란!$C$38*0.0045,1)))*IF(입력란!$C$18&lt;&gt;0,0.98,1)</f>
        <v>748914.59401572787</v>
      </c>
      <c r="J546" s="26">
        <f>S546*(1+IF($AK546+IF(입력란!$C$26=1,10,0)&gt;100,100,$AK546+IF(입력란!$C$26=1,10,0))/100*(($AL546+트라이포드!H$24)/100-1))</f>
        <v>96259.141884574477</v>
      </c>
      <c r="K546" s="26">
        <f>T546*(1+IF($AK546+IF(입력란!$C$26=1,10,0)&gt;100,100,$AK546+IF(입력란!$C$26=1,10,0))/100*(($AL546+트라이포드!H$24)/100-1))</f>
        <v>96259.141884574477</v>
      </c>
      <c r="L546" s="26">
        <f>U546*(1+IF($AK546+IF(입력란!$C$26=1,10,0)&gt;100,100,$AK546+IF(입력란!$C$26=1,10,0))/100*(($AL546+트라이포드!H$24)/100-1))</f>
        <v>96259.141884574477</v>
      </c>
      <c r="M546" s="26">
        <f>V546*(1+IF($AK546+IF(입력란!$C$26=1,10,0)+IF(MID(E546,1,1)="3",IF(MID(E546,5,1)="2",0,100),0)&gt;100,100,$AK546+IF(입력란!$C$26=1,10,0)+IF(MID(E546,1,1)="1",IF(MID(E546,5,1)="2",0,100),0))/100*(($AL546+트라이포드!H$24)/100-1))</f>
        <v>96259.141884574477</v>
      </c>
      <c r="N546" s="39">
        <f>W546*(1+IF($AK546+IF(입력란!$C$26=1,10,0)&gt;100,100,$AK546+IF(입력란!$C$26=1,10,0))/100*(($AL546+트라이포드!H$24)/100-1))</f>
        <v>96259.141884574477</v>
      </c>
      <c r="O546" s="39">
        <f>X546*(1+IF($AK546+IF(입력란!$C$26=1,10,0)+IF(MID(E546,1,1)="3",IF(MID(E546,5,1)="2",100,0),0)&gt;100,100,$AK546+IF(입력란!$C$26=1,10,0)+IF(MID(E546,1,1)="1",IF(MID(E546,5,1)="2",0,100),0))/100*(($AL546+트라이포드!H$24)/100-1))</f>
        <v>267618.88459285547</v>
      </c>
      <c r="P546" s="39"/>
      <c r="Q546" s="35"/>
      <c r="R546" s="24">
        <f t="shared" si="81"/>
        <v>530281.50060865912</v>
      </c>
      <c r="S546" s="30">
        <f>AN546*IF(MID(E546,3,1)="1",트라이포드!$J$24,트라이포드!$I$24)*(1+입력란!$C$44/100)</f>
        <v>79294.411662446291</v>
      </c>
      <c r="T546" s="26">
        <f>AN546*IF(MID(E546,3,1)="1",트라이포드!$J$24,트라이포드!$I$24)*(1+입력란!$C$44/100)</f>
        <v>79294.411662446291</v>
      </c>
      <c r="U546" s="26">
        <f>AN546*IF(MID(E546,3,1)="1",트라이포드!$J$24,트라이포드!$I$24)*(1+입력란!$C$44/100)</f>
        <v>79294.411662446291</v>
      </c>
      <c r="V546" s="26">
        <f>IF(MID(E546,5,1)="2",AN546,AO546)*IF(MID(E546,3,1)="1",트라이포드!$J$24,트라이포드!$I$24)*(1+입력란!$C$44/100)</f>
        <v>79294.411662446291</v>
      </c>
      <c r="W546" s="26">
        <f>IF(MID(E546,5,1)="2",AN546,0)*IF(MID(E546,3,1)="1",트라이포드!$J$24,트라이포드!$I$24)*(1+입력란!$C$44/100)</f>
        <v>79294.411662446291</v>
      </c>
      <c r="X546" s="26">
        <f>IF(MID(E546,5,1)="2",AO546,0)*IF(MID(E546,3,1)="1",트라이포드!$J$24,트라이포드!$I$24)*(1+입력란!$C$44/100)</f>
        <v>133809.44229642773</v>
      </c>
      <c r="Y546" s="26"/>
      <c r="Z546" s="25"/>
      <c r="AA546" s="30">
        <f t="shared" si="82"/>
        <v>1060563.0012173182</v>
      </c>
      <c r="AB546" s="30">
        <f t="shared" si="83"/>
        <v>158588.82332489258</v>
      </c>
      <c r="AC546" s="26">
        <f t="shared" si="84"/>
        <v>158588.82332489258</v>
      </c>
      <c r="AD546" s="26">
        <f t="shared" si="85"/>
        <v>158588.82332489258</v>
      </c>
      <c r="AE546" s="26">
        <f t="shared" si="86"/>
        <v>158588.82332489258</v>
      </c>
      <c r="AF546" s="30">
        <f t="shared" si="87"/>
        <v>158588.82332489258</v>
      </c>
      <c r="AG546" s="26">
        <f t="shared" si="88"/>
        <v>267618.88459285547</v>
      </c>
      <c r="AH546" s="39"/>
      <c r="AI546" s="25"/>
      <c r="AJ546" s="30">
        <f>AQ546*(1-입력란!$C$35/100)</f>
        <v>23.72176897872</v>
      </c>
      <c r="AK54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6" s="26">
        <f>입력란!$C$47+IF(입력란!$C$18=1,10,IF(입력란!$C$18=2,25,IF(입력란!$C$18=3,50,0)))+IF(입력란!$C$23&lt;&gt;0,-12)</f>
        <v>200</v>
      </c>
      <c r="AM546" s="26">
        <f t="shared" si="89"/>
        <v>125555.89526514898</v>
      </c>
      <c r="AN546" s="30">
        <f>(VLOOKUP(C546,$B$4:$AJ$7,30,FALSE)+VLOOKUP(C546,$B$8:$AJ$11,30,FALSE)*입력란!$C$29)*입력란!$C$48/100</f>
        <v>46718.445775847191</v>
      </c>
      <c r="AO546" s="39">
        <f>(VLOOKUP(C546,$B$4:$AJ$7,31,FALSE)+VLOOKUP(C546,$B$8:$AJ$11,31,FALSE)*입력란!$C$29)*입력란!$C$48/100</f>
        <v>78837.449489301798</v>
      </c>
      <c r="AP546" s="39"/>
      <c r="AQ546" s="23">
        <v>24</v>
      </c>
    </row>
    <row r="547" spans="2:43" ht="13.5" customHeight="1" x14ac:dyDescent="0.3">
      <c r="B547" s="31">
        <v>532</v>
      </c>
      <c r="C547" s="40">
        <v>1</v>
      </c>
      <c r="D547" s="44" t="s">
        <v>268</v>
      </c>
      <c r="E547" s="38" t="s">
        <v>240</v>
      </c>
      <c r="F547" s="40"/>
      <c r="G547" s="40"/>
      <c r="H547" s="81">
        <f t="shared" si="80"/>
        <v>18984.178802115879</v>
      </c>
      <c r="I547" s="53">
        <f>SUM(J547:Q547)*IF(입력란!$C$16=1,1.04,IF(입력란!$C$16=2,1.1,IF(입력란!$C$16=3,1.2,1)))*IF(입력란!$C$21=1,1+입력란!$C$38*0.001,IF(입력란!$C$21=2,1+입력란!$C$38*0.0022,IF(입력란!$C$21=3,1+입력란!$C$38*0.0045,1)))*IF(입력란!$C$18&lt;&gt;0,0.98,1)</f>
        <v>562922.87974313286</v>
      </c>
      <c r="J547" s="26">
        <f>S547*(1+IF($AK547+IF(입력란!$C$26=1,10,0)+IF(MID(E547,3,1)="1",트라이포드!$J$25,0)&gt;100,100,$AK547+IF(입력란!$C$26=1,10,0)+IF(MID(E547,3,1)="1",트라이포드!$J$25,0))/100*($AL547/100-1))</f>
        <v>562922.87974313286</v>
      </c>
      <c r="K547" s="26"/>
      <c r="L547" s="26"/>
      <c r="M547" s="26"/>
      <c r="N547" s="39"/>
      <c r="O547" s="39"/>
      <c r="P547" s="39"/>
      <c r="Q547" s="35">
        <f>Z547*(1+IF($AK547+IF(입력란!$C$26=1,10,0)&gt;100,100,$AK547+IF(입력란!$C$26=1,10,0))/100*($AL547/100-1))</f>
        <v>0</v>
      </c>
      <c r="R547" s="24">
        <f t="shared" si="81"/>
        <v>463713.23997554503</v>
      </c>
      <c r="S547" s="26">
        <f>AN547*IF(MID(E547,3,1)="3",IF(G547="생명50%이하",트라이포드!$N$25,트라이포드!$M$25),1)*IF(MID(E547,5,1)="2",트라이포드!$R$25,트라이포드!$Q$25)*(1+입력란!$C$44/100)</f>
        <v>463713.23997554503</v>
      </c>
      <c r="T547" s="26"/>
      <c r="U547" s="26"/>
      <c r="V547" s="26"/>
      <c r="W547" s="26"/>
      <c r="X547" s="26"/>
      <c r="Y547" s="26"/>
      <c r="Z547" s="25">
        <f>AN547*IF(MID(E547,1,1)="1",트라이포드!$D$25,트라이포드!$C$25)*(1+입력란!$C$44/100)</f>
        <v>0</v>
      </c>
      <c r="AA547" s="30">
        <f t="shared" si="82"/>
        <v>927426.47995109006</v>
      </c>
      <c r="AB547" s="30">
        <f t="shared" ref="AB547:AB578" si="90">S547*2</f>
        <v>927426.47995109006</v>
      </c>
      <c r="AC547" s="26"/>
      <c r="AD547" s="26"/>
      <c r="AE547" s="26"/>
      <c r="AF547" s="39"/>
      <c r="AG547" s="39"/>
      <c r="AH547" s="39"/>
      <c r="AI547" s="25">
        <f t="shared" ref="AI547:AI578" si="91">Z547*2</f>
        <v>0</v>
      </c>
      <c r="AJ547" s="30">
        <f>AQ547*(1-입력란!$C$35/100)</f>
        <v>29.652211223399998</v>
      </c>
      <c r="AK54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7" s="26">
        <f>입력란!$C$47+IF(입력란!$C$18=1,10,IF(입력란!$C$18=2,25,IF(입력란!$C$18=3,50,0)))+IF(입력란!$C$23&lt;&gt;0,-12)</f>
        <v>200</v>
      </c>
      <c r="AM547" s="26">
        <f t="shared" si="89"/>
        <v>341511.48553763615</v>
      </c>
      <c r="AN547" s="30">
        <f>(VLOOKUP(C547,$B$4:$AJ$7,33,FALSE)+VLOOKUP(C547,$B$8:$AJ$11,33,FALSE)*입력란!$C$29)*입력란!$C$48/100</f>
        <v>341511.48553763615</v>
      </c>
      <c r="AO547" s="39"/>
      <c r="AP547" s="39"/>
      <c r="AQ547" s="12">
        <v>30</v>
      </c>
    </row>
    <row r="548" spans="2:43" ht="13.5" customHeight="1" x14ac:dyDescent="0.3">
      <c r="B548" s="31">
        <v>533</v>
      </c>
      <c r="C548" s="8">
        <v>4</v>
      </c>
      <c r="D548" s="44" t="s">
        <v>56</v>
      </c>
      <c r="E548" s="38" t="s">
        <v>360</v>
      </c>
      <c r="F548" s="40"/>
      <c r="G548" s="40"/>
      <c r="H548" s="81">
        <f t="shared" si="80"/>
        <v>22830.404008857531</v>
      </c>
      <c r="I548" s="53">
        <f>SUM(J548:Q548)*IF(입력란!$C$16=1,1.04,IF(입력란!$C$16=2,1.1,IF(입력란!$C$16=3,1.2,1)))*IF(입력란!$C$21=1,1+입력란!$C$38*0.001,IF(입력란!$C$21=2,1+입력란!$C$38*0.0022,IF(입력란!$C$21=3,1+입력란!$C$38*0.0045,1)))*IF(입력란!$C$18&lt;&gt;0,0.98,1)</f>
        <v>676971.96198620158</v>
      </c>
      <c r="J548" s="26">
        <f>S548*(1+IF($AK548+IF(입력란!$C$26=1,10,0)+IF(MID(E548,3,1)="1",트라이포드!$J$25,0)&gt;100,100,$AK548+IF(입력란!$C$26=1,10,0)+IF(MID(E548,3,1)="1",트라이포드!$J$25,0))/100*($AL548/100-1))</f>
        <v>564143.30165516795</v>
      </c>
      <c r="K548" s="39"/>
      <c r="L548" s="39"/>
      <c r="M548" s="39"/>
      <c r="N548" s="39"/>
      <c r="O548" s="39"/>
      <c r="P548" s="39"/>
      <c r="Q548" s="35">
        <f>Z548*(1+IF($AK548+IF(입력란!$C$26=1,10,0)&gt;100,100,$AK548+IF(입력란!$C$26=1,10,0))/100*($AL548/100-1))</f>
        <v>112828.66033103359</v>
      </c>
      <c r="R548" s="24">
        <f t="shared" si="81"/>
        <v>557662.28938583587</v>
      </c>
      <c r="S548" s="26">
        <f>AN548*IF(MID(E548,3,1)="3",IF(G548="생명50%이하",트라이포드!$N$25,트라이포드!$M$25),1)*IF(MID(E548,5,1)="2",트라이포드!$R$25,트라이포드!$Q$25)*(1+입력란!$C$44/100)</f>
        <v>464718.57448819652</v>
      </c>
      <c r="T548" s="39"/>
      <c r="U548" s="39"/>
      <c r="V548" s="39"/>
      <c r="W548" s="39"/>
      <c r="X548" s="39"/>
      <c r="Y548" s="39"/>
      <c r="Z548" s="25">
        <f>AN548*IF(MID(E548,1,1)="1",트라이포드!$D$25,트라이포드!$C$25)*(1+입력란!$C$44/100)</f>
        <v>92943.714897639307</v>
      </c>
      <c r="AA548" s="30">
        <f t="shared" si="82"/>
        <v>1115324.5787716717</v>
      </c>
      <c r="AB548" s="30">
        <f t="shared" si="90"/>
        <v>929437.14897639304</v>
      </c>
      <c r="AC548" s="39"/>
      <c r="AD548" s="39"/>
      <c r="AE548" s="39"/>
      <c r="AF548" s="39"/>
      <c r="AG548" s="39"/>
      <c r="AH548" s="39"/>
      <c r="AI548" s="25">
        <f t="shared" si="91"/>
        <v>185887.42979527861</v>
      </c>
      <c r="AJ548" s="30">
        <f>AQ548*(1-입력란!$C$35/100)</f>
        <v>29.652211223399998</v>
      </c>
      <c r="AK54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8" s="26">
        <f>입력란!$C$47+IF(입력란!$C$18=1,10,IF(입력란!$C$18=2,25,IF(입력란!$C$18=3,50,0)))+IF(입력란!$C$23&lt;&gt;0,-12)</f>
        <v>200</v>
      </c>
      <c r="AM548" s="26">
        <f t="shared" si="89"/>
        <v>342251.88553763612</v>
      </c>
      <c r="AN548" s="30">
        <f>(VLOOKUP(C548,$B$4:$AJ$7,33,FALSE)+VLOOKUP(C548,$B$8:$AJ$11,33,FALSE)*입력란!$C$29)*입력란!$C$48/100</f>
        <v>342251.88553763612</v>
      </c>
      <c r="AO548" s="39"/>
      <c r="AP548" s="39"/>
      <c r="AQ548" s="12">
        <v>30</v>
      </c>
    </row>
    <row r="549" spans="2:43" ht="13.5" customHeight="1" x14ac:dyDescent="0.3">
      <c r="B549" s="31">
        <v>534</v>
      </c>
      <c r="C549" s="8">
        <v>4</v>
      </c>
      <c r="D549" s="44" t="s">
        <v>268</v>
      </c>
      <c r="E549" s="38" t="s">
        <v>240</v>
      </c>
      <c r="F549" s="40"/>
      <c r="G549" s="40"/>
      <c r="H549" s="81">
        <f t="shared" si="80"/>
        <v>19025.33667404794</v>
      </c>
      <c r="I549" s="53">
        <f>SUM(J549:Q549)*IF(입력란!$C$16=1,1.04,IF(입력란!$C$16=2,1.1,IF(입력란!$C$16=3,1.2,1)))*IF(입력란!$C$21=1,1+입력란!$C$38*0.001,IF(입력란!$C$21=2,1+입력란!$C$38*0.0022,IF(입력란!$C$21=3,1+입력란!$C$38*0.0045,1)))*IF(입력란!$C$18&lt;&gt;0,0.98,1)</f>
        <v>564143.30165516795</v>
      </c>
      <c r="J549" s="26">
        <f>S549*(1+IF($AK549+IF(입력란!$C$26=1,10,0)+IF(MID(E549,3,1)="1",트라이포드!$J$25,0)&gt;100,100,$AK549+IF(입력란!$C$26=1,10,0)+IF(MID(E549,3,1)="1",트라이포드!$J$25,0))/100*($AL549/100-1))</f>
        <v>564143.30165516795</v>
      </c>
      <c r="K549" s="39"/>
      <c r="L549" s="39"/>
      <c r="M549" s="39"/>
      <c r="N549" s="39"/>
      <c r="O549" s="39"/>
      <c r="P549" s="39"/>
      <c r="Q549" s="35">
        <f>Z549*(1+IF($AK549+IF(입력란!$C$26=1,10,0)&gt;100,100,$AK549+IF(입력란!$C$26=1,10,0))/100*($AL549/100-1))</f>
        <v>0</v>
      </c>
      <c r="R549" s="24">
        <f t="shared" si="81"/>
        <v>464718.57448819652</v>
      </c>
      <c r="S549" s="26">
        <f>AN549*IF(MID(E549,3,1)="3",IF(G549="생명50%이하",트라이포드!$N$25,트라이포드!$M$25),1)*IF(MID(E549,5,1)="2",트라이포드!$R$25,트라이포드!$Q$25)*(1+입력란!$C$44/100)</f>
        <v>464718.57448819652</v>
      </c>
      <c r="T549" s="39"/>
      <c r="U549" s="39"/>
      <c r="V549" s="39"/>
      <c r="W549" s="39"/>
      <c r="X549" s="39"/>
      <c r="Y549" s="39"/>
      <c r="Z549" s="25">
        <f>AN549*IF(MID(E549,1,1)="1",트라이포드!$D$25,트라이포드!$C$25)*(1+입력란!$C$44/100)</f>
        <v>0</v>
      </c>
      <c r="AA549" s="30">
        <f t="shared" si="82"/>
        <v>929437.14897639304</v>
      </c>
      <c r="AB549" s="30">
        <f t="shared" si="90"/>
        <v>929437.14897639304</v>
      </c>
      <c r="AC549" s="39"/>
      <c r="AD549" s="39"/>
      <c r="AE549" s="39"/>
      <c r="AF549" s="39"/>
      <c r="AG549" s="39"/>
      <c r="AH549" s="39"/>
      <c r="AI549" s="25">
        <f t="shared" si="91"/>
        <v>0</v>
      </c>
      <c r="AJ549" s="30">
        <f>AQ549*(1-입력란!$C$35/100)</f>
        <v>29.652211223399998</v>
      </c>
      <c r="AK54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49" s="26">
        <f>입력란!$C$47+IF(입력란!$C$18=1,10,IF(입력란!$C$18=2,25,IF(입력란!$C$18=3,50,0)))+IF(입력란!$C$23&lt;&gt;0,-12)</f>
        <v>200</v>
      </c>
      <c r="AM549" s="26">
        <f t="shared" si="89"/>
        <v>342251.88553763612</v>
      </c>
      <c r="AN549" s="30">
        <f>(VLOOKUP(C549,$B$4:$AJ$7,33,FALSE)+VLOOKUP(C549,$B$8:$AJ$11,33,FALSE)*입력란!$C$29)*입력란!$C$48/100</f>
        <v>342251.88553763612</v>
      </c>
      <c r="AO549" s="39"/>
      <c r="AP549" s="39"/>
      <c r="AQ549" s="12">
        <v>30</v>
      </c>
    </row>
    <row r="550" spans="2:43" ht="13.5" customHeight="1" x14ac:dyDescent="0.3">
      <c r="B550" s="31">
        <v>535</v>
      </c>
      <c r="C550" s="8">
        <v>7</v>
      </c>
      <c r="D550" s="44" t="s">
        <v>268</v>
      </c>
      <c r="E550" s="38" t="s">
        <v>240</v>
      </c>
      <c r="F550" s="40"/>
      <c r="G550" s="40"/>
      <c r="H550" s="81">
        <f t="shared" si="80"/>
        <v>18435.622837764688</v>
      </c>
      <c r="I550" s="53">
        <f>SUM(J550:Q550)*IF(입력란!$C$16=1,1.04,IF(입력란!$C$16=2,1.1,IF(입력란!$C$16=3,1.2,1)))*IF(입력란!$C$21=1,1+입력란!$C$38*0.001,IF(입력란!$C$21=2,1+입력란!$C$38*0.0022,IF(입력란!$C$21=3,1+입력란!$C$38*0.0045,1)))*IF(입력란!$C$18&lt;&gt;0,0.98,1)</f>
        <v>546656.98242033541</v>
      </c>
      <c r="J550" s="26">
        <f>S550*(1+IF($AK550+IF(입력란!$C$26=1,10,0)+IF(MID(E550,3,1)="1",트라이포드!$J$25,0)&gt;100,100,$AK550+IF(입력란!$C$26=1,10,0)+IF(MID(E550,3,1)="1",트라이포드!$J$25,0))/100*($AL550/100-1))</f>
        <v>546656.98242033541</v>
      </c>
      <c r="K550" s="39"/>
      <c r="L550" s="39"/>
      <c r="M550" s="39"/>
      <c r="N550" s="39"/>
      <c r="O550" s="39"/>
      <c r="P550" s="39"/>
      <c r="Q550" s="35">
        <f>Z550*(1+IF($AK550+IF(입력란!$C$26=1,10,0)&gt;100,100,$AK550+IF(입력란!$C$26=1,10,0))/100*($AL550/100-1))</f>
        <v>0</v>
      </c>
      <c r="R550" s="24">
        <f t="shared" si="81"/>
        <v>450314.04761707183</v>
      </c>
      <c r="S550" s="26">
        <f>AN550*IF(MID(E550,3,1)="3",IF(G550="생명50%이하",트라이포드!$N$25,트라이포드!$M$25),1)*IF(MID(E550,5,1)="2",트라이포드!$R$25,트라이포드!$Q$25)*(1+입력란!$C$44/100)</f>
        <v>450314.04761707183</v>
      </c>
      <c r="T550" s="39"/>
      <c r="U550" s="39"/>
      <c r="V550" s="39"/>
      <c r="W550" s="39"/>
      <c r="X550" s="39"/>
      <c r="Y550" s="39"/>
      <c r="Z550" s="25">
        <f>AN550*IF(MID(E550,1,1)="1",트라이포드!$D$25,트라이포드!$C$25)*(1+입력란!$C$44/100)</f>
        <v>0</v>
      </c>
      <c r="AA550" s="30">
        <f t="shared" si="82"/>
        <v>900628.09523414366</v>
      </c>
      <c r="AB550" s="30">
        <f t="shared" si="90"/>
        <v>900628.09523414366</v>
      </c>
      <c r="AC550" s="39"/>
      <c r="AD550" s="39"/>
      <c r="AE550" s="39"/>
      <c r="AF550" s="39"/>
      <c r="AG550" s="39"/>
      <c r="AH550" s="39"/>
      <c r="AI550" s="25">
        <f t="shared" si="91"/>
        <v>0</v>
      </c>
      <c r="AJ550" s="30">
        <f>AQ550*(1-입력란!$C$35/100)</f>
        <v>29.652211223399998</v>
      </c>
      <c r="AK55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0" s="26">
        <f>입력란!$C$47+IF(입력란!$C$18=1,10,IF(입력란!$C$18=2,25,IF(입력란!$C$18=3,50,0)))+IF(입력란!$C$23&lt;&gt;0,-12)</f>
        <v>200</v>
      </c>
      <c r="AM550" s="26">
        <f t="shared" si="89"/>
        <v>331643.36512859189</v>
      </c>
      <c r="AN550" s="30">
        <f>(VLOOKUP(C550,$B$4:$AJ$7,33,FALSE)+VLOOKUP(C550,$B$8:$AJ$11,33,FALSE)*입력란!$C$29)*입력란!$C$48/100</f>
        <v>331643.36512859189</v>
      </c>
      <c r="AO550" s="39"/>
      <c r="AP550" s="39"/>
      <c r="AQ550" s="12">
        <v>30</v>
      </c>
    </row>
    <row r="551" spans="2:43" ht="13.5" customHeight="1" x14ac:dyDescent="0.3">
      <c r="B551" s="31">
        <v>536</v>
      </c>
      <c r="C551" s="8">
        <v>7</v>
      </c>
      <c r="D551" s="44" t="s">
        <v>56</v>
      </c>
      <c r="E551" s="38" t="s">
        <v>384</v>
      </c>
      <c r="F551" s="40"/>
      <c r="G551" s="40"/>
      <c r="H551" s="81">
        <f t="shared" si="80"/>
        <v>29716.009914889044</v>
      </c>
      <c r="I551" s="53">
        <f>SUM(J551:Q551)*IF(입력란!$C$16=1,1.04,IF(입력란!$C$16=2,1.1,IF(입력란!$C$16=3,1.2,1)))*IF(입력란!$C$21=1,1+입력란!$C$38*0.001,IF(입력란!$C$21=2,1+입력란!$C$38*0.0022,IF(입력란!$C$21=3,1+입력란!$C$38*0.0045,1)))*IF(입력란!$C$18&lt;&gt;0,0.98,1)</f>
        <v>881145.40271293849</v>
      </c>
      <c r="J551" s="26">
        <f>S551*(1+IF($AK551+IF(입력란!$C$26=1,10,0)+IF(MID(E551,3,1)="1",트라이포드!$J$25,0)&gt;100,100,$AK551+IF(입력란!$C$26=1,10,0)+IF(MID(E551,3,1)="1",트라이포드!$J$25,0))/100*($AL551/100-1))</f>
        <v>771814.00622887141</v>
      </c>
      <c r="K551" s="39"/>
      <c r="L551" s="39"/>
      <c r="M551" s="39"/>
      <c r="N551" s="39"/>
      <c r="O551" s="39"/>
      <c r="P551" s="39"/>
      <c r="Q551" s="35">
        <f>Z551*(1+IF($AK551+IF(입력란!$C$26=1,10,0)&gt;100,100,$AK551+IF(입력란!$C$26=1,10,0))/100*($AL551/100-1))</f>
        <v>109331.3964840671</v>
      </c>
      <c r="R551" s="24">
        <f t="shared" si="81"/>
        <v>540376.85714048625</v>
      </c>
      <c r="S551" s="26">
        <f>AN551*IF(MID(E551,3,1)="3",IF(G551="생명50%이하",트라이포드!$N$25,트라이포드!$M$25),1)*IF(MID(E551,5,1)="2",트라이포드!$R$25,트라이포드!$Q$25)*(1+입력란!$C$44/100)</f>
        <v>450314.04761707183</v>
      </c>
      <c r="T551" s="39"/>
      <c r="U551" s="39"/>
      <c r="V551" s="39"/>
      <c r="W551" s="39"/>
      <c r="X551" s="39"/>
      <c r="Y551" s="39"/>
      <c r="Z551" s="25">
        <f>AN551*IF(MID(E551,1,1)="1",트라이포드!$D$25,트라이포드!$C$25)*(1+입력란!$C$44/100)</f>
        <v>90062.809523414369</v>
      </c>
      <c r="AA551" s="30">
        <f t="shared" si="82"/>
        <v>1080753.7142809725</v>
      </c>
      <c r="AB551" s="30">
        <f t="shared" si="90"/>
        <v>900628.09523414366</v>
      </c>
      <c r="AC551" s="39"/>
      <c r="AD551" s="39"/>
      <c r="AE551" s="39"/>
      <c r="AF551" s="39"/>
      <c r="AG551" s="39"/>
      <c r="AH551" s="39"/>
      <c r="AI551" s="25">
        <f t="shared" si="91"/>
        <v>180125.61904682874</v>
      </c>
      <c r="AJ551" s="30">
        <f>AQ551*(1-입력란!$C$35/100)</f>
        <v>29.652211223399998</v>
      </c>
      <c r="AK55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1" s="26">
        <f>입력란!$C$47+IF(입력란!$C$18=1,10,IF(입력란!$C$18=2,25,IF(입력란!$C$18=3,50,0)))+IF(입력란!$C$23&lt;&gt;0,-12)</f>
        <v>200</v>
      </c>
      <c r="AM551" s="26">
        <f t="shared" si="89"/>
        <v>331643.36512859189</v>
      </c>
      <c r="AN551" s="30">
        <f>(VLOOKUP(C551,$B$4:$AJ$7,33,FALSE)+VLOOKUP(C551,$B$8:$AJ$11,33,FALSE)*입력란!$C$29)*입력란!$C$48/100</f>
        <v>331643.36512859189</v>
      </c>
      <c r="AO551" s="39"/>
      <c r="AP551" s="39"/>
      <c r="AQ551" s="12">
        <v>30</v>
      </c>
    </row>
    <row r="552" spans="2:43" ht="13.5" customHeight="1" x14ac:dyDescent="0.3">
      <c r="B552" s="31">
        <v>537</v>
      </c>
      <c r="C552" s="8">
        <v>7</v>
      </c>
      <c r="D552" s="44" t="s">
        <v>268</v>
      </c>
      <c r="E552" s="38" t="s">
        <v>242</v>
      </c>
      <c r="F552" s="40"/>
      <c r="G552" s="40"/>
      <c r="H552" s="81">
        <f t="shared" si="80"/>
        <v>26028.885347336105</v>
      </c>
      <c r="I552" s="53">
        <f>SUM(J552:Q552)*IF(입력란!$C$16=1,1.04,IF(입력란!$C$16=2,1.1,IF(입력란!$C$16=3,1.2,1)))*IF(입력란!$C$21=1,1+입력란!$C$38*0.001,IF(입력란!$C$21=2,1+입력란!$C$38*0.0022,IF(입력란!$C$21=3,1+입력란!$C$38*0.0045,1)))*IF(입력란!$C$18&lt;&gt;0,0.98,1)</f>
        <v>771814.00622887141</v>
      </c>
      <c r="J552" s="26">
        <f>S552*(1+IF($AK552+IF(입력란!$C$26=1,10,0)+IF(MID(E552,3,1)="1",트라이포드!$J$25,0)&gt;100,100,$AK552+IF(입력란!$C$26=1,10,0)+IF(MID(E552,3,1)="1",트라이포드!$J$25,0))/100*($AL552/100-1))</f>
        <v>771814.00622887141</v>
      </c>
      <c r="K552" s="39"/>
      <c r="L552" s="39"/>
      <c r="M552" s="39"/>
      <c r="N552" s="39"/>
      <c r="O552" s="39"/>
      <c r="P552" s="39"/>
      <c r="Q552" s="35">
        <f>Z552*(1+IF($AK552+IF(입력란!$C$26=1,10,0)&gt;100,100,$AK552+IF(입력란!$C$26=1,10,0))/100*($AL552/100-1))</f>
        <v>0</v>
      </c>
      <c r="R552" s="24">
        <f t="shared" si="81"/>
        <v>450314.04761707183</v>
      </c>
      <c r="S552" s="26">
        <f>AN552*IF(MID(E552,3,1)="3",IF(G552="생명50%이하",트라이포드!$N$25,트라이포드!$M$25),1)*IF(MID(E552,5,1)="2",트라이포드!$R$25,트라이포드!$Q$25)*(1+입력란!$C$44/100)</f>
        <v>450314.04761707183</v>
      </c>
      <c r="T552" s="39"/>
      <c r="U552" s="39"/>
      <c r="V552" s="39"/>
      <c r="W552" s="39"/>
      <c r="X552" s="39"/>
      <c r="Y552" s="39"/>
      <c r="Z552" s="25">
        <f>AN552*IF(MID(E552,1,1)="1",트라이포드!$D$25,트라이포드!$C$25)*(1+입력란!$C$44/100)</f>
        <v>0</v>
      </c>
      <c r="AA552" s="30">
        <f t="shared" si="82"/>
        <v>900628.09523414366</v>
      </c>
      <c r="AB552" s="30">
        <f t="shared" si="90"/>
        <v>900628.09523414366</v>
      </c>
      <c r="AC552" s="39"/>
      <c r="AD552" s="39"/>
      <c r="AE552" s="39"/>
      <c r="AF552" s="39"/>
      <c r="AG552" s="39"/>
      <c r="AH552" s="39"/>
      <c r="AI552" s="25">
        <f t="shared" si="91"/>
        <v>0</v>
      </c>
      <c r="AJ552" s="30">
        <f>AQ552*(1-입력란!$C$35/100)</f>
        <v>29.652211223399998</v>
      </c>
      <c r="AK55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2" s="26">
        <f>입력란!$C$47+IF(입력란!$C$18=1,10,IF(입력란!$C$18=2,25,IF(입력란!$C$18=3,50,0)))+IF(입력란!$C$23&lt;&gt;0,-12)</f>
        <v>200</v>
      </c>
      <c r="AM552" s="26">
        <f t="shared" si="89"/>
        <v>331643.36512859189</v>
      </c>
      <c r="AN552" s="30">
        <f>(VLOOKUP(C552,$B$4:$AJ$7,33,FALSE)+VLOOKUP(C552,$B$8:$AJ$11,33,FALSE)*입력란!$C$29)*입력란!$C$48/100</f>
        <v>331643.36512859189</v>
      </c>
      <c r="AO552" s="39"/>
      <c r="AP552" s="39"/>
      <c r="AQ552" s="12">
        <v>30</v>
      </c>
    </row>
    <row r="553" spans="2:43" ht="13.5" customHeight="1" x14ac:dyDescent="0.3">
      <c r="B553" s="31">
        <v>538</v>
      </c>
      <c r="C553" s="8">
        <v>7</v>
      </c>
      <c r="D553" s="44" t="s">
        <v>56</v>
      </c>
      <c r="E553" s="38" t="s">
        <v>360</v>
      </c>
      <c r="F553" s="40"/>
      <c r="G553" s="40"/>
      <c r="H553" s="81">
        <f t="shared" si="80"/>
        <v>22122.747405317627</v>
      </c>
      <c r="I553" s="53">
        <f>SUM(J553:Q553)*IF(입력란!$C$16=1,1.04,IF(입력란!$C$16=2,1.1,IF(입력란!$C$16=3,1.2,1)))*IF(입력란!$C$21=1,1+입력란!$C$38*0.001,IF(입력란!$C$21=2,1+입력란!$C$38*0.0022,IF(입력란!$C$21=3,1+입력란!$C$38*0.0045,1)))*IF(입력란!$C$18&lt;&gt;0,0.98,1)</f>
        <v>655988.37890440249</v>
      </c>
      <c r="J553" s="26">
        <f>S553*(1+IF($AK553+IF(입력란!$C$26=1,10,0)+IF(MID(E553,3,1)="1",트라이포드!$J$25,0)&gt;100,100,$AK553+IF(입력란!$C$26=1,10,0)+IF(MID(E553,3,1)="1",트라이포드!$J$25,0))/100*($AL553/100-1))</f>
        <v>546656.98242033541</v>
      </c>
      <c r="K553" s="39"/>
      <c r="L553" s="39"/>
      <c r="M553" s="39"/>
      <c r="N553" s="39"/>
      <c r="O553" s="39"/>
      <c r="P553" s="39"/>
      <c r="Q553" s="35">
        <f>Z553*(1+IF($AK553+IF(입력란!$C$26=1,10,0)&gt;100,100,$AK553+IF(입력란!$C$26=1,10,0))/100*($AL553/100-1))</f>
        <v>109331.3964840671</v>
      </c>
      <c r="R553" s="24">
        <f t="shared" si="81"/>
        <v>540376.85714048625</v>
      </c>
      <c r="S553" s="26">
        <f>AN553*IF(MID(E553,3,1)="3",IF(G553="생명50%이하",트라이포드!$N$25,트라이포드!$M$25),1)*IF(MID(E553,5,1)="2",트라이포드!$R$25,트라이포드!$Q$25)*(1+입력란!$C$44/100)</f>
        <v>450314.04761707183</v>
      </c>
      <c r="T553" s="39"/>
      <c r="U553" s="39"/>
      <c r="V553" s="39"/>
      <c r="W553" s="39"/>
      <c r="X553" s="39"/>
      <c r="Y553" s="39"/>
      <c r="Z553" s="25">
        <f>AN553*IF(MID(E553,1,1)="1",트라이포드!$D$25,트라이포드!$C$25)*(1+입력란!$C$44/100)</f>
        <v>90062.809523414369</v>
      </c>
      <c r="AA553" s="30">
        <f t="shared" si="82"/>
        <v>1080753.7142809725</v>
      </c>
      <c r="AB553" s="30">
        <f t="shared" si="90"/>
        <v>900628.09523414366</v>
      </c>
      <c r="AC553" s="39"/>
      <c r="AD553" s="39"/>
      <c r="AE553" s="39"/>
      <c r="AF553" s="39"/>
      <c r="AG553" s="39"/>
      <c r="AH553" s="39"/>
      <c r="AI553" s="25">
        <f t="shared" si="91"/>
        <v>180125.61904682874</v>
      </c>
      <c r="AJ553" s="30">
        <f>AQ553*(1-입력란!$C$35/100)</f>
        <v>29.652211223399998</v>
      </c>
      <c r="AK55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3" s="26">
        <f>입력란!$C$47+IF(입력란!$C$18=1,10,IF(입력란!$C$18=2,25,IF(입력란!$C$18=3,50,0)))+IF(입력란!$C$23&lt;&gt;0,-12)</f>
        <v>200</v>
      </c>
      <c r="AM553" s="26">
        <f t="shared" si="89"/>
        <v>331643.36512859189</v>
      </c>
      <c r="AN553" s="30">
        <f>(VLOOKUP(C553,$B$4:$AJ$7,33,FALSE)+VLOOKUP(C553,$B$8:$AJ$11,33,FALSE)*입력란!$C$29)*입력란!$C$48/100</f>
        <v>331643.36512859189</v>
      </c>
      <c r="AO553" s="39"/>
      <c r="AP553" s="39"/>
      <c r="AQ553" s="12">
        <v>30</v>
      </c>
    </row>
    <row r="554" spans="2:43" ht="13.5" customHeight="1" x14ac:dyDescent="0.3">
      <c r="B554" s="31">
        <v>539</v>
      </c>
      <c r="C554" s="8">
        <v>7</v>
      </c>
      <c r="D554" s="44" t="s">
        <v>56</v>
      </c>
      <c r="E554" s="38" t="s">
        <v>386</v>
      </c>
      <c r="F554" s="40"/>
      <c r="G554" s="40"/>
      <c r="H554" s="81">
        <f t="shared" si="80"/>
        <v>22122.747405317627</v>
      </c>
      <c r="I554" s="53">
        <f>SUM(J554:Q554)*IF(입력란!$C$16=1,1.04,IF(입력란!$C$16=2,1.1,IF(입력란!$C$16=3,1.2,1)))*IF(입력란!$C$21=1,1+입력란!$C$38*0.001,IF(입력란!$C$21=2,1+입력란!$C$38*0.0022,IF(입력란!$C$21=3,1+입력란!$C$38*0.0045,1)))*IF(입력란!$C$18&lt;&gt;0,0.98,1)</f>
        <v>655988.37890440249</v>
      </c>
      <c r="J554" s="26">
        <f>S554*(1+IF($AK554+IF(입력란!$C$26=1,10,0)+IF(MID(E554,3,1)="1",트라이포드!$J$25,0)&gt;100,100,$AK554+IF(입력란!$C$26=1,10,0)+IF(MID(E554,3,1)="1",트라이포드!$J$25,0))/100*($AL554/100-1))</f>
        <v>546656.98242033541</v>
      </c>
      <c r="K554" s="39"/>
      <c r="L554" s="39"/>
      <c r="M554" s="39"/>
      <c r="N554" s="39"/>
      <c r="O554" s="39"/>
      <c r="P554" s="39"/>
      <c r="Q554" s="35">
        <f>Z554*(1+IF($AK554+IF(입력란!$C$26=1,10,0)&gt;100,100,$AK554+IF(입력란!$C$26=1,10,0))/100*($AL554/100-1))</f>
        <v>109331.3964840671</v>
      </c>
      <c r="R554" s="24">
        <f t="shared" si="81"/>
        <v>540376.85714048625</v>
      </c>
      <c r="S554" s="26">
        <f>AN554*IF(MID(E554,3,1)="3",IF(G554="생명50%이하",트라이포드!$N$25,트라이포드!$M$25),1)*IF(MID(E554,5,1)="2",트라이포드!$R$25,트라이포드!$Q$25)*(1+입력란!$C$44/100)</f>
        <v>450314.04761707183</v>
      </c>
      <c r="T554" s="39"/>
      <c r="U554" s="39"/>
      <c r="V554" s="39"/>
      <c r="W554" s="39"/>
      <c r="X554" s="39"/>
      <c r="Y554" s="39"/>
      <c r="Z554" s="25">
        <f>AN554*IF(MID(E554,1,1)="1",트라이포드!$D$25,트라이포드!$C$25)*(1+입력란!$C$44/100)</f>
        <v>90062.809523414369</v>
      </c>
      <c r="AA554" s="30">
        <f t="shared" si="82"/>
        <v>1080753.7142809725</v>
      </c>
      <c r="AB554" s="30">
        <f t="shared" si="90"/>
        <v>900628.09523414366</v>
      </c>
      <c r="AC554" s="39"/>
      <c r="AD554" s="39"/>
      <c r="AE554" s="39"/>
      <c r="AF554" s="39"/>
      <c r="AG554" s="39"/>
      <c r="AH554" s="39"/>
      <c r="AI554" s="25">
        <f t="shared" si="91"/>
        <v>180125.61904682874</v>
      </c>
      <c r="AJ554" s="30">
        <f>AQ554*(1-입력란!$C$35/100)</f>
        <v>29.652211223399998</v>
      </c>
      <c r="AK55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4" s="26">
        <f>입력란!$C$47+IF(입력란!$C$18=1,10,IF(입력란!$C$18=2,25,IF(입력란!$C$18=3,50,0)))+IF(입력란!$C$23&lt;&gt;0,-12)</f>
        <v>200</v>
      </c>
      <c r="AM554" s="26">
        <f t="shared" si="89"/>
        <v>331643.36512859189</v>
      </c>
      <c r="AN554" s="30">
        <f>(VLOOKUP(C554,$B$4:$AJ$7,33,FALSE)+VLOOKUP(C554,$B$8:$AJ$11,33,FALSE)*입력란!$C$29)*입력란!$C$48/100</f>
        <v>331643.36512859189</v>
      </c>
      <c r="AO554" s="39"/>
      <c r="AP554" s="39"/>
      <c r="AQ554" s="12">
        <v>30</v>
      </c>
    </row>
    <row r="555" spans="2:43" ht="13.5" customHeight="1" x14ac:dyDescent="0.3">
      <c r="B555" s="31">
        <v>540</v>
      </c>
      <c r="C555" s="8">
        <v>7</v>
      </c>
      <c r="D555" s="44" t="s">
        <v>268</v>
      </c>
      <c r="E555" s="38" t="s">
        <v>269</v>
      </c>
      <c r="F555" s="40"/>
      <c r="G555" s="40"/>
      <c r="H555" s="81">
        <f t="shared" si="80"/>
        <v>18435.622837764688</v>
      </c>
      <c r="I555" s="53">
        <f>SUM(J555:Q555)*IF(입력란!$C$16=1,1.04,IF(입력란!$C$16=2,1.1,IF(입력란!$C$16=3,1.2,1)))*IF(입력란!$C$21=1,1+입력란!$C$38*0.001,IF(입력란!$C$21=2,1+입력란!$C$38*0.0022,IF(입력란!$C$21=3,1+입력란!$C$38*0.0045,1)))*IF(입력란!$C$18&lt;&gt;0,0.98,1)</f>
        <v>546656.98242033541</v>
      </c>
      <c r="J555" s="26">
        <f>S555*(1+IF($AK555+IF(입력란!$C$26=1,10,0)+IF(MID(E555,3,1)="1",트라이포드!$J$25,0)&gt;100,100,$AK555+IF(입력란!$C$26=1,10,0)+IF(MID(E555,3,1)="1",트라이포드!$J$25,0))/100*($AL555/100-1))</f>
        <v>546656.98242033541</v>
      </c>
      <c r="K555" s="39"/>
      <c r="L555" s="39"/>
      <c r="M555" s="39"/>
      <c r="N555" s="39"/>
      <c r="O555" s="39"/>
      <c r="P555" s="39"/>
      <c r="Q555" s="35">
        <f>Z555*(1+IF($AK555+IF(입력란!$C$26=1,10,0)&gt;100,100,$AK555+IF(입력란!$C$26=1,10,0))/100*($AL555/100-1))</f>
        <v>0</v>
      </c>
      <c r="R555" s="24">
        <f t="shared" si="81"/>
        <v>450314.04761707183</v>
      </c>
      <c r="S555" s="26">
        <f>AN555*IF(MID(E555,3,1)="3",IF(G555="생명50%이하",트라이포드!$N$25,트라이포드!$M$25),1)*IF(MID(E555,5,1)="2",트라이포드!$R$25,트라이포드!$Q$25)*(1+입력란!$C$44/100)</f>
        <v>450314.04761707183</v>
      </c>
      <c r="T555" s="39"/>
      <c r="U555" s="39"/>
      <c r="V555" s="39"/>
      <c r="W555" s="39"/>
      <c r="X555" s="39"/>
      <c r="Y555" s="39"/>
      <c r="Z555" s="25">
        <f>AN555*IF(MID(E555,1,1)="1",트라이포드!$D$25,트라이포드!$C$25)*(1+입력란!$C$44/100)</f>
        <v>0</v>
      </c>
      <c r="AA555" s="30">
        <f t="shared" si="82"/>
        <v>900628.09523414366</v>
      </c>
      <c r="AB555" s="30">
        <f t="shared" si="90"/>
        <v>900628.09523414366</v>
      </c>
      <c r="AC555" s="39"/>
      <c r="AD555" s="39"/>
      <c r="AE555" s="39"/>
      <c r="AF555" s="39"/>
      <c r="AG555" s="39"/>
      <c r="AH555" s="39"/>
      <c r="AI555" s="25">
        <f t="shared" si="91"/>
        <v>0</v>
      </c>
      <c r="AJ555" s="30">
        <f>AQ555*(1-입력란!$C$35/100)</f>
        <v>29.652211223399998</v>
      </c>
      <c r="AK55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5" s="26">
        <f>입력란!$C$47+IF(입력란!$C$18=1,10,IF(입력란!$C$18=2,25,IF(입력란!$C$18=3,50,0)))+IF(입력란!$C$23&lt;&gt;0,-12)</f>
        <v>200</v>
      </c>
      <c r="AM555" s="26">
        <f t="shared" si="89"/>
        <v>331643.36512859189</v>
      </c>
      <c r="AN555" s="30">
        <f>(VLOOKUP(C555,$B$4:$AJ$7,33,FALSE)+VLOOKUP(C555,$B$8:$AJ$11,33,FALSE)*입력란!$C$29)*입력란!$C$48/100</f>
        <v>331643.36512859189</v>
      </c>
      <c r="AO555" s="39"/>
      <c r="AP555" s="39"/>
      <c r="AQ555" s="12">
        <v>30</v>
      </c>
    </row>
    <row r="556" spans="2:43" ht="13.5" customHeight="1" x14ac:dyDescent="0.3">
      <c r="B556" s="31">
        <v>541</v>
      </c>
      <c r="C556" s="8">
        <v>10</v>
      </c>
      <c r="D556" s="44" t="s">
        <v>268</v>
      </c>
      <c r="E556" s="38" t="s">
        <v>240</v>
      </c>
      <c r="F556" s="40"/>
      <c r="G556" s="40"/>
      <c r="H556" s="81">
        <f t="shared" si="80"/>
        <v>19056.666464189635</v>
      </c>
      <c r="I556" s="53">
        <f>SUM(J556:Q556)*IF(입력란!$C$16=1,1.04,IF(입력란!$C$16=2,1.1,IF(입력란!$C$16=3,1.2,1)))*IF(입력란!$C$21=1,1+입력란!$C$38*0.001,IF(입력란!$C$21=2,1+입력란!$C$38*0.0022,IF(입력란!$C$21=3,1+입력란!$C$38*0.0045,1)))*IF(입력란!$C$18&lt;&gt;0,0.98,1)</f>
        <v>565072.29921003431</v>
      </c>
      <c r="J556" s="26">
        <f>S556*(1+IF($AK556+IF(입력란!$C$26=1,10,0)+IF(MID(E556,3,1)="1",트라이포드!$J$25,0)&gt;100,100,$AK556+IF(입력란!$C$26=1,10,0)+IF(MID(E556,3,1)="1",트라이포드!$J$25,0))/100*($AL556/100-1))</f>
        <v>565072.29921003431</v>
      </c>
      <c r="K556" s="39"/>
      <c r="L556" s="39"/>
      <c r="M556" s="39"/>
      <c r="N556" s="39"/>
      <c r="O556" s="39"/>
      <c r="P556" s="39"/>
      <c r="Q556" s="35">
        <f>Z556*(1+IF($AK556+IF(입력란!$C$26=1,10,0)&gt;100,100,$AK556+IF(입력란!$C$26=1,10,0))/100*($AL556/100-1))</f>
        <v>0</v>
      </c>
      <c r="R556" s="24">
        <f t="shared" si="81"/>
        <v>465483.8453300799</v>
      </c>
      <c r="S556" s="26">
        <f>AN556*IF(MID(E556,3,1)="3",IF(G556="생명50%이하",트라이포드!$N$25,트라이포드!$M$25),1)*IF(MID(E556,5,1)="2",트라이포드!$R$25,트라이포드!$Q$25)*(1+입력란!$C$44/100)</f>
        <v>465483.8453300799</v>
      </c>
      <c r="T556" s="39"/>
      <c r="U556" s="39"/>
      <c r="V556" s="39"/>
      <c r="W556" s="39"/>
      <c r="X556" s="39"/>
      <c r="Y556" s="39"/>
      <c r="Z556" s="25">
        <f>AN556*IF(MID(E556,1,1)="1",트라이포드!$D$25,트라이포드!$C$25)*(1+입력란!$C$44/100)</f>
        <v>0</v>
      </c>
      <c r="AA556" s="30">
        <f t="shared" si="82"/>
        <v>930967.6906601598</v>
      </c>
      <c r="AB556" s="30">
        <f t="shared" si="90"/>
        <v>930967.6906601598</v>
      </c>
      <c r="AC556" s="39"/>
      <c r="AD556" s="39"/>
      <c r="AE556" s="39"/>
      <c r="AF556" s="39"/>
      <c r="AG556" s="39"/>
      <c r="AH556" s="39"/>
      <c r="AI556" s="25">
        <f t="shared" si="91"/>
        <v>0</v>
      </c>
      <c r="AJ556" s="30">
        <f>AQ556*(1-입력란!$C$35/100)</f>
        <v>29.652211223399998</v>
      </c>
      <c r="AK55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6" s="26">
        <f>입력란!$C$47+IF(입력란!$C$18=1,10,IF(입력란!$C$18=2,25,IF(입력란!$C$18=3,50,0)))+IF(입력란!$C$23&lt;&gt;0,-12)</f>
        <v>200</v>
      </c>
      <c r="AM556" s="26">
        <f t="shared" si="89"/>
        <v>342815.48553763615</v>
      </c>
      <c r="AN556" s="30">
        <f>(VLOOKUP(C556,$B$4:$AJ$7,33,FALSE)+VLOOKUP(C556,$B$8:$AJ$11,33,FALSE)*입력란!$C$29)*입력란!$C$48/100</f>
        <v>342815.48553763615</v>
      </c>
      <c r="AO556" s="39"/>
      <c r="AP556" s="39"/>
      <c r="AQ556" s="12">
        <v>30</v>
      </c>
    </row>
    <row r="557" spans="2:43" ht="13.5" customHeight="1" x14ac:dyDescent="0.3">
      <c r="B557" s="31">
        <v>542</v>
      </c>
      <c r="C557" s="8">
        <v>10</v>
      </c>
      <c r="D557" s="44" t="s">
        <v>56</v>
      </c>
      <c r="E557" s="38" t="s">
        <v>394</v>
      </c>
      <c r="F557" s="40"/>
      <c r="G557" s="40"/>
      <c r="H557" s="81">
        <f t="shared" si="80"/>
        <v>32396.332989122384</v>
      </c>
      <c r="I557" s="53">
        <f>SUM(J557:Q557)*IF(입력란!$C$16=1,1.04,IF(입력란!$C$16=2,1.1,IF(입력란!$C$16=3,1.2,1)))*IF(입력란!$C$21=1,1+입력란!$C$38*0.001,IF(입력란!$C$21=2,1+입력란!$C$38*0.0022,IF(입력란!$C$21=3,1+입력란!$C$38*0.0045,1)))*IF(입력란!$C$18&lt;&gt;0,0.98,1)</f>
        <v>960622.90865705837</v>
      </c>
      <c r="J557" s="26">
        <f>S557*(1+IF($AK557+IF(입력란!$C$26=1,10,0)+IF(MID(E557,3,1)="1",트라이포드!$J$25,0)&gt;100,100,$AK557+IF(입력란!$C$26=1,10,0)+IF(MID(E557,3,1)="1",트라이포드!$J$25,0))/100*($AL557/100-1))</f>
        <v>847608.44881505147</v>
      </c>
      <c r="K557" s="39"/>
      <c r="L557" s="39"/>
      <c r="M557" s="39"/>
      <c r="N557" s="39"/>
      <c r="O557" s="39"/>
      <c r="P557" s="39"/>
      <c r="Q557" s="35">
        <f>Z557*(1+IF($AK557+IF(입력란!$C$26=1,10,0)&gt;100,100,$AK557+IF(입력란!$C$26=1,10,0))/100*($AL557/100-1))</f>
        <v>113014.45984200688</v>
      </c>
      <c r="R557" s="24">
        <f t="shared" si="81"/>
        <v>791322.53706113587</v>
      </c>
      <c r="S557" s="26">
        <f>AN557*IF(MID(E557,3,1)="3",IF(G557="생명50%이하",트라이포드!$N$25,트라이포드!$M$25),1)*IF(MID(E557,5,1)="2",트라이포드!$R$25,트라이포드!$Q$25)*(1+입력란!$C$44/100)</f>
        <v>698225.76799511991</v>
      </c>
      <c r="T557" s="39"/>
      <c r="U557" s="39"/>
      <c r="V557" s="39"/>
      <c r="W557" s="39"/>
      <c r="X557" s="39"/>
      <c r="Y557" s="39"/>
      <c r="Z557" s="25">
        <f>AN557*IF(MID(E557,1,1)="1",트라이포드!$D$25,트라이포드!$C$25)*(1+입력란!$C$44/100)</f>
        <v>93096.769066016001</v>
      </c>
      <c r="AA557" s="30">
        <f t="shared" si="82"/>
        <v>1582645.0741222717</v>
      </c>
      <c r="AB557" s="30">
        <f t="shared" si="90"/>
        <v>1396451.5359902398</v>
      </c>
      <c r="AC557" s="39"/>
      <c r="AD557" s="39"/>
      <c r="AE557" s="39"/>
      <c r="AF557" s="39"/>
      <c r="AG557" s="39"/>
      <c r="AH557" s="39"/>
      <c r="AI557" s="25">
        <f t="shared" si="91"/>
        <v>186193.538132032</v>
      </c>
      <c r="AJ557" s="30">
        <f>AQ557*(1-입력란!$C$35/100)</f>
        <v>29.652211223399998</v>
      </c>
      <c r="AK55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7" s="26">
        <f>입력란!$C$47+IF(입력란!$C$18=1,10,IF(입력란!$C$18=2,25,IF(입력란!$C$18=3,50,0)))+IF(입력란!$C$23&lt;&gt;0,-12)</f>
        <v>200</v>
      </c>
      <c r="AM557" s="26">
        <f t="shared" si="89"/>
        <v>342815.48553763615</v>
      </c>
      <c r="AN557" s="30">
        <f>(VLOOKUP(C557,$B$4:$AJ$7,33,FALSE)+VLOOKUP(C557,$B$8:$AJ$11,33,FALSE)*입력란!$C$29)*입력란!$C$48/100</f>
        <v>342815.48553763615</v>
      </c>
      <c r="AO557" s="39"/>
      <c r="AP557" s="39"/>
      <c r="AQ557" s="12">
        <v>30</v>
      </c>
    </row>
    <row r="558" spans="2:43" ht="13.5" customHeight="1" x14ac:dyDescent="0.3">
      <c r="B558" s="31">
        <v>543</v>
      </c>
      <c r="C558" s="8">
        <v>10</v>
      </c>
      <c r="D558" s="44" t="s">
        <v>268</v>
      </c>
      <c r="E558" s="38" t="s">
        <v>248</v>
      </c>
      <c r="F558" s="40"/>
      <c r="G558" s="40"/>
      <c r="H558" s="81">
        <f t="shared" si="80"/>
        <v>28584.999696284456</v>
      </c>
      <c r="I558" s="53">
        <f>SUM(J558:Q558)*IF(입력란!$C$16=1,1.04,IF(입력란!$C$16=2,1.1,IF(입력란!$C$16=3,1.2,1)))*IF(입력란!$C$21=1,1+입력란!$C$38*0.001,IF(입력란!$C$21=2,1+입력란!$C$38*0.0022,IF(입력란!$C$21=3,1+입력란!$C$38*0.0045,1)))*IF(입력란!$C$18&lt;&gt;0,0.98,1)</f>
        <v>847608.44881505147</v>
      </c>
      <c r="J558" s="26">
        <f>S558*(1+IF($AK558+IF(입력란!$C$26=1,10,0)+IF(MID(E558,3,1)="1",트라이포드!$J$25,0)&gt;100,100,$AK558+IF(입력란!$C$26=1,10,0)+IF(MID(E558,3,1)="1",트라이포드!$J$25,0))/100*($AL558/100-1))</f>
        <v>847608.44881505147</v>
      </c>
      <c r="K558" s="39"/>
      <c r="L558" s="39"/>
      <c r="M558" s="39"/>
      <c r="N558" s="39"/>
      <c r="O558" s="39"/>
      <c r="P558" s="39"/>
      <c r="Q558" s="35">
        <f>Z558*(1+IF($AK558+IF(입력란!$C$26=1,10,0)&gt;100,100,$AK558+IF(입력란!$C$26=1,10,0))/100*($AL558/100-1))</f>
        <v>0</v>
      </c>
      <c r="R558" s="24">
        <f t="shared" si="81"/>
        <v>698225.76799511991</v>
      </c>
      <c r="S558" s="26">
        <f>AN558*IF(MID(E558,3,1)="3",IF(G558="생명50%이하",트라이포드!$N$25,트라이포드!$M$25),1)*IF(MID(E558,5,1)="2",트라이포드!$R$25,트라이포드!$Q$25)*(1+입력란!$C$44/100)</f>
        <v>698225.76799511991</v>
      </c>
      <c r="T558" s="39"/>
      <c r="U558" s="39"/>
      <c r="V558" s="39"/>
      <c r="W558" s="39"/>
      <c r="X558" s="39"/>
      <c r="Y558" s="39"/>
      <c r="Z558" s="25">
        <f>AN558*IF(MID(E558,1,1)="1",트라이포드!$D$25,트라이포드!$C$25)*(1+입력란!$C$44/100)</f>
        <v>0</v>
      </c>
      <c r="AA558" s="30">
        <f t="shared" si="82"/>
        <v>1396451.5359902398</v>
      </c>
      <c r="AB558" s="30">
        <f t="shared" si="90"/>
        <v>1396451.5359902398</v>
      </c>
      <c r="AC558" s="39"/>
      <c r="AD558" s="39"/>
      <c r="AE558" s="39"/>
      <c r="AF558" s="39"/>
      <c r="AG558" s="39"/>
      <c r="AH558" s="39"/>
      <c r="AI558" s="25">
        <f t="shared" si="91"/>
        <v>0</v>
      </c>
      <c r="AJ558" s="30">
        <f>AQ558*(1-입력란!$C$35/100)</f>
        <v>29.652211223399998</v>
      </c>
      <c r="AK55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8" s="26">
        <f>입력란!$C$47+IF(입력란!$C$18=1,10,IF(입력란!$C$18=2,25,IF(입력란!$C$18=3,50,0)))+IF(입력란!$C$23&lt;&gt;0,-12)</f>
        <v>200</v>
      </c>
      <c r="AM558" s="26">
        <f t="shared" si="89"/>
        <v>342815.48553763615</v>
      </c>
      <c r="AN558" s="30">
        <f>(VLOOKUP(C558,$B$4:$AJ$7,33,FALSE)+VLOOKUP(C558,$B$8:$AJ$11,33,FALSE)*입력란!$C$29)*입력란!$C$48/100</f>
        <v>342815.48553763615</v>
      </c>
      <c r="AO558" s="39"/>
      <c r="AP558" s="39"/>
      <c r="AQ558" s="12">
        <v>30</v>
      </c>
    </row>
    <row r="559" spans="2:43" ht="13.5" customHeight="1" x14ac:dyDescent="0.3">
      <c r="B559" s="31">
        <v>544</v>
      </c>
      <c r="C559" s="8">
        <v>10</v>
      </c>
      <c r="D559" s="44" t="s">
        <v>56</v>
      </c>
      <c r="E559" s="38" t="s">
        <v>181</v>
      </c>
      <c r="F559" s="40"/>
      <c r="G559" s="40"/>
      <c r="H559" s="81">
        <f t="shared" si="80"/>
        <v>44169.919834546512</v>
      </c>
      <c r="I559" s="53">
        <f>SUM(J559:Q559)*IF(입력란!$C$16=1,1.04,IF(입력란!$C$16=2,1.1,IF(입력란!$C$16=3,1.2,1)))*IF(입력란!$C$21=1,1+입력란!$C$38*0.001,IF(입력란!$C$21=2,1+입력란!$C$38*0.0022,IF(입력란!$C$21=3,1+입력란!$C$38*0.0045,1)))*IF(입력란!$C$18&lt;&gt;0,0.98,1)</f>
        <v>1309735.7926546184</v>
      </c>
      <c r="J559" s="26">
        <f>S559*(1+IF($AK559+IF(입력란!$C$26=1,10,0)+IF(MID(E559,3,1)="1",트라이포드!$J$25,0)&gt;100,100,$AK559+IF(입력란!$C$26=1,10,0)+IF(MID(E559,3,1)="1",트라이포드!$J$25,0))/100*($AL559/100-1))</f>
        <v>1196721.3328126115</v>
      </c>
      <c r="K559" s="39"/>
      <c r="L559" s="39"/>
      <c r="M559" s="39"/>
      <c r="N559" s="39"/>
      <c r="O559" s="39"/>
      <c r="P559" s="39"/>
      <c r="Q559" s="35">
        <f>Z559*(1+IF($AK559+IF(입력란!$C$26=1,10,0)&gt;100,100,$AK559+IF(입력란!$C$26=1,10,0))/100*($AL559/100-1))</f>
        <v>113014.45984200688</v>
      </c>
      <c r="R559" s="24">
        <f t="shared" si="81"/>
        <v>791322.53706113587</v>
      </c>
      <c r="S559" s="26">
        <f>AN559*IF(MID(E559,3,1)="3",IF(G559="생명50%이하",트라이포드!$N$25,트라이포드!$M$25),1)*IF(MID(E559,5,1)="2",트라이포드!$R$25,트라이포드!$Q$25)*(1+입력란!$C$44/100)</f>
        <v>698225.76799511991</v>
      </c>
      <c r="T559" s="39"/>
      <c r="U559" s="39"/>
      <c r="V559" s="39"/>
      <c r="W559" s="39"/>
      <c r="X559" s="39"/>
      <c r="Y559" s="39"/>
      <c r="Z559" s="25">
        <f>AN559*IF(MID(E559,1,1)="1",트라이포드!$D$25,트라이포드!$C$25)*(1+입력란!$C$44/100)</f>
        <v>93096.769066016001</v>
      </c>
      <c r="AA559" s="30">
        <f t="shared" si="82"/>
        <v>1582645.0741222717</v>
      </c>
      <c r="AB559" s="30">
        <f t="shared" si="90"/>
        <v>1396451.5359902398</v>
      </c>
      <c r="AC559" s="39"/>
      <c r="AD559" s="39"/>
      <c r="AE559" s="39"/>
      <c r="AF559" s="39"/>
      <c r="AG559" s="39"/>
      <c r="AH559" s="39"/>
      <c r="AI559" s="25">
        <f t="shared" si="91"/>
        <v>186193.538132032</v>
      </c>
      <c r="AJ559" s="30">
        <f>AQ559*(1-입력란!$C$35/100)</f>
        <v>29.652211223399998</v>
      </c>
      <c r="AK55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59" s="26">
        <f>입력란!$C$47+IF(입력란!$C$18=1,10,IF(입력란!$C$18=2,25,IF(입력란!$C$18=3,50,0)))+IF(입력란!$C$23&lt;&gt;0,-12)</f>
        <v>200</v>
      </c>
      <c r="AM559" s="26">
        <f t="shared" si="89"/>
        <v>342815.48553763615</v>
      </c>
      <c r="AN559" s="30">
        <f>(VLOOKUP(C559,$B$4:$AJ$7,33,FALSE)+VLOOKUP(C559,$B$8:$AJ$11,33,FALSE)*입력란!$C$29)*입력란!$C$48/100</f>
        <v>342815.48553763615</v>
      </c>
      <c r="AO559" s="39"/>
      <c r="AP559" s="39"/>
      <c r="AQ559" s="12">
        <v>30</v>
      </c>
    </row>
    <row r="560" spans="2:43" ht="13.5" customHeight="1" x14ac:dyDescent="0.3">
      <c r="B560" s="31">
        <v>545</v>
      </c>
      <c r="C560" s="8">
        <v>10</v>
      </c>
      <c r="D560" s="44" t="s">
        <v>268</v>
      </c>
      <c r="E560" s="38" t="s">
        <v>257</v>
      </c>
      <c r="F560" s="40"/>
      <c r="G560" s="40"/>
      <c r="H560" s="81">
        <f t="shared" si="80"/>
        <v>40358.586541708588</v>
      </c>
      <c r="I560" s="53">
        <f>SUM(J560:Q560)*IF(입력란!$C$16=1,1.04,IF(입력란!$C$16=2,1.1,IF(입력란!$C$16=3,1.2,1)))*IF(입력란!$C$21=1,1+입력란!$C$38*0.001,IF(입력란!$C$21=2,1+입력란!$C$38*0.0022,IF(입력란!$C$21=3,1+입력란!$C$38*0.0045,1)))*IF(입력란!$C$18&lt;&gt;0,0.98,1)</f>
        <v>1196721.3328126115</v>
      </c>
      <c r="J560" s="26">
        <f>S560*(1+IF($AK560+IF(입력란!$C$26=1,10,0)+IF(MID(E560,3,1)="1",트라이포드!$J$25,0)&gt;100,100,$AK560+IF(입력란!$C$26=1,10,0)+IF(MID(E560,3,1)="1",트라이포드!$J$25,0))/100*($AL560/100-1))</f>
        <v>1196721.3328126115</v>
      </c>
      <c r="K560" s="39"/>
      <c r="L560" s="39"/>
      <c r="M560" s="39"/>
      <c r="N560" s="39"/>
      <c r="O560" s="39"/>
      <c r="P560" s="39"/>
      <c r="Q560" s="35">
        <f>Z560*(1+IF($AK560+IF(입력란!$C$26=1,10,0)&gt;100,100,$AK560+IF(입력란!$C$26=1,10,0))/100*($AL560/100-1))</f>
        <v>0</v>
      </c>
      <c r="R560" s="24">
        <f t="shared" si="81"/>
        <v>698225.76799511991</v>
      </c>
      <c r="S560" s="26">
        <f>AN560*IF(MID(E560,3,1)="3",IF(G560="생명50%이하",트라이포드!$N$25,트라이포드!$M$25),1)*IF(MID(E560,5,1)="2",트라이포드!$R$25,트라이포드!$Q$25)*(1+입력란!$C$44/100)</f>
        <v>698225.76799511991</v>
      </c>
      <c r="T560" s="39"/>
      <c r="U560" s="39"/>
      <c r="V560" s="39"/>
      <c r="W560" s="39"/>
      <c r="X560" s="39"/>
      <c r="Y560" s="39"/>
      <c r="Z560" s="25">
        <f>AN560*IF(MID(E560,1,1)="1",트라이포드!$D$25,트라이포드!$C$25)*(1+입력란!$C$44/100)</f>
        <v>0</v>
      </c>
      <c r="AA560" s="30">
        <f t="shared" si="82"/>
        <v>1396451.5359902398</v>
      </c>
      <c r="AB560" s="30">
        <f t="shared" si="90"/>
        <v>1396451.5359902398</v>
      </c>
      <c r="AC560" s="39"/>
      <c r="AD560" s="39"/>
      <c r="AE560" s="39"/>
      <c r="AF560" s="39"/>
      <c r="AG560" s="39"/>
      <c r="AH560" s="39"/>
      <c r="AI560" s="25">
        <f t="shared" si="91"/>
        <v>0</v>
      </c>
      <c r="AJ560" s="30">
        <f>AQ560*(1-입력란!$C$35/100)</f>
        <v>29.652211223399998</v>
      </c>
      <c r="AK56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0" s="26">
        <f>입력란!$C$47+IF(입력란!$C$18=1,10,IF(입력란!$C$18=2,25,IF(입력란!$C$18=3,50,0)))+IF(입력란!$C$23&lt;&gt;0,-12)</f>
        <v>200</v>
      </c>
      <c r="AM560" s="26">
        <f t="shared" si="89"/>
        <v>342815.48553763615</v>
      </c>
      <c r="AN560" s="30">
        <f>(VLOOKUP(C560,$B$4:$AJ$7,33,FALSE)+VLOOKUP(C560,$B$8:$AJ$11,33,FALSE)*입력란!$C$29)*입력란!$C$48/100</f>
        <v>342815.48553763615</v>
      </c>
      <c r="AO560" s="39"/>
      <c r="AP560" s="39"/>
      <c r="AQ560" s="12">
        <v>30</v>
      </c>
    </row>
    <row r="561" spans="2:43" ht="13.5" customHeight="1" x14ac:dyDescent="0.3">
      <c r="B561" s="31">
        <v>546</v>
      </c>
      <c r="C561" s="8">
        <v>10</v>
      </c>
      <c r="D561" s="44" t="s">
        <v>56</v>
      </c>
      <c r="E561" s="38" t="s">
        <v>201</v>
      </c>
      <c r="F561" s="40"/>
      <c r="G561" s="40"/>
      <c r="H561" s="81">
        <f t="shared" si="80"/>
        <v>32396.332989122384</v>
      </c>
      <c r="I561" s="53">
        <f>SUM(J561:Q561)*IF(입력란!$C$16=1,1.04,IF(입력란!$C$16=2,1.1,IF(입력란!$C$16=3,1.2,1)))*IF(입력란!$C$21=1,1+입력란!$C$38*0.001,IF(입력란!$C$21=2,1+입력란!$C$38*0.0022,IF(입력란!$C$21=3,1+입력란!$C$38*0.0045,1)))*IF(입력란!$C$18&lt;&gt;0,0.98,1)</f>
        <v>960622.90865705837</v>
      </c>
      <c r="J561" s="26">
        <f>S561*(1+IF($AK561+IF(입력란!$C$26=1,10,0)+IF(MID(E561,3,1)="1",트라이포드!$J$25,0)&gt;100,100,$AK561+IF(입력란!$C$26=1,10,0)+IF(MID(E561,3,1)="1",트라이포드!$J$25,0))/100*($AL561/100-1))</f>
        <v>847608.44881505147</v>
      </c>
      <c r="K561" s="39"/>
      <c r="L561" s="39"/>
      <c r="M561" s="39"/>
      <c r="N561" s="39"/>
      <c r="O561" s="39"/>
      <c r="P561" s="39"/>
      <c r="Q561" s="35">
        <f>Z561*(1+IF($AK561+IF(입력란!$C$26=1,10,0)&gt;100,100,$AK561+IF(입력란!$C$26=1,10,0))/100*($AL561/100-1))</f>
        <v>113014.45984200688</v>
      </c>
      <c r="R561" s="24">
        <f t="shared" si="81"/>
        <v>791322.53706113587</v>
      </c>
      <c r="S561" s="26">
        <f>AN561*IF(MID(E561,3,1)="3",IF(G561="생명50%이하",트라이포드!$N$25,트라이포드!$M$25),1)*IF(MID(E561,5,1)="2",트라이포드!$R$25,트라이포드!$Q$25)*(1+입력란!$C$44/100)</f>
        <v>698225.76799511991</v>
      </c>
      <c r="T561" s="39"/>
      <c r="U561" s="39"/>
      <c r="V561" s="39"/>
      <c r="W561" s="39"/>
      <c r="X561" s="39"/>
      <c r="Y561" s="39"/>
      <c r="Z561" s="25">
        <f>AN561*IF(MID(E561,1,1)="1",트라이포드!$D$25,트라이포드!$C$25)*(1+입력란!$C$44/100)</f>
        <v>93096.769066016001</v>
      </c>
      <c r="AA561" s="30">
        <f t="shared" si="82"/>
        <v>1582645.0741222717</v>
      </c>
      <c r="AB561" s="30">
        <f t="shared" si="90"/>
        <v>1396451.5359902398</v>
      </c>
      <c r="AC561" s="39"/>
      <c r="AD561" s="39"/>
      <c r="AE561" s="39"/>
      <c r="AF561" s="39"/>
      <c r="AG561" s="39"/>
      <c r="AH561" s="39"/>
      <c r="AI561" s="25">
        <f t="shared" si="91"/>
        <v>186193.538132032</v>
      </c>
      <c r="AJ561" s="30">
        <f>AQ561*(1-입력란!$C$35/100)</f>
        <v>29.652211223399998</v>
      </c>
      <c r="AK56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1" s="26">
        <f>입력란!$C$47+IF(입력란!$C$18=1,10,IF(입력란!$C$18=2,25,IF(입력란!$C$18=3,50,0)))+IF(입력란!$C$23&lt;&gt;0,-12)</f>
        <v>200</v>
      </c>
      <c r="AM561" s="26">
        <f t="shared" si="89"/>
        <v>342815.48553763615</v>
      </c>
      <c r="AN561" s="30">
        <f>(VLOOKUP(C561,$B$4:$AJ$7,33,FALSE)+VLOOKUP(C561,$B$8:$AJ$11,33,FALSE)*입력란!$C$29)*입력란!$C$48/100</f>
        <v>342815.48553763615</v>
      </c>
      <c r="AO561" s="39"/>
      <c r="AP561" s="39"/>
      <c r="AQ561" s="12">
        <v>30</v>
      </c>
    </row>
    <row r="562" spans="2:43" ht="13.5" customHeight="1" x14ac:dyDescent="0.3">
      <c r="B562" s="31">
        <v>547</v>
      </c>
      <c r="C562" s="8">
        <v>10</v>
      </c>
      <c r="D562" s="44" t="s">
        <v>268</v>
      </c>
      <c r="E562" s="38" t="s">
        <v>270</v>
      </c>
      <c r="F562" s="40"/>
      <c r="G562" s="40"/>
      <c r="H562" s="81">
        <f t="shared" si="80"/>
        <v>28584.999696284456</v>
      </c>
      <c r="I562" s="53">
        <f>SUM(J562:Q562)*IF(입력란!$C$16=1,1.04,IF(입력란!$C$16=2,1.1,IF(입력란!$C$16=3,1.2,1)))*IF(입력란!$C$21=1,1+입력란!$C$38*0.001,IF(입력란!$C$21=2,1+입력란!$C$38*0.0022,IF(입력란!$C$21=3,1+입력란!$C$38*0.0045,1)))*IF(입력란!$C$18&lt;&gt;0,0.98,1)</f>
        <v>847608.44881505147</v>
      </c>
      <c r="J562" s="26">
        <f>S562*(1+IF($AK562+IF(입력란!$C$26=1,10,0)+IF(MID(E562,3,1)="1",트라이포드!$J$25,0)&gt;100,100,$AK562+IF(입력란!$C$26=1,10,0)+IF(MID(E562,3,1)="1",트라이포드!$J$25,0))/100*($AL562/100-1))</f>
        <v>847608.44881505147</v>
      </c>
      <c r="K562" s="39"/>
      <c r="L562" s="39"/>
      <c r="M562" s="39"/>
      <c r="N562" s="39"/>
      <c r="O562" s="39"/>
      <c r="P562" s="39"/>
      <c r="Q562" s="35">
        <f>Z562*(1+IF($AK562+IF(입력란!$C$26=1,10,0)&gt;100,100,$AK562+IF(입력란!$C$26=1,10,0))/100*($AL562/100-1))</f>
        <v>0</v>
      </c>
      <c r="R562" s="24">
        <f t="shared" si="81"/>
        <v>698225.76799511991</v>
      </c>
      <c r="S562" s="26">
        <f>AN562*IF(MID(E562,3,1)="3",IF(G562="생명50%이하",트라이포드!$N$25,트라이포드!$M$25),1)*IF(MID(E562,5,1)="2",트라이포드!$R$25,트라이포드!$Q$25)*(1+입력란!$C$44/100)</f>
        <v>698225.76799511991</v>
      </c>
      <c r="T562" s="39"/>
      <c r="U562" s="39"/>
      <c r="V562" s="39"/>
      <c r="W562" s="39"/>
      <c r="X562" s="39"/>
      <c r="Y562" s="39"/>
      <c r="Z562" s="25">
        <f>AN562*IF(MID(E562,1,1)="1",트라이포드!$D$25,트라이포드!$C$25)*(1+입력란!$C$44/100)</f>
        <v>0</v>
      </c>
      <c r="AA562" s="30">
        <f t="shared" si="82"/>
        <v>1396451.5359902398</v>
      </c>
      <c r="AB562" s="30">
        <f t="shared" si="90"/>
        <v>1396451.5359902398</v>
      </c>
      <c r="AC562" s="39"/>
      <c r="AD562" s="39"/>
      <c r="AE562" s="39"/>
      <c r="AF562" s="39"/>
      <c r="AG562" s="39"/>
      <c r="AH562" s="39"/>
      <c r="AI562" s="25">
        <f t="shared" si="91"/>
        <v>0</v>
      </c>
      <c r="AJ562" s="30">
        <f>AQ562*(1-입력란!$C$35/100)</f>
        <v>29.652211223399998</v>
      </c>
      <c r="AK56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2" s="26">
        <f>입력란!$C$47+IF(입력란!$C$18=1,10,IF(입력란!$C$18=2,25,IF(입력란!$C$18=3,50,0)))+IF(입력란!$C$23&lt;&gt;0,-12)</f>
        <v>200</v>
      </c>
      <c r="AM562" s="26">
        <f t="shared" si="89"/>
        <v>342815.48553763615</v>
      </c>
      <c r="AN562" s="30">
        <f>(VLOOKUP(C562,$B$4:$AJ$7,33,FALSE)+VLOOKUP(C562,$B$8:$AJ$11,33,FALSE)*입력란!$C$29)*입력란!$C$48/100</f>
        <v>342815.48553763615</v>
      </c>
      <c r="AO562" s="39"/>
      <c r="AP562" s="39"/>
      <c r="AQ562" s="12">
        <v>30</v>
      </c>
    </row>
    <row r="563" spans="2:43" ht="13.5" customHeight="1" x14ac:dyDescent="0.3">
      <c r="B563" s="31">
        <v>548</v>
      </c>
      <c r="C563" s="40">
        <v>1</v>
      </c>
      <c r="D563" s="44" t="s">
        <v>268</v>
      </c>
      <c r="E563" s="38" t="s">
        <v>240</v>
      </c>
      <c r="F563" s="40"/>
      <c r="G563" s="40" t="s">
        <v>414</v>
      </c>
      <c r="H563" s="81">
        <f t="shared" si="80"/>
        <v>18984.178802115879</v>
      </c>
      <c r="I563" s="53">
        <f>SUM(J563:Q563)*IF(입력란!$C$16=1,1.04,IF(입력란!$C$16=2,1.1,IF(입력란!$C$16=3,1.2,1)))*IF(입력란!$C$21=1,1+입력란!$C$38*0.001,IF(입력란!$C$21=2,1+입력란!$C$38*0.0022,IF(입력란!$C$21=3,1+입력란!$C$38*0.0045,1)))*IF(입력란!$C$18&lt;&gt;0,0.98,1)</f>
        <v>562922.87974313286</v>
      </c>
      <c r="J563" s="26">
        <f>S563*(1+IF($AK563+IF(입력란!$C$26=1,10,0)+IF(MID(E563,3,1)="1",트라이포드!$J$25,0)&gt;100,100,$AK563+IF(입력란!$C$26=1,10,0)+IF(MID(E563,3,1)="1",트라이포드!$J$25,0))/100*($AL563/100-1))</f>
        <v>562922.87974313286</v>
      </c>
      <c r="K563" s="26"/>
      <c r="L563" s="26"/>
      <c r="M563" s="26"/>
      <c r="N563" s="39"/>
      <c r="O563" s="39"/>
      <c r="P563" s="39"/>
      <c r="Q563" s="35">
        <f>Z563*(1+IF($AK563+IF(입력란!$C$26=1,10,0)&gt;100,100,$AK563+IF(입력란!$C$26=1,10,0))/100*($AL563/100-1))</f>
        <v>0</v>
      </c>
      <c r="R563" s="24">
        <f t="shared" si="81"/>
        <v>463713.23997554503</v>
      </c>
      <c r="S563" s="26">
        <f>AN563*IF(MID(E563,3,1)="3",IF(G563="생명50%이하",트라이포드!$N$25,트라이포드!$M$25),1)*IF(MID(E563,5,1)="2",트라이포드!$R$25,트라이포드!$Q$25)*(1+입력란!$C$44/100)</f>
        <v>463713.23997554503</v>
      </c>
      <c r="T563" s="26"/>
      <c r="U563" s="26"/>
      <c r="V563" s="26"/>
      <c r="W563" s="26"/>
      <c r="X563" s="26"/>
      <c r="Y563" s="26"/>
      <c r="Z563" s="25">
        <f>AN563*IF(MID(E563,1,1)="1",트라이포드!$D$25,트라이포드!$C$25)*(1+입력란!$C$44/100)</f>
        <v>0</v>
      </c>
      <c r="AA563" s="30">
        <f t="shared" si="82"/>
        <v>927426.47995109006</v>
      </c>
      <c r="AB563" s="30">
        <f t="shared" si="90"/>
        <v>927426.47995109006</v>
      </c>
      <c r="AC563" s="26"/>
      <c r="AD563" s="26"/>
      <c r="AE563" s="26"/>
      <c r="AF563" s="39"/>
      <c r="AG563" s="39"/>
      <c r="AH563" s="39"/>
      <c r="AI563" s="25">
        <f t="shared" si="91"/>
        <v>0</v>
      </c>
      <c r="AJ563" s="30">
        <f>AQ563*(1-입력란!$C$35/100)</f>
        <v>29.652211223399998</v>
      </c>
      <c r="AK56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3" s="26">
        <f>입력란!$C$47+IF(입력란!$C$18=1,10,IF(입력란!$C$18=2,25,IF(입력란!$C$18=3,50,0)))+IF(입력란!$C$23&lt;&gt;0,-12)</f>
        <v>200</v>
      </c>
      <c r="AM563" s="26">
        <f t="shared" si="89"/>
        <v>341511.48553763615</v>
      </c>
      <c r="AN563" s="30">
        <f>(VLOOKUP(C563,$B$4:$AJ$7,33,FALSE)+VLOOKUP(C563,$B$8:$AJ$11,33,FALSE)*입력란!$C$29)*입력란!$C$48/100</f>
        <v>341511.48553763615</v>
      </c>
      <c r="AO563" s="39"/>
      <c r="AP563" s="39"/>
      <c r="AQ563" s="12">
        <v>30</v>
      </c>
    </row>
    <row r="564" spans="2:43" ht="13.5" customHeight="1" x14ac:dyDescent="0.3">
      <c r="B564" s="31">
        <v>549</v>
      </c>
      <c r="C564" s="8">
        <v>4</v>
      </c>
      <c r="D564" s="44" t="s">
        <v>56</v>
      </c>
      <c r="E564" s="38" t="s">
        <v>360</v>
      </c>
      <c r="F564" s="40"/>
      <c r="G564" s="40" t="s">
        <v>414</v>
      </c>
      <c r="H564" s="81">
        <f t="shared" si="80"/>
        <v>22830.404008857531</v>
      </c>
      <c r="I564" s="53">
        <f>SUM(J564:Q564)*IF(입력란!$C$16=1,1.04,IF(입력란!$C$16=2,1.1,IF(입력란!$C$16=3,1.2,1)))*IF(입력란!$C$21=1,1+입력란!$C$38*0.001,IF(입력란!$C$21=2,1+입력란!$C$38*0.0022,IF(입력란!$C$21=3,1+입력란!$C$38*0.0045,1)))*IF(입력란!$C$18&lt;&gt;0,0.98,1)</f>
        <v>676971.96198620158</v>
      </c>
      <c r="J564" s="26">
        <f>S564*(1+IF($AK564+IF(입력란!$C$26=1,10,0)+IF(MID(E564,3,1)="1",트라이포드!$J$25,0)&gt;100,100,$AK564+IF(입력란!$C$26=1,10,0)+IF(MID(E564,3,1)="1",트라이포드!$J$25,0))/100*($AL564/100-1))</f>
        <v>564143.30165516795</v>
      </c>
      <c r="K564" s="39"/>
      <c r="L564" s="39"/>
      <c r="M564" s="39"/>
      <c r="N564" s="39"/>
      <c r="O564" s="39"/>
      <c r="P564" s="39"/>
      <c r="Q564" s="35">
        <f>Z564*(1+IF($AK564+IF(입력란!$C$26=1,10,0)&gt;100,100,$AK564+IF(입력란!$C$26=1,10,0))/100*($AL564/100-1))</f>
        <v>112828.66033103359</v>
      </c>
      <c r="R564" s="24">
        <f t="shared" si="81"/>
        <v>557662.28938583587</v>
      </c>
      <c r="S564" s="26">
        <f>AN564*IF(MID(E564,3,1)="3",IF(G564="생명50%이하",트라이포드!$N$25,트라이포드!$M$25),1)*IF(MID(E564,5,1)="2",트라이포드!$R$25,트라이포드!$Q$25)*(1+입력란!$C$44/100)</f>
        <v>464718.57448819652</v>
      </c>
      <c r="T564" s="39"/>
      <c r="U564" s="39"/>
      <c r="V564" s="39"/>
      <c r="W564" s="39"/>
      <c r="X564" s="39"/>
      <c r="Y564" s="39"/>
      <c r="Z564" s="25">
        <f>AN564*IF(MID(E564,1,1)="1",트라이포드!$D$25,트라이포드!$C$25)*(1+입력란!$C$44/100)</f>
        <v>92943.714897639307</v>
      </c>
      <c r="AA564" s="30">
        <f t="shared" si="82"/>
        <v>1115324.5787716717</v>
      </c>
      <c r="AB564" s="30">
        <f t="shared" si="90"/>
        <v>929437.14897639304</v>
      </c>
      <c r="AC564" s="39"/>
      <c r="AD564" s="39"/>
      <c r="AE564" s="39"/>
      <c r="AF564" s="39"/>
      <c r="AG564" s="39"/>
      <c r="AH564" s="39"/>
      <c r="AI564" s="25">
        <f t="shared" si="91"/>
        <v>185887.42979527861</v>
      </c>
      <c r="AJ564" s="30">
        <f>AQ564*(1-입력란!$C$35/100)</f>
        <v>29.652211223399998</v>
      </c>
      <c r="AK56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4" s="26">
        <f>입력란!$C$47+IF(입력란!$C$18=1,10,IF(입력란!$C$18=2,25,IF(입력란!$C$18=3,50,0)))+IF(입력란!$C$23&lt;&gt;0,-12)</f>
        <v>200</v>
      </c>
      <c r="AM564" s="26">
        <f t="shared" si="89"/>
        <v>342251.88553763612</v>
      </c>
      <c r="AN564" s="30">
        <f>(VLOOKUP(C564,$B$4:$AJ$7,33,FALSE)+VLOOKUP(C564,$B$8:$AJ$11,33,FALSE)*입력란!$C$29)*입력란!$C$48/100</f>
        <v>342251.88553763612</v>
      </c>
      <c r="AO564" s="39"/>
      <c r="AP564" s="39"/>
      <c r="AQ564" s="12">
        <v>30</v>
      </c>
    </row>
    <row r="565" spans="2:43" ht="13.5" customHeight="1" x14ac:dyDescent="0.3">
      <c r="B565" s="31">
        <v>550</v>
      </c>
      <c r="C565" s="8">
        <v>4</v>
      </c>
      <c r="D565" s="44" t="s">
        <v>268</v>
      </c>
      <c r="E565" s="38" t="s">
        <v>240</v>
      </c>
      <c r="F565" s="40"/>
      <c r="G565" s="40" t="s">
        <v>413</v>
      </c>
      <c r="H565" s="81">
        <f t="shared" si="80"/>
        <v>19025.33667404794</v>
      </c>
      <c r="I565" s="53">
        <f>SUM(J565:Q565)*IF(입력란!$C$16=1,1.04,IF(입력란!$C$16=2,1.1,IF(입력란!$C$16=3,1.2,1)))*IF(입력란!$C$21=1,1+입력란!$C$38*0.001,IF(입력란!$C$21=2,1+입력란!$C$38*0.0022,IF(입력란!$C$21=3,1+입력란!$C$38*0.0045,1)))*IF(입력란!$C$18&lt;&gt;0,0.98,1)</f>
        <v>564143.30165516795</v>
      </c>
      <c r="J565" s="26">
        <f>S565*(1+IF($AK565+IF(입력란!$C$26=1,10,0)+IF(MID(E565,3,1)="1",트라이포드!$J$25,0)&gt;100,100,$AK565+IF(입력란!$C$26=1,10,0)+IF(MID(E565,3,1)="1",트라이포드!$J$25,0))/100*($AL565/100-1))</f>
        <v>564143.30165516795</v>
      </c>
      <c r="K565" s="39"/>
      <c r="L565" s="39"/>
      <c r="M565" s="39"/>
      <c r="N565" s="39"/>
      <c r="O565" s="39"/>
      <c r="P565" s="39"/>
      <c r="Q565" s="35">
        <f>Z565*(1+IF($AK565+IF(입력란!$C$26=1,10,0)&gt;100,100,$AK565+IF(입력란!$C$26=1,10,0))/100*($AL565/100-1))</f>
        <v>0</v>
      </c>
      <c r="R565" s="24">
        <f t="shared" si="81"/>
        <v>464718.57448819652</v>
      </c>
      <c r="S565" s="26">
        <f>AN565*IF(MID(E565,3,1)="3",IF(G565="생명50%이하",트라이포드!$N$25,트라이포드!$M$25),1)*IF(MID(E565,5,1)="2",트라이포드!$R$25,트라이포드!$Q$25)*(1+입력란!$C$44/100)</f>
        <v>464718.57448819652</v>
      </c>
      <c r="T565" s="39"/>
      <c r="U565" s="39"/>
      <c r="V565" s="39"/>
      <c r="W565" s="39"/>
      <c r="X565" s="39"/>
      <c r="Y565" s="39"/>
      <c r="Z565" s="25">
        <f>AN565*IF(MID(E565,1,1)="1",트라이포드!$D$25,트라이포드!$C$25)*(1+입력란!$C$44/100)</f>
        <v>0</v>
      </c>
      <c r="AA565" s="30">
        <f t="shared" si="82"/>
        <v>929437.14897639304</v>
      </c>
      <c r="AB565" s="30">
        <f t="shared" si="90"/>
        <v>929437.14897639304</v>
      </c>
      <c r="AC565" s="39"/>
      <c r="AD565" s="39"/>
      <c r="AE565" s="39"/>
      <c r="AF565" s="39"/>
      <c r="AG565" s="39"/>
      <c r="AH565" s="39"/>
      <c r="AI565" s="25">
        <f t="shared" si="91"/>
        <v>0</v>
      </c>
      <c r="AJ565" s="30">
        <f>AQ565*(1-입력란!$C$35/100)</f>
        <v>29.652211223399998</v>
      </c>
      <c r="AK56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5" s="26">
        <f>입력란!$C$47+IF(입력란!$C$18=1,10,IF(입력란!$C$18=2,25,IF(입력란!$C$18=3,50,0)))+IF(입력란!$C$23&lt;&gt;0,-12)</f>
        <v>200</v>
      </c>
      <c r="AM565" s="26">
        <f t="shared" si="89"/>
        <v>342251.88553763612</v>
      </c>
      <c r="AN565" s="30">
        <f>(VLOOKUP(C565,$B$4:$AJ$7,33,FALSE)+VLOOKUP(C565,$B$8:$AJ$11,33,FALSE)*입력란!$C$29)*입력란!$C$48/100</f>
        <v>342251.88553763612</v>
      </c>
      <c r="AO565" s="39"/>
      <c r="AP565" s="39"/>
      <c r="AQ565" s="12">
        <v>30</v>
      </c>
    </row>
    <row r="566" spans="2:43" ht="13.5" customHeight="1" x14ac:dyDescent="0.3">
      <c r="B566" s="31">
        <v>551</v>
      </c>
      <c r="C566" s="8">
        <v>7</v>
      </c>
      <c r="D566" s="44" t="s">
        <v>268</v>
      </c>
      <c r="E566" s="38" t="s">
        <v>240</v>
      </c>
      <c r="F566" s="40"/>
      <c r="G566" s="40" t="s">
        <v>413</v>
      </c>
      <c r="H566" s="81">
        <f t="shared" si="80"/>
        <v>18435.622837764688</v>
      </c>
      <c r="I566" s="53">
        <f>SUM(J566:Q566)*IF(입력란!$C$16=1,1.04,IF(입력란!$C$16=2,1.1,IF(입력란!$C$16=3,1.2,1)))*IF(입력란!$C$21=1,1+입력란!$C$38*0.001,IF(입력란!$C$21=2,1+입력란!$C$38*0.0022,IF(입력란!$C$21=3,1+입력란!$C$38*0.0045,1)))*IF(입력란!$C$18&lt;&gt;0,0.98,1)</f>
        <v>546656.98242033541</v>
      </c>
      <c r="J566" s="26">
        <f>S566*(1+IF($AK566+IF(입력란!$C$26=1,10,0)+IF(MID(E566,3,1)="1",트라이포드!$J$25,0)&gt;100,100,$AK566+IF(입력란!$C$26=1,10,0)+IF(MID(E566,3,1)="1",트라이포드!$J$25,0))/100*($AL566/100-1))</f>
        <v>546656.98242033541</v>
      </c>
      <c r="K566" s="39"/>
      <c r="L566" s="39"/>
      <c r="M566" s="39"/>
      <c r="N566" s="39"/>
      <c r="O566" s="39"/>
      <c r="P566" s="39"/>
      <c r="Q566" s="35">
        <f>Z566*(1+IF($AK566+IF(입력란!$C$26=1,10,0)&gt;100,100,$AK566+IF(입력란!$C$26=1,10,0))/100*($AL566/100-1))</f>
        <v>0</v>
      </c>
      <c r="R566" s="24">
        <f t="shared" si="81"/>
        <v>450314.04761707183</v>
      </c>
      <c r="S566" s="26">
        <f>AN566*IF(MID(E566,3,1)="3",IF(G566="생명50%이하",트라이포드!$N$25,트라이포드!$M$25),1)*IF(MID(E566,5,1)="2",트라이포드!$R$25,트라이포드!$Q$25)*(1+입력란!$C$44/100)</f>
        <v>450314.04761707183</v>
      </c>
      <c r="T566" s="39"/>
      <c r="U566" s="39"/>
      <c r="V566" s="39"/>
      <c r="W566" s="39"/>
      <c r="X566" s="39"/>
      <c r="Y566" s="39"/>
      <c r="Z566" s="25">
        <f>AN566*IF(MID(E566,1,1)="1",트라이포드!$D$25,트라이포드!$C$25)*(1+입력란!$C$44/100)</f>
        <v>0</v>
      </c>
      <c r="AA566" s="30">
        <f t="shared" si="82"/>
        <v>900628.09523414366</v>
      </c>
      <c r="AB566" s="30">
        <f t="shared" si="90"/>
        <v>900628.09523414366</v>
      </c>
      <c r="AC566" s="39"/>
      <c r="AD566" s="39"/>
      <c r="AE566" s="39"/>
      <c r="AF566" s="39"/>
      <c r="AG566" s="39"/>
      <c r="AH566" s="39"/>
      <c r="AI566" s="25">
        <f t="shared" si="91"/>
        <v>0</v>
      </c>
      <c r="AJ566" s="30">
        <f>AQ566*(1-입력란!$C$35/100)</f>
        <v>29.652211223399998</v>
      </c>
      <c r="AK56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6" s="26">
        <f>입력란!$C$47+IF(입력란!$C$18=1,10,IF(입력란!$C$18=2,25,IF(입력란!$C$18=3,50,0)))+IF(입력란!$C$23&lt;&gt;0,-12)</f>
        <v>200</v>
      </c>
      <c r="AM566" s="26">
        <f t="shared" si="89"/>
        <v>331643.36512859189</v>
      </c>
      <c r="AN566" s="30">
        <f>(VLOOKUP(C566,$B$4:$AJ$7,33,FALSE)+VLOOKUP(C566,$B$8:$AJ$11,33,FALSE)*입력란!$C$29)*입력란!$C$48/100</f>
        <v>331643.36512859189</v>
      </c>
      <c r="AO566" s="39"/>
      <c r="AP566" s="39"/>
      <c r="AQ566" s="12">
        <v>30</v>
      </c>
    </row>
    <row r="567" spans="2:43" ht="13.5" customHeight="1" x14ac:dyDescent="0.3">
      <c r="B567" s="31">
        <v>552</v>
      </c>
      <c r="C567" s="8">
        <v>7</v>
      </c>
      <c r="D567" s="44" t="s">
        <v>56</v>
      </c>
      <c r="E567" s="38" t="s">
        <v>384</v>
      </c>
      <c r="F567" s="40"/>
      <c r="G567" s="40" t="s">
        <v>413</v>
      </c>
      <c r="H567" s="81">
        <f t="shared" si="80"/>
        <v>29716.009914889044</v>
      </c>
      <c r="I567" s="53">
        <f>SUM(J567:Q567)*IF(입력란!$C$16=1,1.04,IF(입력란!$C$16=2,1.1,IF(입력란!$C$16=3,1.2,1)))*IF(입력란!$C$21=1,1+입력란!$C$38*0.001,IF(입력란!$C$21=2,1+입력란!$C$38*0.0022,IF(입력란!$C$21=3,1+입력란!$C$38*0.0045,1)))*IF(입력란!$C$18&lt;&gt;0,0.98,1)</f>
        <v>881145.40271293849</v>
      </c>
      <c r="J567" s="26">
        <f>S567*(1+IF($AK567+IF(입력란!$C$26=1,10,0)+IF(MID(E567,3,1)="1",트라이포드!$J$25,0)&gt;100,100,$AK567+IF(입력란!$C$26=1,10,0)+IF(MID(E567,3,1)="1",트라이포드!$J$25,0))/100*($AL567/100-1))</f>
        <v>771814.00622887141</v>
      </c>
      <c r="K567" s="39"/>
      <c r="L567" s="39"/>
      <c r="M567" s="39"/>
      <c r="N567" s="39"/>
      <c r="O567" s="39"/>
      <c r="P567" s="39"/>
      <c r="Q567" s="35">
        <f>Z567*(1+IF($AK567+IF(입력란!$C$26=1,10,0)&gt;100,100,$AK567+IF(입력란!$C$26=1,10,0))/100*($AL567/100-1))</f>
        <v>109331.3964840671</v>
      </c>
      <c r="R567" s="24">
        <f t="shared" si="81"/>
        <v>540376.85714048625</v>
      </c>
      <c r="S567" s="26">
        <f>AN567*IF(MID(E567,3,1)="3",IF(G567="생명50%이하",트라이포드!$N$25,트라이포드!$M$25),1)*IF(MID(E567,5,1)="2",트라이포드!$R$25,트라이포드!$Q$25)*(1+입력란!$C$44/100)</f>
        <v>450314.04761707183</v>
      </c>
      <c r="T567" s="39"/>
      <c r="U567" s="39"/>
      <c r="V567" s="39"/>
      <c r="W567" s="39"/>
      <c r="X567" s="39"/>
      <c r="Y567" s="39"/>
      <c r="Z567" s="25">
        <f>AN567*IF(MID(E567,1,1)="1",트라이포드!$D$25,트라이포드!$C$25)*(1+입력란!$C$44/100)</f>
        <v>90062.809523414369</v>
      </c>
      <c r="AA567" s="30">
        <f t="shared" si="82"/>
        <v>1080753.7142809725</v>
      </c>
      <c r="AB567" s="30">
        <f t="shared" si="90"/>
        <v>900628.09523414366</v>
      </c>
      <c r="AC567" s="39"/>
      <c r="AD567" s="39"/>
      <c r="AE567" s="39"/>
      <c r="AF567" s="39"/>
      <c r="AG567" s="39"/>
      <c r="AH567" s="39"/>
      <c r="AI567" s="25">
        <f t="shared" si="91"/>
        <v>180125.61904682874</v>
      </c>
      <c r="AJ567" s="30">
        <f>AQ567*(1-입력란!$C$35/100)</f>
        <v>29.652211223399998</v>
      </c>
      <c r="AK56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7" s="26">
        <f>입력란!$C$47+IF(입력란!$C$18=1,10,IF(입력란!$C$18=2,25,IF(입력란!$C$18=3,50,0)))+IF(입력란!$C$23&lt;&gt;0,-12)</f>
        <v>200</v>
      </c>
      <c r="AM567" s="26">
        <f t="shared" si="89"/>
        <v>331643.36512859189</v>
      </c>
      <c r="AN567" s="30">
        <f>(VLOOKUP(C567,$B$4:$AJ$7,33,FALSE)+VLOOKUP(C567,$B$8:$AJ$11,33,FALSE)*입력란!$C$29)*입력란!$C$48/100</f>
        <v>331643.36512859189</v>
      </c>
      <c r="AO567" s="39"/>
      <c r="AP567" s="39"/>
      <c r="AQ567" s="12">
        <v>30</v>
      </c>
    </row>
    <row r="568" spans="2:43" ht="13.5" customHeight="1" x14ac:dyDescent="0.3">
      <c r="B568" s="31">
        <v>553</v>
      </c>
      <c r="C568" s="8">
        <v>7</v>
      </c>
      <c r="D568" s="44" t="s">
        <v>268</v>
      </c>
      <c r="E568" s="38" t="s">
        <v>242</v>
      </c>
      <c r="F568" s="40"/>
      <c r="G568" s="40" t="s">
        <v>413</v>
      </c>
      <c r="H568" s="81">
        <f t="shared" si="80"/>
        <v>26028.885347336105</v>
      </c>
      <c r="I568" s="53">
        <f>SUM(J568:Q568)*IF(입력란!$C$16=1,1.04,IF(입력란!$C$16=2,1.1,IF(입력란!$C$16=3,1.2,1)))*IF(입력란!$C$21=1,1+입력란!$C$38*0.001,IF(입력란!$C$21=2,1+입력란!$C$38*0.0022,IF(입력란!$C$21=3,1+입력란!$C$38*0.0045,1)))*IF(입력란!$C$18&lt;&gt;0,0.98,1)</f>
        <v>771814.00622887141</v>
      </c>
      <c r="J568" s="26">
        <f>S568*(1+IF($AK568+IF(입력란!$C$26=1,10,0)+IF(MID(E568,3,1)="1",트라이포드!$J$25,0)&gt;100,100,$AK568+IF(입력란!$C$26=1,10,0)+IF(MID(E568,3,1)="1",트라이포드!$J$25,0))/100*($AL568/100-1))</f>
        <v>771814.00622887141</v>
      </c>
      <c r="K568" s="39"/>
      <c r="L568" s="39"/>
      <c r="M568" s="39"/>
      <c r="N568" s="39"/>
      <c r="O568" s="39"/>
      <c r="P568" s="39"/>
      <c r="Q568" s="35">
        <f>Z568*(1+IF($AK568+IF(입력란!$C$26=1,10,0)&gt;100,100,$AK568+IF(입력란!$C$26=1,10,0))/100*($AL568/100-1))</f>
        <v>0</v>
      </c>
      <c r="R568" s="24">
        <f t="shared" si="81"/>
        <v>450314.04761707183</v>
      </c>
      <c r="S568" s="26">
        <f>AN568*IF(MID(E568,3,1)="3",IF(G568="생명50%이하",트라이포드!$N$25,트라이포드!$M$25),1)*IF(MID(E568,5,1)="2",트라이포드!$R$25,트라이포드!$Q$25)*(1+입력란!$C$44/100)</f>
        <v>450314.04761707183</v>
      </c>
      <c r="T568" s="39"/>
      <c r="U568" s="39"/>
      <c r="V568" s="39"/>
      <c r="W568" s="39"/>
      <c r="X568" s="39"/>
      <c r="Y568" s="39"/>
      <c r="Z568" s="25">
        <f>AN568*IF(MID(E568,1,1)="1",트라이포드!$D$25,트라이포드!$C$25)*(1+입력란!$C$44/100)</f>
        <v>0</v>
      </c>
      <c r="AA568" s="30">
        <f t="shared" si="82"/>
        <v>900628.09523414366</v>
      </c>
      <c r="AB568" s="30">
        <f t="shared" si="90"/>
        <v>900628.09523414366</v>
      </c>
      <c r="AC568" s="39"/>
      <c r="AD568" s="39"/>
      <c r="AE568" s="39"/>
      <c r="AF568" s="39"/>
      <c r="AG568" s="39"/>
      <c r="AH568" s="39"/>
      <c r="AI568" s="25">
        <f t="shared" si="91"/>
        <v>0</v>
      </c>
      <c r="AJ568" s="30">
        <f>AQ568*(1-입력란!$C$35/100)</f>
        <v>29.652211223399998</v>
      </c>
      <c r="AK56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8" s="26">
        <f>입력란!$C$47+IF(입력란!$C$18=1,10,IF(입력란!$C$18=2,25,IF(입력란!$C$18=3,50,0)))+IF(입력란!$C$23&lt;&gt;0,-12)</f>
        <v>200</v>
      </c>
      <c r="AM568" s="26">
        <f t="shared" si="89"/>
        <v>331643.36512859189</v>
      </c>
      <c r="AN568" s="30">
        <f>(VLOOKUP(C568,$B$4:$AJ$7,33,FALSE)+VLOOKUP(C568,$B$8:$AJ$11,33,FALSE)*입력란!$C$29)*입력란!$C$48/100</f>
        <v>331643.36512859189</v>
      </c>
      <c r="AO568" s="39"/>
      <c r="AP568" s="39"/>
      <c r="AQ568" s="12">
        <v>30</v>
      </c>
    </row>
    <row r="569" spans="2:43" ht="13.5" customHeight="1" x14ac:dyDescent="0.3">
      <c r="B569" s="31">
        <v>554</v>
      </c>
      <c r="C569" s="8">
        <v>7</v>
      </c>
      <c r="D569" s="44" t="s">
        <v>56</v>
      </c>
      <c r="E569" s="38" t="s">
        <v>360</v>
      </c>
      <c r="F569" s="40"/>
      <c r="G569" s="40" t="s">
        <v>413</v>
      </c>
      <c r="H569" s="81">
        <f t="shared" si="80"/>
        <v>22122.747405317627</v>
      </c>
      <c r="I569" s="53">
        <f>SUM(J569:Q569)*IF(입력란!$C$16=1,1.04,IF(입력란!$C$16=2,1.1,IF(입력란!$C$16=3,1.2,1)))*IF(입력란!$C$21=1,1+입력란!$C$38*0.001,IF(입력란!$C$21=2,1+입력란!$C$38*0.0022,IF(입력란!$C$21=3,1+입력란!$C$38*0.0045,1)))*IF(입력란!$C$18&lt;&gt;0,0.98,1)</f>
        <v>655988.37890440249</v>
      </c>
      <c r="J569" s="26">
        <f>S569*(1+IF($AK569+IF(입력란!$C$26=1,10,0)+IF(MID(E569,3,1)="1",트라이포드!$J$25,0)&gt;100,100,$AK569+IF(입력란!$C$26=1,10,0)+IF(MID(E569,3,1)="1",트라이포드!$J$25,0))/100*($AL569/100-1))</f>
        <v>546656.98242033541</v>
      </c>
      <c r="K569" s="39"/>
      <c r="L569" s="39"/>
      <c r="M569" s="39"/>
      <c r="N569" s="39"/>
      <c r="O569" s="39"/>
      <c r="P569" s="39"/>
      <c r="Q569" s="35">
        <f>Z569*(1+IF($AK569+IF(입력란!$C$26=1,10,0)&gt;100,100,$AK569+IF(입력란!$C$26=1,10,0))/100*($AL569/100-1))</f>
        <v>109331.3964840671</v>
      </c>
      <c r="R569" s="24">
        <f t="shared" si="81"/>
        <v>540376.85714048625</v>
      </c>
      <c r="S569" s="26">
        <f>AN569*IF(MID(E569,3,1)="3",IF(G569="생명50%이하",트라이포드!$N$25,트라이포드!$M$25),1)*IF(MID(E569,5,1)="2",트라이포드!$R$25,트라이포드!$Q$25)*(1+입력란!$C$44/100)</f>
        <v>450314.04761707183</v>
      </c>
      <c r="T569" s="39"/>
      <c r="U569" s="39"/>
      <c r="V569" s="39"/>
      <c r="W569" s="39"/>
      <c r="X569" s="39"/>
      <c r="Y569" s="39"/>
      <c r="Z569" s="25">
        <f>AN569*IF(MID(E569,1,1)="1",트라이포드!$D$25,트라이포드!$C$25)*(1+입력란!$C$44/100)</f>
        <v>90062.809523414369</v>
      </c>
      <c r="AA569" s="30">
        <f t="shared" si="82"/>
        <v>1080753.7142809725</v>
      </c>
      <c r="AB569" s="30">
        <f t="shared" si="90"/>
        <v>900628.09523414366</v>
      </c>
      <c r="AC569" s="39"/>
      <c r="AD569" s="39"/>
      <c r="AE569" s="39"/>
      <c r="AF569" s="39"/>
      <c r="AG569" s="39"/>
      <c r="AH569" s="39"/>
      <c r="AI569" s="25">
        <f t="shared" si="91"/>
        <v>180125.61904682874</v>
      </c>
      <c r="AJ569" s="30">
        <f>AQ569*(1-입력란!$C$35/100)</f>
        <v>29.652211223399998</v>
      </c>
      <c r="AK569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69" s="26">
        <f>입력란!$C$47+IF(입력란!$C$18=1,10,IF(입력란!$C$18=2,25,IF(입력란!$C$18=3,50,0)))+IF(입력란!$C$23&lt;&gt;0,-12)</f>
        <v>200</v>
      </c>
      <c r="AM569" s="26">
        <f t="shared" si="89"/>
        <v>331643.36512859189</v>
      </c>
      <c r="AN569" s="30">
        <f>(VLOOKUP(C569,$B$4:$AJ$7,33,FALSE)+VLOOKUP(C569,$B$8:$AJ$11,33,FALSE)*입력란!$C$29)*입력란!$C$48/100</f>
        <v>331643.36512859189</v>
      </c>
      <c r="AO569" s="39"/>
      <c r="AP569" s="39"/>
      <c r="AQ569" s="12">
        <v>30</v>
      </c>
    </row>
    <row r="570" spans="2:43" ht="13.5" customHeight="1" x14ac:dyDescent="0.3">
      <c r="B570" s="31">
        <v>555</v>
      </c>
      <c r="C570" s="8">
        <v>7</v>
      </c>
      <c r="D570" s="44" t="s">
        <v>56</v>
      </c>
      <c r="E570" s="38" t="s">
        <v>386</v>
      </c>
      <c r="F570" s="40"/>
      <c r="G570" s="40" t="s">
        <v>413</v>
      </c>
      <c r="H570" s="81">
        <f t="shared" si="80"/>
        <v>33184.12110797644</v>
      </c>
      <c r="I570" s="53">
        <f>SUM(J570:Q570)*IF(입력란!$C$16=1,1.04,IF(입력란!$C$16=2,1.1,IF(입력란!$C$16=3,1.2,1)))*IF(입력란!$C$21=1,1+입력란!$C$38*0.001,IF(입력란!$C$21=2,1+입력란!$C$38*0.0022,IF(입력란!$C$21=3,1+입력란!$C$38*0.0045,1)))*IF(입력란!$C$18&lt;&gt;0,0.98,1)</f>
        <v>983982.56835660385</v>
      </c>
      <c r="J570" s="26">
        <f>S570*(1+IF($AK570+IF(입력란!$C$26=1,10,0)+IF(MID(E570,3,1)="1",트라이포드!$J$25,0)&gt;100,100,$AK570+IF(입력란!$C$26=1,10,0)+IF(MID(E570,3,1)="1",트라이포드!$J$25,0))/100*($AL570/100-1))</f>
        <v>874651.17187253677</v>
      </c>
      <c r="K570" s="39"/>
      <c r="L570" s="39"/>
      <c r="M570" s="39"/>
      <c r="N570" s="39"/>
      <c r="O570" s="39"/>
      <c r="P570" s="39"/>
      <c r="Q570" s="35">
        <f>Z570*(1+IF($AK570+IF(입력란!$C$26=1,10,0)&gt;100,100,$AK570+IF(입력란!$C$26=1,10,0))/100*($AL570/100-1))</f>
        <v>109331.3964840671</v>
      </c>
      <c r="R570" s="24">
        <f t="shared" si="81"/>
        <v>810565.28571072931</v>
      </c>
      <c r="S570" s="26">
        <f>AN570*IF(MID(E570,3,1)="3",IF(G570="생명50%이하",트라이포드!$N$25,트라이포드!$M$25),1)*IF(MID(E570,5,1)="2",트라이포드!$R$25,트라이포드!$Q$25)*(1+입력란!$C$44/100)</f>
        <v>720502.47618731495</v>
      </c>
      <c r="T570" s="39"/>
      <c r="U570" s="39"/>
      <c r="V570" s="39"/>
      <c r="W570" s="39"/>
      <c r="X570" s="39"/>
      <c r="Y570" s="39"/>
      <c r="Z570" s="25">
        <f>AN570*IF(MID(E570,1,1)="1",트라이포드!$D$25,트라이포드!$C$25)*(1+입력란!$C$44/100)</f>
        <v>90062.809523414369</v>
      </c>
      <c r="AA570" s="30">
        <f t="shared" si="82"/>
        <v>1621130.5714214586</v>
      </c>
      <c r="AB570" s="30">
        <f t="shared" si="90"/>
        <v>1441004.9523746299</v>
      </c>
      <c r="AC570" s="39"/>
      <c r="AD570" s="39"/>
      <c r="AE570" s="39"/>
      <c r="AF570" s="39"/>
      <c r="AG570" s="39"/>
      <c r="AH570" s="39"/>
      <c r="AI570" s="25">
        <f t="shared" si="91"/>
        <v>180125.61904682874</v>
      </c>
      <c r="AJ570" s="30">
        <f>AQ570*(1-입력란!$C$35/100)</f>
        <v>29.652211223399998</v>
      </c>
      <c r="AK570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0" s="26">
        <f>입력란!$C$47+IF(입력란!$C$18=1,10,IF(입력란!$C$18=2,25,IF(입력란!$C$18=3,50,0)))+IF(입력란!$C$23&lt;&gt;0,-12)</f>
        <v>200</v>
      </c>
      <c r="AM570" s="26">
        <f t="shared" si="89"/>
        <v>331643.36512859189</v>
      </c>
      <c r="AN570" s="30">
        <f>(VLOOKUP(C570,$B$4:$AJ$7,33,FALSE)+VLOOKUP(C570,$B$8:$AJ$11,33,FALSE)*입력란!$C$29)*입력란!$C$48/100</f>
        <v>331643.36512859189</v>
      </c>
      <c r="AO570" s="39"/>
      <c r="AP570" s="39"/>
      <c r="AQ570" s="12">
        <v>30</v>
      </c>
    </row>
    <row r="571" spans="2:43" ht="13.5" customHeight="1" x14ac:dyDescent="0.3">
      <c r="B571" s="31">
        <v>556</v>
      </c>
      <c r="C571" s="8">
        <v>7</v>
      </c>
      <c r="D571" s="44" t="s">
        <v>268</v>
      </c>
      <c r="E571" s="38" t="s">
        <v>269</v>
      </c>
      <c r="F571" s="40"/>
      <c r="G571" s="40" t="s">
        <v>413</v>
      </c>
      <c r="H571" s="81">
        <f t="shared" si="80"/>
        <v>29496.996540423504</v>
      </c>
      <c r="I571" s="53">
        <f>SUM(J571:Q571)*IF(입력란!$C$16=1,1.04,IF(입력란!$C$16=2,1.1,IF(입력란!$C$16=3,1.2,1)))*IF(입력란!$C$21=1,1+입력란!$C$38*0.001,IF(입력란!$C$21=2,1+입력란!$C$38*0.0022,IF(입력란!$C$21=3,1+입력란!$C$38*0.0045,1)))*IF(입력란!$C$18&lt;&gt;0,0.98,1)</f>
        <v>874651.17187253677</v>
      </c>
      <c r="J571" s="26">
        <f>S571*(1+IF($AK571+IF(입력란!$C$26=1,10,0)+IF(MID(E571,3,1)="1",트라이포드!$J$25,0)&gt;100,100,$AK571+IF(입력란!$C$26=1,10,0)+IF(MID(E571,3,1)="1",트라이포드!$J$25,0))/100*($AL571/100-1))</f>
        <v>874651.17187253677</v>
      </c>
      <c r="K571" s="39"/>
      <c r="L571" s="39"/>
      <c r="M571" s="39"/>
      <c r="N571" s="39"/>
      <c r="O571" s="39"/>
      <c r="P571" s="39"/>
      <c r="Q571" s="35">
        <f>Z571*(1+IF($AK571+IF(입력란!$C$26=1,10,0)&gt;100,100,$AK571+IF(입력란!$C$26=1,10,0))/100*($AL571/100-1))</f>
        <v>0</v>
      </c>
      <c r="R571" s="24">
        <f t="shared" si="81"/>
        <v>720502.47618731495</v>
      </c>
      <c r="S571" s="26">
        <f>AN571*IF(MID(E571,3,1)="3",IF(G571="생명50%이하",트라이포드!$N$25,트라이포드!$M$25),1)*IF(MID(E571,5,1)="2",트라이포드!$R$25,트라이포드!$Q$25)*(1+입력란!$C$44/100)</f>
        <v>720502.47618731495</v>
      </c>
      <c r="T571" s="39"/>
      <c r="U571" s="39"/>
      <c r="V571" s="39"/>
      <c r="W571" s="39"/>
      <c r="X571" s="39"/>
      <c r="Y571" s="39"/>
      <c r="Z571" s="25">
        <f>AN571*IF(MID(E571,1,1)="1",트라이포드!$D$25,트라이포드!$C$25)*(1+입력란!$C$44/100)</f>
        <v>0</v>
      </c>
      <c r="AA571" s="30">
        <f t="shared" si="82"/>
        <v>1441004.9523746299</v>
      </c>
      <c r="AB571" s="30">
        <f t="shared" si="90"/>
        <v>1441004.9523746299</v>
      </c>
      <c r="AC571" s="39"/>
      <c r="AD571" s="39"/>
      <c r="AE571" s="39"/>
      <c r="AF571" s="39"/>
      <c r="AG571" s="39"/>
      <c r="AH571" s="39"/>
      <c r="AI571" s="25">
        <f t="shared" si="91"/>
        <v>0</v>
      </c>
      <c r="AJ571" s="30">
        <f>AQ571*(1-입력란!$C$35/100)</f>
        <v>29.652211223399998</v>
      </c>
      <c r="AK571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1" s="26">
        <f>입력란!$C$47+IF(입력란!$C$18=1,10,IF(입력란!$C$18=2,25,IF(입력란!$C$18=3,50,0)))+IF(입력란!$C$23&lt;&gt;0,-12)</f>
        <v>200</v>
      </c>
      <c r="AM571" s="26">
        <f t="shared" si="89"/>
        <v>331643.36512859189</v>
      </c>
      <c r="AN571" s="30">
        <f>(VLOOKUP(C571,$B$4:$AJ$7,33,FALSE)+VLOOKUP(C571,$B$8:$AJ$11,33,FALSE)*입력란!$C$29)*입력란!$C$48/100</f>
        <v>331643.36512859189</v>
      </c>
      <c r="AO571" s="39"/>
      <c r="AP571" s="39"/>
      <c r="AQ571" s="12">
        <v>30</v>
      </c>
    </row>
    <row r="572" spans="2:43" ht="13.5" customHeight="1" x14ac:dyDescent="0.3">
      <c r="B572" s="31">
        <v>557</v>
      </c>
      <c r="C572" s="8">
        <v>10</v>
      </c>
      <c r="D572" s="44" t="s">
        <v>268</v>
      </c>
      <c r="E572" s="38" t="s">
        <v>240</v>
      </c>
      <c r="F572" s="40"/>
      <c r="G572" s="40" t="s">
        <v>413</v>
      </c>
      <c r="H572" s="81">
        <f t="shared" si="80"/>
        <v>19056.666464189635</v>
      </c>
      <c r="I572" s="53">
        <f>SUM(J572:Q572)*IF(입력란!$C$16=1,1.04,IF(입력란!$C$16=2,1.1,IF(입력란!$C$16=3,1.2,1)))*IF(입력란!$C$21=1,1+입력란!$C$38*0.001,IF(입력란!$C$21=2,1+입력란!$C$38*0.0022,IF(입력란!$C$21=3,1+입력란!$C$38*0.0045,1)))*IF(입력란!$C$18&lt;&gt;0,0.98,1)</f>
        <v>565072.29921003431</v>
      </c>
      <c r="J572" s="26">
        <f>S572*(1+IF($AK572+IF(입력란!$C$26=1,10,0)+IF(MID(E572,3,1)="1",트라이포드!$J$25,0)&gt;100,100,$AK572+IF(입력란!$C$26=1,10,0)+IF(MID(E572,3,1)="1",트라이포드!$J$25,0))/100*($AL572/100-1))</f>
        <v>565072.29921003431</v>
      </c>
      <c r="K572" s="39"/>
      <c r="L572" s="39"/>
      <c r="M572" s="39"/>
      <c r="N572" s="39"/>
      <c r="O572" s="39"/>
      <c r="P572" s="39"/>
      <c r="Q572" s="35">
        <f>Z572*(1+IF($AK572+IF(입력란!$C$26=1,10,0)&gt;100,100,$AK572+IF(입력란!$C$26=1,10,0))/100*($AL572/100-1))</f>
        <v>0</v>
      </c>
      <c r="R572" s="24">
        <f t="shared" si="81"/>
        <v>465483.8453300799</v>
      </c>
      <c r="S572" s="26">
        <f>AN572*IF(MID(E572,3,1)="3",IF(G572="생명50%이하",트라이포드!$N$25,트라이포드!$M$25),1)*IF(MID(E572,5,1)="2",트라이포드!$R$25,트라이포드!$Q$25)*(1+입력란!$C$44/100)</f>
        <v>465483.8453300799</v>
      </c>
      <c r="T572" s="39"/>
      <c r="U572" s="39"/>
      <c r="V572" s="39"/>
      <c r="W572" s="39"/>
      <c r="X572" s="39"/>
      <c r="Y572" s="39"/>
      <c r="Z572" s="25">
        <f>AN572*IF(MID(E572,1,1)="1",트라이포드!$D$25,트라이포드!$C$25)*(1+입력란!$C$44/100)</f>
        <v>0</v>
      </c>
      <c r="AA572" s="30">
        <f t="shared" si="82"/>
        <v>930967.6906601598</v>
      </c>
      <c r="AB572" s="30">
        <f t="shared" si="90"/>
        <v>930967.6906601598</v>
      </c>
      <c r="AC572" s="39"/>
      <c r="AD572" s="39"/>
      <c r="AE572" s="39"/>
      <c r="AF572" s="39"/>
      <c r="AG572" s="39"/>
      <c r="AH572" s="39"/>
      <c r="AI572" s="25">
        <f t="shared" si="91"/>
        <v>0</v>
      </c>
      <c r="AJ572" s="30">
        <f>AQ572*(1-입력란!$C$35/100)</f>
        <v>29.652211223399998</v>
      </c>
      <c r="AK572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2" s="26">
        <f>입력란!$C$47+IF(입력란!$C$18=1,10,IF(입력란!$C$18=2,25,IF(입력란!$C$18=3,50,0)))+IF(입력란!$C$23&lt;&gt;0,-12)</f>
        <v>200</v>
      </c>
      <c r="AM572" s="26">
        <f t="shared" si="89"/>
        <v>342815.48553763615</v>
      </c>
      <c r="AN572" s="30">
        <f>(VLOOKUP(C572,$B$4:$AJ$7,33,FALSE)+VLOOKUP(C572,$B$8:$AJ$11,33,FALSE)*입력란!$C$29)*입력란!$C$48/100</f>
        <v>342815.48553763615</v>
      </c>
      <c r="AO572" s="39"/>
      <c r="AP572" s="39"/>
      <c r="AQ572" s="12">
        <v>30</v>
      </c>
    </row>
    <row r="573" spans="2:43" ht="13.5" customHeight="1" x14ac:dyDescent="0.3">
      <c r="B573" s="31">
        <v>558</v>
      </c>
      <c r="C573" s="8">
        <v>10</v>
      </c>
      <c r="D573" s="44" t="s">
        <v>56</v>
      </c>
      <c r="E573" s="38" t="s">
        <v>394</v>
      </c>
      <c r="F573" s="40"/>
      <c r="G573" s="40" t="s">
        <v>413</v>
      </c>
      <c r="H573" s="81">
        <f t="shared" si="80"/>
        <v>32396.332989122384</v>
      </c>
      <c r="I573" s="53">
        <f>SUM(J573:Q573)*IF(입력란!$C$16=1,1.04,IF(입력란!$C$16=2,1.1,IF(입력란!$C$16=3,1.2,1)))*IF(입력란!$C$21=1,1+입력란!$C$38*0.001,IF(입력란!$C$21=2,1+입력란!$C$38*0.0022,IF(입력란!$C$21=3,1+입력란!$C$38*0.0045,1)))*IF(입력란!$C$18&lt;&gt;0,0.98,1)</f>
        <v>960622.90865705837</v>
      </c>
      <c r="J573" s="26">
        <f>S573*(1+IF($AK573+IF(입력란!$C$26=1,10,0)+IF(MID(E573,3,1)="1",트라이포드!$J$25,0)&gt;100,100,$AK573+IF(입력란!$C$26=1,10,0)+IF(MID(E573,3,1)="1",트라이포드!$J$25,0))/100*($AL573/100-1))</f>
        <v>847608.44881505147</v>
      </c>
      <c r="K573" s="39"/>
      <c r="L573" s="39"/>
      <c r="M573" s="39"/>
      <c r="N573" s="39"/>
      <c r="O573" s="39"/>
      <c r="P573" s="39"/>
      <c r="Q573" s="35">
        <f>Z573*(1+IF($AK573+IF(입력란!$C$26=1,10,0)&gt;100,100,$AK573+IF(입력란!$C$26=1,10,0))/100*($AL573/100-1))</f>
        <v>113014.45984200688</v>
      </c>
      <c r="R573" s="24">
        <f t="shared" si="81"/>
        <v>791322.53706113587</v>
      </c>
      <c r="S573" s="26">
        <f>AN573*IF(MID(E573,3,1)="3",IF(G573="생명50%이하",트라이포드!$N$25,트라이포드!$M$25),1)*IF(MID(E573,5,1)="2",트라이포드!$R$25,트라이포드!$Q$25)*(1+입력란!$C$44/100)</f>
        <v>698225.76799511991</v>
      </c>
      <c r="T573" s="39"/>
      <c r="U573" s="39"/>
      <c r="V573" s="39"/>
      <c r="W573" s="39"/>
      <c r="X573" s="39"/>
      <c r="Y573" s="39"/>
      <c r="Z573" s="25">
        <f>AN573*IF(MID(E573,1,1)="1",트라이포드!$D$25,트라이포드!$C$25)*(1+입력란!$C$44/100)</f>
        <v>93096.769066016001</v>
      </c>
      <c r="AA573" s="30">
        <f t="shared" si="82"/>
        <v>1582645.0741222717</v>
      </c>
      <c r="AB573" s="30">
        <f t="shared" si="90"/>
        <v>1396451.5359902398</v>
      </c>
      <c r="AC573" s="39"/>
      <c r="AD573" s="39"/>
      <c r="AE573" s="39"/>
      <c r="AF573" s="39"/>
      <c r="AG573" s="39"/>
      <c r="AH573" s="39"/>
      <c r="AI573" s="25">
        <f t="shared" si="91"/>
        <v>186193.538132032</v>
      </c>
      <c r="AJ573" s="30">
        <f>AQ573*(1-입력란!$C$35/100)</f>
        <v>29.652211223399998</v>
      </c>
      <c r="AK573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3" s="26">
        <f>입력란!$C$47+IF(입력란!$C$18=1,10,IF(입력란!$C$18=2,25,IF(입력란!$C$18=3,50,0)))+IF(입력란!$C$23&lt;&gt;0,-12)</f>
        <v>200</v>
      </c>
      <c r="AM573" s="26">
        <f t="shared" si="89"/>
        <v>342815.48553763615</v>
      </c>
      <c r="AN573" s="30">
        <f>(VLOOKUP(C573,$B$4:$AJ$7,33,FALSE)+VLOOKUP(C573,$B$8:$AJ$11,33,FALSE)*입력란!$C$29)*입력란!$C$48/100</f>
        <v>342815.48553763615</v>
      </c>
      <c r="AO573" s="39"/>
      <c r="AP573" s="39"/>
      <c r="AQ573" s="12">
        <v>30</v>
      </c>
    </row>
    <row r="574" spans="2:43" ht="13.5" customHeight="1" x14ac:dyDescent="0.3">
      <c r="B574" s="31">
        <v>559</v>
      </c>
      <c r="C574" s="8">
        <v>10</v>
      </c>
      <c r="D574" s="44" t="s">
        <v>268</v>
      </c>
      <c r="E574" s="38" t="s">
        <v>248</v>
      </c>
      <c r="F574" s="40"/>
      <c r="G574" s="40" t="s">
        <v>413</v>
      </c>
      <c r="H574" s="81">
        <f t="shared" si="80"/>
        <v>28584.999696284456</v>
      </c>
      <c r="I574" s="53">
        <f>SUM(J574:Q574)*IF(입력란!$C$16=1,1.04,IF(입력란!$C$16=2,1.1,IF(입력란!$C$16=3,1.2,1)))*IF(입력란!$C$21=1,1+입력란!$C$38*0.001,IF(입력란!$C$21=2,1+입력란!$C$38*0.0022,IF(입력란!$C$21=3,1+입력란!$C$38*0.0045,1)))*IF(입력란!$C$18&lt;&gt;0,0.98,1)</f>
        <v>847608.44881505147</v>
      </c>
      <c r="J574" s="26">
        <f>S574*(1+IF($AK574+IF(입력란!$C$26=1,10,0)+IF(MID(E574,3,1)="1",트라이포드!$J$25,0)&gt;100,100,$AK574+IF(입력란!$C$26=1,10,0)+IF(MID(E574,3,1)="1",트라이포드!$J$25,0))/100*($AL574/100-1))</f>
        <v>847608.44881505147</v>
      </c>
      <c r="K574" s="39"/>
      <c r="L574" s="39"/>
      <c r="M574" s="39"/>
      <c r="N574" s="39"/>
      <c r="O574" s="39"/>
      <c r="P574" s="39"/>
      <c r="Q574" s="35">
        <f>Z574*(1+IF($AK574+IF(입력란!$C$26=1,10,0)&gt;100,100,$AK574+IF(입력란!$C$26=1,10,0))/100*($AL574/100-1))</f>
        <v>0</v>
      </c>
      <c r="R574" s="24">
        <f t="shared" si="81"/>
        <v>698225.76799511991</v>
      </c>
      <c r="S574" s="26">
        <f>AN574*IF(MID(E574,3,1)="3",IF(G574="생명50%이하",트라이포드!$N$25,트라이포드!$M$25),1)*IF(MID(E574,5,1)="2",트라이포드!$R$25,트라이포드!$Q$25)*(1+입력란!$C$44/100)</f>
        <v>698225.76799511991</v>
      </c>
      <c r="T574" s="39"/>
      <c r="U574" s="39"/>
      <c r="V574" s="39"/>
      <c r="W574" s="39"/>
      <c r="X574" s="39"/>
      <c r="Y574" s="39"/>
      <c r="Z574" s="25">
        <f>AN574*IF(MID(E574,1,1)="1",트라이포드!$D$25,트라이포드!$C$25)*(1+입력란!$C$44/100)</f>
        <v>0</v>
      </c>
      <c r="AA574" s="30">
        <f t="shared" si="82"/>
        <v>1396451.5359902398</v>
      </c>
      <c r="AB574" s="30">
        <f t="shared" si="90"/>
        <v>1396451.5359902398</v>
      </c>
      <c r="AC574" s="39"/>
      <c r="AD574" s="39"/>
      <c r="AE574" s="39"/>
      <c r="AF574" s="39"/>
      <c r="AG574" s="39"/>
      <c r="AH574" s="39"/>
      <c r="AI574" s="25">
        <f t="shared" si="91"/>
        <v>0</v>
      </c>
      <c r="AJ574" s="30">
        <f>AQ574*(1-입력란!$C$35/100)</f>
        <v>29.652211223399998</v>
      </c>
      <c r="AK574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4" s="26">
        <f>입력란!$C$47+IF(입력란!$C$18=1,10,IF(입력란!$C$18=2,25,IF(입력란!$C$18=3,50,0)))+IF(입력란!$C$23&lt;&gt;0,-12)</f>
        <v>200</v>
      </c>
      <c r="AM574" s="26">
        <f t="shared" si="89"/>
        <v>342815.48553763615</v>
      </c>
      <c r="AN574" s="30">
        <f>(VLOOKUP(C574,$B$4:$AJ$7,33,FALSE)+VLOOKUP(C574,$B$8:$AJ$11,33,FALSE)*입력란!$C$29)*입력란!$C$48/100</f>
        <v>342815.48553763615</v>
      </c>
      <c r="AO574" s="39"/>
      <c r="AP574" s="39"/>
      <c r="AQ574" s="12">
        <v>30</v>
      </c>
    </row>
    <row r="575" spans="2:43" ht="13.5" customHeight="1" x14ac:dyDescent="0.3">
      <c r="B575" s="31">
        <v>560</v>
      </c>
      <c r="C575" s="8">
        <v>10</v>
      </c>
      <c r="D575" s="44" t="s">
        <v>56</v>
      </c>
      <c r="E575" s="38" t="s">
        <v>181</v>
      </c>
      <c r="F575" s="40"/>
      <c r="G575" s="40" t="s">
        <v>413</v>
      </c>
      <c r="H575" s="81">
        <f t="shared" si="80"/>
        <v>44169.919834546512</v>
      </c>
      <c r="I575" s="53">
        <f>SUM(J575:Q575)*IF(입력란!$C$16=1,1.04,IF(입력란!$C$16=2,1.1,IF(입력란!$C$16=3,1.2,1)))*IF(입력란!$C$21=1,1+입력란!$C$38*0.001,IF(입력란!$C$21=2,1+입력란!$C$38*0.0022,IF(입력란!$C$21=3,1+입력란!$C$38*0.0045,1)))*IF(입력란!$C$18&lt;&gt;0,0.98,1)</f>
        <v>1309735.7926546184</v>
      </c>
      <c r="J575" s="26">
        <f>S575*(1+IF($AK575+IF(입력란!$C$26=1,10,0)+IF(MID(E575,3,1)="1",트라이포드!$J$25,0)&gt;100,100,$AK575+IF(입력란!$C$26=1,10,0)+IF(MID(E575,3,1)="1",트라이포드!$J$25,0))/100*($AL575/100-1))</f>
        <v>1196721.3328126115</v>
      </c>
      <c r="K575" s="39"/>
      <c r="L575" s="39"/>
      <c r="M575" s="39"/>
      <c r="N575" s="39"/>
      <c r="O575" s="39"/>
      <c r="P575" s="39"/>
      <c r="Q575" s="35">
        <f>Z575*(1+IF($AK575+IF(입력란!$C$26=1,10,0)&gt;100,100,$AK575+IF(입력란!$C$26=1,10,0))/100*($AL575/100-1))</f>
        <v>113014.45984200688</v>
      </c>
      <c r="R575" s="24">
        <f t="shared" si="81"/>
        <v>791322.53706113587</v>
      </c>
      <c r="S575" s="26">
        <f>AN575*IF(MID(E575,3,1)="3",IF(G575="생명50%이하",트라이포드!$N$25,트라이포드!$M$25),1)*IF(MID(E575,5,1)="2",트라이포드!$R$25,트라이포드!$Q$25)*(1+입력란!$C$44/100)</f>
        <v>698225.76799511991</v>
      </c>
      <c r="T575" s="39"/>
      <c r="U575" s="39"/>
      <c r="V575" s="39"/>
      <c r="W575" s="39"/>
      <c r="X575" s="39"/>
      <c r="Y575" s="39"/>
      <c r="Z575" s="25">
        <f>AN575*IF(MID(E575,1,1)="1",트라이포드!$D$25,트라이포드!$C$25)*(1+입력란!$C$44/100)</f>
        <v>93096.769066016001</v>
      </c>
      <c r="AA575" s="30">
        <f t="shared" si="82"/>
        <v>1582645.0741222717</v>
      </c>
      <c r="AB575" s="30">
        <f t="shared" si="90"/>
        <v>1396451.5359902398</v>
      </c>
      <c r="AC575" s="39"/>
      <c r="AD575" s="39"/>
      <c r="AE575" s="39"/>
      <c r="AF575" s="39"/>
      <c r="AG575" s="39"/>
      <c r="AH575" s="39"/>
      <c r="AI575" s="25">
        <f t="shared" si="91"/>
        <v>186193.538132032</v>
      </c>
      <c r="AJ575" s="30">
        <f>AQ575*(1-입력란!$C$35/100)</f>
        <v>29.652211223399998</v>
      </c>
      <c r="AK57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5" s="26">
        <f>입력란!$C$47+IF(입력란!$C$18=1,10,IF(입력란!$C$18=2,25,IF(입력란!$C$18=3,50,0)))+IF(입력란!$C$23&lt;&gt;0,-12)</f>
        <v>200</v>
      </c>
      <c r="AM575" s="26">
        <f t="shared" si="89"/>
        <v>342815.48553763615</v>
      </c>
      <c r="AN575" s="30">
        <f>(VLOOKUP(C575,$B$4:$AJ$7,33,FALSE)+VLOOKUP(C575,$B$8:$AJ$11,33,FALSE)*입력란!$C$29)*입력란!$C$48/100</f>
        <v>342815.48553763615</v>
      </c>
      <c r="AO575" s="39"/>
      <c r="AP575" s="39"/>
      <c r="AQ575" s="12">
        <v>30</v>
      </c>
    </row>
    <row r="576" spans="2:43" ht="13.5" customHeight="1" x14ac:dyDescent="0.3">
      <c r="B576" s="31">
        <v>561</v>
      </c>
      <c r="C576" s="8">
        <v>10</v>
      </c>
      <c r="D576" s="44" t="s">
        <v>268</v>
      </c>
      <c r="E576" s="38" t="s">
        <v>257</v>
      </c>
      <c r="F576" s="40"/>
      <c r="G576" s="40" t="s">
        <v>413</v>
      </c>
      <c r="H576" s="81">
        <f t="shared" si="80"/>
        <v>40358.586541708588</v>
      </c>
      <c r="I576" s="53">
        <f>SUM(J576:Q576)*IF(입력란!$C$16=1,1.04,IF(입력란!$C$16=2,1.1,IF(입력란!$C$16=3,1.2,1)))*IF(입력란!$C$21=1,1+입력란!$C$38*0.001,IF(입력란!$C$21=2,1+입력란!$C$38*0.0022,IF(입력란!$C$21=3,1+입력란!$C$38*0.0045,1)))*IF(입력란!$C$18&lt;&gt;0,0.98,1)</f>
        <v>1196721.3328126115</v>
      </c>
      <c r="J576" s="26">
        <f>S576*(1+IF($AK576+IF(입력란!$C$26=1,10,0)+IF(MID(E576,3,1)="1",트라이포드!$J$25,0)&gt;100,100,$AK576+IF(입력란!$C$26=1,10,0)+IF(MID(E576,3,1)="1",트라이포드!$J$25,0))/100*($AL576/100-1))</f>
        <v>1196721.3328126115</v>
      </c>
      <c r="K576" s="39"/>
      <c r="L576" s="39"/>
      <c r="M576" s="39"/>
      <c r="N576" s="39"/>
      <c r="O576" s="39"/>
      <c r="P576" s="39"/>
      <c r="Q576" s="35">
        <f>Z576*(1+IF($AK576+IF(입력란!$C$26=1,10,0)&gt;100,100,$AK576+IF(입력란!$C$26=1,10,0))/100*($AL576/100-1))</f>
        <v>0</v>
      </c>
      <c r="R576" s="24">
        <f t="shared" si="81"/>
        <v>698225.76799511991</v>
      </c>
      <c r="S576" s="26">
        <f>AN576*IF(MID(E576,3,1)="3",IF(G576="생명50%이하",트라이포드!$N$25,트라이포드!$M$25),1)*IF(MID(E576,5,1)="2",트라이포드!$R$25,트라이포드!$Q$25)*(1+입력란!$C$44/100)</f>
        <v>698225.76799511991</v>
      </c>
      <c r="T576" s="39"/>
      <c r="U576" s="39"/>
      <c r="V576" s="39"/>
      <c r="W576" s="39"/>
      <c r="X576" s="39"/>
      <c r="Y576" s="39"/>
      <c r="Z576" s="25">
        <f>AN576*IF(MID(E576,1,1)="1",트라이포드!$D$25,트라이포드!$C$25)*(1+입력란!$C$44/100)</f>
        <v>0</v>
      </c>
      <c r="AA576" s="30">
        <f t="shared" si="82"/>
        <v>1396451.5359902398</v>
      </c>
      <c r="AB576" s="30">
        <f t="shared" si="90"/>
        <v>1396451.5359902398</v>
      </c>
      <c r="AC576" s="39"/>
      <c r="AD576" s="39"/>
      <c r="AE576" s="39"/>
      <c r="AF576" s="39"/>
      <c r="AG576" s="39"/>
      <c r="AH576" s="39"/>
      <c r="AI576" s="25">
        <f t="shared" si="91"/>
        <v>0</v>
      </c>
      <c r="AJ576" s="30">
        <f>AQ576*(1-입력란!$C$35/100)</f>
        <v>29.652211223399998</v>
      </c>
      <c r="AK576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6" s="26">
        <f>입력란!$C$47+IF(입력란!$C$18=1,10,IF(입력란!$C$18=2,25,IF(입력란!$C$18=3,50,0)))+IF(입력란!$C$23&lt;&gt;0,-12)</f>
        <v>200</v>
      </c>
      <c r="AM576" s="26">
        <f t="shared" si="89"/>
        <v>342815.48553763615</v>
      </c>
      <c r="AN576" s="30">
        <f>(VLOOKUP(C576,$B$4:$AJ$7,33,FALSE)+VLOOKUP(C576,$B$8:$AJ$11,33,FALSE)*입력란!$C$29)*입력란!$C$48/100</f>
        <v>342815.48553763615</v>
      </c>
      <c r="AO576" s="39"/>
      <c r="AP576" s="39"/>
      <c r="AQ576" s="12">
        <v>30</v>
      </c>
    </row>
    <row r="577" spans="2:43" ht="13.5" customHeight="1" x14ac:dyDescent="0.3">
      <c r="B577" s="31">
        <v>562</v>
      </c>
      <c r="C577" s="8">
        <v>10</v>
      </c>
      <c r="D577" s="44" t="s">
        <v>56</v>
      </c>
      <c r="E577" s="38" t="s">
        <v>201</v>
      </c>
      <c r="F577" s="40"/>
      <c r="G577" s="40" t="s">
        <v>413</v>
      </c>
      <c r="H577" s="81">
        <f t="shared" si="80"/>
        <v>49547.332806893057</v>
      </c>
      <c r="I577" s="53">
        <f>SUM(J577:Q577)*IF(입력란!$C$16=1,1.04,IF(입력란!$C$16=2,1.1,IF(입력란!$C$16=3,1.2,1)))*IF(입력란!$C$21=1,1+입력란!$C$38*0.001,IF(입력란!$C$21=2,1+입력란!$C$38*0.0022,IF(입력란!$C$21=3,1+입력란!$C$38*0.0045,1)))*IF(입력란!$C$18&lt;&gt;0,0.98,1)</f>
        <v>1469187.9779460893</v>
      </c>
      <c r="J577" s="26">
        <f>S577*(1+IF($AK577+IF(입력란!$C$26=1,10,0)+IF(MID(E577,3,1)="1",트라이포드!$J$25,0)&gt;100,100,$AK577+IF(입력란!$C$26=1,10,0)+IF(MID(E577,3,1)="1",트라이포드!$J$25,0))/100*($AL577/100-1))</f>
        <v>1356173.5181040824</v>
      </c>
      <c r="K577" s="39"/>
      <c r="L577" s="39"/>
      <c r="M577" s="39"/>
      <c r="N577" s="39"/>
      <c r="O577" s="39"/>
      <c r="P577" s="39"/>
      <c r="Q577" s="35">
        <f>Z577*(1+IF($AK577+IF(입력란!$C$26=1,10,0)&gt;100,100,$AK577+IF(입력란!$C$26=1,10,0))/100*($AL577/100-1))</f>
        <v>113014.45984200688</v>
      </c>
      <c r="R577" s="24">
        <f t="shared" si="81"/>
        <v>1210257.9978582079</v>
      </c>
      <c r="S577" s="26">
        <f>AN577*IF(MID(E577,3,1)="3",IF(G577="생명50%이하",트라이포드!$N$25,트라이포드!$M$25),1)*IF(MID(E577,5,1)="2",트라이포드!$R$25,트라이포드!$Q$25)*(1+입력란!$C$44/100)</f>
        <v>1117161.2287921919</v>
      </c>
      <c r="T577" s="39"/>
      <c r="U577" s="39"/>
      <c r="V577" s="39"/>
      <c r="W577" s="39"/>
      <c r="X577" s="39"/>
      <c r="Y577" s="39"/>
      <c r="Z577" s="25">
        <f>AN577*IF(MID(E577,1,1)="1",트라이포드!$D$25,트라이포드!$C$25)*(1+입력란!$C$44/100)</f>
        <v>93096.769066016001</v>
      </c>
      <c r="AA577" s="30">
        <f t="shared" si="82"/>
        <v>2420515.9957164158</v>
      </c>
      <c r="AB577" s="30">
        <f t="shared" si="90"/>
        <v>2234322.4575843839</v>
      </c>
      <c r="AC577" s="39"/>
      <c r="AD577" s="39"/>
      <c r="AE577" s="39"/>
      <c r="AF577" s="39"/>
      <c r="AG577" s="39"/>
      <c r="AH577" s="39"/>
      <c r="AI577" s="25">
        <f t="shared" si="91"/>
        <v>186193.538132032</v>
      </c>
      <c r="AJ577" s="30">
        <f>AQ577*(1-입력란!$C$35/100)</f>
        <v>29.652211223399998</v>
      </c>
      <c r="AK577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7" s="26">
        <f>입력란!$C$47+IF(입력란!$C$18=1,10,IF(입력란!$C$18=2,25,IF(입력란!$C$18=3,50,0)))+IF(입력란!$C$23&lt;&gt;0,-12)</f>
        <v>200</v>
      </c>
      <c r="AM577" s="26">
        <f t="shared" si="89"/>
        <v>342815.48553763615</v>
      </c>
      <c r="AN577" s="30">
        <f>(VLOOKUP(C577,$B$4:$AJ$7,33,FALSE)+VLOOKUP(C577,$B$8:$AJ$11,33,FALSE)*입력란!$C$29)*입력란!$C$48/100</f>
        <v>342815.48553763615</v>
      </c>
      <c r="AO577" s="39"/>
      <c r="AP577" s="39"/>
      <c r="AQ577" s="12">
        <v>30</v>
      </c>
    </row>
    <row r="578" spans="2:43" ht="13.5" customHeight="1" x14ac:dyDescent="0.3">
      <c r="B578" s="31">
        <v>563</v>
      </c>
      <c r="C578" s="8">
        <v>10</v>
      </c>
      <c r="D578" s="44" t="s">
        <v>268</v>
      </c>
      <c r="E578" s="38" t="s">
        <v>270</v>
      </c>
      <c r="F578" s="40"/>
      <c r="G578" s="40" t="s">
        <v>413</v>
      </c>
      <c r="H578" s="81">
        <f t="shared" si="80"/>
        <v>45735.999514055133</v>
      </c>
      <c r="I578" s="53">
        <f>SUM(J578:Q578)*IF(입력란!$C$16=1,1.04,IF(입력란!$C$16=2,1.1,IF(입력란!$C$16=3,1.2,1)))*IF(입력란!$C$21=1,1+입력란!$C$38*0.001,IF(입력란!$C$21=2,1+입력란!$C$38*0.0022,IF(입력란!$C$21=3,1+입력란!$C$38*0.0045,1)))*IF(입력란!$C$18&lt;&gt;0,0.98,1)</f>
        <v>1356173.5181040824</v>
      </c>
      <c r="J578" s="26">
        <f>S578*(1+IF($AK578+IF(입력란!$C$26=1,10,0)+IF(MID(E578,3,1)="1",트라이포드!$J$25,0)&gt;100,100,$AK578+IF(입력란!$C$26=1,10,0)+IF(MID(E578,3,1)="1",트라이포드!$J$25,0))/100*($AL578/100-1))</f>
        <v>1356173.5181040824</v>
      </c>
      <c r="K578" s="39"/>
      <c r="L578" s="39"/>
      <c r="M578" s="39"/>
      <c r="N578" s="39"/>
      <c r="O578" s="39"/>
      <c r="P578" s="39"/>
      <c r="Q578" s="35">
        <f>Z578*(1+IF($AK578+IF(입력란!$C$26=1,10,0)&gt;100,100,$AK578+IF(입력란!$C$26=1,10,0))/100*($AL578/100-1))</f>
        <v>0</v>
      </c>
      <c r="R578" s="24">
        <f t="shared" si="81"/>
        <v>1117161.2287921919</v>
      </c>
      <c r="S578" s="26">
        <f>AN578*IF(MID(E578,3,1)="3",IF(G578="생명50%이하",트라이포드!$N$25,트라이포드!$M$25),1)*IF(MID(E578,5,1)="2",트라이포드!$R$25,트라이포드!$Q$25)*(1+입력란!$C$44/100)</f>
        <v>1117161.2287921919</v>
      </c>
      <c r="T578" s="39"/>
      <c r="U578" s="39"/>
      <c r="V578" s="39"/>
      <c r="W578" s="39"/>
      <c r="X578" s="39"/>
      <c r="Y578" s="39"/>
      <c r="Z578" s="25">
        <f>AN578*IF(MID(E578,1,1)="1",트라이포드!$D$25,트라이포드!$C$25)*(1+입력란!$C$44/100)</f>
        <v>0</v>
      </c>
      <c r="AA578" s="30">
        <f t="shared" si="82"/>
        <v>2234322.4575843839</v>
      </c>
      <c r="AB578" s="30">
        <f t="shared" si="90"/>
        <v>2234322.4575843839</v>
      </c>
      <c r="AC578" s="39"/>
      <c r="AD578" s="39"/>
      <c r="AE578" s="39"/>
      <c r="AF578" s="39"/>
      <c r="AG578" s="39"/>
      <c r="AH578" s="39"/>
      <c r="AI578" s="25">
        <f t="shared" si="91"/>
        <v>0</v>
      </c>
      <c r="AJ578" s="30">
        <f>AQ578*(1-입력란!$C$35/100)</f>
        <v>29.652211223399998</v>
      </c>
      <c r="AK578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78" s="26">
        <f>입력란!$C$47+IF(입력란!$C$18=1,10,IF(입력란!$C$18=2,25,IF(입력란!$C$18=3,50,0)))+IF(입력란!$C$23&lt;&gt;0,-12)</f>
        <v>200</v>
      </c>
      <c r="AM578" s="26">
        <f t="shared" si="89"/>
        <v>342815.48553763615</v>
      </c>
      <c r="AN578" s="30">
        <f>(VLOOKUP(C578,$B$4:$AJ$7,33,FALSE)+VLOOKUP(C578,$B$8:$AJ$11,33,FALSE)*입력란!$C$29)*입력란!$C$48/100</f>
        <v>342815.48553763615</v>
      </c>
      <c r="AO578" s="39"/>
      <c r="AP578" s="39"/>
      <c r="AQ578" s="12">
        <v>30</v>
      </c>
    </row>
    <row r="579" spans="2:43" ht="13.5" customHeight="1" x14ac:dyDescent="0.3">
      <c r="B579" s="31">
        <v>564</v>
      </c>
      <c r="C579" s="40">
        <v>1</v>
      </c>
      <c r="D579" s="44" t="s">
        <v>268</v>
      </c>
      <c r="E579" s="38" t="s">
        <v>240</v>
      </c>
      <c r="F579" s="40"/>
      <c r="G579" s="40" t="s">
        <v>412</v>
      </c>
      <c r="H579" s="81">
        <f t="shared" ref="H579:H594" si="92">J579*2/(1+1/(K579/J579))</f>
        <v>18984.178802115879</v>
      </c>
      <c r="I579" s="53"/>
      <c r="J579" s="26">
        <f t="array" ref="J579">IFERROR(INDEX($H$16:$H$596,MATCH(1,(C579=$C$16:$C$596)*(D579=$D$16:$D$596)*(E579=$E$16:$E$596)*(""=$G$16:$G$596),0)),"에러")</f>
        <v>18984.178802115879</v>
      </c>
      <c r="K579" s="26">
        <f t="array" ref="K579">IFERROR(INDEX($H$16:$H$596,MATCH(1,(C579=$C$16:$C$596)*(D579=$D$16:$D$596)*(E579=$E$16:$E$596)*("생명50%이하"=$G$16:$G$596),0)),"에러")</f>
        <v>18984.178802115879</v>
      </c>
      <c r="L579" s="26"/>
      <c r="M579" s="26"/>
      <c r="N579" s="39"/>
      <c r="O579" s="39"/>
      <c r="P579" s="39"/>
      <c r="Q579" s="35"/>
      <c r="R579" s="24"/>
      <c r="S579" s="26"/>
      <c r="T579" s="26"/>
      <c r="U579" s="26"/>
      <c r="V579" s="26"/>
      <c r="W579" s="26"/>
      <c r="X579" s="26"/>
      <c r="Y579" s="26"/>
      <c r="Z579" s="25"/>
      <c r="AA579" s="30"/>
      <c r="AB579" s="30"/>
      <c r="AC579" s="26"/>
      <c r="AD579" s="26"/>
      <c r="AE579" s="26"/>
      <c r="AF579" s="39"/>
      <c r="AG579" s="39"/>
      <c r="AH579" s="39"/>
      <c r="AI579" s="25"/>
      <c r="AJ579" s="30"/>
      <c r="AK579" s="26"/>
      <c r="AL579" s="26"/>
      <c r="AM579" s="26"/>
      <c r="AN579" s="30"/>
      <c r="AO579" s="39"/>
      <c r="AP579" s="39"/>
      <c r="AQ579" s="12"/>
    </row>
    <row r="580" spans="2:43" ht="13.5" customHeight="1" x14ac:dyDescent="0.3">
      <c r="B580" s="31">
        <v>565</v>
      </c>
      <c r="C580" s="8">
        <v>4</v>
      </c>
      <c r="D580" s="44" t="s">
        <v>56</v>
      </c>
      <c r="E580" s="38" t="s">
        <v>360</v>
      </c>
      <c r="F580" s="40"/>
      <c r="G580" s="40" t="s">
        <v>412</v>
      </c>
      <c r="H580" s="81">
        <f t="shared" si="92"/>
        <v>22830.404008857531</v>
      </c>
      <c r="I580" s="53"/>
      <c r="J580" s="26">
        <f t="array" ref="J580">IFERROR(INDEX($H$16:$H$596,MATCH(1,(C580=$C$16:$C$596)*(D580=$D$16:$D$596)*(E580=$E$16:$E$596)*(""=$G$16:$G$596),0)),"에러")</f>
        <v>22830.404008857531</v>
      </c>
      <c r="K580" s="26">
        <f t="array" ref="K580">IFERROR(INDEX($H$16:$H$596,MATCH(1,(C580=$C$16:$C$596)*(D580=$D$16:$D$596)*(E580=$E$16:$E$596)*("생명50%이하"=$G$16:$G$596),0)),"에러")</f>
        <v>22830.404008857531</v>
      </c>
      <c r="L580" s="39"/>
      <c r="M580" s="39"/>
      <c r="N580" s="39"/>
      <c r="O580" s="39"/>
      <c r="P580" s="39"/>
      <c r="Q580" s="35"/>
      <c r="R580" s="24"/>
      <c r="S580" s="26"/>
      <c r="T580" s="39"/>
      <c r="U580" s="39"/>
      <c r="V580" s="39"/>
      <c r="W580" s="39"/>
      <c r="X580" s="39"/>
      <c r="Y580" s="39"/>
      <c r="Z580" s="25"/>
      <c r="AA580" s="30"/>
      <c r="AB580" s="30"/>
      <c r="AC580" s="39"/>
      <c r="AD580" s="39"/>
      <c r="AE580" s="39"/>
      <c r="AF580" s="39"/>
      <c r="AG580" s="39"/>
      <c r="AH580" s="39"/>
      <c r="AI580" s="25"/>
      <c r="AJ580" s="30"/>
      <c r="AK580" s="26"/>
      <c r="AL580" s="26"/>
      <c r="AM580" s="26"/>
      <c r="AN580" s="30"/>
      <c r="AO580" s="39"/>
      <c r="AP580" s="39"/>
      <c r="AQ580" s="12"/>
    </row>
    <row r="581" spans="2:43" ht="13.5" customHeight="1" x14ac:dyDescent="0.3">
      <c r="B581" s="31">
        <v>566</v>
      </c>
      <c r="C581" s="8">
        <v>4</v>
      </c>
      <c r="D581" s="44" t="s">
        <v>268</v>
      </c>
      <c r="E581" s="38" t="s">
        <v>240</v>
      </c>
      <c r="F581" s="40"/>
      <c r="G581" s="40" t="s">
        <v>412</v>
      </c>
      <c r="H581" s="81">
        <f t="shared" si="92"/>
        <v>19025.33667404794</v>
      </c>
      <c r="I581" s="53"/>
      <c r="J581" s="26">
        <f t="array" ref="J581">IFERROR(INDEX($H$16:$H$596,MATCH(1,(C581=$C$16:$C$596)*(D581=$D$16:$D$596)*(E581=$E$16:$E$596)*(""=$G$16:$G$596),0)),"에러")</f>
        <v>19025.33667404794</v>
      </c>
      <c r="K581" s="26">
        <f t="array" ref="K581">IFERROR(INDEX($H$16:$H$596,MATCH(1,(C581=$C$16:$C$596)*(D581=$D$16:$D$596)*(E581=$E$16:$E$596)*("생명50%이하"=$G$16:$G$596),0)),"에러")</f>
        <v>19025.33667404794</v>
      </c>
      <c r="L581" s="39"/>
      <c r="M581" s="39"/>
      <c r="N581" s="39"/>
      <c r="O581" s="39"/>
      <c r="P581" s="39"/>
      <c r="Q581" s="35"/>
      <c r="R581" s="24"/>
      <c r="S581" s="26"/>
      <c r="T581" s="39"/>
      <c r="U581" s="39"/>
      <c r="V581" s="39"/>
      <c r="W581" s="39"/>
      <c r="X581" s="39"/>
      <c r="Y581" s="39"/>
      <c r="Z581" s="25"/>
      <c r="AA581" s="30"/>
      <c r="AB581" s="30"/>
      <c r="AC581" s="39"/>
      <c r="AD581" s="39"/>
      <c r="AE581" s="39"/>
      <c r="AF581" s="39"/>
      <c r="AG581" s="39"/>
      <c r="AH581" s="39"/>
      <c r="AI581" s="25"/>
      <c r="AJ581" s="30"/>
      <c r="AK581" s="26"/>
      <c r="AL581" s="26"/>
      <c r="AM581" s="26"/>
      <c r="AN581" s="30"/>
      <c r="AO581" s="39"/>
      <c r="AP581" s="39"/>
      <c r="AQ581" s="12"/>
    </row>
    <row r="582" spans="2:43" ht="13.5" customHeight="1" x14ac:dyDescent="0.3">
      <c r="B582" s="31">
        <v>567</v>
      </c>
      <c r="C582" s="8">
        <v>7</v>
      </c>
      <c r="D582" s="44" t="s">
        <v>268</v>
      </c>
      <c r="E582" s="38" t="s">
        <v>240</v>
      </c>
      <c r="F582" s="40"/>
      <c r="G582" s="40" t="s">
        <v>412</v>
      </c>
      <c r="H582" s="81">
        <f t="shared" si="92"/>
        <v>18435.622837764688</v>
      </c>
      <c r="I582" s="53"/>
      <c r="J582" s="26">
        <f t="array" ref="J582">IFERROR(INDEX($H$16:$H$596,MATCH(1,(C582=$C$16:$C$596)*(D582=$D$16:$D$596)*(E582=$E$16:$E$596)*(""=$G$16:$G$596),0)),"에러")</f>
        <v>18435.622837764688</v>
      </c>
      <c r="K582" s="26">
        <f t="array" ref="K582">IFERROR(INDEX($H$16:$H$596,MATCH(1,(C582=$C$16:$C$596)*(D582=$D$16:$D$596)*(E582=$E$16:$E$596)*("생명50%이하"=$G$16:$G$596),0)),"에러")</f>
        <v>18435.622837764688</v>
      </c>
      <c r="L582" s="39"/>
      <c r="M582" s="39"/>
      <c r="N582" s="39"/>
      <c r="O582" s="39"/>
      <c r="P582" s="39"/>
      <c r="Q582" s="35"/>
      <c r="R582" s="24"/>
      <c r="S582" s="26"/>
      <c r="T582" s="39"/>
      <c r="U582" s="39"/>
      <c r="V582" s="39"/>
      <c r="W582" s="39"/>
      <c r="X582" s="39"/>
      <c r="Y582" s="39"/>
      <c r="Z582" s="25"/>
      <c r="AA582" s="30"/>
      <c r="AB582" s="30"/>
      <c r="AC582" s="39"/>
      <c r="AD582" s="39"/>
      <c r="AE582" s="39"/>
      <c r="AF582" s="39"/>
      <c r="AG582" s="39"/>
      <c r="AH582" s="39"/>
      <c r="AI582" s="25"/>
      <c r="AJ582" s="30"/>
      <c r="AK582" s="26"/>
      <c r="AL582" s="26"/>
      <c r="AM582" s="26"/>
      <c r="AN582" s="30"/>
      <c r="AO582" s="39"/>
      <c r="AP582" s="39"/>
      <c r="AQ582" s="12"/>
    </row>
    <row r="583" spans="2:43" ht="13.5" customHeight="1" x14ac:dyDescent="0.3">
      <c r="B583" s="31">
        <v>568</v>
      </c>
      <c r="C583" s="8">
        <v>7</v>
      </c>
      <c r="D583" s="44" t="s">
        <v>56</v>
      </c>
      <c r="E583" s="38" t="s">
        <v>384</v>
      </c>
      <c r="F583" s="40"/>
      <c r="G583" s="40" t="s">
        <v>412</v>
      </c>
      <c r="H583" s="81">
        <f t="shared" si="92"/>
        <v>29716.009914889044</v>
      </c>
      <c r="I583" s="53"/>
      <c r="J583" s="26">
        <f t="array" ref="J583">IFERROR(INDEX($H$16:$H$596,MATCH(1,(C583=$C$16:$C$596)*(D583=$D$16:$D$596)*(E583=$E$16:$E$596)*(""=$G$16:$G$596),0)),"에러")</f>
        <v>29716.009914889044</v>
      </c>
      <c r="K583" s="26">
        <f t="array" ref="K583">IFERROR(INDEX($H$16:$H$596,MATCH(1,(C583=$C$16:$C$596)*(D583=$D$16:$D$596)*(E583=$E$16:$E$596)*("생명50%이하"=$G$16:$G$596),0)),"에러")</f>
        <v>29716.009914889044</v>
      </c>
      <c r="L583" s="39"/>
      <c r="M583" s="39"/>
      <c r="N583" s="39"/>
      <c r="O583" s="39"/>
      <c r="P583" s="39"/>
      <c r="Q583" s="35"/>
      <c r="R583" s="24"/>
      <c r="S583" s="26"/>
      <c r="T583" s="39"/>
      <c r="U583" s="39"/>
      <c r="V583" s="39"/>
      <c r="W583" s="39"/>
      <c r="X583" s="39"/>
      <c r="Y583" s="39"/>
      <c r="Z583" s="25"/>
      <c r="AA583" s="30"/>
      <c r="AB583" s="30"/>
      <c r="AC583" s="39"/>
      <c r="AD583" s="39"/>
      <c r="AE583" s="39"/>
      <c r="AF583" s="39"/>
      <c r="AG583" s="39"/>
      <c r="AH583" s="39"/>
      <c r="AI583" s="25"/>
      <c r="AJ583" s="30"/>
      <c r="AK583" s="26"/>
      <c r="AL583" s="26"/>
      <c r="AM583" s="26"/>
      <c r="AN583" s="30"/>
      <c r="AO583" s="39"/>
      <c r="AP583" s="39"/>
      <c r="AQ583" s="12"/>
    </row>
    <row r="584" spans="2:43" ht="13.5" customHeight="1" x14ac:dyDescent="0.3">
      <c r="B584" s="31">
        <v>569</v>
      </c>
      <c r="C584" s="8">
        <v>7</v>
      </c>
      <c r="D584" s="44" t="s">
        <v>268</v>
      </c>
      <c r="E584" s="38" t="s">
        <v>242</v>
      </c>
      <c r="F584" s="40"/>
      <c r="G584" s="40" t="s">
        <v>412</v>
      </c>
      <c r="H584" s="81">
        <f t="shared" si="92"/>
        <v>26028.885347336105</v>
      </c>
      <c r="I584" s="53"/>
      <c r="J584" s="26">
        <f t="array" ref="J584">IFERROR(INDEX($H$16:$H$596,MATCH(1,(C584=$C$16:$C$596)*(D584=$D$16:$D$596)*(E584=$E$16:$E$596)*(""=$G$16:$G$596),0)),"에러")</f>
        <v>26028.885347336105</v>
      </c>
      <c r="K584" s="26">
        <f t="array" ref="K584">IFERROR(INDEX($H$16:$H$596,MATCH(1,(C584=$C$16:$C$596)*(D584=$D$16:$D$596)*(E584=$E$16:$E$596)*("생명50%이하"=$G$16:$G$596),0)),"에러")</f>
        <v>26028.885347336105</v>
      </c>
      <c r="L584" s="39"/>
      <c r="M584" s="39"/>
      <c r="N584" s="39"/>
      <c r="O584" s="39"/>
      <c r="P584" s="39"/>
      <c r="Q584" s="35"/>
      <c r="R584" s="24"/>
      <c r="S584" s="26"/>
      <c r="T584" s="39"/>
      <c r="U584" s="39"/>
      <c r="V584" s="39"/>
      <c r="W584" s="39"/>
      <c r="X584" s="39"/>
      <c r="Y584" s="39"/>
      <c r="Z584" s="25"/>
      <c r="AA584" s="30"/>
      <c r="AB584" s="30"/>
      <c r="AC584" s="39"/>
      <c r="AD584" s="39"/>
      <c r="AE584" s="39"/>
      <c r="AF584" s="39"/>
      <c r="AG584" s="39"/>
      <c r="AH584" s="39"/>
      <c r="AI584" s="25"/>
      <c r="AJ584" s="30"/>
      <c r="AK584" s="26"/>
      <c r="AL584" s="26"/>
      <c r="AM584" s="26"/>
      <c r="AN584" s="30"/>
      <c r="AO584" s="39"/>
      <c r="AP584" s="39"/>
      <c r="AQ584" s="12"/>
    </row>
    <row r="585" spans="2:43" ht="13.5" customHeight="1" x14ac:dyDescent="0.3">
      <c r="B585" s="31">
        <v>570</v>
      </c>
      <c r="C585" s="8">
        <v>7</v>
      </c>
      <c r="D585" s="44" t="s">
        <v>56</v>
      </c>
      <c r="E585" s="38" t="s">
        <v>360</v>
      </c>
      <c r="F585" s="40"/>
      <c r="G585" s="40" t="s">
        <v>412</v>
      </c>
      <c r="H585" s="81">
        <f t="shared" si="92"/>
        <v>22122.747405317627</v>
      </c>
      <c r="I585" s="53"/>
      <c r="J585" s="26">
        <f t="array" ref="J585">IFERROR(INDEX($H$16:$H$596,MATCH(1,(C585=$C$16:$C$596)*(D585=$D$16:$D$596)*(E585=$E$16:$E$596)*(""=$G$16:$G$596),0)),"에러")</f>
        <v>22122.747405317627</v>
      </c>
      <c r="K585" s="26">
        <f t="array" ref="K585">IFERROR(INDEX($H$16:$H$596,MATCH(1,(C585=$C$16:$C$596)*(D585=$D$16:$D$596)*(E585=$E$16:$E$596)*("생명50%이하"=$G$16:$G$596),0)),"에러")</f>
        <v>22122.747405317627</v>
      </c>
      <c r="L585" s="39"/>
      <c r="M585" s="39"/>
      <c r="N585" s="39"/>
      <c r="O585" s="39"/>
      <c r="P585" s="39"/>
      <c r="Q585" s="35"/>
      <c r="R585" s="24"/>
      <c r="S585" s="26"/>
      <c r="T585" s="39"/>
      <c r="U585" s="39"/>
      <c r="V585" s="39"/>
      <c r="W585" s="39"/>
      <c r="X585" s="39"/>
      <c r="Y585" s="39"/>
      <c r="Z585" s="25"/>
      <c r="AA585" s="30"/>
      <c r="AB585" s="30"/>
      <c r="AC585" s="39"/>
      <c r="AD585" s="39"/>
      <c r="AE585" s="39"/>
      <c r="AF585" s="39"/>
      <c r="AG585" s="39"/>
      <c r="AH585" s="39"/>
      <c r="AI585" s="25"/>
      <c r="AJ585" s="30"/>
      <c r="AK585" s="26"/>
      <c r="AL585" s="26"/>
      <c r="AM585" s="26"/>
      <c r="AN585" s="30"/>
      <c r="AO585" s="39"/>
      <c r="AP585" s="39"/>
      <c r="AQ585" s="12"/>
    </row>
    <row r="586" spans="2:43" ht="13.5" customHeight="1" x14ac:dyDescent="0.3">
      <c r="B586" s="31">
        <v>571</v>
      </c>
      <c r="C586" s="8">
        <v>7</v>
      </c>
      <c r="D586" s="44" t="s">
        <v>56</v>
      </c>
      <c r="E586" s="38" t="s">
        <v>386</v>
      </c>
      <c r="F586" s="40"/>
      <c r="G586" s="40" t="s">
        <v>412</v>
      </c>
      <c r="H586" s="81">
        <f t="shared" si="92"/>
        <v>26547.296886381155</v>
      </c>
      <c r="I586" s="53"/>
      <c r="J586" s="26">
        <f t="array" ref="J586">IFERROR(INDEX($H$16:$H$596,MATCH(1,(C586=$C$16:$C$596)*(D586=$D$16:$D$596)*(E586=$E$16:$E$596)*(""=$G$16:$G$596),0)),"에러")</f>
        <v>22122.747405317627</v>
      </c>
      <c r="K586" s="26">
        <f t="array" ref="K586">IFERROR(INDEX($H$16:$H$596,MATCH(1,(C586=$C$16:$C$596)*(D586=$D$16:$D$596)*(E586=$E$16:$E$596)*("생명50%이하"=$G$16:$G$596),0)),"에러")</f>
        <v>33184.12110797644</v>
      </c>
      <c r="L586" s="39"/>
      <c r="M586" s="39"/>
      <c r="N586" s="39"/>
      <c r="O586" s="39"/>
      <c r="P586" s="39"/>
      <c r="Q586" s="35"/>
      <c r="R586" s="24"/>
      <c r="S586" s="26"/>
      <c r="T586" s="39"/>
      <c r="U586" s="39"/>
      <c r="V586" s="39"/>
      <c r="W586" s="39"/>
      <c r="X586" s="39"/>
      <c r="Y586" s="39"/>
      <c r="Z586" s="25"/>
      <c r="AA586" s="30"/>
      <c r="AB586" s="30"/>
      <c r="AC586" s="39"/>
      <c r="AD586" s="39"/>
      <c r="AE586" s="39"/>
      <c r="AF586" s="39"/>
      <c r="AG586" s="39"/>
      <c r="AH586" s="39"/>
      <c r="AI586" s="25"/>
      <c r="AJ586" s="30"/>
      <c r="AK586" s="26"/>
      <c r="AL586" s="26"/>
      <c r="AM586" s="26"/>
      <c r="AN586" s="30"/>
      <c r="AO586" s="39"/>
      <c r="AP586" s="39"/>
      <c r="AQ586" s="12"/>
    </row>
    <row r="587" spans="2:43" ht="13.5" customHeight="1" x14ac:dyDescent="0.3">
      <c r="B587" s="31">
        <v>572</v>
      </c>
      <c r="C587" s="8">
        <v>7</v>
      </c>
      <c r="D587" s="44" t="s">
        <v>268</v>
      </c>
      <c r="E587" s="38" t="s">
        <v>269</v>
      </c>
      <c r="F587" s="40"/>
      <c r="G587" s="40" t="s">
        <v>412</v>
      </c>
      <c r="H587" s="81">
        <f t="shared" si="92"/>
        <v>22689.997338787307</v>
      </c>
      <c r="I587" s="53"/>
      <c r="J587" s="26">
        <f t="array" ref="J587">IFERROR(INDEX($H$16:$H$596,MATCH(1,(C587=$C$16:$C$596)*(D587=$D$16:$D$596)*(E587=$E$16:$E$596)*(""=$G$16:$G$596),0)),"에러")</f>
        <v>18435.622837764688</v>
      </c>
      <c r="K587" s="26">
        <f t="array" ref="K587">IFERROR(INDEX($H$16:$H$596,MATCH(1,(C587=$C$16:$C$596)*(D587=$D$16:$D$596)*(E587=$E$16:$E$596)*("생명50%이하"=$G$16:$G$596),0)),"에러")</f>
        <v>29496.996540423504</v>
      </c>
      <c r="L587" s="39"/>
      <c r="M587" s="39"/>
      <c r="N587" s="39"/>
      <c r="O587" s="39"/>
      <c r="P587" s="39"/>
      <c r="Q587" s="35"/>
      <c r="R587" s="24"/>
      <c r="S587" s="26"/>
      <c r="T587" s="39"/>
      <c r="U587" s="39"/>
      <c r="V587" s="39"/>
      <c r="W587" s="39"/>
      <c r="X587" s="39"/>
      <c r="Y587" s="39"/>
      <c r="Z587" s="25"/>
      <c r="AA587" s="30"/>
      <c r="AB587" s="30"/>
      <c r="AC587" s="39"/>
      <c r="AD587" s="39"/>
      <c r="AE587" s="39"/>
      <c r="AF587" s="39"/>
      <c r="AG587" s="39"/>
      <c r="AH587" s="39"/>
      <c r="AI587" s="25"/>
      <c r="AJ587" s="30"/>
      <c r="AK587" s="26"/>
      <c r="AL587" s="26"/>
      <c r="AM587" s="26"/>
      <c r="AN587" s="30"/>
      <c r="AO587" s="39"/>
      <c r="AP587" s="39"/>
      <c r="AQ587" s="12"/>
    </row>
    <row r="588" spans="2:43" ht="13.5" customHeight="1" x14ac:dyDescent="0.3">
      <c r="B588" s="31">
        <v>573</v>
      </c>
      <c r="C588" s="8">
        <v>10</v>
      </c>
      <c r="D588" s="44" t="s">
        <v>268</v>
      </c>
      <c r="E588" s="38" t="s">
        <v>240</v>
      </c>
      <c r="F588" s="40"/>
      <c r="G588" s="40" t="s">
        <v>412</v>
      </c>
      <c r="H588" s="81">
        <f t="shared" si="92"/>
        <v>19056.666464189635</v>
      </c>
      <c r="I588" s="53"/>
      <c r="J588" s="26">
        <f t="array" ref="J588">IFERROR(INDEX($H$16:$H$596,MATCH(1,(C588=$C$16:$C$596)*(D588=$D$16:$D$596)*(E588=$E$16:$E$596)*(""=$G$16:$G$596),0)),"에러")</f>
        <v>19056.666464189635</v>
      </c>
      <c r="K588" s="26">
        <f t="array" ref="K588">IFERROR(INDEX($H$16:$H$596,MATCH(1,(C588=$C$16:$C$596)*(D588=$D$16:$D$596)*(E588=$E$16:$E$596)*("생명50%이하"=$G$16:$G$596),0)),"에러")</f>
        <v>19056.666464189635</v>
      </c>
      <c r="L588" s="39"/>
      <c r="M588" s="39"/>
      <c r="N588" s="39"/>
      <c r="O588" s="39"/>
      <c r="P588" s="39"/>
      <c r="Q588" s="35"/>
      <c r="R588" s="24"/>
      <c r="S588" s="26"/>
      <c r="T588" s="39"/>
      <c r="U588" s="39"/>
      <c r="V588" s="39"/>
      <c r="W588" s="39"/>
      <c r="X588" s="39"/>
      <c r="Y588" s="39"/>
      <c r="Z588" s="25"/>
      <c r="AA588" s="30"/>
      <c r="AB588" s="30"/>
      <c r="AC588" s="39"/>
      <c r="AD588" s="39"/>
      <c r="AE588" s="39"/>
      <c r="AF588" s="39"/>
      <c r="AG588" s="39"/>
      <c r="AH588" s="39"/>
      <c r="AI588" s="25"/>
      <c r="AJ588" s="30"/>
      <c r="AK588" s="26"/>
      <c r="AL588" s="26"/>
      <c r="AM588" s="26"/>
      <c r="AN588" s="30"/>
      <c r="AO588" s="39"/>
      <c r="AP588" s="39"/>
      <c r="AQ588" s="12"/>
    </row>
    <row r="589" spans="2:43" ht="13.5" customHeight="1" x14ac:dyDescent="0.3">
      <c r="B589" s="31">
        <v>574</v>
      </c>
      <c r="C589" s="8">
        <v>10</v>
      </c>
      <c r="D589" s="44" t="s">
        <v>56</v>
      </c>
      <c r="E589" s="38" t="s">
        <v>394</v>
      </c>
      <c r="F589" s="40"/>
      <c r="G589" s="40" t="s">
        <v>412</v>
      </c>
      <c r="H589" s="81">
        <f t="shared" si="92"/>
        <v>32396.332989122384</v>
      </c>
      <c r="I589" s="53"/>
      <c r="J589" s="26">
        <f t="array" ref="J589">IFERROR(INDEX($H$16:$H$596,MATCH(1,(C589=$C$16:$C$596)*(D589=$D$16:$D$596)*(E589=$E$16:$E$596)*(""=$G$16:$G$596),0)),"에러")</f>
        <v>32396.332989122384</v>
      </c>
      <c r="K589" s="26">
        <f t="array" ref="K589">IFERROR(INDEX($H$16:$H$596,MATCH(1,(C589=$C$16:$C$596)*(D589=$D$16:$D$596)*(E589=$E$16:$E$596)*("생명50%이하"=$G$16:$G$596),0)),"에러")</f>
        <v>32396.332989122384</v>
      </c>
      <c r="L589" s="39"/>
      <c r="M589" s="39"/>
      <c r="N589" s="39"/>
      <c r="O589" s="39"/>
      <c r="P589" s="39"/>
      <c r="Q589" s="35"/>
      <c r="R589" s="24"/>
      <c r="S589" s="26"/>
      <c r="T589" s="39"/>
      <c r="U589" s="39"/>
      <c r="V589" s="39"/>
      <c r="W589" s="39"/>
      <c r="X589" s="39"/>
      <c r="Y589" s="39"/>
      <c r="Z589" s="25"/>
      <c r="AA589" s="30"/>
      <c r="AB589" s="30"/>
      <c r="AC589" s="39"/>
      <c r="AD589" s="39"/>
      <c r="AE589" s="39"/>
      <c r="AF589" s="39"/>
      <c r="AG589" s="39"/>
      <c r="AH589" s="39"/>
      <c r="AI589" s="25"/>
      <c r="AJ589" s="30"/>
      <c r="AK589" s="26"/>
      <c r="AL589" s="26"/>
      <c r="AM589" s="26"/>
      <c r="AN589" s="30"/>
      <c r="AO589" s="39"/>
      <c r="AP589" s="39"/>
      <c r="AQ589" s="12"/>
    </row>
    <row r="590" spans="2:43" ht="13.5" customHeight="1" x14ac:dyDescent="0.3">
      <c r="B590" s="31">
        <v>575</v>
      </c>
      <c r="C590" s="8">
        <v>10</v>
      </c>
      <c r="D590" s="44" t="s">
        <v>268</v>
      </c>
      <c r="E590" s="38" t="s">
        <v>248</v>
      </c>
      <c r="F590" s="40"/>
      <c r="G590" s="40" t="s">
        <v>412</v>
      </c>
      <c r="H590" s="81">
        <f t="shared" si="92"/>
        <v>28584.999696284456</v>
      </c>
      <c r="I590" s="53"/>
      <c r="J590" s="26">
        <f t="array" ref="J590">IFERROR(INDEX($H$16:$H$596,MATCH(1,(C590=$C$16:$C$596)*(D590=$D$16:$D$596)*(E590=$E$16:$E$596)*(""=$G$16:$G$596),0)),"에러")</f>
        <v>28584.999696284456</v>
      </c>
      <c r="K590" s="26">
        <f t="array" ref="K590">IFERROR(INDEX($H$16:$H$596,MATCH(1,(C590=$C$16:$C$596)*(D590=$D$16:$D$596)*(E590=$E$16:$E$596)*("생명50%이하"=$G$16:$G$596),0)),"에러")</f>
        <v>28584.999696284456</v>
      </c>
      <c r="L590" s="39"/>
      <c r="M590" s="39"/>
      <c r="N590" s="39"/>
      <c r="O590" s="39"/>
      <c r="P590" s="39"/>
      <c r="Q590" s="35"/>
      <c r="R590" s="24"/>
      <c r="S590" s="26"/>
      <c r="T590" s="39"/>
      <c r="U590" s="39"/>
      <c r="V590" s="39"/>
      <c r="W590" s="39"/>
      <c r="X590" s="39"/>
      <c r="Y590" s="39"/>
      <c r="Z590" s="25"/>
      <c r="AA590" s="30"/>
      <c r="AB590" s="30"/>
      <c r="AC590" s="39"/>
      <c r="AD590" s="39"/>
      <c r="AE590" s="39"/>
      <c r="AF590" s="39"/>
      <c r="AG590" s="39"/>
      <c r="AH590" s="39"/>
      <c r="AI590" s="25"/>
      <c r="AJ590" s="30"/>
      <c r="AK590" s="26"/>
      <c r="AL590" s="26"/>
      <c r="AM590" s="26"/>
      <c r="AN590" s="30"/>
      <c r="AO590" s="39"/>
      <c r="AP590" s="39"/>
      <c r="AQ590" s="12"/>
    </row>
    <row r="591" spans="2:43" ht="13.5" customHeight="1" x14ac:dyDescent="0.3">
      <c r="B591" s="31">
        <v>576</v>
      </c>
      <c r="C591" s="8">
        <v>10</v>
      </c>
      <c r="D591" s="44" t="s">
        <v>56</v>
      </c>
      <c r="E591" s="38" t="s">
        <v>181</v>
      </c>
      <c r="F591" s="40"/>
      <c r="G591" s="40" t="s">
        <v>412</v>
      </c>
      <c r="H591" s="81">
        <f t="shared" si="92"/>
        <v>44169.919834546512</v>
      </c>
      <c r="I591" s="53"/>
      <c r="J591" s="26">
        <f t="array" ref="J591">IFERROR(INDEX($H$16:$H$596,MATCH(1,(C591=$C$16:$C$596)*(D591=$D$16:$D$596)*(E591=$E$16:$E$596)*(""=$G$16:$G$596),0)),"에러")</f>
        <v>44169.919834546512</v>
      </c>
      <c r="K591" s="26">
        <f t="array" ref="K591">IFERROR(INDEX($H$16:$H$596,MATCH(1,(C591=$C$16:$C$596)*(D591=$D$16:$D$596)*(E591=$E$16:$E$596)*("생명50%이하"=$G$16:$G$596),0)),"에러")</f>
        <v>44169.919834546512</v>
      </c>
      <c r="L591" s="39"/>
      <c r="M591" s="39"/>
      <c r="N591" s="39"/>
      <c r="O591" s="39"/>
      <c r="P591" s="39"/>
      <c r="Q591" s="35"/>
      <c r="R591" s="24"/>
      <c r="S591" s="26"/>
      <c r="T591" s="39"/>
      <c r="U591" s="39"/>
      <c r="V591" s="39"/>
      <c r="W591" s="39"/>
      <c r="X591" s="39"/>
      <c r="Y591" s="39"/>
      <c r="Z591" s="25"/>
      <c r="AA591" s="30"/>
      <c r="AB591" s="30"/>
      <c r="AC591" s="39"/>
      <c r="AD591" s="39"/>
      <c r="AE591" s="39"/>
      <c r="AF591" s="39"/>
      <c r="AG591" s="39"/>
      <c r="AH591" s="39"/>
      <c r="AI591" s="25"/>
      <c r="AJ591" s="30"/>
      <c r="AK591" s="26"/>
      <c r="AL591" s="26"/>
      <c r="AM591" s="26"/>
      <c r="AN591" s="30"/>
      <c r="AO591" s="39"/>
      <c r="AP591" s="39"/>
      <c r="AQ591" s="12"/>
    </row>
    <row r="592" spans="2:43" ht="13.5" customHeight="1" x14ac:dyDescent="0.3">
      <c r="B592" s="31">
        <v>577</v>
      </c>
      <c r="C592" s="8">
        <v>10</v>
      </c>
      <c r="D592" s="44" t="s">
        <v>268</v>
      </c>
      <c r="E592" s="38" t="s">
        <v>257</v>
      </c>
      <c r="F592" s="40"/>
      <c r="G592" s="40" t="s">
        <v>412</v>
      </c>
      <c r="H592" s="81">
        <f t="shared" si="92"/>
        <v>40358.586541708588</v>
      </c>
      <c r="I592" s="53"/>
      <c r="J592" s="26">
        <f t="array" ref="J592">IFERROR(INDEX($H$16:$H$596,MATCH(1,(C592=$C$16:$C$596)*(D592=$D$16:$D$596)*(E592=$E$16:$E$596)*(""=$G$16:$G$596),0)),"에러")</f>
        <v>40358.586541708588</v>
      </c>
      <c r="K592" s="26">
        <f t="array" ref="K592">IFERROR(INDEX($H$16:$H$596,MATCH(1,(C592=$C$16:$C$596)*(D592=$D$16:$D$596)*(E592=$E$16:$E$596)*("생명50%이하"=$G$16:$G$596),0)),"에러")</f>
        <v>40358.586541708588</v>
      </c>
      <c r="L592" s="39"/>
      <c r="M592" s="39"/>
      <c r="N592" s="39"/>
      <c r="O592" s="39"/>
      <c r="P592" s="39"/>
      <c r="Q592" s="35"/>
      <c r="R592" s="24"/>
      <c r="S592" s="26"/>
      <c r="T592" s="39"/>
      <c r="U592" s="39"/>
      <c r="V592" s="39"/>
      <c r="W592" s="39"/>
      <c r="X592" s="39"/>
      <c r="Y592" s="39"/>
      <c r="Z592" s="25"/>
      <c r="AA592" s="30"/>
      <c r="AB592" s="30"/>
      <c r="AC592" s="39"/>
      <c r="AD592" s="39"/>
      <c r="AE592" s="39"/>
      <c r="AF592" s="39"/>
      <c r="AG592" s="39"/>
      <c r="AH592" s="39"/>
      <c r="AI592" s="25"/>
      <c r="AJ592" s="30"/>
      <c r="AK592" s="26"/>
      <c r="AL592" s="26"/>
      <c r="AM592" s="26"/>
      <c r="AN592" s="30"/>
      <c r="AO592" s="39"/>
      <c r="AP592" s="39"/>
      <c r="AQ592" s="12"/>
    </row>
    <row r="593" spans="1:43" ht="13.5" customHeight="1" x14ac:dyDescent="0.3">
      <c r="B593" s="31">
        <v>578</v>
      </c>
      <c r="C593" s="8">
        <v>10</v>
      </c>
      <c r="D593" s="44" t="s">
        <v>56</v>
      </c>
      <c r="E593" s="38" t="s">
        <v>201</v>
      </c>
      <c r="F593" s="40"/>
      <c r="G593" s="40" t="s">
        <v>412</v>
      </c>
      <c r="H593" s="81">
        <f t="shared" si="92"/>
        <v>39176.960824054979</v>
      </c>
      <c r="I593" s="53"/>
      <c r="J593" s="26">
        <f t="array" ref="J593">IFERROR(INDEX($H$16:$H$596,MATCH(1,(C593=$C$16:$C$596)*(D593=$D$16:$D$596)*(E593=$E$16:$E$596)*(""=$G$16:$G$596),0)),"에러")</f>
        <v>32396.332989122384</v>
      </c>
      <c r="K593" s="26">
        <f t="array" ref="K593">IFERROR(INDEX($H$16:$H$596,MATCH(1,(C593=$C$16:$C$596)*(D593=$D$16:$D$596)*(E593=$E$16:$E$596)*("생명50%이하"=$G$16:$G$596),0)),"에러")</f>
        <v>49547.332806893057</v>
      </c>
      <c r="L593" s="39"/>
      <c r="M593" s="39"/>
      <c r="N593" s="39"/>
      <c r="O593" s="39"/>
      <c r="P593" s="39"/>
      <c r="Q593" s="35"/>
      <c r="R593" s="24"/>
      <c r="S593" s="26"/>
      <c r="T593" s="39"/>
      <c r="U593" s="39"/>
      <c r="V593" s="39"/>
      <c r="W593" s="39"/>
      <c r="X593" s="39"/>
      <c r="Y593" s="39"/>
      <c r="Z593" s="25"/>
      <c r="AA593" s="30"/>
      <c r="AB593" s="30"/>
      <c r="AC593" s="39"/>
      <c r="AD593" s="39"/>
      <c r="AE593" s="39"/>
      <c r="AF593" s="39"/>
      <c r="AG593" s="39"/>
      <c r="AH593" s="39"/>
      <c r="AI593" s="25"/>
      <c r="AJ593" s="30"/>
      <c r="AK593" s="26"/>
      <c r="AL593" s="26"/>
      <c r="AM593" s="26"/>
      <c r="AN593" s="30"/>
      <c r="AO593" s="39"/>
      <c r="AP593" s="39"/>
      <c r="AQ593" s="12"/>
    </row>
    <row r="594" spans="1:43" ht="13.5" customHeight="1" x14ac:dyDescent="0.3">
      <c r="B594" s="31">
        <v>579</v>
      </c>
      <c r="C594" s="8">
        <v>10</v>
      </c>
      <c r="D594" s="44" t="s">
        <v>268</v>
      </c>
      <c r="E594" s="38" t="s">
        <v>270</v>
      </c>
      <c r="F594" s="40"/>
      <c r="G594" s="40" t="s">
        <v>412</v>
      </c>
      <c r="H594" s="81">
        <f t="shared" si="92"/>
        <v>35181.538087734712</v>
      </c>
      <c r="I594" s="53"/>
      <c r="J594" s="26">
        <f t="array" ref="J594">IFERROR(INDEX($H$16:$H$596,MATCH(1,(C594=$C$16:$C$596)*(D594=$D$16:$D$596)*(E594=$E$16:$E$596)*(""=$G$16:$G$596),0)),"에러")</f>
        <v>28584.999696284456</v>
      </c>
      <c r="K594" s="26">
        <f t="array" ref="K594">IFERROR(INDEX($H$16:$H$596,MATCH(1,(C594=$C$16:$C$596)*(D594=$D$16:$D$596)*(E594=$E$16:$E$596)*("생명50%이하"=$G$16:$G$596),0)),"에러")</f>
        <v>45735.999514055133</v>
      </c>
      <c r="L594" s="39"/>
      <c r="M594" s="39"/>
      <c r="N594" s="39"/>
      <c r="O594" s="39"/>
      <c r="P594" s="39"/>
      <c r="Q594" s="35"/>
      <c r="R594" s="24"/>
      <c r="S594" s="26"/>
      <c r="T594" s="39"/>
      <c r="U594" s="39"/>
      <c r="V594" s="39"/>
      <c r="W594" s="39"/>
      <c r="X594" s="39"/>
      <c r="Y594" s="39"/>
      <c r="Z594" s="25"/>
      <c r="AA594" s="30"/>
      <c r="AB594" s="30"/>
      <c r="AC594" s="39"/>
      <c r="AD594" s="39"/>
      <c r="AE594" s="39"/>
      <c r="AF594" s="39"/>
      <c r="AG594" s="39"/>
      <c r="AH594" s="39"/>
      <c r="AI594" s="25"/>
      <c r="AJ594" s="30"/>
      <c r="AK594" s="26"/>
      <c r="AL594" s="26"/>
      <c r="AM594" s="26"/>
      <c r="AN594" s="30"/>
      <c r="AO594" s="39"/>
      <c r="AP594" s="39"/>
      <c r="AQ594" s="12"/>
    </row>
    <row r="595" spans="1:43" ht="13.5" customHeight="1" x14ac:dyDescent="0.3">
      <c r="B595" s="31">
        <v>580</v>
      </c>
      <c r="C595" s="88">
        <v>1</v>
      </c>
      <c r="D595" s="46" t="s">
        <v>271</v>
      </c>
      <c r="E595" s="38"/>
      <c r="F595" s="40"/>
      <c r="G595" s="40"/>
      <c r="H595" s="81">
        <f>I595/AJ595</f>
        <v>25056.101806649949</v>
      </c>
      <c r="I595" s="53">
        <f>SUM(J595:Q595)*IF(입력란!$C$16=1,1.04,IF(입력란!$C$16=2,1.1,IF(입력란!$C$16=3,1.2,1)))*IF(입력란!$C$21=1,1+입력란!$C$38*0.001,IF(입력란!$C$21=2,1+입력란!$C$38*0.0022,IF(입력란!$C$21=3,1+입력란!$C$38*0.0045,1)))*IF(입력란!$C$18&lt;&gt;0,0.98,1)</f>
        <v>7429688.2320579858</v>
      </c>
      <c r="J595" s="26">
        <f>S595*(1+IF($AK595+IF(입력란!$C$26=1,10,0)&gt;100,100,$AK595+IF(입력란!$C$26=1,10,0))/100*($AL595/100-1))</f>
        <v>7429688.2320579858</v>
      </c>
      <c r="K595" s="39"/>
      <c r="L595" s="39"/>
      <c r="M595" s="39"/>
      <c r="N595" s="39"/>
      <c r="O595" s="39"/>
      <c r="P595" s="39"/>
      <c r="Q595" s="35"/>
      <c r="R595" s="24">
        <f>SUM(S595:Z595)</f>
        <v>6120278.5071871411</v>
      </c>
      <c r="S595" s="26">
        <f>AN595*IF(입력란!$C$12=0,1,IF(입력란!$C$12=1,1.15,IF(입력란!$C$12=2,1.22,IF(입력란!$C$12=3,1.3,1))))*(1+입력란!$C$45/100)</f>
        <v>6120278.5071871411</v>
      </c>
      <c r="T595" s="39"/>
      <c r="U595" s="39"/>
      <c r="V595" s="39"/>
      <c r="W595" s="39"/>
      <c r="X595" s="39"/>
      <c r="Y595" s="39"/>
      <c r="Z595" s="25"/>
      <c r="AA595" s="30">
        <f>SUM(AB595:AI595)</f>
        <v>12240557.014374282</v>
      </c>
      <c r="AB595" s="30">
        <f>S595*2</f>
        <v>12240557.014374282</v>
      </c>
      <c r="AC595" s="39"/>
      <c r="AD595" s="39"/>
      <c r="AE595" s="39"/>
      <c r="AF595" s="39"/>
      <c r="AG595" s="39"/>
      <c r="AH595" s="39"/>
      <c r="AI595" s="35"/>
      <c r="AJ595" s="30">
        <f>AQ595*(1-입력란!$C$35/100)</f>
        <v>296.52211223399996</v>
      </c>
      <c r="AK595" s="26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95" s="26">
        <f>입력란!$C$47+IF(입력란!$C$18=1,10,IF(입력란!$C$18=2,25,IF(입력란!$C$18=3,50,0)))+IF(입력란!$C$23&lt;&gt;0,-12)</f>
        <v>200</v>
      </c>
      <c r="AM595" s="26">
        <f>SUM(AN595:AP595)</f>
        <v>3201815.9503618125</v>
      </c>
      <c r="AN595" s="30">
        <f>(VLOOKUP(C595,$B$4:$AJ$7,34,FALSE)+VLOOKUP(C595,$B$8:$AJ$11,34,FALSE)*입력란!$C$29)*입력란!$C$48/100</f>
        <v>3201815.9503618125</v>
      </c>
      <c r="AO595" s="39"/>
      <c r="AP595" s="39"/>
      <c r="AQ595" s="12">
        <v>300</v>
      </c>
    </row>
    <row r="596" spans="1:43" ht="14.25" customHeight="1" thickBot="1" x14ac:dyDescent="0.35">
      <c r="B596" s="55">
        <v>581</v>
      </c>
      <c r="C596" s="89">
        <v>1</v>
      </c>
      <c r="D596" s="80" t="s">
        <v>272</v>
      </c>
      <c r="E596" s="62"/>
      <c r="F596" s="63"/>
      <c r="G596" s="63"/>
      <c r="H596" s="82">
        <f>I596/AJ596</f>
        <v>24853.143601579086</v>
      </c>
      <c r="I596" s="54">
        <f>SUM(J596:Q596)*IF(입력란!$C$16=1,1.04,IF(입력란!$C$16=2,1.1,IF(입력란!$C$16=3,1.2,1)))*IF(입력란!$C$21=1,1+입력란!$C$38*0.001,IF(입력란!$C$21=2,1+입력란!$C$38*0.0022,IF(입력란!$C$21=3,1+입력란!$C$38*0.0045,1)))*IF(입력란!$C$18&lt;&gt;0,0.98,1)</f>
        <v>7369506.6363951517</v>
      </c>
      <c r="J596" s="47">
        <f>S596*(1+IF($AK596+IF(입력란!$C$26=1,10,0)&gt;100,100,$AK596+IF(입력란!$C$26=1,10,0))/100*($AL596/100-1))</f>
        <v>7369506.6363951517</v>
      </c>
      <c r="K596" s="48"/>
      <c r="L596" s="48"/>
      <c r="M596" s="48"/>
      <c r="N596" s="48"/>
      <c r="O596" s="48"/>
      <c r="P596" s="48"/>
      <c r="Q596" s="83"/>
      <c r="R596" s="49">
        <f>SUM(S596:Z596)</f>
        <v>6070703.3278580559</v>
      </c>
      <c r="S596" s="47">
        <f>AN596*IF(입력란!$C$12=0,1,IF(입력란!$C$12=1,1.15,IF(입력란!$C$12=2,1.22,IF(입력란!$C$12=3,1.3,1))))*(1+입력란!$C$45/100)</f>
        <v>6070703.3278580559</v>
      </c>
      <c r="T596" s="48"/>
      <c r="U596" s="48"/>
      <c r="V596" s="48"/>
      <c r="W596" s="48"/>
      <c r="X596" s="48"/>
      <c r="Y596" s="48"/>
      <c r="Z596" s="50"/>
      <c r="AA596" s="51">
        <f>SUM(AB596:AI596)</f>
        <v>12141406.655716112</v>
      </c>
      <c r="AB596" s="51">
        <f>S596*2</f>
        <v>12141406.655716112</v>
      </c>
      <c r="AC596" s="48"/>
      <c r="AD596" s="48"/>
      <c r="AE596" s="48"/>
      <c r="AF596" s="48"/>
      <c r="AG596" s="48"/>
      <c r="AH596" s="48"/>
      <c r="AI596" s="83"/>
      <c r="AJ596" s="51">
        <f>AQ596*(1-입력란!$C$35/100)</f>
        <v>296.52211223399996</v>
      </c>
      <c r="AK596" s="47">
        <f>IF((입력란!$C$33+IF(입력란!$C$13=1,20,IF(입력란!$C$13=2,25,IF(입력란!$C$13=3,30,0)))+IF(입력란!$C$19=1,5,IF(입력란!$C$19=2,10,IF(입력란!$C$19=3,15,0)))+IF(입력란!$C$23=1,4,IF(입력란!$C$23=2,10,IF(입력란!$C$23=3,20,0))))&gt;100,100,입력란!$C$33+IF(입력란!$C$13=1,20,IF(입력란!$C$13=2,25,IF(입력란!$C$13=3,30,0)))+IF(입력란!$C$19=1,5,IF(입력란!$C$19=2,10,IF(입력란!$C$19=3,15,0)))+IF(입력란!$C$23=1,4,IF(입력란!$C$23=2,10,IF(입력란!$C$23=3,20,0))))</f>
        <v>21.394610119999999</v>
      </c>
      <c r="AL596" s="47">
        <f>입력란!$C$47+IF(입력란!$C$18=1,10,IF(입력란!$C$18=2,25,IF(입력란!$C$18=3,50,0)))+IF(입력란!$C$23&lt;&gt;0,-12)</f>
        <v>200</v>
      </c>
      <c r="AM596" s="47">
        <f>SUM(AN596:AP596)</f>
        <v>3175880.7580774236</v>
      </c>
      <c r="AN596" s="51">
        <f>(VLOOKUP(C596,$B$4:$AJ$7,35,FALSE)+VLOOKUP(C596,$B$8:$AJ$11,35,FALSE)*입력란!$C$29)*입력란!$C$48/100</f>
        <v>3175880.7580774236</v>
      </c>
      <c r="AO596" s="48"/>
      <c r="AP596" s="48"/>
      <c r="AQ596" s="15">
        <v>300</v>
      </c>
    </row>
    <row r="597" spans="1:43" ht="13.5" customHeight="1" x14ac:dyDescent="0.3">
      <c r="A597" s="8"/>
      <c r="B597" s="36"/>
      <c r="C597" s="8"/>
      <c r="D597" s="36"/>
      <c r="E597" s="45"/>
      <c r="F597" s="8"/>
      <c r="G597" s="8"/>
      <c r="H597" s="39"/>
      <c r="I597" s="39"/>
      <c r="J597" s="8"/>
      <c r="K597" s="8"/>
      <c r="L597" s="8"/>
      <c r="M597" s="8"/>
      <c r="N597" s="8"/>
      <c r="O597" s="8"/>
      <c r="P597" s="8"/>
      <c r="Q597" s="8"/>
      <c r="R597" s="40"/>
      <c r="S597" s="26"/>
      <c r="T597" s="8"/>
      <c r="U597" s="8"/>
      <c r="V597" s="8"/>
      <c r="W597" s="8"/>
      <c r="X597" s="8"/>
      <c r="Y597" s="8"/>
      <c r="Z597" s="8"/>
      <c r="AA597" s="30"/>
      <c r="AB597" s="30"/>
      <c r="AC597" s="8"/>
      <c r="AD597" s="8"/>
      <c r="AE597" s="8"/>
      <c r="AF597" s="8"/>
      <c r="AG597" s="8"/>
      <c r="AH597" s="8"/>
      <c r="AI597" s="8"/>
      <c r="AJ597" s="39"/>
      <c r="AK597" s="39"/>
      <c r="AL597" s="39"/>
      <c r="AM597" s="39"/>
      <c r="AN597" s="39"/>
      <c r="AO597" s="39"/>
      <c r="AP597" s="39"/>
      <c r="AQ597" s="8"/>
    </row>
    <row r="598" spans="1:43" ht="13.5" customHeight="1" x14ac:dyDescent="0.3">
      <c r="A598" s="8"/>
      <c r="B598" s="36"/>
      <c r="C598" s="8"/>
      <c r="D598" s="36"/>
      <c r="E598" s="45"/>
      <c r="F598" s="8"/>
      <c r="G598" s="8"/>
      <c r="H598" s="39"/>
      <c r="I598" s="39"/>
      <c r="J598" s="8"/>
      <c r="K598" s="8"/>
      <c r="L598" s="8"/>
      <c r="M598" s="8"/>
      <c r="N598" s="8"/>
      <c r="O598" s="8"/>
      <c r="P598" s="8"/>
      <c r="Q598" s="8"/>
      <c r="R598" s="40"/>
      <c r="S598" s="26"/>
      <c r="T598" s="8"/>
      <c r="U598" s="8"/>
      <c r="V598" s="8"/>
      <c r="W598" s="8"/>
      <c r="X598" s="8"/>
      <c r="Y598" s="8"/>
      <c r="Z598" s="8"/>
      <c r="AA598" s="30"/>
      <c r="AB598" s="30"/>
      <c r="AC598" s="8"/>
      <c r="AD598" s="8"/>
      <c r="AE598" s="8"/>
      <c r="AF598" s="8"/>
      <c r="AG598" s="8"/>
      <c r="AH598" s="8"/>
      <c r="AI598" s="8"/>
      <c r="AJ598" s="39"/>
      <c r="AK598" s="39"/>
      <c r="AL598" s="39"/>
      <c r="AM598" s="39"/>
      <c r="AN598" s="39"/>
      <c r="AO598" s="39"/>
      <c r="AP598" s="39"/>
      <c r="AQ598" s="8"/>
    </row>
    <row r="599" spans="1:43" ht="13.5" customHeight="1" x14ac:dyDescent="0.3">
      <c r="A599" s="8"/>
      <c r="B599" s="36"/>
      <c r="C599" s="8"/>
      <c r="D599" s="36"/>
      <c r="E599" s="45"/>
      <c r="F599" s="8"/>
      <c r="G599" s="8"/>
      <c r="H599" s="39"/>
      <c r="I599" s="39"/>
      <c r="J599" s="8"/>
      <c r="K599" s="8"/>
      <c r="L599" s="8"/>
      <c r="M599" s="8"/>
      <c r="N599" s="8"/>
      <c r="O599" s="8"/>
      <c r="P599" s="8"/>
      <c r="Q599" s="8"/>
      <c r="R599" s="40"/>
      <c r="S599" s="26"/>
      <c r="T599" s="8"/>
      <c r="U599" s="8"/>
      <c r="V599" s="8"/>
      <c r="W599" s="8"/>
      <c r="X599" s="8"/>
      <c r="Y599" s="8"/>
      <c r="Z599" s="8"/>
      <c r="AA599" s="30"/>
      <c r="AB599" s="30"/>
      <c r="AC599" s="8"/>
      <c r="AD599" s="8"/>
      <c r="AE599" s="8"/>
      <c r="AF599" s="8"/>
      <c r="AG599" s="8"/>
      <c r="AH599" s="8"/>
      <c r="AI599" s="8"/>
      <c r="AJ599" s="39"/>
      <c r="AK599" s="39"/>
      <c r="AL599" s="39"/>
      <c r="AM599" s="39"/>
      <c r="AN599" s="39"/>
      <c r="AO599" s="39"/>
      <c r="AP599" s="39"/>
      <c r="AQ599" s="8"/>
    </row>
    <row r="600" spans="1:43" ht="13.5" customHeight="1" x14ac:dyDescent="0.3">
      <c r="A600" s="8"/>
      <c r="B600" s="36"/>
      <c r="C600" s="8"/>
      <c r="D600" s="36"/>
      <c r="E600" s="45"/>
      <c r="F600" s="8"/>
      <c r="G600" s="8"/>
      <c r="H600" s="39"/>
      <c r="I600" s="39"/>
      <c r="J600" s="8"/>
      <c r="K600" s="8"/>
      <c r="L600" s="8"/>
      <c r="M600" s="8"/>
      <c r="N600" s="8"/>
      <c r="O600" s="8"/>
      <c r="P600" s="8"/>
      <c r="Q600" s="8"/>
      <c r="R600" s="40"/>
      <c r="S600" s="26"/>
      <c r="T600" s="8"/>
      <c r="U600" s="8"/>
      <c r="V600" s="8"/>
      <c r="W600" s="8"/>
      <c r="X600" s="8"/>
      <c r="Y600" s="8"/>
      <c r="Z600" s="8"/>
      <c r="AA600" s="30"/>
      <c r="AB600" s="30"/>
      <c r="AC600" s="8"/>
      <c r="AD600" s="8"/>
      <c r="AE600" s="8"/>
      <c r="AF600" s="8"/>
      <c r="AG600" s="8"/>
      <c r="AH600" s="8"/>
      <c r="AI600" s="8"/>
      <c r="AJ600" s="39"/>
      <c r="AK600" s="39"/>
      <c r="AL600" s="39"/>
      <c r="AM600" s="39"/>
      <c r="AN600" s="39"/>
      <c r="AO600" s="39"/>
      <c r="AP600" s="39"/>
      <c r="AQ600" s="8"/>
    </row>
    <row r="601" spans="1:43" ht="13.5" customHeight="1" x14ac:dyDescent="0.3">
      <c r="A601" s="8"/>
      <c r="B601" s="36"/>
      <c r="C601" s="8"/>
      <c r="D601" s="36"/>
      <c r="E601" s="45"/>
      <c r="F601" s="8"/>
      <c r="G601" s="8"/>
      <c r="H601" s="39"/>
      <c r="I601" s="39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39"/>
      <c r="AK601" s="39"/>
      <c r="AL601" s="39"/>
      <c r="AM601" s="39"/>
      <c r="AN601" s="39"/>
      <c r="AO601" s="39"/>
      <c r="AP601" s="39"/>
      <c r="AQ601" s="8"/>
    </row>
    <row r="602" spans="1:43" ht="13.5" customHeight="1" x14ac:dyDescent="0.3">
      <c r="A602" s="8"/>
      <c r="B602" s="36"/>
      <c r="C602" s="8"/>
      <c r="D602" s="36"/>
      <c r="E602" s="45"/>
      <c r="F602" s="8"/>
      <c r="G602" s="8"/>
      <c r="H602" s="39"/>
      <c r="I602" s="39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39"/>
      <c r="AK602" s="39"/>
      <c r="AL602" s="39"/>
      <c r="AM602" s="39"/>
      <c r="AN602" s="39"/>
      <c r="AO602" s="39"/>
      <c r="AP602" s="39"/>
      <c r="AQ602" s="8"/>
    </row>
    <row r="603" spans="1:43" ht="13.5" customHeight="1" x14ac:dyDescent="0.3">
      <c r="A603" s="8"/>
      <c r="B603" s="36"/>
      <c r="C603" s="8"/>
      <c r="D603" s="36"/>
      <c r="E603" s="45"/>
      <c r="F603" s="8"/>
      <c r="G603" s="8"/>
      <c r="H603" s="39"/>
      <c r="I603" s="39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39"/>
      <c r="AK603" s="39"/>
      <c r="AL603" s="39"/>
      <c r="AM603" s="39"/>
      <c r="AN603" s="39"/>
      <c r="AO603" s="39"/>
      <c r="AP603" s="39"/>
      <c r="AQ603" s="8"/>
    </row>
    <row r="604" spans="1:43" ht="13.5" customHeight="1" x14ac:dyDescent="0.3">
      <c r="A604" s="8"/>
      <c r="B604" s="36"/>
      <c r="C604" s="8"/>
      <c r="D604" s="36"/>
      <c r="E604" s="45"/>
      <c r="F604" s="8"/>
      <c r="G604" s="8"/>
      <c r="H604" s="39"/>
      <c r="I604" s="39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39"/>
      <c r="AK604" s="39"/>
      <c r="AL604" s="39"/>
      <c r="AM604" s="39"/>
      <c r="AN604" s="39"/>
      <c r="AO604" s="39"/>
      <c r="AP604" s="39"/>
      <c r="AQ604" s="8"/>
    </row>
    <row r="605" spans="1:43" ht="13.5" customHeight="1" x14ac:dyDescent="0.3">
      <c r="A605" s="8"/>
      <c r="B605" s="36"/>
      <c r="C605" s="8"/>
      <c r="D605" s="8"/>
      <c r="E605" s="45"/>
      <c r="F605" s="8"/>
      <c r="G605" s="8"/>
      <c r="H605" s="39"/>
      <c r="I605" s="39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39"/>
      <c r="AK605" s="39"/>
      <c r="AL605" s="39"/>
      <c r="AM605" s="39"/>
      <c r="AN605" s="39"/>
      <c r="AO605" s="39"/>
      <c r="AP605" s="39"/>
      <c r="AQ605" s="8"/>
    </row>
    <row r="606" spans="1:43" ht="13.5" customHeight="1" x14ac:dyDescent="0.3">
      <c r="A606" s="8"/>
      <c r="B606" s="36"/>
      <c r="C606" s="8"/>
      <c r="D606" s="8"/>
      <c r="E606" s="45"/>
      <c r="F606" s="8"/>
      <c r="G606" s="8"/>
      <c r="H606" s="39"/>
      <c r="I606" s="39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39"/>
      <c r="AK606" s="39"/>
      <c r="AL606" s="39"/>
      <c r="AM606" s="39"/>
      <c r="AN606" s="39"/>
      <c r="AO606" s="39"/>
      <c r="AP606" s="39"/>
      <c r="AQ606" s="8"/>
    </row>
    <row r="607" spans="1:43" ht="13.5" customHeight="1" x14ac:dyDescent="0.3">
      <c r="A607" s="8"/>
      <c r="B607" s="36"/>
      <c r="C607" s="8"/>
      <c r="D607" s="8"/>
      <c r="E607" s="45"/>
      <c r="F607" s="8"/>
      <c r="G607" s="8"/>
      <c r="H607" s="39"/>
      <c r="I607" s="39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39"/>
      <c r="AK607" s="39"/>
      <c r="AL607" s="39"/>
      <c r="AM607" s="39"/>
      <c r="AN607" s="39"/>
      <c r="AO607" s="39"/>
      <c r="AP607" s="39"/>
      <c r="AQ607" s="8"/>
    </row>
    <row r="608" spans="1:43" ht="13.5" customHeight="1" x14ac:dyDescent="0.3">
      <c r="A608" s="8"/>
      <c r="B608" s="36"/>
      <c r="C608" s="8"/>
      <c r="D608" s="8"/>
      <c r="E608" s="45"/>
      <c r="F608" s="8"/>
      <c r="G608" s="8"/>
      <c r="H608" s="39"/>
      <c r="I608" s="39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39"/>
      <c r="AK608" s="39"/>
      <c r="AL608" s="39"/>
      <c r="AM608" s="39"/>
      <c r="AN608" s="39"/>
      <c r="AO608" s="39"/>
      <c r="AP608" s="39"/>
      <c r="AQ608" s="8"/>
    </row>
    <row r="609" spans="1:43" ht="13.5" customHeight="1" x14ac:dyDescent="0.3">
      <c r="A609" s="8"/>
      <c r="B609" s="36"/>
      <c r="C609" s="8"/>
      <c r="D609" s="8"/>
      <c r="E609" s="45"/>
      <c r="F609" s="8"/>
      <c r="G609" s="8"/>
      <c r="H609" s="39"/>
      <c r="I609" s="39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39"/>
      <c r="AK609" s="39"/>
      <c r="AL609" s="39"/>
      <c r="AM609" s="39"/>
      <c r="AN609" s="39"/>
      <c r="AO609" s="39"/>
      <c r="AP609" s="39"/>
      <c r="AQ609" s="8"/>
    </row>
    <row r="610" spans="1:43" ht="13.5" customHeight="1" x14ac:dyDescent="0.3">
      <c r="A610" s="8"/>
      <c r="B610" s="36"/>
      <c r="C610" s="8"/>
      <c r="D610" s="8"/>
      <c r="E610" s="45"/>
      <c r="F610" s="8"/>
      <c r="G610" s="8"/>
      <c r="H610" s="39"/>
      <c r="I610" s="39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39"/>
      <c r="AK610" s="39"/>
      <c r="AL610" s="39"/>
      <c r="AM610" s="39"/>
      <c r="AN610" s="39"/>
      <c r="AO610" s="39"/>
      <c r="AP610" s="39"/>
      <c r="AQ610" s="8"/>
    </row>
    <row r="611" spans="1:43" ht="13.5" customHeight="1" x14ac:dyDescent="0.3">
      <c r="A611" s="8"/>
      <c r="B611" s="36"/>
      <c r="C611" s="8"/>
      <c r="D611" s="8"/>
      <c r="E611" s="45"/>
      <c r="F611" s="8"/>
      <c r="G611" s="8"/>
      <c r="H611" s="39"/>
      <c r="I611" s="39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39"/>
      <c r="AK611" s="39"/>
      <c r="AL611" s="39"/>
      <c r="AM611" s="39"/>
      <c r="AN611" s="39"/>
      <c r="AO611" s="39"/>
      <c r="AP611" s="39"/>
      <c r="AQ611" s="8"/>
    </row>
    <row r="612" spans="1:43" ht="13.5" customHeight="1" x14ac:dyDescent="0.3">
      <c r="A612" s="8"/>
      <c r="B612" s="36"/>
      <c r="C612" s="8"/>
      <c r="D612" s="8"/>
      <c r="E612" s="45"/>
      <c r="F612" s="8"/>
      <c r="G612" s="8"/>
      <c r="H612" s="39"/>
      <c r="I612" s="39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39"/>
      <c r="AK612" s="39"/>
      <c r="AL612" s="39"/>
      <c r="AM612" s="39"/>
      <c r="AN612" s="39"/>
      <c r="AO612" s="39"/>
      <c r="AP612" s="39"/>
      <c r="AQ612" s="8"/>
    </row>
    <row r="613" spans="1:43" ht="13.5" customHeight="1" x14ac:dyDescent="0.3">
      <c r="A613" s="8"/>
      <c r="B613" s="36"/>
      <c r="C613" s="8"/>
      <c r="D613" s="8"/>
      <c r="E613" s="45"/>
      <c r="F613" s="8"/>
      <c r="G613" s="8"/>
      <c r="H613" s="39"/>
      <c r="I613" s="39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39"/>
      <c r="AK613" s="39"/>
      <c r="AL613" s="39"/>
      <c r="AM613" s="39"/>
      <c r="AN613" s="39"/>
      <c r="AO613" s="39"/>
      <c r="AP613" s="39"/>
      <c r="AQ613" s="8"/>
    </row>
    <row r="614" spans="1:43" ht="13.5" customHeight="1" x14ac:dyDescent="0.3">
      <c r="A614" s="8"/>
      <c r="B614" s="36"/>
      <c r="C614" s="8"/>
      <c r="D614" s="8"/>
      <c r="E614" s="45"/>
      <c r="F614" s="8"/>
      <c r="G614" s="8"/>
      <c r="H614" s="39"/>
      <c r="I614" s="39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39"/>
      <c r="AK614" s="39"/>
      <c r="AL614" s="39"/>
      <c r="AM614" s="39"/>
      <c r="AN614" s="39"/>
      <c r="AO614" s="39"/>
      <c r="AP614" s="39"/>
      <c r="AQ614" s="8"/>
    </row>
    <row r="615" spans="1:43" ht="13.5" customHeight="1" x14ac:dyDescent="0.3">
      <c r="A615" s="8"/>
      <c r="B615" s="36"/>
      <c r="C615" s="8"/>
      <c r="D615" s="8"/>
      <c r="E615" s="45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39"/>
      <c r="AK615" s="39"/>
      <c r="AL615" s="39"/>
      <c r="AM615" s="39"/>
      <c r="AN615" s="39"/>
      <c r="AO615" s="39"/>
      <c r="AP615" s="39"/>
      <c r="AQ615" s="8"/>
    </row>
    <row r="616" spans="1:43" ht="13.5" customHeight="1" x14ac:dyDescent="0.3">
      <c r="A616" s="8"/>
      <c r="B616" s="36"/>
      <c r="C616" s="8"/>
      <c r="D616" s="8"/>
      <c r="E616" s="45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39"/>
      <c r="AK616" s="39"/>
      <c r="AL616" s="39"/>
      <c r="AM616" s="39"/>
      <c r="AN616" s="39"/>
      <c r="AO616" s="39"/>
      <c r="AP616" s="39"/>
      <c r="AQ616" s="8"/>
    </row>
    <row r="617" spans="1:43" ht="13.5" customHeight="1" x14ac:dyDescent="0.3">
      <c r="A617" s="8"/>
      <c r="B617" s="36"/>
      <c r="C617" s="8"/>
      <c r="D617" s="8"/>
      <c r="E617" s="45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39"/>
      <c r="AK617" s="39"/>
      <c r="AL617" s="39"/>
      <c r="AM617" s="39"/>
      <c r="AN617" s="39"/>
      <c r="AO617" s="39"/>
      <c r="AP617" s="39"/>
      <c r="AQ617" s="8"/>
    </row>
    <row r="618" spans="1:43" ht="13.5" customHeight="1" x14ac:dyDescent="0.3">
      <c r="A618" s="8"/>
      <c r="B618" s="36"/>
      <c r="C618" s="8"/>
      <c r="D618" s="8"/>
      <c r="E618" s="45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39"/>
      <c r="AK618" s="39"/>
      <c r="AL618" s="39"/>
      <c r="AM618" s="39"/>
      <c r="AN618" s="39"/>
      <c r="AO618" s="39"/>
      <c r="AP618" s="39"/>
      <c r="AQ618" s="8"/>
    </row>
    <row r="619" spans="1:43" ht="13.5" customHeight="1" x14ac:dyDescent="0.3">
      <c r="A619" s="8"/>
      <c r="B619" s="36"/>
      <c r="C619" s="8"/>
      <c r="D619" s="8"/>
      <c r="E619" s="45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39"/>
      <c r="AK619" s="39"/>
      <c r="AL619" s="39"/>
      <c r="AM619" s="39"/>
      <c r="AN619" s="39"/>
      <c r="AO619" s="39"/>
      <c r="AP619" s="39"/>
      <c r="AQ619" s="8"/>
    </row>
    <row r="620" spans="1:43" ht="13.5" customHeight="1" x14ac:dyDescent="0.3">
      <c r="A620" s="8"/>
      <c r="B620" s="3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</row>
    <row r="621" spans="1:43" ht="13.5" customHeight="1" x14ac:dyDescent="0.3">
      <c r="A621" s="8"/>
      <c r="B621" s="3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</row>
    <row r="622" spans="1:43" ht="13.5" customHeight="1" x14ac:dyDescent="0.3">
      <c r="A622" s="8"/>
      <c r="B622" s="3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</row>
    <row r="623" spans="1:43" ht="13.5" customHeight="1" x14ac:dyDescent="0.3">
      <c r="A623" s="8"/>
      <c r="B623" s="3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</row>
    <row r="624" spans="1:43" ht="13.5" customHeight="1" x14ac:dyDescent="0.3">
      <c r="A624" s="8"/>
      <c r="B624" s="3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</row>
    <row r="625" spans="1:43" ht="13.5" customHeight="1" x14ac:dyDescent="0.3">
      <c r="A625" s="8"/>
      <c r="B625" s="3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</row>
    <row r="626" spans="1:43" ht="13.5" customHeight="1" x14ac:dyDescent="0.3">
      <c r="B626" s="2"/>
    </row>
    <row r="627" spans="1:43" ht="13.5" customHeight="1" x14ac:dyDescent="0.3">
      <c r="B627" s="2"/>
    </row>
    <row r="628" spans="1:43" x14ac:dyDescent="0.3">
      <c r="B628" s="2"/>
    </row>
    <row r="629" spans="1:43" x14ac:dyDescent="0.3">
      <c r="B629" s="2"/>
    </row>
    <row r="630" spans="1:43" x14ac:dyDescent="0.3">
      <c r="B630" s="2"/>
    </row>
    <row r="631" spans="1:43" x14ac:dyDescent="0.3">
      <c r="B631" s="2"/>
    </row>
    <row r="632" spans="1:43" x14ac:dyDescent="0.3">
      <c r="B632" s="2"/>
    </row>
    <row r="633" spans="1:43" x14ac:dyDescent="0.3">
      <c r="B633" s="2"/>
    </row>
    <row r="634" spans="1:43" x14ac:dyDescent="0.3">
      <c r="B634" s="2"/>
    </row>
    <row r="635" spans="1:43" x14ac:dyDescent="0.3">
      <c r="B635" s="2"/>
    </row>
    <row r="636" spans="1:43" x14ac:dyDescent="0.3">
      <c r="B636" s="2"/>
    </row>
    <row r="637" spans="1:43" x14ac:dyDescent="0.3">
      <c r="B637" s="2"/>
    </row>
    <row r="638" spans="1:43" x14ac:dyDescent="0.3">
      <c r="B638" s="2"/>
    </row>
    <row r="639" spans="1:43" x14ac:dyDescent="0.3">
      <c r="B639" s="2"/>
    </row>
    <row r="640" spans="1:43" x14ac:dyDescent="0.3">
      <c r="B640" s="2"/>
    </row>
    <row r="641" spans="2:2" x14ac:dyDescent="0.3">
      <c r="B641" s="2"/>
    </row>
  </sheetData>
  <autoFilter ref="B15:AQ627">
    <sortState ref="B16:AQ627">
      <sortCondition ref="B15:B627"/>
    </sortState>
  </autoFilter>
  <mergeCells count="13">
    <mergeCell ref="H14:Q14"/>
    <mergeCell ref="R14:Z14"/>
    <mergeCell ref="AA14:AI14"/>
    <mergeCell ref="AG2:AH2"/>
    <mergeCell ref="E2:F2"/>
    <mergeCell ref="K2:L2"/>
    <mergeCell ref="O2:P2"/>
    <mergeCell ref="Q2:R2"/>
    <mergeCell ref="S2:T2"/>
    <mergeCell ref="U2:W2"/>
    <mergeCell ref="X2:Y2"/>
    <mergeCell ref="AA2:AB2"/>
    <mergeCell ref="AE2:AF2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workbookViewId="0"/>
  </sheetViews>
  <sheetFormatPr defaultRowHeight="13.5" x14ac:dyDescent="0.3"/>
  <cols>
    <col min="1" max="1" width="9" style="1"/>
    <col min="2" max="2" width="12.125" style="1" bestFit="1" customWidth="1"/>
    <col min="3" max="19" width="6.25" style="1" customWidth="1"/>
    <col min="20" max="16384" width="9" style="1"/>
  </cols>
  <sheetData>
    <row r="2" spans="2:19" ht="14.25" thickBot="1" x14ac:dyDescent="0.35"/>
    <row r="3" spans="2:19" ht="14.25" thickBot="1" x14ac:dyDescent="0.35">
      <c r="B3" s="10" t="s">
        <v>57</v>
      </c>
      <c r="C3" s="112" t="s">
        <v>60</v>
      </c>
      <c r="D3" s="113"/>
      <c r="E3" s="113"/>
      <c r="F3" s="113"/>
      <c r="G3" s="113"/>
      <c r="H3" s="114"/>
      <c r="I3" s="113" t="s">
        <v>61</v>
      </c>
      <c r="J3" s="113"/>
      <c r="K3" s="113"/>
      <c r="L3" s="113"/>
      <c r="M3" s="113"/>
      <c r="N3" s="113"/>
      <c r="O3" s="93" t="s">
        <v>62</v>
      </c>
      <c r="P3" s="94"/>
      <c r="Q3" s="94"/>
      <c r="R3" s="95"/>
      <c r="S3" s="19"/>
    </row>
    <row r="4" spans="2:19" ht="14.25" thickBot="1" x14ac:dyDescent="0.35">
      <c r="B4" s="16"/>
      <c r="C4" s="93">
        <v>1</v>
      </c>
      <c r="D4" s="94"/>
      <c r="E4" s="94">
        <v>2</v>
      </c>
      <c r="F4" s="94"/>
      <c r="G4" s="94">
        <v>3</v>
      </c>
      <c r="H4" s="95"/>
      <c r="I4" s="94">
        <v>1</v>
      </c>
      <c r="J4" s="94"/>
      <c r="K4" s="94">
        <v>2</v>
      </c>
      <c r="L4" s="94"/>
      <c r="M4" s="94">
        <v>3</v>
      </c>
      <c r="N4" s="94"/>
      <c r="O4" s="93">
        <v>1</v>
      </c>
      <c r="P4" s="94"/>
      <c r="Q4" s="94">
        <v>2</v>
      </c>
      <c r="R4" s="95"/>
      <c r="S4" s="19"/>
    </row>
    <row r="5" spans="2:19" x14ac:dyDescent="0.3">
      <c r="B5" s="11" t="s">
        <v>16</v>
      </c>
      <c r="C5" s="11"/>
      <c r="D5" s="17"/>
      <c r="E5" s="8">
        <v>0</v>
      </c>
      <c r="F5" s="17">
        <v>10</v>
      </c>
      <c r="G5" s="8"/>
      <c r="H5" s="12"/>
      <c r="I5" s="8"/>
      <c r="J5" s="17"/>
      <c r="K5" s="8">
        <v>0</v>
      </c>
      <c r="L5" s="17">
        <f>IF(입력란!G4=1,15,IF(입력란!G4=2,17.4,IF(입력란!G4=3,19.9,IF(입력란!G4=4,22.5,IF(입력란!G4=5,25.1,0)))))</f>
        <v>15</v>
      </c>
      <c r="M5" s="8">
        <v>1</v>
      </c>
      <c r="N5" s="8">
        <f>IF(입력란!G5=1,1.4,IF(입력란!G5=2,1.47,IF(입력란!G5=3,1.54,IF(입력란!G5=4,1.62,IF(입력란!G5=5,1.7,0)))))</f>
        <v>1.4</v>
      </c>
      <c r="O5" s="11"/>
      <c r="P5" s="17"/>
      <c r="Q5" s="8"/>
      <c r="R5" s="20"/>
      <c r="S5" s="8"/>
    </row>
    <row r="6" spans="2:19" x14ac:dyDescent="0.3">
      <c r="B6" s="11" t="s">
        <v>42</v>
      </c>
      <c r="C6" s="11"/>
      <c r="D6" s="9"/>
      <c r="E6" s="8"/>
      <c r="F6" s="9"/>
      <c r="G6" s="8">
        <v>0</v>
      </c>
      <c r="H6" s="12">
        <v>10</v>
      </c>
      <c r="I6" s="8">
        <v>1</v>
      </c>
      <c r="J6" s="9">
        <f>IF(입력란!G6=1,1.5,IF(입력란!G6=2,1.57,IF(입력란!G6=3,1.64,IF(입력란!G6=4,1.72,IF(입력란!G6=5,1.8,0)))))</f>
        <v>1.5</v>
      </c>
      <c r="K6" s="8">
        <v>1</v>
      </c>
      <c r="L6" s="9">
        <f>IF(입력란!G7=1,0.5,IF(입력란!G7=2,0.6,IF(입력란!G7=3,0.7,IF(입력란!G7=4,0.8,IF(입력란!G7=5,0.9,0)))))</f>
        <v>0.5</v>
      </c>
      <c r="M6" s="8">
        <v>1</v>
      </c>
      <c r="N6" s="8">
        <f>IF(입력란!G8=1,0.25,IF(입력란!G8=2,0.27,IF(입력란!G8=3,0.29,IF(입력란!G8=4,0.31,IF(입력란!G8=5,0.33,0)))))</f>
        <v>0.25</v>
      </c>
      <c r="O6" s="11">
        <v>1</v>
      </c>
      <c r="P6" s="9">
        <f>IF(입력란!G9=1,1.2,IF(입력란!G9=2,1.26,IF(입력란!G9=3,1.32,IF(입력란!G9=4,1.41,IF(입력란!G9=5,1.5,0)))))</f>
        <v>1.2</v>
      </c>
      <c r="Q6" s="8">
        <v>0</v>
      </c>
      <c r="R6" s="12">
        <f>IF(입력란!G10=1,1,IF(입력란!G10=2,1.11,IF(입력란!G10=3,1.22,IF(입력란!G10=4,1.33,IF(입력란!G10=5,1.45,0)))))</f>
        <v>1</v>
      </c>
      <c r="S6" s="8"/>
    </row>
    <row r="7" spans="2:19" x14ac:dyDescent="0.3">
      <c r="B7" s="11" t="s">
        <v>43</v>
      </c>
      <c r="C7" s="11"/>
      <c r="D7" s="9"/>
      <c r="E7" s="8"/>
      <c r="F7" s="9"/>
      <c r="G7" s="8">
        <v>100</v>
      </c>
      <c r="H7" s="12">
        <f>IF(입력란!G11=1,0,IF(입력란!G11=2,37,IF(입력란!G11=3,74,IF(입력란!G11=4,112,IF(입력란!G11=5,150,0)))))</f>
        <v>0</v>
      </c>
      <c r="I7" s="8"/>
      <c r="J7" s="9"/>
      <c r="K7" s="8"/>
      <c r="L7" s="9"/>
      <c r="M7" s="8">
        <v>1</v>
      </c>
      <c r="N7" s="8">
        <f>IF(입력란!G12=1,1.4,IF(입력란!G12=2,1.488,IF(입력란!G12=3,1.58,IF(입력란!G12=4,1.672,IF(입력란!G12=5,1.764,0)))))</f>
        <v>1.4</v>
      </c>
      <c r="O7" s="11">
        <v>0</v>
      </c>
      <c r="P7" s="9">
        <f>IF(입력란!G13=1,50,IF(입력란!G13=2,59,IF(입력란!G13=3,68.5,IF(입력란!G13=4,78,IF(입력란!G13=5,87.5,0)))))</f>
        <v>50</v>
      </c>
      <c r="Q7" s="8">
        <v>1</v>
      </c>
      <c r="R7" s="12">
        <f>IF(입력란!G14=1,1.725,IF(입력란!G14=2,1.83,IF(입력란!G14=3,1.935,IF(입력란!G14=4,2.04,IF(입력란!G14=5,2.16,0)))))</f>
        <v>1.7250000000000001</v>
      </c>
      <c r="S7" s="8"/>
    </row>
    <row r="8" spans="2:19" x14ac:dyDescent="0.3">
      <c r="B8" s="11" t="s">
        <v>17</v>
      </c>
      <c r="C8" s="11"/>
      <c r="D8" s="9"/>
      <c r="E8" s="8"/>
      <c r="F8" s="9"/>
      <c r="G8" s="8"/>
      <c r="H8" s="12"/>
      <c r="I8" s="8">
        <v>1</v>
      </c>
      <c r="J8" s="9">
        <v>1</v>
      </c>
      <c r="K8" s="8"/>
      <c r="L8" s="9"/>
      <c r="M8" s="8">
        <v>0</v>
      </c>
      <c r="N8" s="8">
        <f>IF(입력란!G15=1,30,IF(입력란!G15=2,37,IF(입력란!G15=3,44,IF(입력란!G15=4,52,IF(입력란!G15=5,60,0)))))</f>
        <v>30</v>
      </c>
      <c r="O8" s="11">
        <v>1</v>
      </c>
      <c r="P8" s="9">
        <f>IF(입력란!G16=1,1.35,IF(입력란!G16=2,1.418,IF(입력란!G16=3,1.485,IF(입력란!G16=4,1.566,IF(입력란!G16=5,1.647,0)))))</f>
        <v>1.35</v>
      </c>
      <c r="Q8" s="8">
        <v>1</v>
      </c>
      <c r="R8" s="12">
        <f>IF(입력란!G17=1,1.8,IF(입력란!G17=2,1.8945,IF(입력란!G17=3,1.989,IF(입력란!G17=4,2.0835,IF(입력란!G17=5,2.178,0)))))</f>
        <v>1.8</v>
      </c>
      <c r="S8" s="8" t="s">
        <v>134</v>
      </c>
    </row>
    <row r="9" spans="2:19" x14ac:dyDescent="0.3">
      <c r="B9" s="11" t="s">
        <v>18</v>
      </c>
      <c r="C9" s="11"/>
      <c r="D9" s="9"/>
      <c r="E9" s="8"/>
      <c r="F9" s="9"/>
      <c r="G9" s="8">
        <v>1</v>
      </c>
      <c r="H9" s="12">
        <f>IF(입력란!G18=1,1.2,IF(입력란!G18=2,1.262,IF(입력란!G18=3,1.324,IF(입력란!G18=4,1.386,IF(입력란!G18=5,1.45,0)))))</f>
        <v>1.2</v>
      </c>
      <c r="I9" s="8"/>
      <c r="J9" s="9"/>
      <c r="K9" s="8">
        <v>0</v>
      </c>
      <c r="L9" s="9">
        <f>IF(입력란!G19=1,60,IF(입력란!G19=2,68.4,IF(입력란!G19=3,76.8,IF(입력란!G19=4,85.8,IF(입력란!G19=5,94.8,0)))))</f>
        <v>60</v>
      </c>
      <c r="M9" s="8">
        <v>1</v>
      </c>
      <c r="N9" s="8">
        <f>IF(입력란!G20=1,1.24,IF(입력란!G20=2,1.282,IF(입력란!G20=3,1.324,IF(입력란!G20=4,1.372,IF(입력란!G20=5,1.42,0)))))</f>
        <v>1.24</v>
      </c>
      <c r="O9" s="11">
        <v>1</v>
      </c>
      <c r="P9" s="9">
        <f>IF(입력란!G21=1,1.8,IF(입력란!G21=2,1.89,IF(입력란!G21=3,1.98,IF(입력란!G21=4,2.088,IF(입력란!G21=5,2.196,0)))))</f>
        <v>1.8</v>
      </c>
      <c r="Q9" s="8">
        <v>1</v>
      </c>
      <c r="R9" s="12">
        <f>IF(입력란!G22=1,1.6,IF(입력란!G22=2,1.68,IF(입력란!G22=3,1.76,IF(입력란!G22=4,1.856,IF(입력란!G22=5,1.952,0)))))</f>
        <v>1.6</v>
      </c>
      <c r="S9" s="8"/>
    </row>
    <row r="10" spans="2:19" x14ac:dyDescent="0.3">
      <c r="B10" s="11" t="s">
        <v>19</v>
      </c>
      <c r="C10" s="11"/>
      <c r="D10" s="9"/>
      <c r="E10" s="8"/>
      <c r="F10" s="9"/>
      <c r="G10" s="8"/>
      <c r="H10" s="12"/>
      <c r="I10" s="8">
        <v>0</v>
      </c>
      <c r="J10" s="9">
        <v>0.6</v>
      </c>
      <c r="K10" s="8">
        <v>0</v>
      </c>
      <c r="L10" s="9">
        <f>IF(입력란!G24=1,50,IF(입력란!G24=2,57,IF(입력란!G24=3,64,IF(입력란!G24=4,72,IF(입력란!G24=5,80,0)))))</f>
        <v>50</v>
      </c>
      <c r="M10" s="8"/>
      <c r="N10" s="8"/>
      <c r="O10" s="11">
        <v>1</v>
      </c>
      <c r="P10" s="9">
        <v>2</v>
      </c>
      <c r="Q10" s="8">
        <v>0</v>
      </c>
      <c r="R10" s="12">
        <f>IF(입력란!G25=1,3,IF(입력란!G25=2,3.2,IF(입력란!G25=3,3.4,IF(입력란!G25=4,3.7,IF(입력란!G25=5,4,0)))))</f>
        <v>3</v>
      </c>
      <c r="S10" s="8"/>
    </row>
    <row r="11" spans="2:19" x14ac:dyDescent="0.3">
      <c r="B11" s="11" t="s">
        <v>20</v>
      </c>
      <c r="C11" s="11"/>
      <c r="D11" s="9"/>
      <c r="E11" s="8">
        <v>0</v>
      </c>
      <c r="F11" s="9">
        <v>10</v>
      </c>
      <c r="G11" s="8"/>
      <c r="H11" s="12"/>
      <c r="I11" s="8">
        <v>1</v>
      </c>
      <c r="J11" s="9">
        <f>IF(입력란!G26=1,1.6,IF(입력란!G26=2,1.68,IF(입력란!G26=3,1.76,IF(입력란!G26=4,1.856,IF(입력란!G26=5,1.952,0)))))</f>
        <v>1.6</v>
      </c>
      <c r="K11" s="8">
        <v>1</v>
      </c>
      <c r="L11" s="9">
        <f>IF(입력란!G27=1,2,IF(입력란!G27=2,2.11,IF(입력란!G27=3,2.22,IF(입력란!G27=4,2.33,IF(입력란!G27=5,2.45,0)))))</f>
        <v>2</v>
      </c>
      <c r="M11" s="8">
        <v>0</v>
      </c>
      <c r="N11" s="8">
        <f>IF(입력란!G28=1,100,IF(입력란!G28=2,115,IF(입력란!G28=3,130,IF(입력란!G28=4,145,IF(입력란!G28=5,160,0)))))</f>
        <v>100</v>
      </c>
      <c r="O11" s="11">
        <v>0</v>
      </c>
      <c r="P11" s="9">
        <f>IF(입력란!G29=1,0.03,IF(입력란!G29=2,0.035,IF(입력란!G29=3,0.04,IF(입력란!G29=4,0.045,IF(입력란!G29=5,0.05,0)))))</f>
        <v>0.03</v>
      </c>
      <c r="Q11" s="8">
        <v>0</v>
      </c>
      <c r="R11" s="12">
        <f>IF(입력란!G30=1,60,IF(입력란!G30=2,68,IF(입력란!G30=3,77,IF(입력란!G30=4,86,IF(입력란!G30=5,95,0)))))</f>
        <v>60</v>
      </c>
      <c r="S11" s="8"/>
    </row>
    <row r="12" spans="2:19" x14ac:dyDescent="0.3">
      <c r="B12" s="11" t="s">
        <v>44</v>
      </c>
      <c r="C12" s="11"/>
      <c r="D12" s="9"/>
      <c r="E12" s="8"/>
      <c r="F12" s="9"/>
      <c r="G12" s="8">
        <v>0</v>
      </c>
      <c r="H12" s="12">
        <f>IF(입력란!G31=1,40,IF(입력란!G31=2,50,IF(입력란!G31=3,61,IF(입력란!G31=4,72,IF(입력란!G31=5,83,0)))))</f>
        <v>40</v>
      </c>
      <c r="I12" s="8">
        <v>1</v>
      </c>
      <c r="J12" s="9">
        <v>1.3</v>
      </c>
      <c r="K12" s="8"/>
      <c r="L12" s="9"/>
      <c r="M12" s="8">
        <v>1</v>
      </c>
      <c r="N12" s="8">
        <v>2</v>
      </c>
      <c r="O12" s="11"/>
      <c r="P12" s="9"/>
      <c r="Q12" s="8">
        <v>1.33</v>
      </c>
      <c r="R12" s="12">
        <f>IF(입력란!G33=1,50,IF(입력란!G33=2,69,IF(입력란!G33=3,88,IF(입력란!G33=4,107,IF(입력란!G33=5,126,0)))))</f>
        <v>50</v>
      </c>
      <c r="S12" s="8"/>
    </row>
    <row r="13" spans="2:19" x14ac:dyDescent="0.3">
      <c r="B13" s="11" t="s">
        <v>45</v>
      </c>
      <c r="C13" s="11"/>
      <c r="D13" s="9"/>
      <c r="E13" s="8"/>
      <c r="F13" s="9"/>
      <c r="G13" s="8">
        <v>0</v>
      </c>
      <c r="H13" s="12">
        <f>IF(입력란!G34=1,15,IF(입력란!G34=2,18,IF(입력란!G34=3,21,IF(입력란!G34=4,25,IF(입력란!G34=5,30,0)))))</f>
        <v>15</v>
      </c>
      <c r="I13" s="8">
        <v>1</v>
      </c>
      <c r="J13" s="9">
        <f>IF(입력란!G35=1,1.4,IF(입력란!G35=2,1.47,IF(입력란!G35=3,1.54,IF(입력란!G35=4,1.62,IF(입력란!G35=5,1.7,0)))))</f>
        <v>1.4</v>
      </c>
      <c r="K13" s="8"/>
      <c r="L13" s="9"/>
      <c r="M13" s="8"/>
      <c r="N13" s="8"/>
      <c r="O13" s="11">
        <v>1</v>
      </c>
      <c r="P13" s="9">
        <v>1.5</v>
      </c>
      <c r="Q13" s="8">
        <v>1</v>
      </c>
      <c r="R13" s="12">
        <v>1.5</v>
      </c>
      <c r="S13" s="8"/>
    </row>
    <row r="14" spans="2:19" x14ac:dyDescent="0.3">
      <c r="B14" s="11" t="s">
        <v>46</v>
      </c>
      <c r="C14" s="11"/>
      <c r="D14" s="9"/>
      <c r="E14" s="8"/>
      <c r="F14" s="9"/>
      <c r="G14" s="8"/>
      <c r="H14" s="12"/>
      <c r="I14" s="8"/>
      <c r="J14" s="9"/>
      <c r="K14" s="8">
        <v>1</v>
      </c>
      <c r="L14" s="9">
        <f>IF(입력란!G36=1,2,IF(입력란!G36=2,2.15,IF(입력란!G36=3,2.3,IF(입력란!G36=4,2.45,IF(입력란!G36=5,2.6,0)))))</f>
        <v>2</v>
      </c>
      <c r="M14" s="8">
        <v>1</v>
      </c>
      <c r="N14" s="8">
        <f>IF(입력란!G37=1,1.4,IF(입력란!G37=2,1.47,IF(입력란!G37=3,1.54,IF(입력란!G37=4,1.62,IF(입력란!G37=5,1.7,0)))))</f>
        <v>1.4</v>
      </c>
      <c r="O14" s="11">
        <v>1</v>
      </c>
      <c r="P14" s="9">
        <f>IF(입력란!G38=1,6,IF(입력란!G38=2,6.45,IF(입력란!G38=3,6.9,IF(입력란!G38=4,7.35,IF(입력란!G38=5,7.8,0)))))</f>
        <v>6</v>
      </c>
      <c r="Q14" s="8">
        <v>0</v>
      </c>
      <c r="R14" s="12">
        <v>1</v>
      </c>
      <c r="S14" s="8"/>
    </row>
    <row r="15" spans="2:19" x14ac:dyDescent="0.3">
      <c r="B15" s="11" t="s">
        <v>47</v>
      </c>
      <c r="C15" s="11"/>
      <c r="D15" s="9"/>
      <c r="E15" s="8"/>
      <c r="F15" s="9"/>
      <c r="G15" s="8"/>
      <c r="H15" s="12"/>
      <c r="I15" s="8">
        <v>0</v>
      </c>
      <c r="J15" s="9">
        <f>IF(입력란!G39=1,60,IF(입력란!G39=2,70,IF(입력란!G39=3,80,IF(입력란!G39=4,90,IF(입력란!G39=5,100,0)))))</f>
        <v>60</v>
      </c>
      <c r="K15" s="8">
        <v>1</v>
      </c>
      <c r="L15" s="9">
        <f>IF(입력란!G40=1,1.5,IF(입력란!G40=2,1.62,IF(입력란!G40=3,1.74,IF(입력란!G40=4,1.86,IF(입력란!G40=5,1.995,0)))))</f>
        <v>1.5</v>
      </c>
      <c r="M15" s="8"/>
      <c r="N15" s="8"/>
      <c r="O15" s="11">
        <v>1</v>
      </c>
      <c r="P15" s="9">
        <f>IF(입력란!G41=1,2.8,IF(입력란!G41=2,3,IF(입력란!G41=3,3.2,IF(입력란!G41=4,3.4,IF(입력란!G41=5,3.6,0)))))</f>
        <v>2.8</v>
      </c>
      <c r="Q15" s="8">
        <v>1</v>
      </c>
      <c r="R15" s="12">
        <f>IF(입력란!G42=1,2.4,IF(입력란!G42=2,2.57,IF(입력란!G42=3,2.74,IF(입력란!G42=4,2.92,IF(입력란!G42=5,3.1,0)))))</f>
        <v>2.4</v>
      </c>
      <c r="S15" s="8"/>
    </row>
    <row r="16" spans="2:19" x14ac:dyDescent="0.3">
      <c r="B16" s="11" t="s">
        <v>48</v>
      </c>
      <c r="C16" s="11">
        <v>1</v>
      </c>
      <c r="D16" s="9">
        <f>IF(입력란!J4=1,1.25,IF(입력란!J4=2,1.31,IF(입력란!J4=3,1.37,IF(입력란!J4=4,1.43,IF(입력란!J4=5,1.5,0)))))</f>
        <v>1.25</v>
      </c>
      <c r="E16" s="8">
        <v>1</v>
      </c>
      <c r="F16" s="9">
        <f>IF(입력란!J5=1,1.1,IF(입력란!J5=2,1.16,IF(입력란!J5=3,1.22,IF(입력란!J5=4,1.28,IF(입력란!J5=5,1.35,0)))))</f>
        <v>1.1000000000000001</v>
      </c>
      <c r="G16" s="8"/>
      <c r="H16" s="12"/>
      <c r="I16" s="8">
        <v>1</v>
      </c>
      <c r="J16" s="9">
        <f>IF(입력란!J6=1,1.25,IF(입력란!J6=2,1.31,IF(입력란!J6=3,1.37,IF(입력란!J6=4,1.43,IF(입력란!J6=5,1.5,0)))))</f>
        <v>1.25</v>
      </c>
      <c r="K16" s="8"/>
      <c r="L16" s="9"/>
      <c r="M16" s="8">
        <v>0</v>
      </c>
      <c r="N16" s="8">
        <f>IF(입력란!J7=1,5,IF(입력란!J7=2,5.7,IF(입력란!J7=3,6.4,IF(입력란!J7=4,7.2,IF(입력란!J7=5,8,0)))))</f>
        <v>5</v>
      </c>
      <c r="O16" s="11">
        <v>0</v>
      </c>
      <c r="P16" s="9">
        <f>IF(입력란!J8=1,1,IF(입력란!J8=2,1.15,IF(입력란!J8=3,1.3,IF(입력란!J8=4,1.45,IF(입력란!J8=5,1.61,0)))))</f>
        <v>1</v>
      </c>
      <c r="Q16" s="8">
        <v>1</v>
      </c>
      <c r="R16" s="12">
        <f>IF(입력란!J9=1,1.8,IF(입력란!J9=2,1.896,IF(입력란!J9=3,1.992,IF(입력란!J9=4,2.096,IF(입력란!J9=5,2.2,0)))))</f>
        <v>1.8</v>
      </c>
      <c r="S16" s="8"/>
    </row>
    <row r="17" spans="2:19" x14ac:dyDescent="0.3">
      <c r="B17" s="11" t="s">
        <v>49</v>
      </c>
      <c r="C17" s="11">
        <v>0</v>
      </c>
      <c r="D17" s="9">
        <f>IF(입력란!J10=1,6,IF(입력란!J10=2,7.2,IF(입력란!J10=3,8.4,IF(입력란!J10=4,9.7,IF(입력란!J10=5,11,0)))))</f>
        <v>6</v>
      </c>
      <c r="E17" s="8"/>
      <c r="F17" s="9"/>
      <c r="G17" s="8"/>
      <c r="H17" s="12"/>
      <c r="I17" s="8">
        <v>1</v>
      </c>
      <c r="J17" s="9">
        <f>IF(입력란!J11=1,3.6,IF(입력란!J11=2,3.85,IF(입력란!J11=3,4.1,IF(입력란!J11=4,4.35,IF(입력란!J11=5,4.6,0)))))</f>
        <v>3.6</v>
      </c>
      <c r="K17" s="8">
        <v>1</v>
      </c>
      <c r="L17" s="9">
        <f>IF(입력란!J12=1,1.3,IF(입력란!J12=2,1.38,IF(입력란!J12=3,1.47,IF(입력란!J12=4,1.56,IF(입력란!J12=5,1.65,0)))))</f>
        <v>1.3</v>
      </c>
      <c r="M17" s="8"/>
      <c r="N17" s="8"/>
      <c r="O17" s="11">
        <v>1</v>
      </c>
      <c r="P17" s="9">
        <f>IF(입력란!J13=1,1.5,IF(입력란!J13=2,1.57,IF(입력란!J13=3,1.64,IF(입력란!J13=4,1.72,IF(입력란!J13=5,1.8,0)))))</f>
        <v>1.5</v>
      </c>
      <c r="Q17" s="8">
        <v>1</v>
      </c>
      <c r="R17" s="12">
        <f>IF(입력란!J14=1,2,IF(입력란!J14=2,2.11,IF(입력란!J14=3,2.22,IF(입력란!J14=4,2.33,IF(입력란!J14=5,2.45,0)))))</f>
        <v>2</v>
      </c>
      <c r="S17" s="8"/>
    </row>
    <row r="18" spans="2:19" x14ac:dyDescent="0.3">
      <c r="B18" s="11" t="s">
        <v>50</v>
      </c>
      <c r="C18" s="11">
        <v>1</v>
      </c>
      <c r="D18" s="9">
        <f>IF(입력란!J15=1,1.25,IF(입력란!J15=2,1.31,IF(입력란!J15=3,1.37,IF(입력란!J15=4,1.43,IF(입력란!J15=5,1.5,0)))))</f>
        <v>1.25</v>
      </c>
      <c r="E18" s="8">
        <v>1</v>
      </c>
      <c r="F18" s="9">
        <f>IF(입력란!J16=1,1.1,IF(입력란!J16=2,1.16,IF(입력란!J16=3,1.22,IF(입력란!J16=4,1.28,IF(입력란!J16=5,1.35,0)))))</f>
        <v>1.1000000000000001</v>
      </c>
      <c r="G18" s="8"/>
      <c r="H18" s="12"/>
      <c r="I18" s="8">
        <v>1</v>
      </c>
      <c r="J18" s="9">
        <f>IF(입력란!J17=1,1.25,IF(입력란!J17=2,1.31,IF(입력란!J17=3,1.37,IF(입력란!J17=4,1.43,IF(입력란!J17=5,1.5,0)))))</f>
        <v>1.25</v>
      </c>
      <c r="K18" s="8"/>
      <c r="L18" s="9"/>
      <c r="M18" s="8">
        <v>0</v>
      </c>
      <c r="N18" s="8">
        <f>IF(입력란!J18=1,11,IF(입력란!J18=2,12,IF(입력란!J18=3,13,IF(입력란!J18=4,14,IF(입력란!J18=5,15,0)))))</f>
        <v>11</v>
      </c>
      <c r="O18" s="11">
        <v>0</v>
      </c>
      <c r="P18" s="9">
        <f>IF(입력란!J19=1,0.6,IF(입력란!J19=2,0.824,IF(입력란!J19=3,1.048,IF(입력란!J19=4,1.288,IF(입력란!J19=5,1.528,0)))))</f>
        <v>0.6</v>
      </c>
      <c r="Q18" s="8">
        <v>1</v>
      </c>
      <c r="R18" s="12">
        <f>IF(입력란!J20=1,1.8,IF(입력란!J20=2,1.896,IF(입력란!J20=3,1.992,IF(입력란!J20=4,2.096,IF(입력란!J20=5,2.2,0)))))</f>
        <v>1.8</v>
      </c>
      <c r="S18" s="8"/>
    </row>
    <row r="19" spans="2:19" x14ac:dyDescent="0.3">
      <c r="B19" s="11" t="s">
        <v>51</v>
      </c>
      <c r="C19" s="11">
        <v>1</v>
      </c>
      <c r="D19" s="9">
        <f>IF(입력란!J21=1,1.1,IF(입력란!J21=2,1.16,IF(입력란!J21=3,1.22,IF(입력란!J21=4,1.28,IF(입력란!J21=5,1.35,0)))))</f>
        <v>1.1000000000000001</v>
      </c>
      <c r="E19" s="8"/>
      <c r="F19" s="9"/>
      <c r="G19" s="8">
        <v>1</v>
      </c>
      <c r="H19" s="12">
        <f>IF(입력란!J22=1,1.25,IF(입력란!J22=2,1.31,IF(입력란!J22=3,1.37,IF(입력란!J22=4,1.43,IF(입력란!J22=5,1.5,0)))))</f>
        <v>1.25</v>
      </c>
      <c r="I19" s="8">
        <v>1</v>
      </c>
      <c r="J19" s="9">
        <f>IF(입력란!J23=1,1.4,IF(입력란!J23=2,1.472,IF(입력란!J23=3,1.548,IF(입력란!J23=4,1.624,IF(입력란!J23=5,1.7,0)))))</f>
        <v>1.4</v>
      </c>
      <c r="K19" s="8">
        <v>1</v>
      </c>
      <c r="L19" s="9">
        <f>IF(입력란!J24=1,1.3,IF(입력란!J24=2,1.37,IF(입력란!J24=3,1.44,IF(입력란!J24=4,1.52,IF(입력란!J24=5,1.6,0)))))</f>
        <v>1.3</v>
      </c>
      <c r="M19" s="8"/>
      <c r="N19" s="8"/>
      <c r="O19" s="11">
        <v>1</v>
      </c>
      <c r="P19" s="9">
        <f>IF(입력란!J25=1,2.8,IF(입력란!J25=2,2.94,IF(입력란!J25=3,3.08,IF(입력란!J25=4,3.24,IF(입력란!J25=5,3.4,0)))))</f>
        <v>2.8</v>
      </c>
      <c r="Q19" s="8">
        <v>1</v>
      </c>
      <c r="R19" s="12">
        <f>IF(입력란!J26=1,3,IF(입력란!J26=2,3.25,IF(입력란!J26=3,3.5,IF(입력란!J26=4,3.75,IF(입력란!J26=5,4,0)))))</f>
        <v>3</v>
      </c>
      <c r="S19" s="8"/>
    </row>
    <row r="20" spans="2:19" x14ac:dyDescent="0.3">
      <c r="B20" s="11" t="s">
        <v>52</v>
      </c>
      <c r="C20" s="11">
        <v>0</v>
      </c>
      <c r="D20" s="9">
        <f>IF(입력란!J27=1,7,IF(입력란!J27=2,8.2,IF(입력란!J27=3,9.4,IF(입력란!J27=4,10.7,IF(입력란!J27=5,13,0)))))</f>
        <v>7</v>
      </c>
      <c r="E20" s="8">
        <v>0</v>
      </c>
      <c r="F20" s="9">
        <v>0.2</v>
      </c>
      <c r="G20" s="8"/>
      <c r="H20" s="12"/>
      <c r="I20" s="8">
        <v>0</v>
      </c>
      <c r="J20" s="9">
        <v>0.3</v>
      </c>
      <c r="K20" s="8">
        <v>1</v>
      </c>
      <c r="L20" s="9">
        <f>IF(입력란!J30=1,1.2,IF(입력란!J30=2,1.26,IF(입력란!J30=3,1.32,IF(입력란!J30=4,1.38,IF(입력란!J30=5,1.45,0)))))</f>
        <v>1.2</v>
      </c>
      <c r="M20" s="8">
        <v>1</v>
      </c>
      <c r="N20" s="8">
        <f>IF(입력란!J31=1,1.5,IF(입력란!J31=2,1.575,IF(입력란!J31=3,1.65,IF(입력란!J31=4,1.725,IF(입력란!J31=5,1.8,0)))))</f>
        <v>1.5</v>
      </c>
      <c r="O20" s="11">
        <v>1</v>
      </c>
      <c r="P20" s="9">
        <f>IF(입력란!J32=1,1.6,IF(입력란!J32=2,1.78,IF(입력란!J32=3,1.96,IF(입력란!J32=4,2.176,IF(입력란!J32=5,2.392,0)))))</f>
        <v>1.6</v>
      </c>
      <c r="Q20" s="8">
        <v>1</v>
      </c>
      <c r="R20" s="12">
        <f>IF(입력란!J33=1,1.8,IF(입력란!J33=2,1.89,IF(입력란!J33=3,1.98,IF(입력란!J33=4,2.088,IF(입력란!J33=5,2.196,0)))))</f>
        <v>1.8</v>
      </c>
      <c r="S20" s="8"/>
    </row>
    <row r="21" spans="2:19" x14ac:dyDescent="0.3">
      <c r="B21" s="11" t="s">
        <v>53</v>
      </c>
      <c r="C21" s="11"/>
      <c r="D21" s="9"/>
      <c r="E21" s="8">
        <v>0</v>
      </c>
      <c r="F21" s="9">
        <f>IF(입력란!M4=1,0.2,IF(입력란!M4=2,0.262,IF(입력란!M4=3,0.324,IF(입력란!M4=4,0.386,IF(입력란!M4=5,0.45,0)))))</f>
        <v>0.2</v>
      </c>
      <c r="G21" s="8"/>
      <c r="H21" s="12"/>
      <c r="I21" s="8">
        <v>1</v>
      </c>
      <c r="J21" s="9">
        <f>IF(입력란!M5=1,1.25,IF(입력란!M5=2,1.2875,IF(입력란!M5=3,1.325,IF(입력란!M5=4,1.3625,IF(입력란!M5=5,1.4,0)))))</f>
        <v>1.25</v>
      </c>
      <c r="K21" s="8"/>
      <c r="L21" s="9"/>
      <c r="M21" s="8">
        <v>0</v>
      </c>
      <c r="N21" s="8">
        <f>IF(입력란!M6=1,60,IF(입력란!M6=2,69.6,IF(입력란!M6=3,79.8,IF(입력란!M6=4,90,IF(입력란!M6=5,100.2,0)))))</f>
        <v>60</v>
      </c>
      <c r="O21" s="11">
        <v>1</v>
      </c>
      <c r="P21" s="9">
        <f>IF(입력란!M7=1,3,IF(입력란!M7=2,3.37,IF(입력란!M7=3,3.74,IF(입력란!M7=4,4.12,IF(입력란!M7=5,4.5,0)))))</f>
        <v>3</v>
      </c>
      <c r="Q21" s="8">
        <v>1</v>
      </c>
      <c r="R21" s="12">
        <f>IF(입력란!M8=1,1.3,IF(입력란!M8=2,1.38,IF(입력란!M8=3,1.46,IF(입력란!M8=4,1.55,IF(입력란!M8=5,1.64,0)))))</f>
        <v>1.3</v>
      </c>
      <c r="S21" s="8"/>
    </row>
    <row r="22" spans="2:19" x14ac:dyDescent="0.3">
      <c r="B22" s="11" t="s">
        <v>54</v>
      </c>
      <c r="C22" s="11"/>
      <c r="D22" s="9"/>
      <c r="E22" s="8"/>
      <c r="F22" s="9"/>
      <c r="G22" s="8"/>
      <c r="H22" s="12"/>
      <c r="I22" s="8">
        <v>0</v>
      </c>
      <c r="J22" s="9">
        <f>IF(입력란!M9=1,50,IF(입력란!M9=2,57.5,IF(입력란!M9=3,65,IF(입력란!M9=4,72.5,IF(입력란!M9=5,80,0)))))</f>
        <v>50</v>
      </c>
      <c r="K22" s="8">
        <v>1</v>
      </c>
      <c r="L22" s="9">
        <f>IF(입력란!M10=1,1.4,IF(입력란!M10=2,1.472,IF(입력란!M10=3,1.548,IF(입력란!M10=4,1.624,IF(입력란!M10=5,1.7,0)))))</f>
        <v>1.4</v>
      </c>
      <c r="M22" s="8"/>
      <c r="N22" s="8"/>
      <c r="O22" s="11">
        <v>1</v>
      </c>
      <c r="P22" s="9">
        <v>2</v>
      </c>
      <c r="Q22" s="8">
        <v>0</v>
      </c>
      <c r="R22" s="12">
        <f>IF(입력란!M11=1,1.2,IF(입력란!M11=2,1.32,IF(입력란!M11=3,1.44,IF(입력란!M11=4,1.572,IF(입력란!M11=5,1.704,0)))))</f>
        <v>1.2</v>
      </c>
      <c r="S22" s="8"/>
    </row>
    <row r="23" spans="2:19" x14ac:dyDescent="0.3">
      <c r="B23" s="11" t="s">
        <v>21</v>
      </c>
      <c r="C23" s="11"/>
      <c r="D23" s="9"/>
      <c r="E23" s="8">
        <v>1</v>
      </c>
      <c r="F23" s="9">
        <f>IF(입력란!M12=1,1.25,IF(입력란!M12=2,1.313,IF(입력란!M12=3,1.375,IF(입력란!M12=4,1.438,IF(입력란!M12=5,1.5,0)))))</f>
        <v>1.25</v>
      </c>
      <c r="G23" s="8"/>
      <c r="H23" s="12"/>
      <c r="I23" s="8"/>
      <c r="J23" s="9"/>
      <c r="K23" s="8"/>
      <c r="L23" s="9"/>
      <c r="M23" s="8">
        <v>0</v>
      </c>
      <c r="N23" s="8">
        <v>0.2</v>
      </c>
      <c r="O23" s="11">
        <v>100</v>
      </c>
      <c r="P23" s="9">
        <f>IF(입력란!M14=1,0,IF(입력란!M14=2,10,IF(입력란!M14=3,20,IF(입력란!M14=4,32,IF(입력란!M14=5,44,0)))))</f>
        <v>0</v>
      </c>
      <c r="Q23" s="8">
        <v>1</v>
      </c>
      <c r="R23" s="12">
        <f>IF(입력란!M15=1,1.5,IF(입력란!M15=2,1.57,IF(입력란!M15=3,1.64,IF(입력란!M15=4,1.72,IF(입력란!M15=5,1.8,0)))))</f>
        <v>1.5</v>
      </c>
      <c r="S23" s="8"/>
    </row>
    <row r="24" spans="2:19" x14ac:dyDescent="0.3">
      <c r="B24" s="11" t="s">
        <v>55</v>
      </c>
      <c r="C24" s="11"/>
      <c r="D24" s="9"/>
      <c r="E24" s="8"/>
      <c r="F24" s="9"/>
      <c r="G24" s="8">
        <v>100</v>
      </c>
      <c r="H24" s="12">
        <f>IF(입력란!M16=1,0,IF(입력란!M16=2,20,IF(입력란!M16=3,41,IF(입력란!M16=4,62,IF(입력란!M16=5,83,0)))))</f>
        <v>0</v>
      </c>
      <c r="I24" s="8">
        <v>1</v>
      </c>
      <c r="J24" s="9">
        <f>IF(입력란!M17=1,1.25,IF(입력란!M17=2,1.31,IF(입력란!M17=3,1.37,IF(입력란!M17=4,1.43,IF(입력란!M17=5,1.5,0)))))</f>
        <v>1.25</v>
      </c>
      <c r="K24" s="8"/>
      <c r="L24" s="9"/>
      <c r="M24" s="8"/>
      <c r="N24" s="8"/>
      <c r="O24" s="11"/>
      <c r="P24" s="9"/>
      <c r="Q24" s="8"/>
      <c r="R24" s="12"/>
      <c r="S24" s="8"/>
    </row>
    <row r="25" spans="2:19" ht="14.25" thickBot="1" x14ac:dyDescent="0.35">
      <c r="B25" s="13" t="s">
        <v>56</v>
      </c>
      <c r="C25" s="13">
        <v>0</v>
      </c>
      <c r="D25" s="18">
        <f>IF(입력란!M18=1,0.2,IF(입력란!M18=2,0.29,IF(입력란!M18=3,0.38,IF(입력란!M18=4,0.47,IF(입력란!M18=5,0.56,0)))))</f>
        <v>0.2</v>
      </c>
      <c r="E25" s="14"/>
      <c r="F25" s="18"/>
      <c r="G25" s="14"/>
      <c r="H25" s="15"/>
      <c r="I25" s="14">
        <v>0</v>
      </c>
      <c r="J25" s="18">
        <f>IF(입력란!M19=1,50,IF(입력란!M19=2,57,IF(입력란!M19=3,64,IF(입력란!M19=4,72,IF(입력란!M19=5,80,0)))))</f>
        <v>50</v>
      </c>
      <c r="K25" s="14"/>
      <c r="L25" s="18"/>
      <c r="M25" s="14">
        <v>1</v>
      </c>
      <c r="N25" s="14">
        <f>IF(입력란!M20=1,1.6,IF(입력란!M20=2,1.69,IF(입력란!M20=3,1.78,IF(입력란!M20=4,1.87,IF(입력란!M20=5,1.96,0)))))</f>
        <v>1.6</v>
      </c>
      <c r="O25" s="13"/>
      <c r="P25" s="18"/>
      <c r="Q25" s="14">
        <v>1</v>
      </c>
      <c r="R25" s="15">
        <f>IF(입력란!M21=1,1.5,IF(입력란!M21=2,1.57,IF(입력란!M21=3,1.64,IF(입력란!M21=4,1.72,IF(입력란!M21=5,1.8,0)))))</f>
        <v>1.5</v>
      </c>
      <c r="S25" s="8"/>
    </row>
  </sheetData>
  <mergeCells count="11">
    <mergeCell ref="O3:R3"/>
    <mergeCell ref="Q4:R4"/>
    <mergeCell ref="O4:P4"/>
    <mergeCell ref="C3:H3"/>
    <mergeCell ref="I3:N3"/>
    <mergeCell ref="C4:D4"/>
    <mergeCell ref="E4:F4"/>
    <mergeCell ref="G4:H4"/>
    <mergeCell ref="I4:J4"/>
    <mergeCell ref="K4:L4"/>
    <mergeCell ref="M4:N4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/>
  </sheetViews>
  <sheetFormatPr defaultRowHeight="18" customHeight="1" x14ac:dyDescent="0.3"/>
  <cols>
    <col min="1" max="16384" width="9" style="6"/>
  </cols>
  <sheetData>
    <row r="1" spans="1:35" ht="18" customHeight="1" x14ac:dyDescent="0.3">
      <c r="A1" s="5" t="s">
        <v>0</v>
      </c>
      <c r="B1" s="4">
        <v>3568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35" s="7" customFormat="1" ht="18" customHeight="1" x14ac:dyDescent="0.3">
      <c r="A3" s="5"/>
      <c r="B3" s="5" t="s">
        <v>16</v>
      </c>
      <c r="C3" s="5" t="s">
        <v>1</v>
      </c>
      <c r="D3" s="111" t="s">
        <v>2</v>
      </c>
      <c r="E3" s="111"/>
      <c r="F3" s="5" t="s">
        <v>17</v>
      </c>
      <c r="G3" s="5" t="s">
        <v>18</v>
      </c>
      <c r="H3" s="5" t="s">
        <v>19</v>
      </c>
      <c r="I3" s="5" t="s">
        <v>20</v>
      </c>
      <c r="J3" s="111" t="s">
        <v>7</v>
      </c>
      <c r="K3" s="111"/>
      <c r="L3" s="5" t="s">
        <v>9</v>
      </c>
      <c r="M3" s="5" t="s">
        <v>10</v>
      </c>
      <c r="N3" s="111" t="s">
        <v>13</v>
      </c>
      <c r="O3" s="111"/>
      <c r="P3" s="111" t="s">
        <v>3</v>
      </c>
      <c r="Q3" s="111"/>
      <c r="R3" s="111" t="s">
        <v>5</v>
      </c>
      <c r="S3" s="111"/>
      <c r="T3" s="111" t="s">
        <v>8</v>
      </c>
      <c r="U3" s="111"/>
      <c r="V3" s="111"/>
      <c r="W3" s="111" t="s">
        <v>11</v>
      </c>
      <c r="X3" s="111"/>
      <c r="Y3" s="5" t="s">
        <v>14</v>
      </c>
      <c r="Z3" s="111" t="s">
        <v>4</v>
      </c>
      <c r="AA3" s="111"/>
      <c r="AB3" s="22" t="s">
        <v>6</v>
      </c>
      <c r="AC3" s="5" t="s">
        <v>21</v>
      </c>
      <c r="AD3" s="111" t="s">
        <v>12</v>
      </c>
      <c r="AE3" s="111"/>
      <c r="AF3" s="111" t="s">
        <v>15</v>
      </c>
      <c r="AG3" s="111"/>
      <c r="AH3" s="7" t="s">
        <v>22</v>
      </c>
      <c r="AI3" s="7" t="s">
        <v>23</v>
      </c>
    </row>
    <row r="5" spans="1:35" ht="18" customHeight="1" x14ac:dyDescent="0.3">
      <c r="A5" s="3"/>
      <c r="B5" s="4">
        <v>261</v>
      </c>
      <c r="C5" s="4">
        <v>153</v>
      </c>
      <c r="D5" s="4">
        <v>49</v>
      </c>
      <c r="E5" s="4">
        <v>197</v>
      </c>
      <c r="F5" s="4">
        <v>22</v>
      </c>
      <c r="G5" s="4">
        <v>503</v>
      </c>
      <c r="H5" s="4">
        <v>156</v>
      </c>
      <c r="I5" s="4">
        <v>500</v>
      </c>
      <c r="J5" s="4">
        <v>479</v>
      </c>
      <c r="K5" s="4">
        <v>268</v>
      </c>
      <c r="L5" s="4">
        <v>91</v>
      </c>
      <c r="M5" s="4">
        <v>83</v>
      </c>
      <c r="N5" s="4">
        <v>337</v>
      </c>
      <c r="O5" s="4">
        <v>338</v>
      </c>
      <c r="P5" s="4">
        <v>156</v>
      </c>
      <c r="Q5" s="4">
        <v>199</v>
      </c>
      <c r="R5" s="4">
        <v>184</v>
      </c>
      <c r="S5" s="4">
        <v>47</v>
      </c>
      <c r="T5" s="4">
        <v>174</v>
      </c>
      <c r="U5" s="4">
        <v>174</v>
      </c>
      <c r="V5" s="4">
        <v>232</v>
      </c>
      <c r="W5" s="4">
        <v>237</v>
      </c>
      <c r="X5" s="4">
        <v>157</v>
      </c>
      <c r="Y5" s="4">
        <v>843</v>
      </c>
      <c r="Z5" s="4">
        <v>698</v>
      </c>
      <c r="AA5" s="4">
        <v>58</v>
      </c>
      <c r="AB5" s="4">
        <v>726</v>
      </c>
      <c r="AC5" s="4">
        <v>316</v>
      </c>
      <c r="AD5" s="4">
        <v>154</v>
      </c>
      <c r="AE5" s="4">
        <v>258</v>
      </c>
      <c r="AF5" s="4">
        <v>281</v>
      </c>
      <c r="AG5" s="4">
        <v>1125</v>
      </c>
      <c r="AH5" s="6">
        <f>1891+34024</f>
        <v>35915</v>
      </c>
      <c r="AI5" s="6">
        <v>35633</v>
      </c>
    </row>
    <row r="6" spans="1:35" ht="18" customHeight="1" x14ac:dyDescent="0.3">
      <c r="A6" s="3"/>
      <c r="B6" s="4">
        <v>689</v>
      </c>
      <c r="C6" s="4">
        <v>404</v>
      </c>
      <c r="D6" s="4">
        <v>130</v>
      </c>
      <c r="E6" s="4">
        <v>521</v>
      </c>
      <c r="F6" s="4">
        <v>59</v>
      </c>
      <c r="G6" s="4">
        <v>1330</v>
      </c>
      <c r="H6" s="4">
        <v>412</v>
      </c>
      <c r="I6" s="4">
        <v>1324</v>
      </c>
      <c r="J6" s="4">
        <v>1280</v>
      </c>
      <c r="K6" s="4">
        <v>710</v>
      </c>
      <c r="L6" s="4">
        <v>240</v>
      </c>
      <c r="M6" s="4">
        <v>218</v>
      </c>
      <c r="N6" s="4">
        <v>890</v>
      </c>
      <c r="O6" s="4">
        <v>894</v>
      </c>
      <c r="P6" s="4">
        <v>412</v>
      </c>
      <c r="Q6" s="4">
        <v>526</v>
      </c>
      <c r="R6" s="4">
        <v>488</v>
      </c>
      <c r="S6" s="4">
        <v>122</v>
      </c>
      <c r="T6" s="4">
        <v>461</v>
      </c>
      <c r="U6" s="4">
        <v>461</v>
      </c>
      <c r="V6" s="4">
        <v>614</v>
      </c>
      <c r="W6" s="4">
        <v>627</v>
      </c>
      <c r="X6" s="4">
        <v>415</v>
      </c>
      <c r="Y6" s="4">
        <v>2228</v>
      </c>
      <c r="Z6" s="4">
        <v>1847</v>
      </c>
      <c r="AA6" s="4">
        <v>153</v>
      </c>
      <c r="AB6" s="4">
        <v>1919</v>
      </c>
      <c r="AC6" s="4">
        <v>836</v>
      </c>
      <c r="AD6" s="4">
        <v>407</v>
      </c>
      <c r="AE6" s="4">
        <v>684</v>
      </c>
      <c r="AF6" s="4">
        <v>742</v>
      </c>
      <c r="AG6" s="4">
        <v>2976</v>
      </c>
    </row>
    <row r="7" spans="1:35" ht="18" customHeight="1" x14ac:dyDescent="0.3">
      <c r="A7" s="3"/>
      <c r="B7" s="4">
        <v>896</v>
      </c>
      <c r="C7" s="4">
        <v>520</v>
      </c>
      <c r="D7" s="4">
        <v>168</v>
      </c>
      <c r="E7" s="4">
        <v>671</v>
      </c>
      <c r="F7" s="4">
        <v>75</v>
      </c>
      <c r="G7" s="4">
        <v>1715</v>
      </c>
      <c r="H7" s="4">
        <v>530</v>
      </c>
      <c r="I7" s="4">
        <v>1710</v>
      </c>
      <c r="J7" s="4">
        <v>1649</v>
      </c>
      <c r="K7" s="4">
        <v>915</v>
      </c>
      <c r="L7" s="4">
        <v>311</v>
      </c>
      <c r="M7" s="4">
        <v>282</v>
      </c>
      <c r="N7" s="4">
        <v>1148</v>
      </c>
      <c r="O7" s="4">
        <v>1152</v>
      </c>
      <c r="P7" s="4">
        <v>530</v>
      </c>
      <c r="Q7" s="4">
        <v>678</v>
      </c>
      <c r="R7" s="4">
        <v>629</v>
      </c>
      <c r="S7" s="4">
        <v>158</v>
      </c>
      <c r="T7" s="4">
        <v>594</v>
      </c>
      <c r="U7" s="4">
        <v>594</v>
      </c>
      <c r="V7" s="4">
        <v>792</v>
      </c>
      <c r="W7" s="4">
        <v>809</v>
      </c>
      <c r="X7" s="4">
        <v>536</v>
      </c>
      <c r="Y7" s="4">
        <v>2871</v>
      </c>
      <c r="Z7" s="4">
        <v>2382</v>
      </c>
      <c r="AA7" s="4">
        <v>198</v>
      </c>
      <c r="AB7" s="4">
        <v>2475</v>
      </c>
      <c r="AC7" s="4">
        <v>1078</v>
      </c>
      <c r="AD7" s="4">
        <v>525</v>
      </c>
      <c r="AE7" s="4">
        <v>882</v>
      </c>
      <c r="AF7" s="4">
        <v>957</v>
      </c>
      <c r="AG7" s="4">
        <v>3836</v>
      </c>
    </row>
    <row r="8" spans="1:35" ht="18" customHeight="1" x14ac:dyDescent="0.3">
      <c r="A8" s="3"/>
      <c r="B8" s="4">
        <v>1024</v>
      </c>
      <c r="C8" s="4">
        <v>595</v>
      </c>
      <c r="D8" s="4">
        <v>193</v>
      </c>
      <c r="E8" s="4">
        <v>773</v>
      </c>
      <c r="F8" s="4">
        <v>86</v>
      </c>
      <c r="G8" s="4">
        <v>1960</v>
      </c>
      <c r="H8" s="4">
        <v>605</v>
      </c>
      <c r="I8" s="4">
        <v>1958</v>
      </c>
      <c r="J8" s="4">
        <v>1883</v>
      </c>
      <c r="K8" s="4">
        <v>1045</v>
      </c>
      <c r="L8" s="4">
        <v>355</v>
      </c>
      <c r="M8" s="4">
        <v>323</v>
      </c>
      <c r="N8" s="4">
        <v>1312</v>
      </c>
      <c r="O8" s="4">
        <v>1318</v>
      </c>
      <c r="P8" s="4">
        <v>605</v>
      </c>
      <c r="Q8" s="4">
        <v>775</v>
      </c>
      <c r="R8" s="4">
        <v>718</v>
      </c>
      <c r="S8" s="4">
        <v>180</v>
      </c>
      <c r="T8" s="4">
        <v>680</v>
      </c>
      <c r="U8" s="4">
        <v>680</v>
      </c>
      <c r="V8" s="4">
        <v>906</v>
      </c>
      <c r="W8" s="4">
        <v>925</v>
      </c>
      <c r="X8" s="4">
        <v>614</v>
      </c>
      <c r="Y8" s="4">
        <v>3282</v>
      </c>
      <c r="Z8" s="4">
        <v>2723</v>
      </c>
      <c r="AA8" s="4">
        <v>227</v>
      </c>
      <c r="AB8" s="4">
        <v>2830</v>
      </c>
      <c r="AC8" s="4">
        <v>1234</v>
      </c>
      <c r="AD8" s="4">
        <v>599</v>
      </c>
      <c r="AE8" s="4">
        <v>1007</v>
      </c>
      <c r="AF8" s="4">
        <v>1093</v>
      </c>
      <c r="AG8" s="4">
        <v>4385</v>
      </c>
    </row>
    <row r="9" spans="1:35" ht="18" customHeight="1" x14ac:dyDescent="0.3">
      <c r="B9" s="6">
        <v>1024</v>
      </c>
      <c r="C9" s="6">
        <v>595</v>
      </c>
      <c r="D9" s="6">
        <v>193</v>
      </c>
      <c r="E9" s="6">
        <v>773</v>
      </c>
      <c r="F9" s="6">
        <v>86</v>
      </c>
      <c r="G9" s="6">
        <v>1961</v>
      </c>
      <c r="H9" s="6">
        <v>605</v>
      </c>
      <c r="I9" s="6">
        <v>1959</v>
      </c>
      <c r="J9" s="6">
        <v>1884</v>
      </c>
      <c r="K9" s="6">
        <v>1046</v>
      </c>
      <c r="L9" s="6">
        <v>355</v>
      </c>
      <c r="M9" s="6">
        <v>323</v>
      </c>
      <c r="N9" s="6">
        <v>1313</v>
      </c>
      <c r="O9" s="6">
        <v>1319</v>
      </c>
      <c r="P9" s="6">
        <v>605</v>
      </c>
      <c r="Q9" s="6">
        <v>775</v>
      </c>
      <c r="R9" s="6">
        <v>718</v>
      </c>
      <c r="S9" s="6">
        <v>180</v>
      </c>
      <c r="T9" s="6">
        <v>680</v>
      </c>
      <c r="U9" s="6">
        <v>680</v>
      </c>
      <c r="V9" s="6">
        <v>907</v>
      </c>
      <c r="W9" s="6">
        <v>926</v>
      </c>
      <c r="X9" s="6">
        <v>614</v>
      </c>
      <c r="Y9" s="6">
        <v>3283</v>
      </c>
      <c r="Z9" s="6">
        <v>2724</v>
      </c>
      <c r="AA9" s="6">
        <v>227</v>
      </c>
      <c r="AB9" s="6">
        <v>2832</v>
      </c>
      <c r="AC9" s="6">
        <v>1234</v>
      </c>
      <c r="AD9" s="6">
        <v>599</v>
      </c>
      <c r="AE9" s="6">
        <v>1008</v>
      </c>
      <c r="AF9" s="6">
        <v>1094</v>
      </c>
      <c r="AG9" s="6">
        <v>4387</v>
      </c>
    </row>
    <row r="10" spans="1:35" ht="18" customHeight="1" x14ac:dyDescent="0.3">
      <c r="B10" s="6">
        <v>1024</v>
      </c>
      <c r="C10" s="6">
        <v>595</v>
      </c>
      <c r="D10" s="6">
        <v>193</v>
      </c>
      <c r="E10" s="6">
        <v>773</v>
      </c>
      <c r="F10" s="6">
        <v>86</v>
      </c>
      <c r="G10" s="6">
        <v>1961</v>
      </c>
      <c r="H10" s="6">
        <v>605</v>
      </c>
      <c r="I10" s="6">
        <v>1959</v>
      </c>
      <c r="J10" s="6">
        <v>1885</v>
      </c>
      <c r="K10" s="6">
        <v>1046</v>
      </c>
      <c r="L10" s="6">
        <v>355</v>
      </c>
      <c r="M10" s="6">
        <v>323</v>
      </c>
      <c r="N10" s="6">
        <v>1313</v>
      </c>
      <c r="O10" s="6">
        <v>1319</v>
      </c>
      <c r="P10" s="6">
        <v>605</v>
      </c>
      <c r="Q10" s="6">
        <v>775</v>
      </c>
      <c r="R10" s="6">
        <v>718</v>
      </c>
      <c r="S10" s="6">
        <v>180</v>
      </c>
      <c r="T10" s="6">
        <v>680</v>
      </c>
      <c r="U10" s="6">
        <v>680</v>
      </c>
      <c r="V10" s="6">
        <v>907</v>
      </c>
      <c r="W10" s="6">
        <v>926</v>
      </c>
      <c r="X10" s="6">
        <v>614</v>
      </c>
      <c r="Y10" s="6">
        <v>3284</v>
      </c>
      <c r="Z10" s="6">
        <v>2725</v>
      </c>
      <c r="AA10" s="6">
        <v>227</v>
      </c>
      <c r="AB10" s="6">
        <v>2833</v>
      </c>
      <c r="AC10" s="6">
        <v>1235</v>
      </c>
      <c r="AD10" s="6">
        <v>600</v>
      </c>
      <c r="AE10" s="6">
        <v>1008</v>
      </c>
      <c r="AF10" s="6">
        <v>1094</v>
      </c>
      <c r="AG10" s="6">
        <v>4389</v>
      </c>
    </row>
    <row r="12" spans="1:35" ht="18" customHeight="1" x14ac:dyDescent="0.3">
      <c r="A12" s="3"/>
      <c r="B12" s="4">
        <v>21752</v>
      </c>
      <c r="C12" s="4">
        <v>12855</v>
      </c>
      <c r="D12" s="4">
        <v>4091</v>
      </c>
      <c r="E12" s="4">
        <v>16362</v>
      </c>
      <c r="F12" s="4">
        <v>1859</v>
      </c>
      <c r="G12" s="4">
        <v>42279</v>
      </c>
      <c r="H12" s="4">
        <v>13086</v>
      </c>
      <c r="I12" s="4">
        <v>42276</v>
      </c>
      <c r="J12" s="4">
        <v>40094</v>
      </c>
      <c r="K12" s="4">
        <v>22551</v>
      </c>
      <c r="L12" s="4">
        <v>7553</v>
      </c>
      <c r="M12" s="4">
        <v>6971</v>
      </c>
      <c r="N12" s="4">
        <v>28338</v>
      </c>
      <c r="O12" s="4">
        <v>28342</v>
      </c>
      <c r="P12" s="4">
        <v>13118</v>
      </c>
      <c r="Q12" s="4">
        <v>16697</v>
      </c>
      <c r="R12" s="4">
        <v>15526</v>
      </c>
      <c r="S12" s="4">
        <v>3881</v>
      </c>
      <c r="T12" s="4">
        <v>14635</v>
      </c>
      <c r="U12" s="4">
        <v>14635</v>
      </c>
      <c r="V12" s="4">
        <v>19512</v>
      </c>
      <c r="W12" s="4">
        <v>19770</v>
      </c>
      <c r="X12" s="4">
        <v>13180</v>
      </c>
      <c r="Y12" s="4">
        <v>70853</v>
      </c>
      <c r="Z12" s="4">
        <v>58726</v>
      </c>
      <c r="AA12" s="4">
        <v>4895</v>
      </c>
      <c r="AB12" s="4">
        <v>61019</v>
      </c>
      <c r="AC12" s="4">
        <v>26534</v>
      </c>
      <c r="AD12" s="4">
        <v>12884</v>
      </c>
      <c r="AE12" s="4">
        <v>21742</v>
      </c>
      <c r="AF12" s="4">
        <v>23638</v>
      </c>
      <c r="AG12" s="4">
        <v>94545</v>
      </c>
      <c r="AH12" s="6">
        <f>47841+861147</f>
        <v>908988</v>
      </c>
      <c r="AI12" s="6">
        <v>901633</v>
      </c>
    </row>
    <row r="13" spans="1:35" ht="18" customHeight="1" x14ac:dyDescent="0.3">
      <c r="A13" s="3"/>
      <c r="B13" s="4">
        <v>22180</v>
      </c>
      <c r="C13" s="4">
        <v>13106</v>
      </c>
      <c r="D13" s="4">
        <v>4172</v>
      </c>
      <c r="E13" s="4">
        <v>16686</v>
      </c>
      <c r="F13" s="4">
        <v>1896</v>
      </c>
      <c r="G13" s="4">
        <v>43106</v>
      </c>
      <c r="H13" s="4">
        <v>13342</v>
      </c>
      <c r="I13" s="4">
        <v>43100</v>
      </c>
      <c r="J13" s="4">
        <v>40895</v>
      </c>
      <c r="K13" s="4">
        <v>22993</v>
      </c>
      <c r="L13" s="4">
        <v>7702</v>
      </c>
      <c r="M13" s="4">
        <v>7106</v>
      </c>
      <c r="N13" s="4">
        <v>28891</v>
      </c>
      <c r="O13" s="4">
        <v>28899</v>
      </c>
      <c r="P13" s="4">
        <v>13374</v>
      </c>
      <c r="Q13" s="4">
        <v>17023</v>
      </c>
      <c r="R13" s="4">
        <v>15829</v>
      </c>
      <c r="S13" s="4">
        <v>3957</v>
      </c>
      <c r="T13" s="4">
        <v>14921</v>
      </c>
      <c r="U13" s="4">
        <v>14921</v>
      </c>
      <c r="V13" s="4">
        <v>19894</v>
      </c>
      <c r="W13" s="4">
        <v>20160</v>
      </c>
      <c r="X13" s="4">
        <v>13438</v>
      </c>
      <c r="Y13" s="4">
        <v>72237</v>
      </c>
      <c r="Z13" s="4">
        <v>59875</v>
      </c>
      <c r="AA13" s="4">
        <v>4990</v>
      </c>
      <c r="AB13" s="4">
        <v>62212</v>
      </c>
      <c r="AC13" s="4">
        <v>27054</v>
      </c>
      <c r="AD13" s="4">
        <v>13138</v>
      </c>
      <c r="AE13" s="4">
        <v>22168</v>
      </c>
      <c r="AF13" s="4">
        <v>24099</v>
      </c>
      <c r="AG13" s="4">
        <v>96396</v>
      </c>
    </row>
    <row r="14" spans="1:35" ht="18" customHeight="1" x14ac:dyDescent="0.3">
      <c r="A14" s="3"/>
      <c r="B14" s="4">
        <v>22387</v>
      </c>
      <c r="C14" s="4">
        <v>13222</v>
      </c>
      <c r="D14" s="4">
        <v>4209</v>
      </c>
      <c r="E14" s="4">
        <v>16836</v>
      </c>
      <c r="F14" s="4">
        <v>1912</v>
      </c>
      <c r="G14" s="4">
        <v>43492</v>
      </c>
      <c r="H14" s="4">
        <v>13461</v>
      </c>
      <c r="I14" s="4">
        <v>43486</v>
      </c>
      <c r="J14" s="4">
        <v>41264</v>
      </c>
      <c r="K14" s="4">
        <v>23198</v>
      </c>
      <c r="L14" s="4">
        <v>7773</v>
      </c>
      <c r="M14" s="4">
        <v>7170</v>
      </c>
      <c r="N14" s="4">
        <v>29149</v>
      </c>
      <c r="O14" s="4">
        <v>29157</v>
      </c>
      <c r="P14" s="4">
        <v>13493</v>
      </c>
      <c r="Q14" s="4">
        <v>17176</v>
      </c>
      <c r="R14" s="4">
        <v>15970</v>
      </c>
      <c r="S14" s="4">
        <v>3992</v>
      </c>
      <c r="T14" s="4">
        <v>15055</v>
      </c>
      <c r="U14" s="4">
        <v>15055</v>
      </c>
      <c r="V14" s="4">
        <v>20072</v>
      </c>
      <c r="W14" s="4">
        <v>20342</v>
      </c>
      <c r="X14" s="4">
        <v>13559</v>
      </c>
      <c r="Y14" s="4">
        <v>72880</v>
      </c>
      <c r="Z14" s="4">
        <v>60410</v>
      </c>
      <c r="AA14" s="4">
        <v>5035</v>
      </c>
      <c r="AB14" s="4">
        <v>62768</v>
      </c>
      <c r="AC14" s="4">
        <v>27296</v>
      </c>
      <c r="AD14" s="4">
        <v>13255</v>
      </c>
      <c r="AE14" s="4">
        <v>22366</v>
      </c>
      <c r="AF14" s="4">
        <v>24313</v>
      </c>
      <c r="AG14" s="4">
        <v>94256</v>
      </c>
    </row>
    <row r="15" spans="1:35" ht="18" customHeight="1" x14ac:dyDescent="0.3">
      <c r="A15" s="3"/>
      <c r="B15" s="4">
        <v>22515</v>
      </c>
      <c r="C15" s="4">
        <v>13297</v>
      </c>
      <c r="D15" s="4">
        <v>4235</v>
      </c>
      <c r="E15" s="4">
        <v>16938</v>
      </c>
      <c r="F15" s="4">
        <v>1923</v>
      </c>
      <c r="G15" s="4">
        <v>43736</v>
      </c>
      <c r="H15" s="4">
        <v>13535</v>
      </c>
      <c r="I15" s="4">
        <v>43734</v>
      </c>
      <c r="J15" s="4">
        <v>41498</v>
      </c>
      <c r="K15" s="4">
        <v>23328</v>
      </c>
      <c r="L15" s="4">
        <v>7817</v>
      </c>
      <c r="M15" s="4">
        <v>7211</v>
      </c>
      <c r="N15" s="4">
        <v>29313</v>
      </c>
      <c r="O15" s="4">
        <v>29322</v>
      </c>
      <c r="P15" s="4">
        <v>13567</v>
      </c>
      <c r="Q15" s="4">
        <v>17272</v>
      </c>
      <c r="R15" s="4">
        <v>16059</v>
      </c>
      <c r="S15" s="4">
        <v>4015</v>
      </c>
      <c r="T15" s="4">
        <v>15140</v>
      </c>
      <c r="U15" s="4">
        <v>15140</v>
      </c>
      <c r="V15" s="4">
        <v>20186</v>
      </c>
      <c r="W15" s="4">
        <v>20458</v>
      </c>
      <c r="X15" s="4">
        <v>13637</v>
      </c>
      <c r="Y15" s="4">
        <v>73291</v>
      </c>
      <c r="Z15" s="4">
        <v>60751</v>
      </c>
      <c r="AA15" s="4">
        <v>5064</v>
      </c>
      <c r="AB15" s="4">
        <v>63123</v>
      </c>
      <c r="AC15" s="4">
        <v>27451</v>
      </c>
      <c r="AD15" s="4">
        <v>13330</v>
      </c>
      <c r="AE15" s="4">
        <v>22491</v>
      </c>
      <c r="AF15" s="4">
        <v>24450</v>
      </c>
      <c r="AG15" s="4">
        <v>97805</v>
      </c>
    </row>
    <row r="16" spans="1:35" ht="18" customHeight="1" x14ac:dyDescent="0.3">
      <c r="B16" s="6">
        <v>24406</v>
      </c>
      <c r="C16" s="6">
        <v>14413</v>
      </c>
      <c r="D16" s="6">
        <v>4591</v>
      </c>
      <c r="E16" s="6">
        <v>18365</v>
      </c>
      <c r="F16" s="6">
        <v>2084</v>
      </c>
      <c r="G16" s="6">
        <v>47408</v>
      </c>
      <c r="H16" s="6">
        <v>14670</v>
      </c>
      <c r="I16" s="6">
        <v>47402</v>
      </c>
      <c r="J16" s="6">
        <v>44966</v>
      </c>
      <c r="K16" s="6">
        <v>25287</v>
      </c>
      <c r="L16" s="6">
        <v>8474</v>
      </c>
      <c r="M16" s="6">
        <v>7817</v>
      </c>
      <c r="N16" s="6">
        <v>31775</v>
      </c>
      <c r="O16" s="6">
        <v>31784</v>
      </c>
      <c r="P16" s="6">
        <v>14705</v>
      </c>
      <c r="Q16" s="6">
        <v>18721</v>
      </c>
      <c r="R16" s="6">
        <v>17408</v>
      </c>
      <c r="S16" s="6">
        <v>4350</v>
      </c>
      <c r="T16" s="6">
        <v>16140</v>
      </c>
      <c r="U16" s="6">
        <v>16140</v>
      </c>
      <c r="V16" s="6">
        <v>21881</v>
      </c>
      <c r="W16" s="6">
        <v>22171</v>
      </c>
      <c r="X16" s="6">
        <v>14782</v>
      </c>
      <c r="Y16" s="6">
        <v>79442</v>
      </c>
      <c r="Z16" s="6">
        <v>65849</v>
      </c>
      <c r="AA16" s="6">
        <v>5488</v>
      </c>
      <c r="AB16" s="6">
        <v>68422</v>
      </c>
      <c r="AC16" s="6">
        <v>29756</v>
      </c>
      <c r="AD16" s="6">
        <v>14450</v>
      </c>
      <c r="AE16" s="6">
        <v>24379</v>
      </c>
      <c r="AF16" s="6">
        <v>26501</v>
      </c>
      <c r="AG16" s="6">
        <v>106015</v>
      </c>
    </row>
    <row r="17" spans="2:35" ht="18" customHeight="1" x14ac:dyDescent="0.3">
      <c r="B17" s="6">
        <v>25565</v>
      </c>
      <c r="C17" s="6">
        <v>15102</v>
      </c>
      <c r="D17" s="6">
        <v>4809</v>
      </c>
      <c r="E17" s="6">
        <v>19236</v>
      </c>
      <c r="F17" s="6">
        <v>2183</v>
      </c>
      <c r="G17" s="6">
        <v>49670</v>
      </c>
      <c r="H17" s="6">
        <v>15369</v>
      </c>
      <c r="I17" s="6">
        <v>49672</v>
      </c>
      <c r="J17" s="6">
        <v>47118</v>
      </c>
      <c r="K17" s="6">
        <v>26493</v>
      </c>
      <c r="L17" s="6">
        <v>8881</v>
      </c>
      <c r="M17" s="6">
        <v>8192</v>
      </c>
      <c r="N17" s="6">
        <v>33295</v>
      </c>
      <c r="O17" s="6">
        <v>33301</v>
      </c>
      <c r="P17" s="6">
        <v>15408</v>
      </c>
      <c r="Q17" s="6">
        <v>19613</v>
      </c>
      <c r="R17" s="6">
        <v>18240</v>
      </c>
      <c r="S17" s="6">
        <v>4557</v>
      </c>
      <c r="T17" s="6">
        <v>17195</v>
      </c>
      <c r="U17" s="6">
        <v>17195</v>
      </c>
      <c r="V17" s="6">
        <v>22926</v>
      </c>
      <c r="W17" s="6">
        <v>23227</v>
      </c>
      <c r="X17" s="6">
        <v>15489</v>
      </c>
      <c r="Y17" s="6">
        <v>83235</v>
      </c>
      <c r="Z17" s="6">
        <v>68993</v>
      </c>
      <c r="AA17" s="6">
        <v>5749</v>
      </c>
      <c r="AB17" s="6">
        <v>71687</v>
      </c>
      <c r="AC17" s="6">
        <v>31176</v>
      </c>
      <c r="AD17" s="6">
        <v>15139</v>
      </c>
      <c r="AE17" s="6">
        <v>25542</v>
      </c>
      <c r="AF17" s="6">
        <v>27768</v>
      </c>
      <c r="AG17" s="6">
        <v>111074</v>
      </c>
    </row>
    <row r="19" spans="2:35" ht="18" customHeight="1" x14ac:dyDescent="0.3">
      <c r="B19" s="4">
        <f>(B12-B5)/$B$1</f>
        <v>6.0232623318385654</v>
      </c>
      <c r="C19" s="4">
        <f t="shared" ref="C19:AG19" si="0">(C12-C5)/$B$1</f>
        <v>3.5599775784753365</v>
      </c>
      <c r="D19" s="4">
        <f t="shared" si="0"/>
        <v>1.132847533632287</v>
      </c>
      <c r="E19" s="4">
        <f t="shared" si="0"/>
        <v>4.5305493273542599</v>
      </c>
      <c r="F19" s="4">
        <f t="shared" si="0"/>
        <v>0.51485426008968604</v>
      </c>
      <c r="G19" s="4">
        <f t="shared" si="0"/>
        <v>11.708520179372197</v>
      </c>
      <c r="H19" s="4">
        <f t="shared" si="0"/>
        <v>3.6238789237668163</v>
      </c>
      <c r="I19" s="4">
        <f t="shared" si="0"/>
        <v>11.708520179372197</v>
      </c>
      <c r="J19" s="4">
        <f t="shared" si="0"/>
        <v>11.102858744394618</v>
      </c>
      <c r="K19" s="4">
        <f t="shared" si="0"/>
        <v>6.2452354260089686</v>
      </c>
      <c r="L19" s="4">
        <f t="shared" si="0"/>
        <v>2.0913677130044843</v>
      </c>
      <c r="M19" s="4">
        <f t="shared" si="0"/>
        <v>1.9304932735426008</v>
      </c>
      <c r="N19" s="4">
        <f t="shared" si="0"/>
        <v>7.8478139013452912</v>
      </c>
      <c r="O19" s="4">
        <f t="shared" si="0"/>
        <v>7.8486547085201792</v>
      </c>
      <c r="P19" s="4">
        <f t="shared" si="0"/>
        <v>3.6328475336322872</v>
      </c>
      <c r="Q19" s="4">
        <f t="shared" si="0"/>
        <v>4.6238789237668163</v>
      </c>
      <c r="R19" s="4">
        <f t="shared" si="0"/>
        <v>4.2998878923766819</v>
      </c>
      <c r="S19" s="4">
        <f t="shared" si="0"/>
        <v>1.0745515695067265</v>
      </c>
      <c r="T19" s="4">
        <f t="shared" si="0"/>
        <v>4.0529708520179373</v>
      </c>
      <c r="U19" s="4">
        <f t="shared" si="0"/>
        <v>4.0529708520179373</v>
      </c>
      <c r="V19" s="4">
        <f t="shared" si="0"/>
        <v>5.4035874439461882</v>
      </c>
      <c r="W19" s="4">
        <f t="shared" si="0"/>
        <v>5.4744955156950672</v>
      </c>
      <c r="X19" s="4">
        <f t="shared" si="0"/>
        <v>3.6499439461883409</v>
      </c>
      <c r="Y19" s="4">
        <f t="shared" si="0"/>
        <v>19.621636771300448</v>
      </c>
      <c r="Z19" s="4">
        <f t="shared" si="0"/>
        <v>16.263452914798208</v>
      </c>
      <c r="AA19" s="4">
        <f t="shared" si="0"/>
        <v>1.3556614349775784</v>
      </c>
      <c r="AB19" s="4">
        <f t="shared" si="0"/>
        <v>16.898262331838566</v>
      </c>
      <c r="AC19" s="4">
        <f t="shared" si="0"/>
        <v>7.3480941704035878</v>
      </c>
      <c r="AD19" s="4">
        <f t="shared" si="0"/>
        <v>3.5678251121076232</v>
      </c>
      <c r="AE19" s="4">
        <f t="shared" si="0"/>
        <v>6.0213004484304928</v>
      </c>
      <c r="AF19" s="4">
        <f t="shared" si="0"/>
        <v>6.5462443946188342</v>
      </c>
      <c r="AG19" s="4">
        <f t="shared" si="0"/>
        <v>26.182735426008968</v>
      </c>
      <c r="AH19" s="4">
        <f t="shared" ref="AH19:AI19" si="1">(AH12-AH5)/$B$1</f>
        <v>244.69534753363229</v>
      </c>
      <c r="AI19" s="4">
        <f t="shared" si="1"/>
        <v>242.71300448430495</v>
      </c>
    </row>
    <row r="20" spans="2:35" ht="18" customHeight="1" x14ac:dyDescent="0.3">
      <c r="B20" s="4">
        <f t="shared" ref="B20" si="2">(B13-B6)/$B$1</f>
        <v>6.0232623318385654</v>
      </c>
      <c r="C20" s="4">
        <f t="shared" ref="C20:AG20" si="3">(C13-C6)/$B$1</f>
        <v>3.5599775784753365</v>
      </c>
      <c r="D20" s="4">
        <f t="shared" si="3"/>
        <v>1.132847533632287</v>
      </c>
      <c r="E20" s="4">
        <f t="shared" si="3"/>
        <v>4.5305493273542599</v>
      </c>
      <c r="F20" s="4">
        <f t="shared" si="3"/>
        <v>0.51485426008968604</v>
      </c>
      <c r="G20" s="4">
        <f t="shared" si="3"/>
        <v>11.708520179372197</v>
      </c>
      <c r="H20" s="4">
        <f t="shared" si="3"/>
        <v>3.6238789237668163</v>
      </c>
      <c r="I20" s="4">
        <f t="shared" si="3"/>
        <v>11.708520179372197</v>
      </c>
      <c r="J20" s="4">
        <f t="shared" si="3"/>
        <v>11.102858744394618</v>
      </c>
      <c r="K20" s="4">
        <f t="shared" si="3"/>
        <v>6.2452354260089686</v>
      </c>
      <c r="L20" s="4">
        <f t="shared" si="3"/>
        <v>2.0913677130044843</v>
      </c>
      <c r="M20" s="4">
        <f t="shared" si="3"/>
        <v>1.9304932735426008</v>
      </c>
      <c r="N20" s="4">
        <f t="shared" si="3"/>
        <v>7.8478139013452912</v>
      </c>
      <c r="O20" s="4">
        <f t="shared" si="3"/>
        <v>7.8489349775784749</v>
      </c>
      <c r="P20" s="4">
        <f t="shared" si="3"/>
        <v>3.6328475336322872</v>
      </c>
      <c r="Q20" s="4">
        <f t="shared" si="3"/>
        <v>4.6235986547085206</v>
      </c>
      <c r="R20" s="4">
        <f t="shared" si="3"/>
        <v>4.2996076233183853</v>
      </c>
      <c r="S20" s="4">
        <f t="shared" si="3"/>
        <v>1.0748318385650224</v>
      </c>
      <c r="T20" s="4">
        <f t="shared" si="3"/>
        <v>4.0526905829596416</v>
      </c>
      <c r="U20" s="4">
        <f t="shared" si="3"/>
        <v>4.0526905829596416</v>
      </c>
      <c r="V20" s="4">
        <f t="shared" si="3"/>
        <v>5.4035874439461882</v>
      </c>
      <c r="W20" s="4">
        <f t="shared" si="3"/>
        <v>5.4744955156950672</v>
      </c>
      <c r="X20" s="4">
        <f t="shared" si="3"/>
        <v>3.6499439461883409</v>
      </c>
      <c r="Y20" s="4">
        <f t="shared" si="3"/>
        <v>19.621356502242154</v>
      </c>
      <c r="Z20" s="4">
        <f t="shared" si="3"/>
        <v>16.263452914798208</v>
      </c>
      <c r="AA20" s="4">
        <f t="shared" si="3"/>
        <v>1.3556614349775784</v>
      </c>
      <c r="AB20" s="4">
        <f t="shared" si="3"/>
        <v>16.898262331838566</v>
      </c>
      <c r="AC20" s="4">
        <f t="shared" si="3"/>
        <v>7.3480941704035878</v>
      </c>
      <c r="AD20" s="4">
        <f t="shared" si="3"/>
        <v>3.5681053811659194</v>
      </c>
      <c r="AE20" s="4">
        <f t="shared" si="3"/>
        <v>6.0213004484304928</v>
      </c>
      <c r="AF20" s="4">
        <f t="shared" si="3"/>
        <v>6.5462443946188342</v>
      </c>
      <c r="AG20" s="4">
        <f t="shared" si="3"/>
        <v>26.182735426008968</v>
      </c>
    </row>
    <row r="21" spans="2:35" ht="18" customHeight="1" x14ac:dyDescent="0.3">
      <c r="B21" s="4">
        <f t="shared" ref="B21" si="4">(B14-B7)/$B$1</f>
        <v>6.0232623318385654</v>
      </c>
      <c r="C21" s="4">
        <f t="shared" ref="C21:AG21" si="5">(C14-C7)/$B$1</f>
        <v>3.5599775784753365</v>
      </c>
      <c r="D21" s="4">
        <f t="shared" si="5"/>
        <v>1.132567264573991</v>
      </c>
      <c r="E21" s="4">
        <f t="shared" si="5"/>
        <v>4.5305493273542599</v>
      </c>
      <c r="F21" s="4">
        <f t="shared" si="5"/>
        <v>0.51485426008968604</v>
      </c>
      <c r="G21" s="4">
        <f t="shared" si="5"/>
        <v>11.708800448430493</v>
      </c>
      <c r="H21" s="4">
        <f t="shared" si="5"/>
        <v>3.624159192825112</v>
      </c>
      <c r="I21" s="4">
        <f t="shared" si="5"/>
        <v>11.708520179372197</v>
      </c>
      <c r="J21" s="4">
        <f t="shared" si="5"/>
        <v>11.102858744394618</v>
      </c>
      <c r="K21" s="4">
        <f t="shared" si="5"/>
        <v>6.2452354260089686</v>
      </c>
      <c r="L21" s="4">
        <f t="shared" si="5"/>
        <v>2.0913677130044843</v>
      </c>
      <c r="M21" s="4">
        <f t="shared" si="5"/>
        <v>1.9304932735426008</v>
      </c>
      <c r="N21" s="4">
        <f t="shared" si="5"/>
        <v>7.8478139013452912</v>
      </c>
      <c r="O21" s="4">
        <f t="shared" si="5"/>
        <v>7.8489349775784749</v>
      </c>
      <c r="P21" s="4">
        <f t="shared" si="5"/>
        <v>3.6331278026905829</v>
      </c>
      <c r="Q21" s="4">
        <f t="shared" si="5"/>
        <v>4.6238789237668163</v>
      </c>
      <c r="R21" s="4">
        <f t="shared" si="5"/>
        <v>4.2996076233183853</v>
      </c>
      <c r="S21" s="4">
        <f t="shared" si="5"/>
        <v>1.0745515695067265</v>
      </c>
      <c r="T21" s="4">
        <f t="shared" si="5"/>
        <v>4.0529708520179373</v>
      </c>
      <c r="U21" s="4">
        <f t="shared" si="5"/>
        <v>4.0529708520179373</v>
      </c>
      <c r="V21" s="4">
        <f t="shared" si="5"/>
        <v>5.4035874439461882</v>
      </c>
      <c r="W21" s="4">
        <f t="shared" si="5"/>
        <v>5.4744955156950672</v>
      </c>
      <c r="X21" s="4">
        <f t="shared" si="5"/>
        <v>3.6499439461883409</v>
      </c>
      <c r="Y21" s="4">
        <f t="shared" si="5"/>
        <v>19.621356502242154</v>
      </c>
      <c r="Z21" s="4">
        <f t="shared" si="5"/>
        <v>16.263452914798208</v>
      </c>
      <c r="AA21" s="4">
        <f t="shared" si="5"/>
        <v>1.3556614349775784</v>
      </c>
      <c r="AB21" s="4">
        <f t="shared" si="5"/>
        <v>16.898262331838566</v>
      </c>
      <c r="AC21" s="4">
        <f t="shared" si="5"/>
        <v>7.3480941704035878</v>
      </c>
      <c r="AD21" s="4">
        <f t="shared" si="5"/>
        <v>3.5678251121076232</v>
      </c>
      <c r="AE21" s="4">
        <f t="shared" si="5"/>
        <v>6.0213004484304928</v>
      </c>
      <c r="AF21" s="4">
        <f t="shared" si="5"/>
        <v>6.5459641255605385</v>
      </c>
      <c r="AG21" s="4">
        <f t="shared" si="5"/>
        <v>25.341928251121075</v>
      </c>
    </row>
    <row r="22" spans="2:35" ht="18" customHeight="1" x14ac:dyDescent="0.3">
      <c r="B22" s="4">
        <f t="shared" ref="B22" si="6">(B15-B8)/$B$1</f>
        <v>6.0232623318385654</v>
      </c>
      <c r="C22" s="4">
        <f t="shared" ref="C22:AG22" si="7">(C15-C8)/$B$1</f>
        <v>3.5599775784753365</v>
      </c>
      <c r="D22" s="4">
        <f t="shared" si="7"/>
        <v>1.132847533632287</v>
      </c>
      <c r="E22" s="4">
        <f t="shared" si="7"/>
        <v>4.5305493273542599</v>
      </c>
      <c r="F22" s="4">
        <f t="shared" si="7"/>
        <v>0.51485426008968604</v>
      </c>
      <c r="G22" s="4">
        <f t="shared" si="7"/>
        <v>11.708520179372197</v>
      </c>
      <c r="H22" s="4">
        <f t="shared" si="7"/>
        <v>3.6238789237668163</v>
      </c>
      <c r="I22" s="4">
        <f t="shared" si="7"/>
        <v>11.708520179372197</v>
      </c>
      <c r="J22" s="4">
        <f t="shared" si="7"/>
        <v>11.102858744394618</v>
      </c>
      <c r="K22" s="4">
        <f t="shared" si="7"/>
        <v>6.2452354260089686</v>
      </c>
      <c r="L22" s="4">
        <f t="shared" si="7"/>
        <v>2.0913677130044843</v>
      </c>
      <c r="M22" s="4">
        <f t="shared" si="7"/>
        <v>1.9304932735426008</v>
      </c>
      <c r="N22" s="4">
        <f t="shared" si="7"/>
        <v>7.8478139013452912</v>
      </c>
      <c r="O22" s="4">
        <f t="shared" si="7"/>
        <v>7.8486547085201792</v>
      </c>
      <c r="P22" s="4">
        <f t="shared" si="7"/>
        <v>3.6328475336322872</v>
      </c>
      <c r="Q22" s="4">
        <f t="shared" si="7"/>
        <v>4.6235986547085206</v>
      </c>
      <c r="R22" s="4">
        <f t="shared" si="7"/>
        <v>4.2996076233183853</v>
      </c>
      <c r="S22" s="4">
        <f t="shared" si="7"/>
        <v>1.0748318385650224</v>
      </c>
      <c r="T22" s="4">
        <f t="shared" si="7"/>
        <v>4.0526905829596416</v>
      </c>
      <c r="U22" s="4">
        <f t="shared" si="7"/>
        <v>4.0526905829596416</v>
      </c>
      <c r="V22" s="4">
        <f t="shared" si="7"/>
        <v>5.4035874439461882</v>
      </c>
      <c r="W22" s="4">
        <f t="shared" si="7"/>
        <v>5.4744955156950672</v>
      </c>
      <c r="X22" s="4">
        <f t="shared" si="7"/>
        <v>3.6499439461883409</v>
      </c>
      <c r="Y22" s="4">
        <f t="shared" si="7"/>
        <v>19.621356502242154</v>
      </c>
      <c r="Z22" s="4">
        <f t="shared" si="7"/>
        <v>16.263452914798208</v>
      </c>
      <c r="AA22" s="4">
        <f t="shared" si="7"/>
        <v>1.3556614349775784</v>
      </c>
      <c r="AB22" s="4">
        <f t="shared" si="7"/>
        <v>16.898262331838566</v>
      </c>
      <c r="AC22" s="4">
        <f t="shared" si="7"/>
        <v>7.3478139013452912</v>
      </c>
      <c r="AD22" s="4">
        <f t="shared" si="7"/>
        <v>3.5681053811659194</v>
      </c>
      <c r="AE22" s="4">
        <f t="shared" si="7"/>
        <v>6.0213004484304928</v>
      </c>
      <c r="AF22" s="4">
        <f t="shared" si="7"/>
        <v>6.5462443946188342</v>
      </c>
      <c r="AG22" s="4">
        <f t="shared" si="7"/>
        <v>26.182735426008968</v>
      </c>
    </row>
    <row r="23" spans="2:35" ht="18" customHeight="1" x14ac:dyDescent="0.3">
      <c r="B23" s="4">
        <f>(B16-B9)/$B$1</f>
        <v>6.553251121076233</v>
      </c>
      <c r="C23" s="4">
        <f t="shared" ref="C23:AG23" si="8">(C16-C9)/$B$1</f>
        <v>3.8727578475336322</v>
      </c>
      <c r="D23" s="4">
        <f t="shared" si="8"/>
        <v>1.2326233183856503</v>
      </c>
      <c r="E23" s="4">
        <f t="shared" si="8"/>
        <v>4.9304932735426013</v>
      </c>
      <c r="F23" s="4">
        <f t="shared" si="8"/>
        <v>0.55997757847533636</v>
      </c>
      <c r="G23" s="4">
        <f t="shared" si="8"/>
        <v>12.737387892376681</v>
      </c>
      <c r="H23" s="4">
        <f t="shared" si="8"/>
        <v>3.9419843049327352</v>
      </c>
      <c r="I23" s="4">
        <f t="shared" si="8"/>
        <v>12.736266816143498</v>
      </c>
      <c r="J23" s="4">
        <f t="shared" si="8"/>
        <v>12.074551569506726</v>
      </c>
      <c r="K23" s="4">
        <f t="shared" si="8"/>
        <v>6.794002242152466</v>
      </c>
      <c r="L23" s="4">
        <f t="shared" si="8"/>
        <v>2.2755044843049328</v>
      </c>
      <c r="M23" s="4">
        <f t="shared" si="8"/>
        <v>2.1003363228699552</v>
      </c>
      <c r="N23" s="4">
        <f t="shared" si="8"/>
        <v>8.5375560538116595</v>
      </c>
      <c r="O23" s="4">
        <f t="shared" si="8"/>
        <v>8.5383968609865466</v>
      </c>
      <c r="P23" s="4">
        <f t="shared" si="8"/>
        <v>3.9517937219730941</v>
      </c>
      <c r="Q23" s="4">
        <f t="shared" si="8"/>
        <v>5.0297085201793719</v>
      </c>
      <c r="R23" s="4">
        <f t="shared" si="8"/>
        <v>4.6776905829596416</v>
      </c>
      <c r="S23" s="4">
        <f t="shared" si="8"/>
        <v>1.1687219730941705</v>
      </c>
      <c r="T23" s="4">
        <f t="shared" si="8"/>
        <v>4.3329596412556057</v>
      </c>
      <c r="U23" s="4">
        <f t="shared" si="8"/>
        <v>4.3329596412556057</v>
      </c>
      <c r="V23" s="4">
        <f t="shared" si="8"/>
        <v>5.878363228699552</v>
      </c>
      <c r="W23" s="4">
        <f t="shared" si="8"/>
        <v>5.9543161434977581</v>
      </c>
      <c r="X23" s="4">
        <f t="shared" si="8"/>
        <v>3.9708520179372195</v>
      </c>
      <c r="Y23" s="4">
        <f t="shared" si="8"/>
        <v>21.345011210762333</v>
      </c>
      <c r="Z23" s="4">
        <f t="shared" si="8"/>
        <v>17.691984304932735</v>
      </c>
      <c r="AA23" s="4">
        <f t="shared" si="8"/>
        <v>1.4744955156950672</v>
      </c>
      <c r="AB23" s="4">
        <f t="shared" si="8"/>
        <v>18.382847533632287</v>
      </c>
      <c r="AC23" s="4">
        <f t="shared" si="8"/>
        <v>7.9938340807174884</v>
      </c>
      <c r="AD23" s="4">
        <f t="shared" si="8"/>
        <v>3.8820067264573992</v>
      </c>
      <c r="AE23" s="4">
        <f t="shared" si="8"/>
        <v>6.5501681614349776</v>
      </c>
      <c r="AF23" s="4">
        <f t="shared" si="8"/>
        <v>7.1207959641255609</v>
      </c>
      <c r="AG23" s="4">
        <f t="shared" si="8"/>
        <v>28.483183856502244</v>
      </c>
    </row>
    <row r="24" spans="2:35" ht="18" customHeight="1" x14ac:dyDescent="0.3">
      <c r="B24" s="4">
        <f t="shared" ref="B24:AG24" si="9">(B17-B10)/$B$1</f>
        <v>6.8780829596412554</v>
      </c>
      <c r="C24" s="4">
        <f t="shared" si="9"/>
        <v>4.065863228699552</v>
      </c>
      <c r="D24" s="4">
        <f t="shared" si="9"/>
        <v>1.2937219730941705</v>
      </c>
      <c r="E24" s="4">
        <f t="shared" si="9"/>
        <v>5.1746076233183853</v>
      </c>
      <c r="F24" s="4">
        <f t="shared" si="9"/>
        <v>0.58772421524663676</v>
      </c>
      <c r="G24" s="4">
        <f t="shared" si="9"/>
        <v>13.371356502242152</v>
      </c>
      <c r="H24" s="4">
        <f t="shared" si="9"/>
        <v>4.1378923766816147</v>
      </c>
      <c r="I24" s="4">
        <f t="shared" si="9"/>
        <v>13.372477578475337</v>
      </c>
      <c r="J24" s="4">
        <f t="shared" si="9"/>
        <v>12.677410313901346</v>
      </c>
      <c r="K24" s="4">
        <f t="shared" si="9"/>
        <v>7.1320067264573987</v>
      </c>
      <c r="L24" s="4">
        <f t="shared" si="9"/>
        <v>2.3895739910313902</v>
      </c>
      <c r="M24" s="4">
        <f t="shared" si="9"/>
        <v>2.2054372197309418</v>
      </c>
      <c r="N24" s="4">
        <f t="shared" si="9"/>
        <v>8.9635650224215251</v>
      </c>
      <c r="O24" s="4">
        <f t="shared" si="9"/>
        <v>8.9635650224215251</v>
      </c>
      <c r="P24" s="4">
        <f t="shared" si="9"/>
        <v>4.1488228699551568</v>
      </c>
      <c r="Q24" s="4">
        <f t="shared" si="9"/>
        <v>5.2797085201793719</v>
      </c>
      <c r="R24" s="4">
        <f t="shared" si="9"/>
        <v>4.9108744394618835</v>
      </c>
      <c r="S24" s="4">
        <f t="shared" si="9"/>
        <v>1.226737668161435</v>
      </c>
      <c r="T24" s="4">
        <f t="shared" si="9"/>
        <v>4.6286434977578477</v>
      </c>
      <c r="U24" s="4">
        <f t="shared" si="9"/>
        <v>4.6286434977578477</v>
      </c>
      <c r="V24" s="4">
        <f t="shared" si="9"/>
        <v>6.1712443946188342</v>
      </c>
      <c r="W24" s="4">
        <f t="shared" si="9"/>
        <v>6.2502802690582957</v>
      </c>
      <c r="X24" s="4">
        <f t="shared" si="9"/>
        <v>4.169002242152466</v>
      </c>
      <c r="Y24" s="4">
        <f t="shared" si="9"/>
        <v>22.407791479820627</v>
      </c>
      <c r="Z24" s="4">
        <f t="shared" si="9"/>
        <v>18.57286995515695</v>
      </c>
      <c r="AA24" s="4">
        <f t="shared" si="9"/>
        <v>1.5476457399103138</v>
      </c>
      <c r="AB24" s="4">
        <f t="shared" si="9"/>
        <v>19.297645739910315</v>
      </c>
      <c r="AC24" s="4">
        <f t="shared" si="9"/>
        <v>8.3915358744394624</v>
      </c>
      <c r="AD24" s="4">
        <f t="shared" si="9"/>
        <v>4.0748318385650224</v>
      </c>
      <c r="AE24" s="4">
        <f t="shared" si="9"/>
        <v>6.8761210762331837</v>
      </c>
      <c r="AF24" s="4">
        <f t="shared" si="9"/>
        <v>7.4758968609865475</v>
      </c>
      <c r="AG24" s="4">
        <f t="shared" si="9"/>
        <v>29.900504484304932</v>
      </c>
    </row>
  </sheetData>
  <mergeCells count="10">
    <mergeCell ref="AF3:AG3"/>
    <mergeCell ref="W3:X3"/>
    <mergeCell ref="AD3:AE3"/>
    <mergeCell ref="D3:E3"/>
    <mergeCell ref="N3:O3"/>
    <mergeCell ref="J3:K3"/>
    <mergeCell ref="R3:S3"/>
    <mergeCell ref="P3:Q3"/>
    <mergeCell ref="T3:V3"/>
    <mergeCell ref="Z3:AA3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6.5" x14ac:dyDescent="0.3"/>
  <sheetData>
    <row r="1" spans="1:1" x14ac:dyDescent="0.3">
      <c r="A1" t="s">
        <v>424</v>
      </c>
    </row>
    <row r="2" spans="1:1" x14ac:dyDescent="0.3">
      <c r="A2" t="s">
        <v>403</v>
      </c>
    </row>
    <row r="3" spans="1:1" x14ac:dyDescent="0.3">
      <c r="A3" t="s">
        <v>423</v>
      </c>
    </row>
    <row r="4" spans="1:1" x14ac:dyDescent="0.3">
      <c r="A4" t="s">
        <v>404</v>
      </c>
    </row>
    <row r="5" spans="1:1" x14ac:dyDescent="0.3">
      <c r="A5" t="s">
        <v>406</v>
      </c>
    </row>
    <row r="6" spans="1:1" x14ac:dyDescent="0.3">
      <c r="A6" s="91" t="s">
        <v>410</v>
      </c>
    </row>
    <row r="7" spans="1:1" x14ac:dyDescent="0.3">
      <c r="A7" t="s">
        <v>407</v>
      </c>
    </row>
    <row r="8" spans="1:1" x14ac:dyDescent="0.3">
      <c r="A8" s="91" t="s">
        <v>411</v>
      </c>
    </row>
    <row r="9" spans="1:1" x14ac:dyDescent="0.3">
      <c r="A9" t="s">
        <v>430</v>
      </c>
    </row>
    <row r="10" spans="1:1" x14ac:dyDescent="0.3">
      <c r="A10" t="s">
        <v>418</v>
      </c>
    </row>
    <row r="12" spans="1:1" x14ac:dyDescent="0.3">
      <c r="A12" t="s">
        <v>431</v>
      </c>
    </row>
    <row r="13" spans="1:1" x14ac:dyDescent="0.3">
      <c r="A13" t="s">
        <v>432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입력란</vt:lpstr>
      <vt:lpstr>DPS표</vt:lpstr>
      <vt:lpstr>트라이포드</vt:lpstr>
      <vt:lpstr>스킬 계수</vt:lpstr>
      <vt:lpstr>업데이트 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</dc:creator>
  <cp:lastModifiedBy>Colorful</cp:lastModifiedBy>
  <dcterms:created xsi:type="dcterms:W3CDTF">2020-08-30T11:42:54Z</dcterms:created>
  <dcterms:modified xsi:type="dcterms:W3CDTF">2021-10-14T15:41:11Z</dcterms:modified>
</cp:coreProperties>
</file>