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pc\Documents\"/>
    </mc:Choice>
  </mc:AlternateContent>
  <xr:revisionPtr revIDLastSave="0" documentId="8_{1F605816-C8A6-4573-A0DE-4CC8B15F6C8A}" xr6:coauthVersionLast="47" xr6:coauthVersionMax="47" xr10:uidLastSave="{00000000-0000-0000-0000-000000000000}"/>
  <bookViews>
    <workbookView xWindow="38280" yWindow="-120" windowWidth="29040" windowHeight="15840" xr2:uid="{705BDA89-4A2D-4675-8767-AD778ACA29A4}"/>
  </bookViews>
  <sheets>
    <sheet name="실제 사용하는 트라이포드 조합" sheetId="9" r:id="rId1"/>
    <sheet name="피해량이 높은 트라이포드 조합" sheetId="7" r:id="rId2"/>
    <sheet name="해방스킬 트라이포드별 피해량" sheetId="6" r:id="rId3"/>
    <sheet name="집속스킬 트라이포드별 피해량" sheetId="5" r:id="rId4"/>
    <sheet name="해방스킬 계수" sheetId="4" r:id="rId5"/>
    <sheet name="집속스킬 계수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7" i="6" l="1"/>
  <c r="F56" i="6"/>
  <c r="G56" i="6" s="1"/>
  <c r="F55" i="6"/>
  <c r="F54" i="6"/>
  <c r="G54" i="6" s="1"/>
  <c r="F53" i="6"/>
  <c r="F52" i="6"/>
  <c r="F51" i="6"/>
  <c r="F50" i="6"/>
  <c r="G50" i="6" s="1"/>
  <c r="F49" i="6"/>
  <c r="F48" i="6"/>
  <c r="F47" i="6"/>
  <c r="F46" i="6"/>
  <c r="F45" i="6"/>
  <c r="F58" i="6"/>
  <c r="F59" i="6"/>
  <c r="F60" i="6"/>
  <c r="G60" i="6" s="1"/>
  <c r="F61" i="6"/>
  <c r="F62" i="6"/>
  <c r="F63" i="6"/>
  <c r="F64" i="6"/>
  <c r="F65" i="6"/>
  <c r="G65" i="6" s="1"/>
  <c r="F66" i="6"/>
  <c r="G66" i="6" s="1"/>
  <c r="F68" i="6"/>
  <c r="F67" i="6"/>
  <c r="F69" i="6"/>
  <c r="F70" i="6"/>
  <c r="F71" i="6"/>
  <c r="G71" i="6"/>
  <c r="G51" i="6"/>
  <c r="G52" i="6"/>
  <c r="G53" i="6"/>
  <c r="G55" i="6"/>
  <c r="G61" i="6"/>
  <c r="G67" i="6"/>
  <c r="G68" i="6"/>
  <c r="G49" i="6"/>
  <c r="G48" i="6"/>
  <c r="G45" i="6"/>
  <c r="G46" i="6"/>
  <c r="G47" i="6"/>
  <c r="G57" i="6"/>
  <c r="G58" i="6"/>
  <c r="G59" i="6"/>
  <c r="G62" i="6"/>
  <c r="G63" i="6"/>
  <c r="G64" i="6"/>
  <c r="G69" i="6"/>
  <c r="G70" i="6"/>
  <c r="G31" i="9"/>
  <c r="F150" i="6"/>
  <c r="G33" i="9"/>
  <c r="F169" i="6"/>
  <c r="G169" i="6" s="1"/>
  <c r="F168" i="6"/>
  <c r="F167" i="6"/>
  <c r="F166" i="6"/>
  <c r="F165" i="6"/>
  <c r="F164" i="6"/>
  <c r="F163" i="6"/>
  <c r="F162" i="6"/>
  <c r="F147" i="6"/>
  <c r="G147" i="6" s="1"/>
  <c r="G32" i="9"/>
  <c r="G29" i="9"/>
  <c r="G22" i="9"/>
  <c r="G30" i="9"/>
  <c r="G28" i="9"/>
  <c r="G25" i="9"/>
  <c r="G26" i="9"/>
  <c r="G23" i="9"/>
  <c r="H177" i="5"/>
  <c r="G20" i="9"/>
  <c r="G19" i="9"/>
  <c r="G18" i="9"/>
  <c r="G16" i="9"/>
  <c r="G15" i="9"/>
  <c r="G14" i="9"/>
  <c r="G11" i="9"/>
  <c r="G12" i="9"/>
  <c r="G13" i="9"/>
  <c r="G9" i="9"/>
  <c r="G8" i="9"/>
  <c r="G10" i="9"/>
  <c r="G17" i="9"/>
  <c r="G21" i="9"/>
  <c r="G24" i="9"/>
  <c r="G27" i="9"/>
  <c r="G7" i="9"/>
  <c r="G38" i="9"/>
  <c r="F37" i="9"/>
  <c r="G37" i="9" s="1"/>
  <c r="G36" i="9"/>
  <c r="G35" i="9"/>
  <c r="G24" i="7"/>
  <c r="G22" i="7"/>
  <c r="G21" i="7"/>
  <c r="F23" i="7"/>
  <c r="G23" i="7" s="1"/>
  <c r="F171" i="6"/>
  <c r="F170" i="6"/>
  <c r="F161" i="6"/>
  <c r="F160" i="6"/>
  <c r="F159" i="6"/>
  <c r="F158" i="6"/>
  <c r="G158" i="6" s="1"/>
  <c r="F157" i="6"/>
  <c r="F156" i="6"/>
  <c r="G156" i="6" s="1"/>
  <c r="F155" i="6"/>
  <c r="F154" i="6"/>
  <c r="F153" i="6"/>
  <c r="F152" i="6"/>
  <c r="F151" i="6"/>
  <c r="G159" i="6"/>
  <c r="F149" i="6"/>
  <c r="F148" i="6"/>
  <c r="F146" i="6"/>
  <c r="G146" i="6" s="1"/>
  <c r="F145" i="6"/>
  <c r="G145" i="6" s="1"/>
  <c r="G154" i="6"/>
  <c r="F144" i="6"/>
  <c r="F143" i="6"/>
  <c r="F142" i="6"/>
  <c r="G144" i="6"/>
  <c r="G143" i="6"/>
  <c r="G142" i="6"/>
  <c r="G151" i="6"/>
  <c r="G150" i="6"/>
  <c r="G149" i="6"/>
  <c r="G148" i="6"/>
  <c r="F141" i="6"/>
  <c r="G168" i="6"/>
  <c r="G167" i="6"/>
  <c r="G166" i="6"/>
  <c r="G171" i="6"/>
  <c r="G170" i="6"/>
  <c r="G165" i="6"/>
  <c r="G164" i="6"/>
  <c r="G163" i="6"/>
  <c r="G162" i="6"/>
  <c r="G157" i="6"/>
  <c r="G161" i="6"/>
  <c r="G160" i="6"/>
  <c r="G155" i="6"/>
  <c r="G153" i="6"/>
  <c r="G152" i="6"/>
  <c r="G141" i="6"/>
  <c r="F140" i="6"/>
  <c r="G140" i="6" s="1"/>
  <c r="F139" i="6"/>
  <c r="G139" i="6" s="1"/>
  <c r="F138" i="6"/>
  <c r="G138" i="6" s="1"/>
  <c r="F137" i="6"/>
  <c r="F136" i="6"/>
  <c r="G136" i="6" s="1"/>
  <c r="F135" i="6"/>
  <c r="G135" i="6" s="1"/>
  <c r="F129" i="6"/>
  <c r="G129" i="6" s="1"/>
  <c r="F130" i="6"/>
  <c r="G130" i="6" s="1"/>
  <c r="F131" i="6"/>
  <c r="G131" i="6" s="1"/>
  <c r="F132" i="6"/>
  <c r="G132" i="6" s="1"/>
  <c r="F133" i="6"/>
  <c r="G133" i="6" s="1"/>
  <c r="F134" i="6"/>
  <c r="G134" i="6" s="1"/>
  <c r="F128" i="6"/>
  <c r="G128" i="6" s="1"/>
  <c r="F127" i="6"/>
  <c r="G127" i="6" s="1"/>
  <c r="F126" i="6"/>
  <c r="G126" i="6" s="1"/>
  <c r="F125" i="6"/>
  <c r="G125" i="6" s="1"/>
  <c r="F124" i="6"/>
  <c r="G124" i="6" s="1"/>
  <c r="F123" i="6"/>
  <c r="G123" i="6" s="1"/>
  <c r="G137" i="6"/>
  <c r="F122" i="6"/>
  <c r="G122" i="6" s="1"/>
  <c r="F121" i="6"/>
  <c r="F120" i="6"/>
  <c r="G120" i="6" s="1"/>
  <c r="F119" i="6"/>
  <c r="F118" i="6"/>
  <c r="F117" i="6"/>
  <c r="G117" i="6" s="1"/>
  <c r="F116" i="6"/>
  <c r="G116" i="6" s="1"/>
  <c r="F115" i="6"/>
  <c r="F114" i="6"/>
  <c r="F113" i="6"/>
  <c r="G113" i="6" s="1"/>
  <c r="F112" i="6"/>
  <c r="G112" i="6" s="1"/>
  <c r="F111" i="6"/>
  <c r="F110" i="6"/>
  <c r="F109" i="6"/>
  <c r="F108" i="6"/>
  <c r="G108" i="6" s="1"/>
  <c r="F107" i="6"/>
  <c r="F106" i="6"/>
  <c r="F105" i="6"/>
  <c r="G105" i="6" s="1"/>
  <c r="F104" i="6"/>
  <c r="G104" i="6" s="1"/>
  <c r="F103" i="6"/>
  <c r="F102" i="6"/>
  <c r="G102" i="6" s="1"/>
  <c r="F101" i="6"/>
  <c r="G101" i="6" s="1"/>
  <c r="F100" i="6"/>
  <c r="G100" i="6" s="1"/>
  <c r="F99" i="6"/>
  <c r="F98" i="6"/>
  <c r="F97" i="6"/>
  <c r="F96" i="6"/>
  <c r="G96" i="6" s="1"/>
  <c r="F95" i="6"/>
  <c r="F94" i="6"/>
  <c r="G94" i="6" s="1"/>
  <c r="F92" i="6"/>
  <c r="G92" i="6" s="1"/>
  <c r="F91" i="6"/>
  <c r="G91" i="6" s="1"/>
  <c r="F93" i="6"/>
  <c r="G93" i="6" s="1"/>
  <c r="F90" i="6"/>
  <c r="F89" i="6"/>
  <c r="G89" i="6" s="1"/>
  <c r="F88" i="6"/>
  <c r="F87" i="6"/>
  <c r="F86" i="6"/>
  <c r="F85" i="6"/>
  <c r="G85" i="6" s="1"/>
  <c r="F84" i="6"/>
  <c r="F83" i="6"/>
  <c r="G83" i="6" s="1"/>
  <c r="F82" i="6"/>
  <c r="G82" i="6" s="1"/>
  <c r="F81" i="6"/>
  <c r="G81" i="6" s="1"/>
  <c r="F80" i="6"/>
  <c r="G80" i="6" s="1"/>
  <c r="F79" i="6"/>
  <c r="F78" i="6"/>
  <c r="G78" i="6" s="1"/>
  <c r="F77" i="6"/>
  <c r="G77" i="6" s="1"/>
  <c r="F76" i="6"/>
  <c r="F75" i="6"/>
  <c r="F74" i="6"/>
  <c r="F73" i="6"/>
  <c r="F72" i="6"/>
  <c r="F44" i="6"/>
  <c r="G44" i="6" s="1"/>
  <c r="F43" i="6"/>
  <c r="G43" i="6" s="1"/>
  <c r="F42" i="6"/>
  <c r="F41" i="6"/>
  <c r="G41" i="6" s="1"/>
  <c r="F40" i="6"/>
  <c r="F39" i="6"/>
  <c r="F38" i="6"/>
  <c r="G38" i="6" s="1"/>
  <c r="F36" i="6"/>
  <c r="G36" i="6" s="1"/>
  <c r="F37" i="6"/>
  <c r="F35" i="6"/>
  <c r="F34" i="6"/>
  <c r="G34" i="6" s="1"/>
  <c r="F33" i="6"/>
  <c r="G33" i="6" s="1"/>
  <c r="F32" i="6"/>
  <c r="G32" i="6" s="1"/>
  <c r="F31" i="6"/>
  <c r="G31" i="6" s="1"/>
  <c r="F30" i="6"/>
  <c r="G30" i="6" s="1"/>
  <c r="F29" i="6"/>
  <c r="G29" i="6" s="1"/>
  <c r="F28" i="6"/>
  <c r="F27" i="6"/>
  <c r="F26" i="6"/>
  <c r="G26" i="6" s="1"/>
  <c r="F25" i="6"/>
  <c r="G25" i="6" s="1"/>
  <c r="F18" i="6"/>
  <c r="F19" i="6"/>
  <c r="G19" i="6" s="1"/>
  <c r="F20" i="6"/>
  <c r="G20" i="6" s="1"/>
  <c r="F21" i="6"/>
  <c r="G21" i="6" s="1"/>
  <c r="F22" i="6"/>
  <c r="G22" i="6" s="1"/>
  <c r="F23" i="6"/>
  <c r="F24" i="6"/>
  <c r="G24" i="6" s="1"/>
  <c r="F17" i="6"/>
  <c r="G17" i="6" s="1"/>
  <c r="F16" i="6"/>
  <c r="G16" i="6" s="1"/>
  <c r="F15" i="6"/>
  <c r="F14" i="6"/>
  <c r="G14" i="6" s="1"/>
  <c r="F13" i="6"/>
  <c r="G13" i="6" s="1"/>
  <c r="F12" i="6"/>
  <c r="F11" i="6"/>
  <c r="F10" i="6"/>
  <c r="G10" i="6" s="1"/>
  <c r="F9" i="6"/>
  <c r="G9" i="6" s="1"/>
  <c r="F8" i="6"/>
  <c r="G8" i="6" s="1"/>
  <c r="F7" i="6"/>
  <c r="F6" i="6"/>
  <c r="G6" i="6" s="1"/>
  <c r="F5" i="6"/>
  <c r="G5" i="6" s="1"/>
  <c r="F4" i="6"/>
  <c r="F3" i="6"/>
  <c r="G118" i="6"/>
  <c r="G110" i="6"/>
  <c r="G106" i="6"/>
  <c r="G98" i="6"/>
  <c r="G103" i="6"/>
  <c r="G107" i="6"/>
  <c r="G109" i="6"/>
  <c r="G111" i="6"/>
  <c r="G119" i="6"/>
  <c r="G114" i="6"/>
  <c r="G99" i="6"/>
  <c r="G121" i="6"/>
  <c r="G115" i="6"/>
  <c r="G97" i="6"/>
  <c r="G95" i="6"/>
  <c r="G90" i="6"/>
  <c r="G88" i="6"/>
  <c r="G86" i="6"/>
  <c r="G79" i="6"/>
  <c r="G84" i="6"/>
  <c r="G75" i="6"/>
  <c r="G73" i="6"/>
  <c r="G72" i="6"/>
  <c r="G87" i="6"/>
  <c r="G12" i="6"/>
  <c r="G23" i="6"/>
  <c r="G18" i="6"/>
  <c r="G15" i="6"/>
  <c r="G11" i="6"/>
  <c r="G4" i="6"/>
  <c r="G42" i="6"/>
  <c r="G37" i="6"/>
  <c r="G39" i="6"/>
  <c r="G35" i="6"/>
  <c r="G27" i="6"/>
  <c r="G40" i="6"/>
  <c r="G28" i="6"/>
  <c r="G7" i="6"/>
  <c r="G3" i="6"/>
  <c r="H210" i="5"/>
  <c r="H209" i="5"/>
  <c r="H208" i="5"/>
  <c r="H207" i="5"/>
  <c r="H206" i="5"/>
  <c r="H205" i="5"/>
  <c r="H204" i="5"/>
  <c r="H203" i="5"/>
  <c r="H202" i="5"/>
  <c r="H201" i="5"/>
  <c r="H200" i="5"/>
  <c r="H199" i="5"/>
  <c r="H198" i="5"/>
  <c r="H197" i="5"/>
  <c r="H196" i="5"/>
  <c r="H195" i="5"/>
  <c r="H194" i="5"/>
  <c r="H193" i="5"/>
  <c r="H192" i="5"/>
  <c r="F210" i="5"/>
  <c r="G210" i="5" s="1"/>
  <c r="F209" i="5"/>
  <c r="G209" i="5" s="1"/>
  <c r="F208" i="5"/>
  <c r="G208" i="5" s="1"/>
  <c r="F207" i="5"/>
  <c r="G207" i="5" s="1"/>
  <c r="F206" i="5"/>
  <c r="G206" i="5" s="1"/>
  <c r="F205" i="5"/>
  <c r="G205" i="5" s="1"/>
  <c r="F204" i="5"/>
  <c r="G204" i="5" s="1"/>
  <c r="F203" i="5"/>
  <c r="F202" i="5"/>
  <c r="G202" i="5" s="1"/>
  <c r="F201" i="5"/>
  <c r="G201" i="5" s="1"/>
  <c r="F200" i="5"/>
  <c r="G200" i="5" s="1"/>
  <c r="F199" i="5"/>
  <c r="G199" i="5" s="1"/>
  <c r="F198" i="5"/>
  <c r="G198" i="5" s="1"/>
  <c r="F197" i="5"/>
  <c r="G197" i="5" s="1"/>
  <c r="F196" i="5"/>
  <c r="G196" i="5" s="1"/>
  <c r="F195" i="5"/>
  <c r="G195" i="5" s="1"/>
  <c r="F194" i="5"/>
  <c r="G194" i="5" s="1"/>
  <c r="F193" i="5"/>
  <c r="G193" i="5" s="1"/>
  <c r="F192" i="5"/>
  <c r="G192" i="5" s="1"/>
  <c r="G203" i="5"/>
  <c r="H191" i="5"/>
  <c r="H185" i="5"/>
  <c r="H190" i="5"/>
  <c r="H184" i="5"/>
  <c r="H179" i="5"/>
  <c r="H178" i="5"/>
  <c r="H188" i="5"/>
  <c r="H186" i="5"/>
  <c r="H182" i="5"/>
  <c r="H180" i="5"/>
  <c r="H189" i="5"/>
  <c r="H187" i="5"/>
  <c r="H183" i="5"/>
  <c r="H181" i="5"/>
  <c r="H174" i="5"/>
  <c r="H175" i="5"/>
  <c r="H176" i="5"/>
  <c r="H173" i="5"/>
  <c r="F190" i="5"/>
  <c r="F189" i="5"/>
  <c r="F188" i="5"/>
  <c r="F187" i="5"/>
  <c r="F186" i="5"/>
  <c r="G188" i="5" s="1"/>
  <c r="F184" i="5"/>
  <c r="G184" i="5" s="1"/>
  <c r="F183" i="5"/>
  <c r="G183" i="5" s="1"/>
  <c r="F182" i="5"/>
  <c r="G182" i="5" s="1"/>
  <c r="F180" i="5"/>
  <c r="G180" i="5" s="1"/>
  <c r="F178" i="5"/>
  <c r="G178" i="5" s="1"/>
  <c r="F174" i="5"/>
  <c r="F177" i="5"/>
  <c r="G177" i="5" s="1"/>
  <c r="F176" i="5"/>
  <c r="G176" i="5" s="1"/>
  <c r="G174" i="5"/>
  <c r="F191" i="5"/>
  <c r="F185" i="5"/>
  <c r="G185" i="5" s="1"/>
  <c r="F181" i="5"/>
  <c r="G181" i="5" s="1"/>
  <c r="F179" i="5"/>
  <c r="G179" i="5" s="1"/>
  <c r="F175" i="5"/>
  <c r="G175" i="5" s="1"/>
  <c r="F173" i="5"/>
  <c r="G173" i="5" s="1"/>
  <c r="H160" i="5"/>
  <c r="H159" i="5"/>
  <c r="H158" i="5"/>
  <c r="H157" i="5"/>
  <c r="H156" i="5"/>
  <c r="H155" i="5"/>
  <c r="H172" i="5"/>
  <c r="H171" i="5"/>
  <c r="H170" i="5"/>
  <c r="H169" i="5"/>
  <c r="H168" i="5"/>
  <c r="H167" i="5"/>
  <c r="F171" i="5"/>
  <c r="G171" i="5" s="1"/>
  <c r="F169" i="5"/>
  <c r="G169" i="5" s="1"/>
  <c r="F167" i="5"/>
  <c r="G167" i="5" s="1"/>
  <c r="F165" i="5"/>
  <c r="G165" i="5" s="1"/>
  <c r="F163" i="5"/>
  <c r="F161" i="5"/>
  <c r="G161" i="5" s="1"/>
  <c r="F159" i="5"/>
  <c r="G159" i="5" s="1"/>
  <c r="F157" i="5"/>
  <c r="G157" i="5" s="1"/>
  <c r="F172" i="5"/>
  <c r="G172" i="5" s="1"/>
  <c r="F170" i="5"/>
  <c r="G170" i="5" s="1"/>
  <c r="F168" i="5"/>
  <c r="G168" i="5" s="1"/>
  <c r="F166" i="5"/>
  <c r="G166" i="5" s="1"/>
  <c r="F164" i="5"/>
  <c r="G164" i="5" s="1"/>
  <c r="F162" i="5"/>
  <c r="G162" i="5" s="1"/>
  <c r="F160" i="5"/>
  <c r="G160" i="5" s="1"/>
  <c r="F158" i="5"/>
  <c r="G158" i="5" s="1"/>
  <c r="F156" i="5"/>
  <c r="G156" i="5" s="1"/>
  <c r="F155" i="5"/>
  <c r="G155" i="5" s="1"/>
  <c r="H166" i="5"/>
  <c r="F154" i="5"/>
  <c r="G154" i="5" s="1"/>
  <c r="H165" i="5"/>
  <c r="H164" i="5"/>
  <c r="H163" i="5"/>
  <c r="G163" i="5"/>
  <c r="H162" i="5"/>
  <c r="H161" i="5"/>
  <c r="H154" i="5"/>
  <c r="F151" i="5"/>
  <c r="F150" i="5"/>
  <c r="G150" i="5" s="1"/>
  <c r="F139" i="5"/>
  <c r="F138" i="5"/>
  <c r="G138" i="5" s="1"/>
  <c r="F145" i="5"/>
  <c r="G145" i="5" s="1"/>
  <c r="F144" i="5"/>
  <c r="G144" i="5" s="1"/>
  <c r="H153" i="5"/>
  <c r="H152" i="5"/>
  <c r="H151" i="5"/>
  <c r="H150" i="5"/>
  <c r="H149" i="5"/>
  <c r="H148" i="5"/>
  <c r="F153" i="5"/>
  <c r="F152" i="5"/>
  <c r="G152" i="5" s="1"/>
  <c r="F149" i="5"/>
  <c r="F148" i="5"/>
  <c r="G148" i="5" s="1"/>
  <c r="F147" i="5"/>
  <c r="G147" i="5" s="1"/>
  <c r="F146" i="5"/>
  <c r="G146" i="5" s="1"/>
  <c r="F143" i="5"/>
  <c r="G143" i="5" s="1"/>
  <c r="F142" i="5"/>
  <c r="G142" i="5" s="1"/>
  <c r="F141" i="5"/>
  <c r="F140" i="5"/>
  <c r="G140" i="5" s="1"/>
  <c r="F137" i="5"/>
  <c r="G137" i="5" s="1"/>
  <c r="F136" i="5"/>
  <c r="G136" i="5" s="1"/>
  <c r="F135" i="5"/>
  <c r="H147" i="5"/>
  <c r="H146" i="5"/>
  <c r="H145" i="5"/>
  <c r="H144" i="5"/>
  <c r="H143" i="5"/>
  <c r="H142" i="5"/>
  <c r="H141" i="5"/>
  <c r="H140" i="5"/>
  <c r="H139" i="5"/>
  <c r="H138" i="5"/>
  <c r="H137" i="5"/>
  <c r="H136" i="5"/>
  <c r="H135" i="5"/>
  <c r="F133" i="5"/>
  <c r="G133" i="5" s="1"/>
  <c r="F131" i="5"/>
  <c r="G131" i="5" s="1"/>
  <c r="F129" i="5"/>
  <c r="G129" i="5" s="1"/>
  <c r="F127" i="5"/>
  <c r="G127" i="5" s="1"/>
  <c r="F125" i="5"/>
  <c r="G125" i="5" s="1"/>
  <c r="F123" i="5"/>
  <c r="G123" i="5" s="1"/>
  <c r="F128" i="5"/>
  <c r="G128" i="5" s="1"/>
  <c r="F126" i="5"/>
  <c r="G126" i="5" s="1"/>
  <c r="F124" i="5"/>
  <c r="G124" i="5" s="1"/>
  <c r="F121" i="5"/>
  <c r="G121" i="5" s="1"/>
  <c r="F119" i="5"/>
  <c r="G119" i="5" s="1"/>
  <c r="F117" i="5"/>
  <c r="G117" i="5" s="1"/>
  <c r="H134" i="5"/>
  <c r="H133" i="5"/>
  <c r="H128" i="5"/>
  <c r="H127" i="5"/>
  <c r="H126" i="5"/>
  <c r="H125" i="5"/>
  <c r="H124" i="5"/>
  <c r="H123" i="5"/>
  <c r="H122" i="5"/>
  <c r="H121" i="5"/>
  <c r="H120" i="5"/>
  <c r="H119" i="5"/>
  <c r="H118" i="5"/>
  <c r="H117" i="5"/>
  <c r="F116" i="5"/>
  <c r="F134" i="5" s="1"/>
  <c r="G134" i="5" s="1"/>
  <c r="H132" i="5"/>
  <c r="H131" i="5"/>
  <c r="H130" i="5"/>
  <c r="H129" i="5"/>
  <c r="H116" i="5"/>
  <c r="H115" i="5"/>
  <c r="H114" i="5"/>
  <c r="H109" i="5"/>
  <c r="H108" i="5"/>
  <c r="H103" i="5"/>
  <c r="H102" i="5"/>
  <c r="H113" i="5"/>
  <c r="H112" i="5"/>
  <c r="H111" i="5"/>
  <c r="H110" i="5"/>
  <c r="H105" i="5"/>
  <c r="H104" i="5"/>
  <c r="H98" i="5"/>
  <c r="H99" i="5"/>
  <c r="H100" i="5"/>
  <c r="H97" i="5"/>
  <c r="F97" i="5"/>
  <c r="F115" i="5" s="1"/>
  <c r="G115" i="5" s="1"/>
  <c r="H107" i="5"/>
  <c r="H106" i="5"/>
  <c r="H101" i="5"/>
  <c r="H96" i="5"/>
  <c r="H95" i="5"/>
  <c r="H94" i="5"/>
  <c r="H93" i="5"/>
  <c r="H92" i="5"/>
  <c r="H91" i="5"/>
  <c r="H86" i="5"/>
  <c r="H85" i="5"/>
  <c r="H80" i="5"/>
  <c r="H79" i="5"/>
  <c r="F78" i="5"/>
  <c r="F95" i="5" s="1"/>
  <c r="G95" i="5" s="1"/>
  <c r="H90" i="5"/>
  <c r="H89" i="5"/>
  <c r="H88" i="5"/>
  <c r="H87" i="5"/>
  <c r="H84" i="5"/>
  <c r="H83" i="5"/>
  <c r="H82" i="5"/>
  <c r="H81" i="5"/>
  <c r="H78" i="5"/>
  <c r="F53" i="5"/>
  <c r="F66" i="5" s="1"/>
  <c r="G66" i="5" s="1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F104" i="5" l="1"/>
  <c r="G104" i="5" s="1"/>
  <c r="F99" i="5"/>
  <c r="G99" i="5" s="1"/>
  <c r="F107" i="5"/>
  <c r="G107" i="5" s="1"/>
  <c r="F85" i="5"/>
  <c r="F100" i="5"/>
  <c r="G100" i="5" s="1"/>
  <c r="F105" i="5"/>
  <c r="G105" i="5" s="1"/>
  <c r="G190" i="5"/>
  <c r="F86" i="5"/>
  <c r="G86" i="5" s="1"/>
  <c r="F101" i="5"/>
  <c r="G101" i="5" s="1"/>
  <c r="F106" i="5"/>
  <c r="G106" i="5" s="1"/>
  <c r="G191" i="5"/>
  <c r="F87" i="5"/>
  <c r="G87" i="5" s="1"/>
  <c r="G78" i="5"/>
  <c r="F88" i="5"/>
  <c r="G88" i="5" s="1"/>
  <c r="G97" i="5"/>
  <c r="F102" i="5"/>
  <c r="G102" i="5" s="1"/>
  <c r="F108" i="5"/>
  <c r="G108" i="5" s="1"/>
  <c r="G53" i="5"/>
  <c r="F89" i="5"/>
  <c r="G89" i="5" s="1"/>
  <c r="F103" i="5"/>
  <c r="G103" i="5" s="1"/>
  <c r="F109" i="5"/>
  <c r="G109" i="5" s="1"/>
  <c r="F90" i="5"/>
  <c r="G90" i="5" s="1"/>
  <c r="F110" i="5"/>
  <c r="G110" i="5" s="1"/>
  <c r="F92" i="5"/>
  <c r="G92" i="5" s="1"/>
  <c r="F111" i="5"/>
  <c r="G111" i="5" s="1"/>
  <c r="F130" i="5"/>
  <c r="G130" i="5" s="1"/>
  <c r="F79" i="5"/>
  <c r="G79" i="5" s="1"/>
  <c r="F91" i="5"/>
  <c r="G91" i="5" s="1"/>
  <c r="F112" i="5"/>
  <c r="G112" i="5" s="1"/>
  <c r="F118" i="5"/>
  <c r="G118" i="5" s="1"/>
  <c r="F80" i="5"/>
  <c r="G80" i="5" s="1"/>
  <c r="F93" i="5"/>
  <c r="G93" i="5" s="1"/>
  <c r="F113" i="5"/>
  <c r="G113" i="5" s="1"/>
  <c r="F120" i="5"/>
  <c r="G120" i="5" s="1"/>
  <c r="F132" i="5"/>
  <c r="G132" i="5" s="1"/>
  <c r="G186" i="5"/>
  <c r="F96" i="5"/>
  <c r="G96" i="5" s="1"/>
  <c r="G189" i="5"/>
  <c r="F81" i="5"/>
  <c r="F94" i="5"/>
  <c r="G94" i="5" s="1"/>
  <c r="F114" i="5"/>
  <c r="G114" i="5" s="1"/>
  <c r="F122" i="5"/>
  <c r="G122" i="5" s="1"/>
  <c r="G187" i="5"/>
  <c r="F82" i="5"/>
  <c r="G82" i="5" s="1"/>
  <c r="F98" i="5"/>
  <c r="G98" i="5" s="1"/>
  <c r="G76" i="6"/>
  <c r="G74" i="6"/>
  <c r="G139" i="5"/>
  <c r="G151" i="5"/>
  <c r="G135" i="5"/>
  <c r="G149" i="5"/>
  <c r="G153" i="5"/>
  <c r="G141" i="5"/>
  <c r="G116" i="5"/>
  <c r="G83" i="5"/>
  <c r="G85" i="5"/>
  <c r="G81" i="5"/>
  <c r="G84" i="5"/>
  <c r="F58" i="5"/>
  <c r="G58" i="5" s="1"/>
  <c r="F54" i="5"/>
  <c r="G54" i="5" s="1"/>
  <c r="F64" i="5"/>
  <c r="G64" i="5" s="1"/>
  <c r="F70" i="5"/>
  <c r="G70" i="5" s="1"/>
  <c r="F76" i="5"/>
  <c r="G76" i="5" s="1"/>
  <c r="F63" i="5"/>
  <c r="G63" i="5" s="1"/>
  <c r="F68" i="5"/>
  <c r="G68" i="5" s="1"/>
  <c r="F62" i="5"/>
  <c r="G62" i="5" s="1"/>
  <c r="F59" i="5"/>
  <c r="G59" i="5" s="1"/>
  <c r="F75" i="5"/>
  <c r="G75" i="5" s="1"/>
  <c r="F72" i="5"/>
  <c r="G72" i="5" s="1"/>
  <c r="F57" i="5"/>
  <c r="G57" i="5" s="1"/>
  <c r="F61" i="5"/>
  <c r="G61" i="5" s="1"/>
  <c r="F65" i="5"/>
  <c r="G65" i="5" s="1"/>
  <c r="F69" i="5"/>
  <c r="G69" i="5" s="1"/>
  <c r="F73" i="5"/>
  <c r="G73" i="5" s="1"/>
  <c r="F77" i="5"/>
  <c r="G77" i="5" s="1"/>
  <c r="F74" i="5"/>
  <c r="G74" i="5" s="1"/>
  <c r="F55" i="5"/>
  <c r="G55" i="5" s="1"/>
  <c r="F71" i="5"/>
  <c r="G71" i="5" s="1"/>
  <c r="F56" i="5"/>
  <c r="G56" i="5" s="1"/>
  <c r="F60" i="5"/>
  <c r="G60" i="5" s="1"/>
  <c r="F67" i="5"/>
  <c r="G67" i="5" s="1"/>
  <c r="F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3" i="5"/>
  <c r="H28" i="5"/>
  <c r="H27" i="5"/>
  <c r="H26" i="5"/>
  <c r="H25" i="5"/>
  <c r="H24" i="5"/>
  <c r="H21" i="5"/>
  <c r="H20" i="5"/>
  <c r="H19" i="5"/>
  <c r="H18" i="5"/>
  <c r="H17" i="5"/>
  <c r="H16" i="5"/>
  <c r="H13" i="5"/>
  <c r="H12" i="5"/>
  <c r="H11" i="5"/>
  <c r="H10" i="5"/>
  <c r="H9" i="5"/>
  <c r="H8" i="5"/>
  <c r="H5" i="5"/>
  <c r="H4" i="5"/>
  <c r="H6" i="5"/>
  <c r="H7" i="5"/>
  <c r="H14" i="5"/>
  <c r="H15" i="5"/>
  <c r="H22" i="5"/>
  <c r="H23" i="5"/>
  <c r="F10" i="5"/>
  <c r="G10" i="5" s="1"/>
  <c r="F11" i="5"/>
  <c r="G11" i="5" s="1"/>
  <c r="F17" i="5"/>
  <c r="G17" i="5" s="1"/>
  <c r="F19" i="5"/>
  <c r="G19" i="5" s="1"/>
  <c r="F18" i="5"/>
  <c r="G18" i="5" s="1"/>
  <c r="F27" i="5"/>
  <c r="G27" i="5" s="1"/>
  <c r="F26" i="5"/>
  <c r="G26" i="5" s="1"/>
  <c r="F25" i="5"/>
  <c r="G25" i="5" s="1"/>
  <c r="F24" i="5"/>
  <c r="G24" i="5" s="1"/>
  <c r="F9" i="5"/>
  <c r="G9" i="5" s="1"/>
  <c r="F22" i="5"/>
  <c r="G22" i="5" s="1"/>
  <c r="F20" i="5"/>
  <c r="G20" i="5" s="1"/>
  <c r="F23" i="5"/>
  <c r="G23" i="5" s="1"/>
  <c r="F21" i="5"/>
  <c r="G21" i="5" s="1"/>
  <c r="F15" i="5"/>
  <c r="G15" i="5" s="1"/>
  <c r="F13" i="5"/>
  <c r="G13" i="5" s="1"/>
  <c r="F7" i="5"/>
  <c r="G7" i="5" s="1"/>
  <c r="F5" i="5"/>
  <c r="G5" i="5" s="1"/>
  <c r="G4" i="5"/>
  <c r="G6" i="5"/>
  <c r="G8" i="5"/>
  <c r="G12" i="5"/>
  <c r="G14" i="5"/>
  <c r="G16" i="5"/>
  <c r="G3" i="5"/>
  <c r="F29" i="5" l="1"/>
  <c r="G29" i="5" s="1"/>
  <c r="G28" i="5"/>
  <c r="F51" i="5"/>
  <c r="G51" i="5" s="1"/>
  <c r="F45" i="5"/>
  <c r="G45" i="5" s="1"/>
  <c r="F50" i="5"/>
  <c r="G50" i="5" s="1"/>
  <c r="F40" i="5"/>
  <c r="G40" i="5" s="1"/>
  <c r="F35" i="5"/>
  <c r="G35" i="5" s="1"/>
  <c r="F49" i="5"/>
  <c r="G49" i="5" s="1"/>
  <c r="F44" i="5"/>
  <c r="G44" i="5" s="1"/>
  <c r="F39" i="5"/>
  <c r="G39" i="5" s="1"/>
  <c r="F48" i="5"/>
  <c r="G48" i="5" s="1"/>
  <c r="F43" i="5"/>
  <c r="G43" i="5" s="1"/>
  <c r="F37" i="5"/>
  <c r="G37" i="5" s="1"/>
  <c r="F32" i="5"/>
  <c r="G32" i="5" s="1"/>
  <c r="F33" i="5"/>
  <c r="G33" i="5" s="1"/>
  <c r="F47" i="5"/>
  <c r="G47" i="5" s="1"/>
  <c r="F42" i="5"/>
  <c r="G42" i="5" s="1"/>
  <c r="F52" i="5"/>
  <c r="G52" i="5" s="1"/>
  <c r="F31" i="5"/>
  <c r="G31" i="5" s="1"/>
  <c r="F46" i="5"/>
  <c r="G46" i="5" s="1"/>
  <c r="F41" i="5"/>
  <c r="G41" i="5" s="1"/>
  <c r="F36" i="5"/>
  <c r="G36" i="5" s="1"/>
  <c r="F30" i="5"/>
  <c r="G30" i="5" s="1"/>
  <c r="F38" i="5"/>
  <c r="G38" i="5" s="1"/>
  <c r="F34" i="5"/>
  <c r="G34" i="5" s="1"/>
</calcChain>
</file>

<file path=xl/sharedStrings.xml><?xml version="1.0" encoding="utf-8"?>
<sst xmlns="http://schemas.openxmlformats.org/spreadsheetml/2006/main" count="1172" uniqueCount="359">
  <si>
    <t>헤비 크러쉬</t>
    <phoneticPr fontId="1" type="noConversion"/>
  </si>
  <si>
    <t>계수</t>
    <phoneticPr fontId="1" type="noConversion"/>
  </si>
  <si>
    <t>레벨</t>
    <phoneticPr fontId="1" type="noConversion"/>
  </si>
  <si>
    <t>고정 피해량</t>
    <phoneticPr fontId="1" type="noConversion"/>
  </si>
  <si>
    <t>그라비티 임팩트</t>
    <phoneticPr fontId="1" type="noConversion"/>
  </si>
  <si>
    <t>1타</t>
    <phoneticPr fontId="1" type="noConversion"/>
  </si>
  <si>
    <t>폭발</t>
    <phoneticPr fontId="1" type="noConversion"/>
  </si>
  <si>
    <t>내려치기</t>
    <phoneticPr fontId="1" type="noConversion"/>
  </si>
  <si>
    <t>8회 연타</t>
    <phoneticPr fontId="1" type="noConversion"/>
  </si>
  <si>
    <t>드레드노트</t>
    <phoneticPr fontId="1" type="noConversion"/>
  </si>
  <si>
    <t>2타</t>
    <phoneticPr fontId="1" type="noConversion"/>
  </si>
  <si>
    <t>파워 스트라이크</t>
    <phoneticPr fontId="1" type="noConversion"/>
  </si>
  <si>
    <t>1타</t>
  </si>
  <si>
    <t>2타</t>
  </si>
  <si>
    <t>3타</t>
  </si>
  <si>
    <t>3타</t>
    <phoneticPr fontId="1" type="noConversion"/>
  </si>
  <si>
    <t>점핑 스매쉬</t>
    <phoneticPr fontId="1" type="noConversion"/>
  </si>
  <si>
    <t>파워 숄더</t>
    <phoneticPr fontId="1" type="noConversion"/>
  </si>
  <si>
    <t>4타</t>
    <phoneticPr fontId="1" type="noConversion"/>
  </si>
  <si>
    <t>들어올리기</t>
    <phoneticPr fontId="1" type="noConversion"/>
  </si>
  <si>
    <t>어스 스매셔</t>
    <phoneticPr fontId="1" type="noConversion"/>
  </si>
  <si>
    <t>러닝 크래쉬</t>
    <phoneticPr fontId="1" type="noConversion"/>
  </si>
  <si>
    <t>그라비티 포스</t>
    <phoneticPr fontId="1" type="noConversion"/>
  </si>
  <si>
    <t>인듀어 페인</t>
    <phoneticPr fontId="1" type="noConversion"/>
  </si>
  <si>
    <t>휘두름</t>
    <phoneticPr fontId="1" type="noConversion"/>
  </si>
  <si>
    <t>7타</t>
    <phoneticPr fontId="1" type="noConversion"/>
  </si>
  <si>
    <t>당김</t>
    <phoneticPr fontId="1" type="noConversion"/>
  </si>
  <si>
    <t>어스 이터</t>
    <phoneticPr fontId="1" type="noConversion"/>
  </si>
  <si>
    <t>땅 치기</t>
  </si>
  <si>
    <t>땅 치기</t>
    <phoneticPr fontId="1" type="noConversion"/>
  </si>
  <si>
    <t>바위파편</t>
  </si>
  <si>
    <t>바위파편</t>
    <phoneticPr fontId="1" type="noConversion"/>
  </si>
  <si>
    <t>* 대지의 분노 사용시 강화된 일격은 바위로 해머를 내리치는 피해량만 증가시키며, 해머로 내리친 후의 추가 피해에는 영향을 주지 않는다.</t>
    <phoneticPr fontId="1" type="noConversion"/>
  </si>
  <si>
    <t>* 대지의 분노 사용시 붉은 파편은 피해 증가 효과가 없다.</t>
    <phoneticPr fontId="1" type="noConversion"/>
  </si>
  <si>
    <t>* 바위 폭풍 사용시 강화된 일격은 해머를 뒤쪽으로 넘기면서 주는 피해량에만 영향을 미친다.</t>
    <phoneticPr fontId="1" type="noConversion"/>
  </si>
  <si>
    <t>* 바위 폭풍 사용시 붉은 파편의 영향을 받는다.</t>
    <phoneticPr fontId="1" type="noConversion"/>
  </si>
  <si>
    <t>풀 스윙</t>
    <phoneticPr fontId="1" type="noConversion"/>
  </si>
  <si>
    <t>오버차지</t>
    <phoneticPr fontId="1" type="noConversion"/>
  </si>
  <si>
    <t>* 광폭한 공격 사용시 공격 횟수가 7회로 증가하며, 오버차지 피해량 기준으로 피해량 증가 효과가 있고, 피해량이 점진적으로 증가한다.</t>
    <phoneticPr fontId="1" type="noConversion"/>
  </si>
  <si>
    <t>* 야수의 눈 사용시, 2단계 오버차지시에만 트라이포드가 적용되며, 마지막 공격의 피해량이 총 피해량의 절반이다.</t>
    <phoneticPr fontId="1" type="noConversion"/>
  </si>
  <si>
    <t>* 야수의 눈과 무서운 해머를 동시에 사용할 경우, 무서운 해머의 피해량 증가는 5레벨 기준 85% 이다.</t>
    <phoneticPr fontId="1" type="noConversion"/>
  </si>
  <si>
    <t>* 광폭한 공격과 무서운 해머를 동시에 사용할 경우, 무서운 해머의 피해량 증가는 5레벨 기준 75% 이다.</t>
    <phoneticPr fontId="1" type="noConversion"/>
  </si>
  <si>
    <t>뉴트럴라이저</t>
    <phoneticPr fontId="1" type="noConversion"/>
  </si>
  <si>
    <t>충격파</t>
    <phoneticPr fontId="1" type="noConversion"/>
  </si>
  <si>
    <t>* 불안정한 대지 트라이포드를 사용할 경우 총 피해량은 낮아지며, 충격파도 3번에 걸쳐 랜덤한 위치에 발생한다.</t>
    <phoneticPr fontId="1" type="noConversion"/>
  </si>
  <si>
    <t>* 충격파도 헤드어택 판정이 있으며 그 범위는 랜덤하다.</t>
    <phoneticPr fontId="1" type="noConversion"/>
  </si>
  <si>
    <t xml:space="preserve">* 허수아비(루메루스) 기준, 충격파의 평균 명중률은 약 53% (1.6 / 3) 정도이다. </t>
    <phoneticPr fontId="1" type="noConversion"/>
  </si>
  <si>
    <t>* 분열 트라이 포드를 사용하는 경우, 충격파의 명중률은 소폭 상승하여 약 60% 이다.</t>
    <phoneticPr fontId="1" type="noConversion"/>
  </si>
  <si>
    <t>* 1레벨 트포만 사용할 때, 강한 충격, 성장하는 중력, 분열을 함께 사용할 경우 기대 피해량 증가값은 약 184% 정도이다.</t>
    <phoneticPr fontId="1" type="noConversion"/>
  </si>
  <si>
    <t>* 1레벨 트포만 사용할 때, 강한 충격, 성장하는 중력, 중력 조절을 함께 사용할 경우 기대 피해량 증가값은 약 147% 정도이다.</t>
    <phoneticPr fontId="1" type="noConversion"/>
  </si>
  <si>
    <t>* 5레벨일 때, 강한 충격, 성장하는 중력, 분열을 함께 사용할 경우 기대 피해량 증가값은 약 372% 정도이다.</t>
    <phoneticPr fontId="1" type="noConversion"/>
  </si>
  <si>
    <t>* 5레벨일 때, 강한 충격, 성장하는 중력, 중력 조절을 함께 사용할 경우 기대 피해량 증가값은 약 418% 정도이다.</t>
    <phoneticPr fontId="1" type="noConversion"/>
  </si>
  <si>
    <t>5타</t>
    <phoneticPr fontId="1" type="noConversion"/>
  </si>
  <si>
    <t>6타</t>
    <phoneticPr fontId="1" type="noConversion"/>
  </si>
  <si>
    <t>원 맨 아미</t>
    <phoneticPr fontId="1" type="noConversion"/>
  </si>
  <si>
    <t>* 툴팁상에 정확한 계수가 쓰여있지 않은 관계로, 직접 계수를 계산한 결과값을 기록하였다.</t>
    <phoneticPr fontId="1" type="noConversion"/>
  </si>
  <si>
    <t>* 재빠른 움직임으로 상승되는 공격속도는, 최대 공격속도인 40%에 도달해도 영향을 준다.</t>
    <phoneticPr fontId="1" type="noConversion"/>
  </si>
  <si>
    <t>* 녹슬지 않은 해머의 경우, 1타와 2타의 피해량을 높여주는데, 1타와 2타의 피해량을 합치면 약 25% 이므로, (25% * 녹슬지 않은 해머로 올라가는 양)을 하면 값을 구할 수 있다.</t>
    <phoneticPr fontId="1" type="noConversion"/>
  </si>
  <si>
    <t>* 치명적인 해머의 경우, 기존 타격 6타의 마지막 타격만 크게 강화되는 것이다.</t>
    <phoneticPr fontId="1" type="noConversion"/>
  </si>
  <si>
    <t>* 붉은해머와 치명적인 해머의 트라이포드를 5레벨로 올린 경우 총 피해 증가량은 239% 이다.</t>
    <phoneticPr fontId="1" type="noConversion"/>
  </si>
  <si>
    <t>* 우월한 타격과 약점포착의 트라이포드를 5레벨로 올린 경우 총 피해 증가량은 190%이다.</t>
    <phoneticPr fontId="1" type="noConversion"/>
  </si>
  <si>
    <t>퍼펙트 스윙</t>
    <phoneticPr fontId="1" type="noConversion"/>
  </si>
  <si>
    <t>어깨치기</t>
    <phoneticPr fontId="1" type="noConversion"/>
  </si>
  <si>
    <t>* 우월한 타격의 경우, 5히트의 각 피해량 분배는, 11%, 14%, 21%, 25%, 29% 이며, 총 계수 기준으로 피해량이 증가된다.</t>
    <phoneticPr fontId="1" type="noConversion"/>
  </si>
  <si>
    <t>* 날카로운 해머의 경우, 해머에 정확히 적중될 때의 피해량만 올려주기에 어깨치기 피해량이나, 학살의 시간 중력 파동에는 영향을 주지 않는다.</t>
    <phoneticPr fontId="1" type="noConversion"/>
  </si>
  <si>
    <t>* 불필요한 시간 트라이포드는 학살의 시간과 함께 사용할 때 아무런 영향을 주지 않는다.</t>
    <phoneticPr fontId="1" type="noConversion"/>
  </si>
  <si>
    <t>* 뇌진탕의 경우, 어깨치기와 해머 학살의 시간 사용시 발생하는 중력 파동의 피해량을 모두 올려준다.</t>
    <phoneticPr fontId="1" type="noConversion"/>
  </si>
  <si>
    <t>* 학살의 시간에서 발생하는 중력 파동은 어깨치기 피해량과 해머의 피해량을 더한 값을 기준으로 계산된다.</t>
    <phoneticPr fontId="1" type="noConversion"/>
  </si>
  <si>
    <t>* 무절제는 해머로 주는 피해량만 증가시킨다.</t>
    <phoneticPr fontId="1" type="noConversion"/>
  </si>
  <si>
    <t>그라비티 컴프레이션</t>
    <phoneticPr fontId="1" type="noConversion"/>
  </si>
  <si>
    <t>바닥</t>
    <phoneticPr fontId="1" type="noConversion"/>
  </si>
  <si>
    <t>9연타</t>
    <phoneticPr fontId="1" type="noConversion"/>
  </si>
  <si>
    <t>* 합리적인 선택으로 증가하는 공격속도의 경우, 최대 공격속도 이상으로 영향을 준다.</t>
    <phoneticPr fontId="1" type="noConversion"/>
  </si>
  <si>
    <t>* 단단한 심장은 홀딩 캐스팅 게이지가 있을때와 없을때의 피해 감소량이 다르다.</t>
    <phoneticPr fontId="1" type="noConversion"/>
  </si>
  <si>
    <t>* 강력한 마무리는 홀딩을 성공적으로 끝마쳤을 때 피해 증가량이 적용된다.</t>
    <phoneticPr fontId="1" type="noConversion"/>
  </si>
  <si>
    <t>* 견딜수 없는 힘 / 절대적인 힘 / 자기장 강화 트라이포드를 5레벨로 사용할 경우 증뎀률은 약 375%이다.</t>
    <phoneticPr fontId="1" type="noConversion"/>
  </si>
  <si>
    <t>사이즈믹 해머</t>
    <phoneticPr fontId="1" type="noConversion"/>
  </si>
  <si>
    <t>내리찍기</t>
    <phoneticPr fontId="1" type="noConversion"/>
  </si>
  <si>
    <t>벽</t>
    <phoneticPr fontId="1" type="noConversion"/>
  </si>
  <si>
    <t>* 견딜수 없는 힘 5레벨은 방어력을 63% 무시하는데, 이는 방어력 6500 (50% 데미지 감소) 기준 약 46%의 증뎀 효과가 있다.</t>
    <phoneticPr fontId="1" type="noConversion"/>
  </si>
  <si>
    <t>* 몬스터가 이동이나 회전하지 않았을 경우, 내리찍기가 헤드어택(혹은 백어택)이 될 경우에는 후속타도 내리찍기의 판정을 따른다.</t>
    <phoneticPr fontId="1" type="noConversion"/>
  </si>
  <si>
    <t>* 약육강식과 뇌진탕은 내리찍기와 벽의 피해량을 모두 올려준다.</t>
    <phoneticPr fontId="1" type="noConversion"/>
  </si>
  <si>
    <t>* 날카로운 벽과 굶주린 힘, 강화된 약점포착은 벽의 피해량만 올려준다.</t>
    <phoneticPr fontId="1" type="noConversion"/>
  </si>
  <si>
    <t>순간타격</t>
    <phoneticPr fontId="1" type="noConversion"/>
  </si>
  <si>
    <t>분쇄</t>
    <phoneticPr fontId="1" type="noConversion"/>
  </si>
  <si>
    <t>행운의 코어</t>
  </si>
  <si>
    <t>행운의 코어</t>
    <phoneticPr fontId="1" type="noConversion"/>
  </si>
  <si>
    <t>무방비 표적</t>
    <phoneticPr fontId="1" type="noConversion"/>
  </si>
  <si>
    <t>넓은타격</t>
    <phoneticPr fontId="1" type="noConversion"/>
  </si>
  <si>
    <t>여진</t>
    <phoneticPr fontId="1" type="noConversion"/>
  </si>
  <si>
    <t>넓은 타격</t>
  </si>
  <si>
    <t>넓은 타격</t>
    <phoneticPr fontId="1" type="noConversion"/>
  </si>
  <si>
    <t>암흑물질</t>
    <phoneticPr fontId="1" type="noConversion"/>
  </si>
  <si>
    <t>대지의 힘</t>
    <phoneticPr fontId="1" type="noConversion"/>
  </si>
  <si>
    <t>재사용 대기시간</t>
    <phoneticPr fontId="1" type="noConversion"/>
  </si>
  <si>
    <t>DPS</t>
    <phoneticPr fontId="1" type="noConversion"/>
  </si>
  <si>
    <t>기본값</t>
    <phoneticPr fontId="1" type="noConversion"/>
  </si>
  <si>
    <r>
      <t>넓은 타격</t>
    </r>
    <r>
      <rPr>
        <sz val="10"/>
        <color theme="1"/>
        <rFont val="맑은 고딕"/>
        <family val="3"/>
        <charset val="129"/>
        <scheme val="minor"/>
      </rPr>
      <t>(무력화 타격시)</t>
    </r>
    <phoneticPr fontId="1" type="noConversion"/>
  </si>
  <si>
    <r>
      <t>여진</t>
    </r>
    <r>
      <rPr>
        <sz val="10"/>
        <color theme="1"/>
        <rFont val="맑은 고딕"/>
        <family val="3"/>
        <charset val="129"/>
        <scheme val="minor"/>
      </rPr>
      <t>(무력화 타격시)</t>
    </r>
    <phoneticPr fontId="1" type="noConversion"/>
  </si>
  <si>
    <t>*치명타 적중률 40%</t>
    <phoneticPr fontId="1" type="noConversion"/>
  </si>
  <si>
    <t>스킬레벨 12 / 트라이포드 5레벨 피해량 비교표</t>
    <phoneticPr fontId="1" type="noConversion"/>
  </si>
  <si>
    <t>초당 코어생성 기댓값</t>
    <phoneticPr fontId="1" type="noConversion"/>
  </si>
  <si>
    <t>단단한 정신</t>
  </si>
  <si>
    <t>단단한 정신</t>
    <phoneticPr fontId="1" type="noConversion"/>
  </si>
  <si>
    <t>냉혹한 복수</t>
  </si>
  <si>
    <t>냉혹한 복수</t>
    <phoneticPr fontId="1" type="noConversion"/>
  </si>
  <si>
    <t>중력 울림</t>
  </si>
  <si>
    <t>중력 울림</t>
    <phoneticPr fontId="1" type="noConversion"/>
  </si>
  <si>
    <t>현명한 힘</t>
  </si>
  <si>
    <t>현명한 힘</t>
    <phoneticPr fontId="1" type="noConversion"/>
  </si>
  <si>
    <t>의지 강화</t>
  </si>
  <si>
    <t>의지 강화</t>
    <phoneticPr fontId="1" type="noConversion"/>
  </si>
  <si>
    <r>
      <t>현명한 힘</t>
    </r>
    <r>
      <rPr>
        <sz val="10"/>
        <color theme="1"/>
        <rFont val="맑은 고딕"/>
        <family val="3"/>
        <charset val="129"/>
        <scheme val="minor"/>
      </rPr>
      <t>(10회 피격시)</t>
    </r>
    <phoneticPr fontId="1" type="noConversion"/>
  </si>
  <si>
    <r>
      <t>의지 강화</t>
    </r>
    <r>
      <rPr>
        <sz val="10"/>
        <color theme="1"/>
        <rFont val="맑은 고딕"/>
        <family val="3"/>
        <charset val="129"/>
        <scheme val="minor"/>
      </rPr>
      <t>(10회 피격시)</t>
    </r>
    <phoneticPr fontId="1" type="noConversion"/>
  </si>
  <si>
    <t>강인함</t>
    <phoneticPr fontId="1" type="noConversion"/>
  </si>
  <si>
    <t>견딜수 없는 힘</t>
    <phoneticPr fontId="1" type="noConversion"/>
  </si>
  <si>
    <t>탁월한 변화</t>
    <phoneticPr fontId="1" type="noConversion"/>
  </si>
  <si>
    <t>단단한 신체</t>
  </si>
  <si>
    <t>단단한 신체</t>
    <phoneticPr fontId="1" type="noConversion"/>
  </si>
  <si>
    <t>날카로운 해머</t>
  </si>
  <si>
    <t>날카로운 해머</t>
    <phoneticPr fontId="1" type="noConversion"/>
  </si>
  <si>
    <t>광분한 해머</t>
  </si>
  <si>
    <t>광분한 해머</t>
    <phoneticPr fontId="1" type="noConversion"/>
  </si>
  <si>
    <t>빛나는 공격</t>
  </si>
  <si>
    <t>빛나는 공격</t>
    <phoneticPr fontId="1" type="noConversion"/>
  </si>
  <si>
    <t>몰아치는 해머</t>
  </si>
  <si>
    <t>몰아치는 해머</t>
    <phoneticPr fontId="1" type="noConversion"/>
  </si>
  <si>
    <r>
      <t>몰아치는 해머</t>
    </r>
    <r>
      <rPr>
        <sz val="10"/>
        <color theme="1"/>
        <rFont val="맑은 고딕"/>
        <family val="3"/>
        <charset val="129"/>
        <scheme val="minor"/>
      </rPr>
      <t>(8명 타격)</t>
    </r>
    <phoneticPr fontId="1" type="noConversion"/>
  </si>
  <si>
    <r>
      <t>빛나는 공격</t>
    </r>
    <r>
      <rPr>
        <sz val="10"/>
        <color theme="1"/>
        <rFont val="맑은 고딕"/>
        <family val="3"/>
        <charset val="129"/>
        <scheme val="minor"/>
      </rPr>
      <t>(8명 타격)</t>
    </r>
    <phoneticPr fontId="1" type="noConversion"/>
  </si>
  <si>
    <t>*해머에 정확히 적중</t>
  </si>
  <si>
    <t>*해머에 정확히 적중</t>
    <phoneticPr fontId="1" type="noConversion"/>
  </si>
  <si>
    <t>*방어력 50%인 대상</t>
    <phoneticPr fontId="1" type="noConversion"/>
  </si>
  <si>
    <t>충전 강화</t>
    <phoneticPr fontId="1" type="noConversion"/>
  </si>
  <si>
    <t>중력 강화</t>
    <phoneticPr fontId="1" type="noConversion"/>
  </si>
  <si>
    <t>무모한 공격</t>
    <phoneticPr fontId="1" type="noConversion"/>
  </si>
  <si>
    <t>빠른 준비</t>
    <phoneticPr fontId="1" type="noConversion"/>
  </si>
  <si>
    <t>성장하는 해머</t>
  </si>
  <si>
    <t>성장하는 해머</t>
    <phoneticPr fontId="1" type="noConversion"/>
  </si>
  <si>
    <t>끝없는 맹공</t>
  </si>
  <si>
    <t>끝없는 맹공</t>
    <phoneticPr fontId="1" type="noConversion"/>
  </si>
  <si>
    <t>치밀한 타격</t>
  </si>
  <si>
    <t>치밀한 타격</t>
    <phoneticPr fontId="1" type="noConversion"/>
  </si>
  <si>
    <t>어둠의 불꽃</t>
    <phoneticPr fontId="1" type="noConversion"/>
  </si>
  <si>
    <t>대지의 해머</t>
    <phoneticPr fontId="1" type="noConversion"/>
  </si>
  <si>
    <t>시간의 뒤틀림</t>
  </si>
  <si>
    <t>시간의 뒤틀림</t>
    <phoneticPr fontId="1" type="noConversion"/>
  </si>
  <si>
    <t>기괴한 해머</t>
  </si>
  <si>
    <t>기괴한 해머</t>
    <phoneticPr fontId="1" type="noConversion"/>
  </si>
  <si>
    <t>중력반전</t>
    <phoneticPr fontId="1" type="noConversion"/>
  </si>
  <si>
    <t>그라비티 임펙트</t>
    <phoneticPr fontId="1" type="noConversion"/>
  </si>
  <si>
    <t>승리의 계약</t>
    <phoneticPr fontId="1" type="noConversion"/>
  </si>
  <si>
    <t>치명적인 힘</t>
    <phoneticPr fontId="1" type="noConversion"/>
  </si>
  <si>
    <t>목표 완료</t>
  </si>
  <si>
    <t>목표 완료</t>
    <phoneticPr fontId="1" type="noConversion"/>
  </si>
  <si>
    <t>반중력</t>
  </si>
  <si>
    <t>반중력</t>
    <phoneticPr fontId="1" type="noConversion"/>
  </si>
  <si>
    <t>우직한 해머</t>
    <phoneticPr fontId="1" type="noConversion"/>
  </si>
  <si>
    <t>분노 표출</t>
    <phoneticPr fontId="1" type="noConversion"/>
  </si>
  <si>
    <t>* 공격속도 15% 감소</t>
    <phoneticPr fontId="1" type="noConversion"/>
  </si>
  <si>
    <t>* 받는 피해량 20% 증가</t>
    <phoneticPr fontId="1" type="noConversion"/>
  </si>
  <si>
    <t>* 헤드어택</t>
    <phoneticPr fontId="1" type="noConversion"/>
  </si>
  <si>
    <t>* 경직 면역</t>
    <phoneticPr fontId="1" type="noConversion"/>
  </si>
  <si>
    <t>* 헤드 어택</t>
    <phoneticPr fontId="1" type="noConversion"/>
  </si>
  <si>
    <t>* 카운터</t>
    <phoneticPr fontId="1" type="noConversion"/>
  </si>
  <si>
    <t>* 공격속도 10% 감소</t>
    <phoneticPr fontId="1" type="noConversion"/>
  </si>
  <si>
    <t>고통의 흔적</t>
  </si>
  <si>
    <t>고통의 흔적</t>
    <phoneticPr fontId="1" type="noConversion"/>
  </si>
  <si>
    <t>기본 단련</t>
  </si>
  <si>
    <t>기본 단련</t>
    <phoneticPr fontId="1" type="noConversion"/>
  </si>
  <si>
    <t>폭발하는 타격</t>
    <phoneticPr fontId="1" type="noConversion"/>
  </si>
  <si>
    <t>기괴한 움직임</t>
    <phoneticPr fontId="1" type="noConversion"/>
  </si>
  <si>
    <t>* 방깎 4초간 24%</t>
    <phoneticPr fontId="1" type="noConversion"/>
  </si>
  <si>
    <t>치밀한 계획</t>
    <phoneticPr fontId="1" type="noConversion"/>
  </si>
  <si>
    <t>집중 표적</t>
    <phoneticPr fontId="1" type="noConversion"/>
  </si>
  <si>
    <t>저돌적 움직임</t>
    <phoneticPr fontId="1" type="noConversion"/>
  </si>
  <si>
    <t>강화된 전진</t>
    <phoneticPr fontId="1" type="noConversion"/>
  </si>
  <si>
    <t>재빠른 움직임</t>
  </si>
  <si>
    <t>재빠른 움직임</t>
    <phoneticPr fontId="1" type="noConversion"/>
  </si>
  <si>
    <t>단일 공격</t>
  </si>
  <si>
    <t>단일 공격</t>
    <phoneticPr fontId="1" type="noConversion"/>
  </si>
  <si>
    <t>방출되는 본능</t>
    <phoneticPr fontId="1" type="noConversion"/>
  </si>
  <si>
    <t>출렁이는 중력</t>
    <phoneticPr fontId="1" type="noConversion"/>
  </si>
  <si>
    <t>* 1타겟 명중시</t>
    <phoneticPr fontId="1" type="noConversion"/>
  </si>
  <si>
    <t>밀쳐내기</t>
    <phoneticPr fontId="1" type="noConversion"/>
  </si>
  <si>
    <t>전장의 공포</t>
  </si>
  <si>
    <t>전장의 공포</t>
    <phoneticPr fontId="1" type="noConversion"/>
  </si>
  <si>
    <t>건강한 정신</t>
    <phoneticPr fontId="1" type="noConversion"/>
  </si>
  <si>
    <t>숨겨진 고통</t>
    <phoneticPr fontId="1" type="noConversion"/>
  </si>
  <si>
    <t>* 백 어택</t>
    <phoneticPr fontId="1" type="noConversion"/>
  </si>
  <si>
    <t>강화된 일격</t>
    <phoneticPr fontId="1" type="noConversion"/>
  </si>
  <si>
    <t>붉은 파편</t>
    <phoneticPr fontId="1" type="noConversion"/>
  </si>
  <si>
    <t>절대적인 힘</t>
  </si>
  <si>
    <t>절대적인 힘</t>
    <phoneticPr fontId="1" type="noConversion"/>
  </si>
  <si>
    <t>* 방어력 50%인 대상</t>
    <phoneticPr fontId="1" type="noConversion"/>
  </si>
  <si>
    <t>강인함</t>
  </si>
  <si>
    <t>노력의 성과</t>
    <phoneticPr fontId="1" type="noConversion"/>
  </si>
  <si>
    <t>대지충격</t>
    <phoneticPr fontId="1" type="noConversion"/>
  </si>
  <si>
    <t>대지의 분노</t>
  </si>
  <si>
    <t>대지의 분노</t>
    <phoneticPr fontId="1" type="noConversion"/>
  </si>
  <si>
    <r>
      <t>바위 폭풍</t>
    </r>
    <r>
      <rPr>
        <sz val="10"/>
        <color theme="1"/>
        <rFont val="맑은 고딕"/>
        <family val="3"/>
        <charset val="129"/>
        <scheme val="minor"/>
      </rPr>
      <t>(+해머 넘기기)</t>
    </r>
    <phoneticPr fontId="1" type="noConversion"/>
  </si>
  <si>
    <r>
      <t>바위 폭풍</t>
    </r>
    <r>
      <rPr>
        <sz val="10"/>
        <color theme="1"/>
        <rFont val="맑은 고딕"/>
        <family val="3"/>
        <charset val="129"/>
        <scheme val="minor"/>
      </rPr>
      <t>(+대지충격)</t>
    </r>
    <phoneticPr fontId="1" type="noConversion"/>
  </si>
  <si>
    <r>
      <t>스킬레벨 12 / 트라이포드 5레벨 피해량 비교표</t>
    </r>
    <r>
      <rPr>
        <b/>
        <sz val="12"/>
        <color theme="0"/>
        <rFont val="맑은 고딕"/>
        <family val="3"/>
        <charset val="129"/>
        <scheme val="minor"/>
      </rPr>
      <t>(*3코어 기준)</t>
    </r>
    <phoneticPr fontId="1" type="noConversion"/>
  </si>
  <si>
    <t>* 파괴 2</t>
    <phoneticPr fontId="1" type="noConversion"/>
  </si>
  <si>
    <t>* 파괴 1</t>
    <phoneticPr fontId="1" type="noConversion"/>
  </si>
  <si>
    <t>단단한 심장</t>
    <phoneticPr fontId="1" type="noConversion"/>
  </si>
  <si>
    <t>무서운 해머</t>
  </si>
  <si>
    <t>무서운 해머</t>
    <phoneticPr fontId="1" type="noConversion"/>
  </si>
  <si>
    <t>야수의 눈</t>
    <phoneticPr fontId="1" type="noConversion"/>
  </si>
  <si>
    <t>광폭한 공격</t>
    <phoneticPr fontId="1" type="noConversion"/>
  </si>
  <si>
    <t>* 대지의 분노는 바위 파편 계수를 기준으로 피해량을 계산한다.</t>
    <phoneticPr fontId="1" type="noConversion"/>
  </si>
  <si>
    <t>* 바위 폭풍은 땅 치기를 제외한 나머지 계수의 합산값을 기준으로 피해량을 계산한다.</t>
    <phoneticPr fontId="1" type="noConversion"/>
  </si>
  <si>
    <t>* 대지충격의 경우 강화된 일격, 붉은파편, 대지의 분노, 바위 폭풍의 영향을 모두 받지 않으며, 땅 치기를 제외한 계수로 피해량을 계산한다.</t>
    <phoneticPr fontId="1" type="noConversion"/>
  </si>
  <si>
    <t>뉴트럴라이져</t>
    <phoneticPr fontId="1" type="noConversion"/>
  </si>
  <si>
    <t>어둠의 기운</t>
    <phoneticPr fontId="1" type="noConversion"/>
  </si>
  <si>
    <t>대지의 기운</t>
    <phoneticPr fontId="1" type="noConversion"/>
  </si>
  <si>
    <t>강한 충격</t>
    <phoneticPr fontId="1" type="noConversion"/>
  </si>
  <si>
    <t>불안정한 대지</t>
  </si>
  <si>
    <t>불안정한 대지</t>
    <phoneticPr fontId="1" type="noConversion"/>
  </si>
  <si>
    <t>성장하는 중력</t>
  </si>
  <si>
    <t>성장하는 중력</t>
    <phoneticPr fontId="1" type="noConversion"/>
  </si>
  <si>
    <t>중력 조절</t>
  </si>
  <si>
    <t>중력 조절</t>
    <phoneticPr fontId="1" type="noConversion"/>
  </si>
  <si>
    <t>* 충격파 명중률 증가</t>
    <phoneticPr fontId="1" type="noConversion"/>
  </si>
  <si>
    <t>녹슬지 않은 해머</t>
  </si>
  <si>
    <t>녹슬지 않은 해머</t>
    <phoneticPr fontId="1" type="noConversion"/>
  </si>
  <si>
    <t>약점포착</t>
  </si>
  <si>
    <t>약점포착</t>
    <phoneticPr fontId="1" type="noConversion"/>
  </si>
  <si>
    <t>붉은 해머</t>
  </si>
  <si>
    <t>붉은 해머</t>
    <phoneticPr fontId="1" type="noConversion"/>
  </si>
  <si>
    <t>치명적인 해머</t>
    <phoneticPr fontId="1" type="noConversion"/>
  </si>
  <si>
    <t>우월한 타격</t>
    <phoneticPr fontId="1" type="noConversion"/>
  </si>
  <si>
    <t>우월한 타격 계수 (* 증뎀률 제외)</t>
    <phoneticPr fontId="1" type="noConversion"/>
  </si>
  <si>
    <t>마무리 일격</t>
    <phoneticPr fontId="1" type="noConversion"/>
  </si>
  <si>
    <t>뇌진탕</t>
  </si>
  <si>
    <t>뇌진탕</t>
    <phoneticPr fontId="1" type="noConversion"/>
  </si>
  <si>
    <t>불필요한 시간</t>
  </si>
  <si>
    <t>불필요한 시간</t>
    <phoneticPr fontId="1" type="noConversion"/>
  </si>
  <si>
    <t>학살의 시간</t>
    <phoneticPr fontId="1" type="noConversion"/>
  </si>
  <si>
    <t>무절제</t>
    <phoneticPr fontId="1" type="noConversion"/>
  </si>
  <si>
    <r>
      <t>분열</t>
    </r>
    <r>
      <rPr>
        <sz val="10"/>
        <color theme="1"/>
        <rFont val="맑은 고딕"/>
        <family val="3"/>
        <charset val="129"/>
        <scheme val="minor"/>
      </rPr>
      <t>(충격파 75% 명중)</t>
    </r>
    <phoneticPr fontId="1" type="noConversion"/>
  </si>
  <si>
    <r>
      <t>분열</t>
    </r>
    <r>
      <rPr>
        <sz val="10"/>
        <color theme="1"/>
        <rFont val="맑은 고딕"/>
        <family val="3"/>
        <charset val="129"/>
        <scheme val="minor"/>
      </rPr>
      <t>(충격파 100% 명중)</t>
    </r>
    <phoneticPr fontId="1" type="noConversion"/>
  </si>
  <si>
    <r>
      <t>분열</t>
    </r>
    <r>
      <rPr>
        <sz val="10"/>
        <color theme="1"/>
        <rFont val="맑은 고딕"/>
        <family val="3"/>
        <charset val="129"/>
        <scheme val="minor"/>
      </rPr>
      <t>(충격파 60% 명중)</t>
    </r>
    <phoneticPr fontId="1" type="noConversion"/>
  </si>
  <si>
    <r>
      <t>학살의 시간</t>
    </r>
    <r>
      <rPr>
        <sz val="10"/>
        <color theme="1"/>
        <rFont val="맑은 고딕"/>
        <family val="3"/>
        <charset val="129"/>
        <scheme val="minor"/>
      </rPr>
      <t>(+어깨치기)</t>
    </r>
    <phoneticPr fontId="1" type="noConversion"/>
  </si>
  <si>
    <r>
      <t>무절제</t>
    </r>
    <r>
      <rPr>
        <sz val="10"/>
        <color theme="1"/>
        <rFont val="맑은 고딕"/>
        <family val="3"/>
        <charset val="129"/>
        <scheme val="minor"/>
      </rPr>
      <t>(+어깨치기)</t>
    </r>
    <phoneticPr fontId="1" type="noConversion"/>
  </si>
  <si>
    <t>* 생명력 50% 이하 대상</t>
    <phoneticPr fontId="1" type="noConversion"/>
  </si>
  <si>
    <t>합리적인 선택</t>
    <phoneticPr fontId="1" type="noConversion"/>
  </si>
  <si>
    <t>강력한 마무리</t>
  </si>
  <si>
    <t>강력한 마무리</t>
    <phoneticPr fontId="1" type="noConversion"/>
  </si>
  <si>
    <t>위치 이동</t>
    <phoneticPr fontId="1" type="noConversion"/>
  </si>
  <si>
    <t>자기장 강화</t>
    <phoneticPr fontId="1" type="noConversion"/>
  </si>
  <si>
    <t>약육강식</t>
  </si>
  <si>
    <t>약육강식</t>
    <phoneticPr fontId="1" type="noConversion"/>
  </si>
  <si>
    <t>날카로운 벽</t>
  </si>
  <si>
    <t>날카로운 벽</t>
    <phoneticPr fontId="1" type="noConversion"/>
  </si>
  <si>
    <t>굶주린 힘</t>
  </si>
  <si>
    <t>굶주린 힘</t>
    <phoneticPr fontId="1" type="noConversion"/>
  </si>
  <si>
    <t>굶주린 힘(+바닥찍기)</t>
  </si>
  <si>
    <t>강화된 약점 포착</t>
  </si>
  <si>
    <t>강화된 약점 포착</t>
    <phoneticPr fontId="1" type="noConversion"/>
  </si>
  <si>
    <t>강화된 약점 포착(+바닥찍기)</t>
  </si>
  <si>
    <r>
      <t>굶주린 힘(</t>
    </r>
    <r>
      <rPr>
        <sz val="10"/>
        <color theme="1"/>
        <rFont val="맑은 고딕"/>
        <family val="3"/>
        <charset val="129"/>
        <scheme val="minor"/>
      </rPr>
      <t>+바닥찍기)</t>
    </r>
    <phoneticPr fontId="1" type="noConversion"/>
  </si>
  <si>
    <r>
      <t>강화된 약점 포착</t>
    </r>
    <r>
      <rPr>
        <sz val="10"/>
        <color theme="1"/>
        <rFont val="맑은 고딕"/>
        <family val="3"/>
        <charset val="129"/>
        <scheme val="minor"/>
      </rPr>
      <t>(+바닥찍기)</t>
    </r>
    <phoneticPr fontId="1" type="noConversion"/>
  </si>
  <si>
    <t>무력화 피해량</t>
    <phoneticPr fontId="1" type="noConversion"/>
  </si>
  <si>
    <t>스킬명</t>
    <phoneticPr fontId="1" type="noConversion"/>
  </si>
  <si>
    <t>트라이포드</t>
    <phoneticPr fontId="1" type="noConversion"/>
  </si>
  <si>
    <t>코어생성율</t>
    <phoneticPr fontId="1" type="noConversion"/>
  </si>
  <si>
    <t>비고</t>
    <phoneticPr fontId="1" type="noConversion"/>
  </si>
  <si>
    <t>경직 면역</t>
    <phoneticPr fontId="1" type="noConversion"/>
  </si>
  <si>
    <t>헤드 어택</t>
    <phoneticPr fontId="1" type="noConversion"/>
  </si>
  <si>
    <t>백 어택</t>
    <phoneticPr fontId="1" type="noConversion"/>
  </si>
  <si>
    <t>카운터</t>
    <phoneticPr fontId="1" type="noConversion"/>
  </si>
  <si>
    <t>파괴</t>
    <phoneticPr fontId="1" type="noConversion"/>
  </si>
  <si>
    <t>총 피해 계수</t>
    <phoneticPr fontId="1" type="noConversion"/>
  </si>
  <si>
    <t>1-2-1</t>
    <phoneticPr fontId="1" type="noConversion"/>
  </si>
  <si>
    <t>테라 브레이크</t>
    <phoneticPr fontId="1" type="noConversion"/>
  </si>
  <si>
    <t>빅뱅</t>
    <phoneticPr fontId="1" type="noConversion"/>
  </si>
  <si>
    <t>중력가중 영역 평타</t>
    <phoneticPr fontId="1" type="noConversion"/>
  </si>
  <si>
    <t>볼텍스 그라비티</t>
    <phoneticPr fontId="1" type="noConversion"/>
  </si>
  <si>
    <t>3-1-2</t>
    <phoneticPr fontId="1" type="noConversion"/>
  </si>
  <si>
    <t>1-1-2</t>
    <phoneticPr fontId="1" type="noConversion"/>
  </si>
  <si>
    <t>3-3-2</t>
    <phoneticPr fontId="1" type="noConversion"/>
  </si>
  <si>
    <t>쿨타임</t>
    <phoneticPr fontId="1" type="noConversion"/>
  </si>
  <si>
    <t>2-2-3</t>
    <phoneticPr fontId="1" type="noConversion"/>
  </si>
  <si>
    <t>2-1-2</t>
    <phoneticPr fontId="1" type="noConversion"/>
  </si>
  <si>
    <t>3-3-1</t>
    <phoneticPr fontId="1" type="noConversion"/>
  </si>
  <si>
    <t>3-2-1</t>
    <phoneticPr fontId="1" type="noConversion"/>
  </si>
  <si>
    <t>1-3-1</t>
    <phoneticPr fontId="1" type="noConversion"/>
  </si>
  <si>
    <t>1-1-1</t>
    <phoneticPr fontId="1" type="noConversion"/>
  </si>
  <si>
    <t>1-2-2</t>
    <phoneticPr fontId="1" type="noConversion"/>
  </si>
  <si>
    <t>O</t>
  </si>
  <si>
    <t>O</t>
    <phoneticPr fontId="1" type="noConversion"/>
  </si>
  <si>
    <t>무력화된 대상 / 장판 모두 명중시</t>
    <phoneticPr fontId="1" type="noConversion"/>
  </si>
  <si>
    <t>스킬 사용중 10회 피격시</t>
    <phoneticPr fontId="1" type="noConversion"/>
  </si>
  <si>
    <t>2-2-2</t>
    <phoneticPr fontId="1" type="noConversion"/>
  </si>
  <si>
    <t>공격중 받는피해 20% 증가</t>
    <phoneticPr fontId="1" type="noConversion"/>
  </si>
  <si>
    <t>이동기</t>
    <phoneticPr fontId="1" type="noConversion"/>
  </si>
  <si>
    <t>이동기 / 공격속도 15% 감소</t>
    <phoneticPr fontId="1" type="noConversion"/>
  </si>
  <si>
    <t>무력화 피해 증가 20%</t>
    <phoneticPr fontId="1" type="noConversion"/>
  </si>
  <si>
    <t>준비시간 0.4초 증가</t>
    <phoneticPr fontId="1" type="noConversion"/>
  </si>
  <si>
    <t>10초간 피격이상 면역, 받는피해 감소 40% / 6초간 방어감소 24%</t>
    <phoneticPr fontId="1" type="noConversion"/>
  </si>
  <si>
    <t>대지충격 명중시</t>
    <phoneticPr fontId="1" type="noConversion"/>
  </si>
  <si>
    <t>오버차지시</t>
    <phoneticPr fontId="1" type="noConversion"/>
  </si>
  <si>
    <t>방향전환 불가능</t>
    <phoneticPr fontId="1" type="noConversion"/>
  </si>
  <si>
    <t>날카로운 해머 명중시</t>
    <phoneticPr fontId="1" type="noConversion"/>
  </si>
  <si>
    <t>방어력 6500(피해감소 50%)인 적 대상 / 충격파 모두 적중시 (* 허수아비 기준 충격파 명중률 60%)</t>
    <phoneticPr fontId="1" type="noConversion"/>
  </si>
  <si>
    <t>방어력 6500(피해감소 50%)인 적 대상</t>
    <phoneticPr fontId="1" type="noConversion"/>
  </si>
  <si>
    <t>방어력 6500(피해감소 50%)인 적 대상 / 공격속도 10% 감소 / 4초간 방어감소 24%</t>
    <phoneticPr fontId="1" type="noConversion"/>
  </si>
  <si>
    <t>오버차지 / 날카로운 해머 명중시</t>
    <phoneticPr fontId="1" type="noConversion"/>
  </si>
  <si>
    <t>날카로운 벽 명중시</t>
    <phoneticPr fontId="1" type="noConversion"/>
  </si>
  <si>
    <t>◎</t>
  </si>
  <si>
    <t>◎</t>
    <phoneticPr fontId="1" type="noConversion"/>
  </si>
  <si>
    <t>재사용 대기시간은 20초이나, 중력가중 영역 지속시간이 10초이므로, 최소 쿨타임 30초로 계산.</t>
    <phoneticPr fontId="1" type="noConversion"/>
  </si>
  <si>
    <t>20히트 명중시 (* 평타 1방당 계수 11.5, 첫 2방 피해량 10% 증가) / 극특 중수일 경우 쿨타임 30초로 계산</t>
    <phoneticPr fontId="1" type="noConversion"/>
  </si>
  <si>
    <t>끝까지 홀딩을 유지할 경우 / 홀딩중 받는 피해감소 50%</t>
    <phoneticPr fontId="1" type="noConversion"/>
  </si>
  <si>
    <t>스킬 사용시 중력게이지 100% 회복</t>
    <phoneticPr fontId="1" type="noConversion"/>
  </si>
  <si>
    <t>스킬 레벨</t>
    <phoneticPr fontId="1" type="noConversion"/>
  </si>
  <si>
    <t>회오리 수류탄</t>
    <phoneticPr fontId="1" type="noConversion"/>
  </si>
  <si>
    <t>3-1</t>
    <phoneticPr fontId="1" type="noConversion"/>
  </si>
  <si>
    <t>1-2</t>
    <phoneticPr fontId="1" type="noConversion"/>
  </si>
  <si>
    <t>1-2-3</t>
    <phoneticPr fontId="1" type="noConversion"/>
  </si>
  <si>
    <t>1-1</t>
    <phoneticPr fontId="1" type="noConversion"/>
  </si>
  <si>
    <t>방어력 6500(피해감소 50%)인 적 대상 / 해머부분에 정확히 명중시</t>
    <phoneticPr fontId="1" type="noConversion"/>
  </si>
  <si>
    <t>넓은타격으로 원거리 명중 가능</t>
    <phoneticPr fontId="1" type="noConversion"/>
  </si>
  <si>
    <t>여진 장판으로 원거리 코어 수급가능</t>
    <phoneticPr fontId="1" type="noConversion"/>
  </si>
  <si>
    <t>스킬레벨 7, 최소 스킬 레벨로 카운터 및 간이 생존기로 사용</t>
    <phoneticPr fontId="1" type="noConversion"/>
  </si>
  <si>
    <t>타격 간격 감소, 모션 딜레이 소폭 증가로 카운터 및 간이생존기 성능 강화</t>
    <phoneticPr fontId="1" type="noConversion"/>
  </si>
  <si>
    <t>스킬레벨 7, 최소 스킬 레벨로 코어 펌핌용으로 사용.</t>
    <phoneticPr fontId="1" type="noConversion"/>
  </si>
  <si>
    <t>행운의 코어 확률 95% / 스킬 사용 딜레이 감소로 편의성 증가</t>
    <phoneticPr fontId="1" type="noConversion"/>
  </si>
  <si>
    <t>3-1-1</t>
    <phoneticPr fontId="1" type="noConversion"/>
  </si>
  <si>
    <t>스킬레벨 7, 최소 스킬 레벨로 코어 펌핌용 + 카운터용으로 사용</t>
    <phoneticPr fontId="1" type="noConversion"/>
  </si>
  <si>
    <t>타격 간격 감소로, 모션 딜레이 소폭 증가로 카운터시 편의성 증가</t>
    <phoneticPr fontId="1" type="noConversion"/>
  </si>
  <si>
    <t>모션 딜레이 변화 없이 피해량 증가</t>
    <phoneticPr fontId="1" type="noConversion"/>
  </si>
  <si>
    <t>3-3</t>
    <phoneticPr fontId="1" type="noConversion"/>
  </si>
  <si>
    <t>스킬레벨 7, 최소 스킬 레벨로 코어 펌핑용 + 이동기로 사용, 최대 이동거리+4m</t>
    <phoneticPr fontId="1" type="noConversion"/>
  </si>
  <si>
    <t>이동기, 무력화 및 피해량 증가를 위한 분쇄 사용</t>
    <phoneticPr fontId="1" type="noConversion"/>
  </si>
  <si>
    <t>암흑물질 + 여진 장판으로 지속적인 치명타 / 환각셋트 버프 유지용으로 사용함 / 치명타 적중률 15~40% 증가</t>
    <phoneticPr fontId="1" type="noConversion"/>
  </si>
  <si>
    <t>어둠의 불꽃 + 시간의 뒤틀림 + 분쇄로 지속적인 치명타 / 환각셋트 버프 유지용으로 사용함 / 치명타 적중률 15~40% 증가</t>
    <phoneticPr fontId="1" type="noConversion"/>
  </si>
  <si>
    <t>스킬레벨 7, 최소 스킬 레벨로 이동기로 사용, 최대 이동거리+5m</t>
    <phoneticPr fontId="1" type="noConversion"/>
  </si>
  <si>
    <t>2-2</t>
    <phoneticPr fontId="1" type="noConversion"/>
  </si>
  <si>
    <t>스킬레벨 7, 4초간 방어감소 24%, 모션속도가 느리므로 추가적인 공격속도와 질풍룬으로 보조해야 쓸만해짐</t>
    <phoneticPr fontId="1" type="noConversion"/>
  </si>
  <si>
    <t>1-3</t>
    <phoneticPr fontId="1" type="noConversion"/>
  </si>
  <si>
    <t>1-3-2</t>
    <phoneticPr fontId="1" type="noConversion"/>
  </si>
  <si>
    <t>스킬레벨 7, 최소 스킬 레벨로 코어 펌핌용 + 무력화 피해 증가 디버프용으로 사용, 무력화 피해 증가 20%</t>
    <phoneticPr fontId="1" type="noConversion"/>
  </si>
  <si>
    <t>피해량 증가</t>
    <phoneticPr fontId="1" type="noConversion"/>
  </si>
  <si>
    <t>1타겟 명중시 / 스킬 2번 사용 모두 적중 / 코어 2개 확정 수급가능 / 아드레날린 버프 유지용으로 사용 가능</t>
    <phoneticPr fontId="1" type="noConversion"/>
  </si>
  <si>
    <t>2-3-1</t>
    <phoneticPr fontId="1" type="noConversion"/>
  </si>
  <si>
    <t>강인함 + 순간무력화용으로 사용</t>
    <phoneticPr fontId="1" type="noConversion"/>
  </si>
  <si>
    <t>뒤로 찍는 피해량 포함 / 광역 피해용으로 사용</t>
    <phoneticPr fontId="1" type="noConversion"/>
  </si>
  <si>
    <t>단단한 심장 + 강인함 / 버티고 맞딜하는 용도로 사용</t>
    <phoneticPr fontId="1" type="noConversion"/>
  </si>
  <si>
    <t>빠른준비로 재사용 대기시간 감소</t>
    <phoneticPr fontId="1" type="noConversion"/>
  </si>
  <si>
    <t>재빠른 움직임으로 차징속도 및 모션속도 감소</t>
    <phoneticPr fontId="1" type="noConversion"/>
  </si>
  <si>
    <t>즉발 퍼스 사용시 / 어깨치기 명중</t>
    <phoneticPr fontId="1" type="noConversion"/>
  </si>
  <si>
    <t>날카로운 벽 명중시 / 빠른준비로 재사용 대기시간 감소</t>
    <phoneticPr fontId="1" type="noConversion"/>
  </si>
  <si>
    <t>중력가중 영역 평타 (20히트 명중시)</t>
    <phoneticPr fontId="1" type="noConversion"/>
  </si>
  <si>
    <t>평타 1방당 계수 11.5, 첫 2방 피해량 10% 증가 / 극특 중수일 경우 쿨타임 30초로 계산</t>
    <phoneticPr fontId="1" type="noConversion"/>
  </si>
  <si>
    <t>&gt;&gt; 볼텍스 그라비티</t>
    <phoneticPr fontId="1" type="noConversion"/>
  </si>
  <si>
    <t>뇌진탕 사용 / 바닥찍기 명중</t>
    <phoneticPr fontId="1" type="noConversion"/>
  </si>
  <si>
    <t>뇌진탕 사용 / 바닥찍기 명중 / 빠른준비로 재사용 대기시간 감소</t>
    <phoneticPr fontId="1" type="noConversion"/>
  </si>
  <si>
    <t>뇌진탕 사용 / 어깨치기 명중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</si>
</sst>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5"/>
      <color theme="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0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</fills>
  <borders count="99">
    <border>
      <left/>
      <right/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</cellStyleXfs>
  <cellXfs count="287">
    <xf numFmtId="0" fontId="0" fillId="0" borderId="0" xfId="0">
      <alignment vertical="center"/>
    </xf>
    <xf numFmtId="0" fontId="0" fillId="2" borderId="11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17" xfId="0" applyFill="1" applyBorder="1">
      <alignment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4" borderId="22" xfId="0" applyFont="1" applyFill="1" applyBorder="1">
      <alignment vertical="center"/>
    </xf>
    <xf numFmtId="0" fontId="2" fillId="4" borderId="2" xfId="0" applyFont="1" applyFill="1" applyBorder="1">
      <alignment vertical="center"/>
    </xf>
    <xf numFmtId="0" fontId="2" fillId="4" borderId="4" xfId="0" applyFont="1" applyFill="1" applyBorder="1">
      <alignment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0" fillId="2" borderId="25" xfId="0" applyFill="1" applyBorder="1">
      <alignment vertical="center"/>
    </xf>
    <xf numFmtId="0" fontId="0" fillId="2" borderId="26" xfId="0" applyFill="1" applyBorder="1">
      <alignment vertical="center"/>
    </xf>
    <xf numFmtId="0" fontId="0" fillId="2" borderId="27" xfId="0" applyFill="1" applyBorder="1">
      <alignment vertical="center"/>
    </xf>
    <xf numFmtId="0" fontId="2" fillId="3" borderId="28" xfId="0" applyFont="1" applyFill="1" applyBorder="1" applyAlignment="1">
      <alignment horizontal="center" vertical="center"/>
    </xf>
    <xf numFmtId="0" fontId="0" fillId="2" borderId="29" xfId="0" applyFill="1" applyBorder="1">
      <alignment vertical="center"/>
    </xf>
    <xf numFmtId="0" fontId="0" fillId="2" borderId="30" xfId="0" applyFill="1" applyBorder="1">
      <alignment vertical="center"/>
    </xf>
    <xf numFmtId="0" fontId="0" fillId="2" borderId="31" xfId="0" applyFill="1" applyBorder="1">
      <alignment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0" fillId="2" borderId="34" xfId="0" applyFill="1" applyBorder="1">
      <alignment vertical="center"/>
    </xf>
    <xf numFmtId="0" fontId="0" fillId="2" borderId="35" xfId="0" applyFill="1" applyBorder="1">
      <alignment vertical="center"/>
    </xf>
    <xf numFmtId="0" fontId="0" fillId="2" borderId="36" xfId="0" applyFill="1" applyBorder="1">
      <alignment vertical="center"/>
    </xf>
    <xf numFmtId="0" fontId="0" fillId="2" borderId="37" xfId="0" applyFill="1" applyBorder="1">
      <alignment vertical="center"/>
    </xf>
    <xf numFmtId="0" fontId="0" fillId="2" borderId="38" xfId="0" applyFill="1" applyBorder="1">
      <alignment vertical="center"/>
    </xf>
    <xf numFmtId="0" fontId="0" fillId="2" borderId="39" xfId="0" applyFill="1" applyBorder="1">
      <alignment vertical="center"/>
    </xf>
    <xf numFmtId="0" fontId="0" fillId="2" borderId="0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2" borderId="41" xfId="0" applyFill="1" applyBorder="1">
      <alignment vertical="center"/>
    </xf>
    <xf numFmtId="0" fontId="0" fillId="2" borderId="42" xfId="0" applyFill="1" applyBorder="1">
      <alignment vertical="center"/>
    </xf>
    <xf numFmtId="0" fontId="0" fillId="2" borderId="43" xfId="0" applyFill="1" applyBorder="1">
      <alignment vertical="center"/>
    </xf>
    <xf numFmtId="0" fontId="0" fillId="2" borderId="44" xfId="0" applyFill="1" applyBorder="1">
      <alignment vertical="center"/>
    </xf>
    <xf numFmtId="0" fontId="5" fillId="5" borderId="32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40" xfId="0" applyFont="1" applyFill="1" applyBorder="1" applyAlignment="1">
      <alignment horizontal="center" vertical="center"/>
    </xf>
    <xf numFmtId="0" fontId="5" fillId="5" borderId="33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9" fontId="0" fillId="0" borderId="0" xfId="1" applyFont="1">
      <alignment vertical="center"/>
    </xf>
    <xf numFmtId="0" fontId="0" fillId="2" borderId="45" xfId="0" applyFill="1" applyBorder="1">
      <alignment vertical="center"/>
    </xf>
    <xf numFmtId="0" fontId="0" fillId="2" borderId="46" xfId="0" applyFill="1" applyBorder="1">
      <alignment vertical="center"/>
    </xf>
    <xf numFmtId="0" fontId="0" fillId="2" borderId="47" xfId="0" applyFill="1" applyBorder="1">
      <alignment vertical="center"/>
    </xf>
    <xf numFmtId="0" fontId="0" fillId="2" borderId="48" xfId="0" applyFill="1" applyBorder="1">
      <alignment vertical="center"/>
    </xf>
    <xf numFmtId="0" fontId="0" fillId="2" borderId="49" xfId="0" applyFill="1" applyBorder="1">
      <alignment vertical="center"/>
    </xf>
    <xf numFmtId="0" fontId="0" fillId="2" borderId="50" xfId="0" applyFill="1" applyBorder="1">
      <alignment vertical="center"/>
    </xf>
    <xf numFmtId="0" fontId="0" fillId="2" borderId="51" xfId="0" applyFill="1" applyBorder="1">
      <alignment vertical="center"/>
    </xf>
    <xf numFmtId="0" fontId="0" fillId="2" borderId="52" xfId="0" applyFill="1" applyBorder="1">
      <alignment vertical="center"/>
    </xf>
    <xf numFmtId="9" fontId="0" fillId="0" borderId="0" xfId="1" applyFont="1" applyFill="1" applyBorder="1">
      <alignment vertical="center"/>
    </xf>
    <xf numFmtId="9" fontId="0" fillId="0" borderId="0" xfId="0" applyNumberFormat="1">
      <alignment vertical="center"/>
    </xf>
    <xf numFmtId="0" fontId="0" fillId="0" borderId="0" xfId="1" applyNumberFormat="1" applyFont="1" applyFill="1" applyBorder="1">
      <alignment vertical="center"/>
    </xf>
    <xf numFmtId="0" fontId="0" fillId="0" borderId="0" xfId="0" applyNumberFormat="1">
      <alignment vertical="center"/>
    </xf>
    <xf numFmtId="10" fontId="0" fillId="0" borderId="0" xfId="1" applyNumberFormat="1" applyFont="1">
      <alignment vertical="center"/>
    </xf>
    <xf numFmtId="9" fontId="0" fillId="0" borderId="0" xfId="1" applyFont="1" applyFill="1">
      <alignment vertical="center"/>
    </xf>
    <xf numFmtId="9" fontId="0" fillId="0" borderId="0" xfId="0" applyNumberFormat="1" applyFill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76" fontId="0" fillId="2" borderId="57" xfId="0" applyNumberFormat="1" applyFill="1" applyBorder="1">
      <alignment vertical="center"/>
    </xf>
    <xf numFmtId="176" fontId="0" fillId="2" borderId="58" xfId="0" applyNumberFormat="1" applyFill="1" applyBorder="1">
      <alignment vertical="center"/>
    </xf>
    <xf numFmtId="176" fontId="0" fillId="2" borderId="59" xfId="0" applyNumberFormat="1" applyFill="1" applyBorder="1">
      <alignment vertical="center"/>
    </xf>
    <xf numFmtId="176" fontId="0" fillId="2" borderId="31" xfId="0" applyNumberFormat="1" applyFill="1" applyBorder="1">
      <alignment vertical="center"/>
    </xf>
    <xf numFmtId="176" fontId="0" fillId="2" borderId="17" xfId="0" applyNumberFormat="1" applyFill="1" applyBorder="1">
      <alignment vertical="center"/>
    </xf>
    <xf numFmtId="0" fontId="0" fillId="2" borderId="60" xfId="0" applyFill="1" applyBorder="1">
      <alignment vertical="center"/>
    </xf>
    <xf numFmtId="0" fontId="0" fillId="2" borderId="61" xfId="0" applyFill="1" applyBorder="1">
      <alignment vertical="center"/>
    </xf>
    <xf numFmtId="0" fontId="0" fillId="2" borderId="62" xfId="0" applyFill="1" applyBorder="1">
      <alignment vertical="center"/>
    </xf>
    <xf numFmtId="176" fontId="0" fillId="2" borderId="29" xfId="0" applyNumberFormat="1" applyFill="1" applyBorder="1">
      <alignment vertical="center"/>
    </xf>
    <xf numFmtId="0" fontId="0" fillId="2" borderId="63" xfId="0" applyFill="1" applyBorder="1">
      <alignment vertical="center"/>
    </xf>
    <xf numFmtId="176" fontId="0" fillId="2" borderId="64" xfId="0" applyNumberFormat="1" applyFill="1" applyBorder="1">
      <alignment vertical="center"/>
    </xf>
    <xf numFmtId="176" fontId="0" fillId="2" borderId="15" xfId="0" applyNumberFormat="1" applyFill="1" applyBorder="1">
      <alignment vertical="center"/>
    </xf>
    <xf numFmtId="176" fontId="0" fillId="2" borderId="65" xfId="0" applyNumberFormat="1" applyFill="1" applyBorder="1">
      <alignment vertical="center"/>
    </xf>
    <xf numFmtId="0" fontId="0" fillId="2" borderId="66" xfId="0" applyFill="1" applyBorder="1">
      <alignment vertical="center"/>
    </xf>
    <xf numFmtId="0" fontId="0" fillId="3" borderId="48" xfId="0" applyFill="1" applyBorder="1">
      <alignment vertical="center"/>
    </xf>
    <xf numFmtId="0" fontId="0" fillId="3" borderId="50" xfId="0" applyFill="1" applyBorder="1">
      <alignment vertical="center"/>
    </xf>
    <xf numFmtId="0" fontId="0" fillId="6" borderId="9" xfId="0" applyFill="1" applyBorder="1">
      <alignment vertical="center"/>
    </xf>
    <xf numFmtId="0" fontId="0" fillId="6" borderId="9" xfId="0" applyFill="1" applyBorder="1" applyAlignment="1">
      <alignment horizontal="left" vertical="center"/>
    </xf>
    <xf numFmtId="176" fontId="0" fillId="6" borderId="28" xfId="0" applyNumberFormat="1" applyFill="1" applyBorder="1">
      <alignment vertical="center"/>
    </xf>
    <xf numFmtId="0" fontId="0" fillId="2" borderId="67" xfId="0" applyFill="1" applyBorder="1">
      <alignment vertical="center"/>
    </xf>
    <xf numFmtId="0" fontId="0" fillId="2" borderId="68" xfId="0" applyFill="1" applyBorder="1">
      <alignment vertical="center"/>
    </xf>
    <xf numFmtId="176" fontId="0" fillId="2" borderId="69" xfId="0" applyNumberFormat="1" applyFill="1" applyBorder="1">
      <alignment vertical="center"/>
    </xf>
    <xf numFmtId="176" fontId="0" fillId="2" borderId="70" xfId="0" applyNumberFormat="1" applyFill="1" applyBorder="1">
      <alignment vertical="center"/>
    </xf>
    <xf numFmtId="0" fontId="0" fillId="3" borderId="72" xfId="0" applyFill="1" applyBorder="1">
      <alignment vertical="center"/>
    </xf>
    <xf numFmtId="176" fontId="0" fillId="6" borderId="10" xfId="0" applyNumberFormat="1" applyFill="1" applyBorder="1">
      <alignment vertical="center"/>
    </xf>
    <xf numFmtId="0" fontId="0" fillId="2" borderId="73" xfId="0" applyFill="1" applyBorder="1">
      <alignment vertical="center"/>
    </xf>
    <xf numFmtId="0" fontId="8" fillId="2" borderId="61" xfId="0" applyFont="1" applyFill="1" applyBorder="1">
      <alignment vertical="center"/>
    </xf>
    <xf numFmtId="0" fontId="2" fillId="3" borderId="7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7" fillId="2" borderId="63" xfId="0" applyFont="1" applyFill="1" applyBorder="1">
      <alignment vertical="center"/>
    </xf>
    <xf numFmtId="0" fontId="8" fillId="2" borderId="63" xfId="0" applyFont="1" applyFill="1" applyBorder="1">
      <alignment vertical="center"/>
    </xf>
    <xf numFmtId="0" fontId="8" fillId="3" borderId="48" xfId="0" applyFont="1" applyFill="1" applyBorder="1">
      <alignment vertical="center"/>
    </xf>
    <xf numFmtId="0" fontId="7" fillId="3" borderId="48" xfId="0" applyFont="1" applyFill="1" applyBorder="1">
      <alignment vertical="center"/>
    </xf>
    <xf numFmtId="0" fontId="11" fillId="5" borderId="48" xfId="0" applyFont="1" applyFill="1" applyBorder="1">
      <alignment vertical="center"/>
    </xf>
    <xf numFmtId="0" fontId="12" fillId="5" borderId="48" xfId="0" applyFont="1" applyFill="1" applyBorder="1">
      <alignment vertical="center"/>
    </xf>
    <xf numFmtId="0" fontId="12" fillId="5" borderId="50" xfId="0" applyFont="1" applyFill="1" applyBorder="1">
      <alignment vertical="center"/>
    </xf>
    <xf numFmtId="0" fontId="5" fillId="5" borderId="71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176" fontId="0" fillId="2" borderId="75" xfId="0" applyNumberFormat="1" applyFill="1" applyBorder="1">
      <alignment vertical="center"/>
    </xf>
    <xf numFmtId="176" fontId="0" fillId="0" borderId="0" xfId="0" applyNumberFormat="1">
      <alignment vertical="center"/>
    </xf>
    <xf numFmtId="0" fontId="0" fillId="0" borderId="9" xfId="0" applyBorder="1">
      <alignment vertical="center"/>
    </xf>
    <xf numFmtId="0" fontId="12" fillId="5" borderId="9" xfId="0" applyFont="1" applyFill="1" applyBorder="1">
      <alignment vertical="center"/>
    </xf>
    <xf numFmtId="0" fontId="10" fillId="5" borderId="9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5" fillId="5" borderId="72" xfId="0" applyFont="1" applyFill="1" applyBorder="1">
      <alignment vertical="center"/>
    </xf>
    <xf numFmtId="176" fontId="0" fillId="2" borderId="30" xfId="0" applyNumberFormat="1" applyFill="1" applyBorder="1">
      <alignment vertical="center"/>
    </xf>
    <xf numFmtId="176" fontId="0" fillId="2" borderId="16" xfId="0" applyNumberFormat="1" applyFill="1" applyBorder="1">
      <alignment vertical="center"/>
    </xf>
    <xf numFmtId="0" fontId="0" fillId="2" borderId="77" xfId="0" applyFill="1" applyBorder="1">
      <alignment vertical="center"/>
    </xf>
    <xf numFmtId="0" fontId="5" fillId="5" borderId="80" xfId="0" applyFont="1" applyFill="1" applyBorder="1">
      <alignment vertical="center"/>
    </xf>
    <xf numFmtId="0" fontId="0" fillId="6" borderId="7" xfId="0" applyFill="1" applyBorder="1">
      <alignment vertical="center"/>
    </xf>
    <xf numFmtId="0" fontId="0" fillId="6" borderId="7" xfId="0" applyFill="1" applyBorder="1" applyAlignment="1">
      <alignment horizontal="left" vertical="center"/>
    </xf>
    <xf numFmtId="176" fontId="0" fillId="6" borderId="71" xfId="0" applyNumberFormat="1" applyFill="1" applyBorder="1">
      <alignment vertical="center"/>
    </xf>
    <xf numFmtId="176" fontId="0" fillId="6" borderId="8" xfId="0" applyNumberFormat="1" applyFill="1" applyBorder="1">
      <alignment vertical="center"/>
    </xf>
    <xf numFmtId="49" fontId="0" fillId="0" borderId="0" xfId="0" applyNumberFormat="1">
      <alignment vertical="center"/>
    </xf>
    <xf numFmtId="2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83" xfId="0" applyBorder="1">
      <alignment vertical="center"/>
    </xf>
    <xf numFmtId="49" fontId="0" fillId="0" borderId="84" xfId="0" applyNumberFormat="1" applyBorder="1">
      <alignment vertical="center"/>
    </xf>
    <xf numFmtId="0" fontId="0" fillId="0" borderId="84" xfId="0" applyBorder="1">
      <alignment vertical="center"/>
    </xf>
    <xf numFmtId="0" fontId="0" fillId="0" borderId="84" xfId="0" applyBorder="1" applyAlignment="1">
      <alignment horizontal="center" vertical="center"/>
    </xf>
    <xf numFmtId="0" fontId="0" fillId="0" borderId="85" xfId="0" applyBorder="1" applyAlignment="1">
      <alignment horizontal="left" vertical="center"/>
    </xf>
    <xf numFmtId="0" fontId="0" fillId="7" borderId="84" xfId="0" applyFill="1" applyBorder="1">
      <alignment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49" fontId="2" fillId="8" borderId="7" xfId="0" applyNumberFormat="1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0" fillId="0" borderId="88" xfId="0" applyBorder="1">
      <alignment vertical="center"/>
    </xf>
    <xf numFmtId="49" fontId="0" fillId="0" borderId="88" xfId="0" applyNumberFormat="1" applyBorder="1" applyAlignment="1">
      <alignment horizontal="center" vertical="center"/>
    </xf>
    <xf numFmtId="2" fontId="0" fillId="0" borderId="88" xfId="0" applyNumberFormat="1" applyBorder="1">
      <alignment vertical="center"/>
    </xf>
    <xf numFmtId="176" fontId="0" fillId="0" borderId="88" xfId="0" applyNumberFormat="1" applyBorder="1">
      <alignment vertical="center"/>
    </xf>
    <xf numFmtId="0" fontId="0" fillId="0" borderId="88" xfId="0" applyBorder="1" applyAlignment="1">
      <alignment horizontal="center" vertical="center"/>
    </xf>
    <xf numFmtId="0" fontId="0" fillId="0" borderId="81" xfId="0" applyBorder="1" applyAlignment="1">
      <alignment horizontal="left" vertical="center"/>
    </xf>
    <xf numFmtId="49" fontId="0" fillId="0" borderId="9" xfId="0" applyNumberFormat="1" applyBorder="1" applyAlignment="1">
      <alignment horizontal="center" vertical="center"/>
    </xf>
    <xf numFmtId="2" fontId="0" fillId="0" borderId="9" xfId="0" applyNumberFormat="1" applyBorder="1">
      <alignment vertical="center"/>
    </xf>
    <xf numFmtId="0" fontId="0" fillId="7" borderId="9" xfId="0" applyFill="1" applyBorder="1">
      <alignment vertical="center"/>
    </xf>
    <xf numFmtId="176" fontId="0" fillId="0" borderId="9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7" xfId="0" applyBorder="1">
      <alignment vertical="center"/>
    </xf>
    <xf numFmtId="2" fontId="0" fillId="0" borderId="7" xfId="0" applyNumberFormat="1" applyBorder="1">
      <alignment vertical="center"/>
    </xf>
    <xf numFmtId="0" fontId="0" fillId="7" borderId="7" xfId="0" applyFill="1" applyBorder="1">
      <alignment vertical="center"/>
    </xf>
    <xf numFmtId="176" fontId="0" fillId="0" borderId="7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4" xfId="0" applyBorder="1">
      <alignment vertical="center"/>
    </xf>
    <xf numFmtId="2" fontId="0" fillId="0" borderId="94" xfId="0" applyNumberFormat="1" applyBorder="1">
      <alignment vertical="center"/>
    </xf>
    <xf numFmtId="0" fontId="0" fillId="7" borderId="94" xfId="0" applyFill="1" applyBorder="1">
      <alignment vertical="center"/>
    </xf>
    <xf numFmtId="176" fontId="0" fillId="0" borderId="94" xfId="0" applyNumberFormat="1" applyBorder="1">
      <alignment vertical="center"/>
    </xf>
    <xf numFmtId="0" fontId="0" fillId="0" borderId="94" xfId="0" applyBorder="1" applyAlignment="1">
      <alignment horizontal="center" vertical="center"/>
    </xf>
    <xf numFmtId="0" fontId="0" fillId="0" borderId="79" xfId="0" applyBorder="1" applyAlignment="1">
      <alignment horizontal="left" vertical="center"/>
    </xf>
    <xf numFmtId="49" fontId="0" fillId="0" borderId="0" xfId="0" applyNumberFormat="1" applyFill="1">
      <alignment vertical="center"/>
    </xf>
    <xf numFmtId="2" fontId="0" fillId="0" borderId="0" xfId="0" applyNumberFormat="1" applyFill="1">
      <alignment vertical="center"/>
    </xf>
    <xf numFmtId="176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3" borderId="82" xfId="0" applyFill="1" applyBorder="1">
      <alignment vertical="center"/>
    </xf>
    <xf numFmtId="0" fontId="0" fillId="3" borderId="87" xfId="0" applyFill="1" applyBorder="1">
      <alignment vertical="center"/>
    </xf>
    <xf numFmtId="0" fontId="0" fillId="3" borderId="89" xfId="0" applyFill="1" applyBorder="1">
      <alignment vertical="center"/>
    </xf>
    <xf numFmtId="0" fontId="0" fillId="3" borderId="9" xfId="0" applyFill="1" applyBorder="1">
      <alignment vertical="center"/>
    </xf>
    <xf numFmtId="0" fontId="12" fillId="5" borderId="87" xfId="0" applyFont="1" applyFill="1" applyBorder="1">
      <alignment vertical="center"/>
    </xf>
    <xf numFmtId="0" fontId="12" fillId="5" borderId="88" xfId="0" applyFont="1" applyFill="1" applyBorder="1">
      <alignment vertical="center"/>
    </xf>
    <xf numFmtId="0" fontId="12" fillId="5" borderId="82" xfId="0" applyFont="1" applyFill="1" applyBorder="1">
      <alignment vertical="center"/>
    </xf>
    <xf numFmtId="0" fontId="12" fillId="5" borderId="86" xfId="0" applyFont="1" applyFill="1" applyBorder="1">
      <alignment vertical="center"/>
    </xf>
    <xf numFmtId="49" fontId="0" fillId="2" borderId="9" xfId="0" applyNumberFormat="1" applyFill="1" applyBorder="1" applyAlignment="1">
      <alignment horizontal="center" vertical="center"/>
    </xf>
    <xf numFmtId="0" fontId="0" fillId="2" borderId="9" xfId="0" applyFill="1" applyBorder="1">
      <alignment vertical="center"/>
    </xf>
    <xf numFmtId="2" fontId="0" fillId="2" borderId="9" xfId="0" applyNumberFormat="1" applyFill="1" applyBorder="1">
      <alignment vertical="center"/>
    </xf>
    <xf numFmtId="176" fontId="0" fillId="2" borderId="9" xfId="0" applyNumberFormat="1" applyFill="1" applyBorder="1">
      <alignment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left" vertical="center"/>
    </xf>
    <xf numFmtId="0" fontId="0" fillId="3" borderId="11" xfId="0" applyFill="1" applyBorder="1">
      <alignment vertical="center"/>
    </xf>
    <xf numFmtId="49" fontId="0" fillId="2" borderId="11" xfId="0" applyNumberFormat="1" applyFill="1" applyBorder="1" applyAlignment="1">
      <alignment horizontal="center" vertical="center"/>
    </xf>
    <xf numFmtId="2" fontId="0" fillId="2" borderId="11" xfId="0" applyNumberFormat="1" applyFill="1" applyBorder="1">
      <alignment vertical="center"/>
    </xf>
    <xf numFmtId="0" fontId="0" fillId="7" borderId="11" xfId="0" applyFill="1" applyBorder="1">
      <alignment vertical="center"/>
    </xf>
    <xf numFmtId="176" fontId="0" fillId="2" borderId="11" xfId="0" applyNumberFormat="1" applyFill="1" applyBorder="1">
      <alignment vertical="center"/>
    </xf>
    <xf numFmtId="0" fontId="0" fillId="2" borderId="11" xfId="0" applyFill="1" applyBorder="1" applyAlignment="1">
      <alignment horizontal="center" vertical="center"/>
    </xf>
    <xf numFmtId="0" fontId="0" fillId="2" borderId="59" xfId="0" applyFill="1" applyBorder="1" applyAlignment="1">
      <alignment horizontal="left" vertical="center"/>
    </xf>
    <xf numFmtId="0" fontId="0" fillId="3" borderId="12" xfId="0" applyFill="1" applyBorder="1">
      <alignment vertical="center"/>
    </xf>
    <xf numFmtId="49" fontId="0" fillId="2" borderId="12" xfId="0" applyNumberFormat="1" applyFill="1" applyBorder="1" applyAlignment="1">
      <alignment horizontal="center" vertical="center"/>
    </xf>
    <xf numFmtId="2" fontId="0" fillId="2" borderId="12" xfId="0" applyNumberFormat="1" applyFill="1" applyBorder="1">
      <alignment vertical="center"/>
    </xf>
    <xf numFmtId="0" fontId="0" fillId="7" borderId="12" xfId="0" applyFill="1" applyBorder="1">
      <alignment vertical="center"/>
    </xf>
    <xf numFmtId="176" fontId="0" fillId="2" borderId="12" xfId="0" applyNumberFormat="1" applyFill="1" applyBorder="1">
      <alignment vertical="center"/>
    </xf>
    <xf numFmtId="0" fontId="0" fillId="2" borderId="12" xfId="0" applyFill="1" applyBorder="1" applyAlignment="1">
      <alignment horizontal="center" vertical="center"/>
    </xf>
    <xf numFmtId="0" fontId="0" fillId="2" borderId="16" xfId="0" applyFill="1" applyBorder="1" applyAlignment="1">
      <alignment horizontal="left" vertical="center"/>
    </xf>
    <xf numFmtId="0" fontId="0" fillId="3" borderId="66" xfId="0" applyFill="1" applyBorder="1">
      <alignment vertical="center"/>
    </xf>
    <xf numFmtId="49" fontId="0" fillId="2" borderId="66" xfId="0" applyNumberFormat="1" applyFill="1" applyBorder="1" applyAlignment="1">
      <alignment horizontal="center" vertical="center"/>
    </xf>
    <xf numFmtId="2" fontId="0" fillId="2" borderId="66" xfId="0" applyNumberFormat="1" applyFill="1" applyBorder="1">
      <alignment vertical="center"/>
    </xf>
    <xf numFmtId="0" fontId="0" fillId="7" borderId="66" xfId="0" applyFill="1" applyBorder="1">
      <alignment vertical="center"/>
    </xf>
    <xf numFmtId="176" fontId="0" fillId="2" borderId="66" xfId="0" applyNumberFormat="1" applyFill="1" applyBorder="1">
      <alignment vertical="center"/>
    </xf>
    <xf numFmtId="0" fontId="0" fillId="2" borderId="66" xfId="0" applyFill="1" applyBorder="1" applyAlignment="1">
      <alignment horizontal="center" vertical="center"/>
    </xf>
    <xf numFmtId="0" fontId="0" fillId="2" borderId="65" xfId="0" applyFill="1" applyBorder="1" applyAlignment="1">
      <alignment horizontal="left" vertical="center"/>
    </xf>
    <xf numFmtId="0" fontId="0" fillId="3" borderId="95" xfId="0" applyFill="1" applyBorder="1">
      <alignment vertical="center"/>
    </xf>
    <xf numFmtId="0" fontId="0" fillId="3" borderId="96" xfId="0" applyFill="1" applyBorder="1">
      <alignment vertical="center"/>
    </xf>
    <xf numFmtId="49" fontId="0" fillId="2" borderId="96" xfId="0" applyNumberFormat="1" applyFill="1" applyBorder="1" applyAlignment="1">
      <alignment horizontal="center" vertical="center"/>
    </xf>
    <xf numFmtId="0" fontId="0" fillId="2" borderId="96" xfId="0" applyFill="1" applyBorder="1">
      <alignment vertical="center"/>
    </xf>
    <xf numFmtId="2" fontId="0" fillId="2" borderId="96" xfId="0" applyNumberFormat="1" applyFill="1" applyBorder="1">
      <alignment vertical="center"/>
    </xf>
    <xf numFmtId="0" fontId="0" fillId="7" borderId="96" xfId="0" applyFill="1" applyBorder="1">
      <alignment vertical="center"/>
    </xf>
    <xf numFmtId="176" fontId="0" fillId="2" borderId="96" xfId="0" applyNumberFormat="1" applyFill="1" applyBorder="1">
      <alignment vertical="center"/>
    </xf>
    <xf numFmtId="0" fontId="0" fillId="2" borderId="96" xfId="0" applyFill="1" applyBorder="1" applyAlignment="1">
      <alignment horizontal="center" vertical="center"/>
    </xf>
    <xf numFmtId="0" fontId="0" fillId="2" borderId="76" xfId="0" applyFill="1" applyBorder="1" applyAlignment="1">
      <alignment horizontal="left" vertical="center"/>
    </xf>
    <xf numFmtId="0" fontId="12" fillId="5" borderId="77" xfId="0" applyFont="1" applyFill="1" applyBorder="1">
      <alignment vertical="center"/>
    </xf>
    <xf numFmtId="49" fontId="0" fillId="2" borderId="77" xfId="0" applyNumberFormat="1" applyFill="1" applyBorder="1" applyAlignment="1">
      <alignment horizontal="center" vertical="center"/>
    </xf>
    <xf numFmtId="2" fontId="0" fillId="2" borderId="77" xfId="0" applyNumberFormat="1" applyFill="1" applyBorder="1">
      <alignment vertical="center"/>
    </xf>
    <xf numFmtId="0" fontId="0" fillId="7" borderId="77" xfId="0" applyFill="1" applyBorder="1">
      <alignment vertical="center"/>
    </xf>
    <xf numFmtId="176" fontId="0" fillId="2" borderId="77" xfId="0" applyNumberFormat="1" applyFill="1" applyBorder="1">
      <alignment vertical="center"/>
    </xf>
    <xf numFmtId="0" fontId="0" fillId="2" borderId="77" xfId="0" applyFill="1" applyBorder="1" applyAlignment="1">
      <alignment horizontal="center" vertical="center"/>
    </xf>
    <xf numFmtId="0" fontId="0" fillId="2" borderId="78" xfId="0" applyFill="1" applyBorder="1" applyAlignment="1">
      <alignment horizontal="left" vertical="center"/>
    </xf>
    <xf numFmtId="0" fontId="12" fillId="5" borderId="66" xfId="0" applyFont="1" applyFill="1" applyBorder="1">
      <alignment vertical="center"/>
    </xf>
    <xf numFmtId="0" fontId="12" fillId="5" borderId="11" xfId="0" applyFont="1" applyFill="1" applyBorder="1">
      <alignment vertical="center"/>
    </xf>
    <xf numFmtId="0" fontId="12" fillId="5" borderId="12" xfId="0" applyFont="1" applyFill="1" applyBorder="1">
      <alignment vertical="center"/>
    </xf>
    <xf numFmtId="0" fontId="12" fillId="5" borderId="13" xfId="0" applyFont="1" applyFill="1" applyBorder="1">
      <alignment vertical="center"/>
    </xf>
    <xf numFmtId="49" fontId="0" fillId="2" borderId="13" xfId="0" applyNumberFormat="1" applyFill="1" applyBorder="1" applyAlignment="1">
      <alignment horizontal="center" vertical="center"/>
    </xf>
    <xf numFmtId="2" fontId="0" fillId="2" borderId="13" xfId="0" applyNumberFormat="1" applyFill="1" applyBorder="1">
      <alignment vertical="center"/>
    </xf>
    <xf numFmtId="0" fontId="0" fillId="7" borderId="13" xfId="0" applyFill="1" applyBorder="1">
      <alignment vertical="center"/>
    </xf>
    <xf numFmtId="176" fontId="0" fillId="2" borderId="13" xfId="0" applyNumberFormat="1" applyFill="1" applyBorder="1">
      <alignment vertical="center"/>
    </xf>
    <xf numFmtId="0" fontId="0" fillId="2" borderId="13" xfId="0" applyFill="1" applyBorder="1" applyAlignment="1">
      <alignment horizontal="center" vertical="center"/>
    </xf>
    <xf numFmtId="0" fontId="0" fillId="2" borderId="17" xfId="0" applyFill="1" applyBorder="1" applyAlignment="1">
      <alignment horizontal="left" vertical="center"/>
    </xf>
    <xf numFmtId="0" fontId="0" fillId="3" borderId="18" xfId="0" applyFill="1" applyBorder="1">
      <alignment vertical="center"/>
    </xf>
    <xf numFmtId="0" fontId="0" fillId="3" borderId="19" xfId="0" applyFill="1" applyBorder="1">
      <alignment vertical="center"/>
    </xf>
    <xf numFmtId="49" fontId="0" fillId="3" borderId="71" xfId="0" applyNumberFormat="1" applyFill="1" applyBorder="1">
      <alignment vertical="center"/>
    </xf>
    <xf numFmtId="0" fontId="0" fillId="3" borderId="21" xfId="0" applyFill="1" applyBorder="1">
      <alignment vertical="center"/>
    </xf>
    <xf numFmtId="0" fontId="0" fillId="3" borderId="90" xfId="0" applyFill="1" applyBorder="1">
      <alignment vertical="center"/>
    </xf>
    <xf numFmtId="49" fontId="0" fillId="3" borderId="28" xfId="0" applyNumberFormat="1" applyFill="1" applyBorder="1">
      <alignment vertical="center"/>
    </xf>
    <xf numFmtId="0" fontId="0" fillId="3" borderId="91" xfId="0" applyFill="1" applyBorder="1">
      <alignment vertical="center"/>
    </xf>
    <xf numFmtId="0" fontId="0" fillId="3" borderId="92" xfId="0" applyFill="1" applyBorder="1">
      <alignment vertical="center"/>
    </xf>
    <xf numFmtId="49" fontId="0" fillId="3" borderId="97" xfId="0" applyNumberFormat="1" applyFill="1" applyBorder="1">
      <alignment vertical="center"/>
    </xf>
    <xf numFmtId="0" fontId="10" fillId="5" borderId="98" xfId="0" applyFont="1" applyFill="1" applyBorder="1">
      <alignment vertical="center"/>
    </xf>
    <xf numFmtId="0" fontId="12" fillId="5" borderId="72" xfId="0" applyFont="1" applyFill="1" applyBorder="1">
      <alignment vertical="center"/>
    </xf>
    <xf numFmtId="0" fontId="2" fillId="9" borderId="6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49" fontId="2" fillId="9" borderId="7" xfId="0" applyNumberFormat="1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49" fontId="0" fillId="0" borderId="94" xfId="0" applyNumberFormat="1" applyBorder="1" applyAlignment="1">
      <alignment horizontal="center" vertical="center"/>
    </xf>
    <xf numFmtId="0" fontId="0" fillId="0" borderId="96" xfId="0" applyBorder="1">
      <alignment vertical="center"/>
    </xf>
    <xf numFmtId="49" fontId="0" fillId="0" borderId="96" xfId="0" applyNumberFormat="1" applyBorder="1" applyAlignment="1">
      <alignment horizontal="center" vertical="center"/>
    </xf>
    <xf numFmtId="2" fontId="0" fillId="0" borderId="96" xfId="0" applyNumberFormat="1" applyBorder="1">
      <alignment vertical="center"/>
    </xf>
    <xf numFmtId="176" fontId="0" fillId="0" borderId="96" xfId="0" applyNumberFormat="1" applyBorder="1">
      <alignment vertical="center"/>
    </xf>
    <xf numFmtId="0" fontId="0" fillId="0" borderId="96" xfId="0" applyBorder="1" applyAlignment="1">
      <alignment horizontal="center" vertical="center"/>
    </xf>
    <xf numFmtId="0" fontId="0" fillId="0" borderId="76" xfId="0" applyBorder="1" applyAlignment="1">
      <alignment horizontal="left" vertical="center"/>
    </xf>
    <xf numFmtId="0" fontId="0" fillId="10" borderId="84" xfId="0" applyFill="1" applyBorder="1">
      <alignment vertical="center"/>
    </xf>
    <xf numFmtId="0" fontId="0" fillId="10" borderId="7" xfId="0" applyFill="1" applyBorder="1">
      <alignment vertical="center"/>
    </xf>
    <xf numFmtId="0" fontId="0" fillId="10" borderId="9" xfId="0" applyFill="1" applyBorder="1">
      <alignment vertical="center"/>
    </xf>
    <xf numFmtId="0" fontId="0" fillId="10" borderId="94" xfId="0" applyFill="1" applyBorder="1">
      <alignment vertical="center"/>
    </xf>
    <xf numFmtId="0" fontId="0" fillId="10" borderId="96" xfId="0" applyFill="1" applyBorder="1">
      <alignment vertical="center"/>
    </xf>
    <xf numFmtId="0" fontId="0" fillId="10" borderId="88" xfId="0" applyFill="1" applyBorder="1">
      <alignment vertical="center"/>
    </xf>
    <xf numFmtId="0" fontId="10" fillId="5" borderId="87" xfId="0" applyFont="1" applyFill="1" applyBorder="1">
      <alignment vertical="center"/>
    </xf>
    <xf numFmtId="0" fontId="12" fillId="5" borderId="89" xfId="0" applyFont="1" applyFill="1" applyBorder="1">
      <alignment vertical="center"/>
    </xf>
    <xf numFmtId="0" fontId="12" fillId="5" borderId="93" xfId="0" applyFont="1" applyFill="1" applyBorder="1">
      <alignment vertical="center"/>
    </xf>
    <xf numFmtId="0" fontId="12" fillId="5" borderId="94" xfId="0" applyFont="1" applyFill="1" applyBorder="1">
      <alignment vertical="center"/>
    </xf>
    <xf numFmtId="0" fontId="13" fillId="5" borderId="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71" xfId="0" applyFont="1" applyFill="1" applyBorder="1" applyAlignment="1">
      <alignment horizontal="center" vertical="center"/>
    </xf>
    <xf numFmtId="0" fontId="5" fillId="5" borderId="74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5" fillId="5" borderId="53" xfId="0" applyFont="1" applyFill="1" applyBorder="1" applyAlignment="1">
      <alignment horizontal="center" vertical="center"/>
    </xf>
    <xf numFmtId="0" fontId="5" fillId="5" borderId="54" xfId="0" applyFont="1" applyFill="1" applyBorder="1" applyAlignment="1">
      <alignment horizontal="center" vertical="center"/>
    </xf>
    <xf numFmtId="0" fontId="5" fillId="5" borderId="32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5" fillId="5" borderId="40" xfId="0" applyFont="1" applyFill="1" applyBorder="1" applyAlignment="1">
      <alignment horizontal="center" vertical="center"/>
    </xf>
    <xf numFmtId="0" fontId="5" fillId="5" borderId="33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5" fillId="5" borderId="55" xfId="0" applyFont="1" applyFill="1" applyBorder="1" applyAlignment="1">
      <alignment horizontal="center" vertical="center"/>
    </xf>
    <xf numFmtId="0" fontId="5" fillId="5" borderId="56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</cellXfs>
  <cellStyles count="2">
    <cellStyle name="백분율" xfId="1" builtinId="5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81838-7218-4A0F-A903-1DB4731D7A36}">
  <dimension ref="B1:O43"/>
  <sheetViews>
    <sheetView tabSelected="1" zoomScale="85" zoomScaleNormal="85" workbookViewId="0">
      <pane ySplit="2" topLeftCell="A3" activePane="bottomLeft" state="frozen"/>
      <selection pane="bottomLeft"/>
    </sheetView>
  </sheetViews>
  <sheetFormatPr defaultRowHeight="17.399999999999999" x14ac:dyDescent="0.4"/>
  <cols>
    <col min="1" max="1" width="1.69921875" customWidth="1"/>
    <col min="2" max="2" width="19.19921875" bestFit="1" customWidth="1"/>
    <col min="3" max="3" width="9.3984375" bestFit="1" customWidth="1"/>
    <col min="4" max="4" width="10.59765625" style="118" bestFit="1" customWidth="1"/>
    <col min="5" max="5" width="7" bestFit="1" customWidth="1"/>
    <col min="6" max="9" width="12.69921875" customWidth="1"/>
    <col min="10" max="14" width="8.69921875" style="120" customWidth="1"/>
    <col min="15" max="15" width="105.19921875" style="121" bestFit="1" customWidth="1"/>
  </cols>
  <sheetData>
    <row r="1" spans="2:15" ht="10.050000000000001" customHeight="1" thickBot="1" x14ac:dyDescent="0.45"/>
    <row r="2" spans="2:15" x14ac:dyDescent="0.4">
      <c r="B2" s="128" t="s">
        <v>263</v>
      </c>
      <c r="C2" s="129" t="s">
        <v>315</v>
      </c>
      <c r="D2" s="130" t="s">
        <v>264</v>
      </c>
      <c r="E2" s="129" t="s">
        <v>281</v>
      </c>
      <c r="F2" s="129" t="s">
        <v>272</v>
      </c>
      <c r="G2" s="129" t="s">
        <v>95</v>
      </c>
      <c r="H2" s="129" t="s">
        <v>262</v>
      </c>
      <c r="I2" s="129" t="s">
        <v>265</v>
      </c>
      <c r="J2" s="129" t="s">
        <v>267</v>
      </c>
      <c r="K2" s="129" t="s">
        <v>268</v>
      </c>
      <c r="L2" s="129" t="s">
        <v>269</v>
      </c>
      <c r="M2" s="129" t="s">
        <v>270</v>
      </c>
      <c r="N2" s="129" t="s">
        <v>271</v>
      </c>
      <c r="O2" s="131" t="s">
        <v>266</v>
      </c>
    </row>
    <row r="3" spans="2:15" ht="19.95" customHeight="1" x14ac:dyDescent="0.4">
      <c r="B3" s="88" t="s">
        <v>0</v>
      </c>
      <c r="C3" s="175">
        <v>7</v>
      </c>
      <c r="D3" s="176" t="s">
        <v>318</v>
      </c>
      <c r="E3" s="1">
        <v>5</v>
      </c>
      <c r="F3" s="177">
        <v>4.3977870124668303</v>
      </c>
      <c r="G3" s="177">
        <v>0.87955740249336611</v>
      </c>
      <c r="H3" s="178">
        <v>41</v>
      </c>
      <c r="I3" s="179">
        <v>0.35</v>
      </c>
      <c r="J3" s="180"/>
      <c r="K3" s="180" t="s">
        <v>290</v>
      </c>
      <c r="L3" s="180"/>
      <c r="M3" s="180"/>
      <c r="N3" s="180"/>
      <c r="O3" s="181" t="s">
        <v>326</v>
      </c>
    </row>
    <row r="4" spans="2:15" ht="19.95" customHeight="1" x14ac:dyDescent="0.4">
      <c r="B4" s="161"/>
      <c r="C4" s="182">
        <v>10</v>
      </c>
      <c r="D4" s="183" t="s">
        <v>273</v>
      </c>
      <c r="E4" s="3">
        <v>5</v>
      </c>
      <c r="F4" s="184">
        <v>4.5437841085465402</v>
      </c>
      <c r="G4" s="184">
        <v>0.90875682170930805</v>
      </c>
      <c r="H4" s="185">
        <v>41</v>
      </c>
      <c r="I4" s="186">
        <v>0.35</v>
      </c>
      <c r="J4" s="187"/>
      <c r="K4" s="187" t="s">
        <v>290</v>
      </c>
      <c r="L4" s="187"/>
      <c r="M4" s="187"/>
      <c r="N4" s="187"/>
      <c r="O4" s="188" t="s">
        <v>322</v>
      </c>
    </row>
    <row r="5" spans="2:15" ht="19.95" customHeight="1" x14ac:dyDescent="0.4">
      <c r="B5" s="161"/>
      <c r="C5" s="182">
        <v>10</v>
      </c>
      <c r="D5" s="183" t="s">
        <v>319</v>
      </c>
      <c r="E5" s="3">
        <v>5</v>
      </c>
      <c r="F5" s="184">
        <v>8.1788113953837733</v>
      </c>
      <c r="G5" s="184">
        <v>1.6357622790767548</v>
      </c>
      <c r="H5" s="185">
        <v>62</v>
      </c>
      <c r="I5" s="186">
        <v>0.35</v>
      </c>
      <c r="J5" s="187"/>
      <c r="K5" s="187" t="s">
        <v>290</v>
      </c>
      <c r="L5" s="187"/>
      <c r="M5" s="187"/>
      <c r="N5" s="187"/>
      <c r="O5" s="188" t="s">
        <v>323</v>
      </c>
    </row>
    <row r="6" spans="2:15" ht="19.95" customHeight="1" x14ac:dyDescent="0.4">
      <c r="B6" s="162"/>
      <c r="C6" s="189">
        <v>10</v>
      </c>
      <c r="D6" s="190" t="s">
        <v>282</v>
      </c>
      <c r="E6" s="78">
        <v>5</v>
      </c>
      <c r="F6" s="191">
        <v>8.1788113953837733</v>
      </c>
      <c r="G6" s="191">
        <v>1.6357622790767548</v>
      </c>
      <c r="H6" s="192">
        <v>62</v>
      </c>
      <c r="I6" s="193">
        <v>0.35</v>
      </c>
      <c r="J6" s="194"/>
      <c r="K6" s="194" t="s">
        <v>290</v>
      </c>
      <c r="L6" s="194"/>
      <c r="M6" s="194"/>
      <c r="N6" s="194"/>
      <c r="O6" s="195" t="s">
        <v>335</v>
      </c>
    </row>
    <row r="7" spans="2:15" ht="19.95" customHeight="1" x14ac:dyDescent="0.4">
      <c r="B7" s="163" t="s">
        <v>149</v>
      </c>
      <c r="C7" s="164">
        <v>10</v>
      </c>
      <c r="D7" s="169" t="s">
        <v>278</v>
      </c>
      <c r="E7" s="170">
        <v>12</v>
      </c>
      <c r="F7" s="171">
        <v>6.925749762178941</v>
      </c>
      <c r="G7" s="171">
        <f>F7/E7</f>
        <v>0.57714581351491179</v>
      </c>
      <c r="H7" s="140">
        <v>29</v>
      </c>
      <c r="I7" s="172">
        <v>0.16250000000000001</v>
      </c>
      <c r="J7" s="173" t="s">
        <v>290</v>
      </c>
      <c r="K7" s="173"/>
      <c r="L7" s="173"/>
      <c r="M7" s="173"/>
      <c r="N7" s="173"/>
      <c r="O7" s="174" t="s">
        <v>327</v>
      </c>
    </row>
    <row r="8" spans="2:15" ht="19.95" customHeight="1" x14ac:dyDescent="0.4">
      <c r="B8" s="161" t="s">
        <v>9</v>
      </c>
      <c r="C8" s="175">
        <v>7</v>
      </c>
      <c r="D8" s="176" t="s">
        <v>320</v>
      </c>
      <c r="E8" s="1">
        <v>10</v>
      </c>
      <c r="F8" s="177">
        <v>5.867671356331047</v>
      </c>
      <c r="G8" s="177">
        <f t="shared" ref="G8:G32" si="0">F8/E8</f>
        <v>0.58676713563310468</v>
      </c>
      <c r="H8" s="178">
        <v>58</v>
      </c>
      <c r="I8" s="179">
        <v>0.1</v>
      </c>
      <c r="J8" s="180" t="s">
        <v>290</v>
      </c>
      <c r="K8" s="180" t="s">
        <v>290</v>
      </c>
      <c r="L8" s="180"/>
      <c r="M8" s="180" t="s">
        <v>290</v>
      </c>
      <c r="N8" s="180">
        <v>2</v>
      </c>
      <c r="O8" s="181" t="s">
        <v>324</v>
      </c>
    </row>
    <row r="9" spans="2:15" ht="19.95" customHeight="1" x14ac:dyDescent="0.4">
      <c r="B9" s="162"/>
      <c r="C9" s="189">
        <v>10</v>
      </c>
      <c r="D9" s="190" t="s">
        <v>279</v>
      </c>
      <c r="E9" s="78">
        <v>10</v>
      </c>
      <c r="F9" s="191">
        <v>6.0626846242427277</v>
      </c>
      <c r="G9" s="191">
        <f t="shared" si="0"/>
        <v>0.60626846242427279</v>
      </c>
      <c r="H9" s="192">
        <v>93</v>
      </c>
      <c r="I9" s="193">
        <v>0.1</v>
      </c>
      <c r="J9" s="194" t="s">
        <v>290</v>
      </c>
      <c r="K9" s="194" t="s">
        <v>290</v>
      </c>
      <c r="L9" s="194"/>
      <c r="M9" s="194" t="s">
        <v>290</v>
      </c>
      <c r="N9" s="194">
        <v>2</v>
      </c>
      <c r="O9" s="195" t="s">
        <v>325</v>
      </c>
    </row>
    <row r="10" spans="2:15" ht="19.95" customHeight="1" x14ac:dyDescent="0.4">
      <c r="B10" s="161" t="s">
        <v>11</v>
      </c>
      <c r="C10" s="175">
        <v>7</v>
      </c>
      <c r="D10" s="176" t="s">
        <v>317</v>
      </c>
      <c r="E10" s="1">
        <v>6</v>
      </c>
      <c r="F10" s="177">
        <v>7.472708045228992</v>
      </c>
      <c r="G10" s="177">
        <f t="shared" si="0"/>
        <v>1.2454513408714987</v>
      </c>
      <c r="H10" s="178">
        <v>58</v>
      </c>
      <c r="I10" s="179">
        <v>0.29166666666666669</v>
      </c>
      <c r="J10" s="180"/>
      <c r="K10" s="180" t="s">
        <v>290</v>
      </c>
      <c r="L10" s="180"/>
      <c r="M10" s="180" t="s">
        <v>290</v>
      </c>
      <c r="N10" s="180"/>
      <c r="O10" s="181" t="s">
        <v>329</v>
      </c>
    </row>
    <row r="11" spans="2:15" ht="19.95" customHeight="1" x14ac:dyDescent="0.4">
      <c r="B11" s="161"/>
      <c r="C11" s="182">
        <v>10</v>
      </c>
      <c r="D11" s="183" t="s">
        <v>328</v>
      </c>
      <c r="E11" s="3">
        <v>6</v>
      </c>
      <c r="F11" s="184">
        <v>11.775548076140893</v>
      </c>
      <c r="G11" s="184">
        <f t="shared" ref="G11" si="1">F11/E11</f>
        <v>1.9625913460234823</v>
      </c>
      <c r="H11" s="185">
        <v>72</v>
      </c>
      <c r="I11" s="186">
        <v>0.29166666666666669</v>
      </c>
      <c r="J11" s="187"/>
      <c r="K11" s="187" t="s">
        <v>290</v>
      </c>
      <c r="L11" s="187"/>
      <c r="M11" s="187" t="s">
        <v>290</v>
      </c>
      <c r="N11" s="187"/>
      <c r="O11" s="188" t="s">
        <v>330</v>
      </c>
    </row>
    <row r="12" spans="2:15" ht="19.95" customHeight="1" x14ac:dyDescent="0.4">
      <c r="B12" s="162"/>
      <c r="C12" s="189">
        <v>10</v>
      </c>
      <c r="D12" s="190" t="s">
        <v>278</v>
      </c>
      <c r="E12" s="78">
        <v>6</v>
      </c>
      <c r="F12" s="191">
        <v>12.447644594484666</v>
      </c>
      <c r="G12" s="191">
        <f t="shared" ref="G12" si="2">F12/E12</f>
        <v>2.0746074324141111</v>
      </c>
      <c r="H12" s="192">
        <v>58</v>
      </c>
      <c r="I12" s="193">
        <v>0.29166666666666669</v>
      </c>
      <c r="J12" s="194"/>
      <c r="K12" s="194" t="s">
        <v>290</v>
      </c>
      <c r="L12" s="194"/>
      <c r="M12" s="194" t="s">
        <v>290</v>
      </c>
      <c r="N12" s="194"/>
      <c r="O12" s="195" t="s">
        <v>331</v>
      </c>
    </row>
    <row r="13" spans="2:15" ht="19.95" customHeight="1" x14ac:dyDescent="0.4">
      <c r="B13" s="161" t="s">
        <v>16</v>
      </c>
      <c r="C13" s="175">
        <v>7</v>
      </c>
      <c r="D13" s="176" t="s">
        <v>332</v>
      </c>
      <c r="E13" s="1">
        <v>16</v>
      </c>
      <c r="F13" s="177">
        <v>6.6247051167331001</v>
      </c>
      <c r="G13" s="177">
        <f t="shared" si="0"/>
        <v>0.41404406979581876</v>
      </c>
      <c r="H13" s="178">
        <v>58</v>
      </c>
      <c r="I13" s="179">
        <v>0.10625</v>
      </c>
      <c r="J13" s="180" t="s">
        <v>290</v>
      </c>
      <c r="K13" s="180" t="s">
        <v>290</v>
      </c>
      <c r="L13" s="180"/>
      <c r="M13" s="180"/>
      <c r="N13" s="180">
        <v>1</v>
      </c>
      <c r="O13" s="181" t="s">
        <v>333</v>
      </c>
    </row>
    <row r="14" spans="2:15" ht="19.95" customHeight="1" x14ac:dyDescent="0.4">
      <c r="B14" s="161"/>
      <c r="C14" s="182">
        <v>10</v>
      </c>
      <c r="D14" s="183" t="s">
        <v>280</v>
      </c>
      <c r="E14" s="3">
        <v>16</v>
      </c>
      <c r="F14" s="184">
        <v>16.7035695111039</v>
      </c>
      <c r="G14" s="184">
        <f t="shared" si="0"/>
        <v>1.0439730944439938</v>
      </c>
      <c r="H14" s="185">
        <v>116</v>
      </c>
      <c r="I14" s="186">
        <v>0.10625</v>
      </c>
      <c r="J14" s="187" t="s">
        <v>290</v>
      </c>
      <c r="K14" s="187" t="s">
        <v>290</v>
      </c>
      <c r="L14" s="187"/>
      <c r="M14" s="187"/>
      <c r="N14" s="187">
        <v>1</v>
      </c>
      <c r="O14" s="188" t="s">
        <v>334</v>
      </c>
    </row>
    <row r="15" spans="2:15" ht="19.95" customHeight="1" x14ac:dyDescent="0.4">
      <c r="B15" s="162"/>
      <c r="C15" s="189">
        <v>10</v>
      </c>
      <c r="D15" s="190" t="s">
        <v>279</v>
      </c>
      <c r="E15" s="78">
        <v>16</v>
      </c>
      <c r="F15" s="191">
        <v>25.055354266655851</v>
      </c>
      <c r="G15" s="191">
        <f t="shared" ref="G15" si="3">F15/E15</f>
        <v>1.5659596416659907</v>
      </c>
      <c r="H15" s="192">
        <v>145</v>
      </c>
      <c r="I15" s="193">
        <v>6.3E-2</v>
      </c>
      <c r="J15" s="194" t="s">
        <v>290</v>
      </c>
      <c r="K15" s="194" t="s">
        <v>290</v>
      </c>
      <c r="L15" s="194"/>
      <c r="M15" s="194"/>
      <c r="N15" s="194">
        <v>1</v>
      </c>
      <c r="O15" s="195" t="s">
        <v>336</v>
      </c>
    </row>
    <row r="16" spans="2:15" ht="19.95" customHeight="1" x14ac:dyDescent="0.4">
      <c r="B16" s="163" t="s">
        <v>17</v>
      </c>
      <c r="C16" s="164">
        <v>7</v>
      </c>
      <c r="D16" s="169" t="s">
        <v>320</v>
      </c>
      <c r="E16" s="170">
        <v>12</v>
      </c>
      <c r="F16" s="171">
        <v>6.581713170096803</v>
      </c>
      <c r="G16" s="171">
        <f t="shared" si="0"/>
        <v>0.54847609750806692</v>
      </c>
      <c r="H16" s="140">
        <v>62</v>
      </c>
      <c r="I16" s="172">
        <v>8.3000000000000004E-2</v>
      </c>
      <c r="J16" s="173" t="s">
        <v>290</v>
      </c>
      <c r="K16" s="173" t="s">
        <v>290</v>
      </c>
      <c r="L16" s="173"/>
      <c r="M16" s="173"/>
      <c r="N16" s="173"/>
      <c r="O16" s="174" t="s">
        <v>337</v>
      </c>
    </row>
    <row r="17" spans="2:15" ht="19.95" customHeight="1" x14ac:dyDescent="0.4">
      <c r="B17" s="163" t="s">
        <v>20</v>
      </c>
      <c r="C17" s="164">
        <v>7</v>
      </c>
      <c r="D17" s="169" t="s">
        <v>338</v>
      </c>
      <c r="E17" s="170">
        <v>24</v>
      </c>
      <c r="F17" s="171">
        <v>15.171398356788416</v>
      </c>
      <c r="G17" s="171">
        <f t="shared" si="0"/>
        <v>0.63214159819951732</v>
      </c>
      <c r="H17" s="140">
        <v>114</v>
      </c>
      <c r="I17" s="172">
        <v>4.2000000000000003E-2</v>
      </c>
      <c r="J17" s="173" t="s">
        <v>290</v>
      </c>
      <c r="K17" s="173" t="s">
        <v>290</v>
      </c>
      <c r="L17" s="173"/>
      <c r="M17" s="173"/>
      <c r="N17" s="173"/>
      <c r="O17" s="174" t="s">
        <v>339</v>
      </c>
    </row>
    <row r="18" spans="2:15" ht="19.95" customHeight="1" x14ac:dyDescent="0.4">
      <c r="B18" s="161" t="s">
        <v>21</v>
      </c>
      <c r="C18" s="175">
        <v>7</v>
      </c>
      <c r="D18" s="176" t="s">
        <v>340</v>
      </c>
      <c r="E18" s="1">
        <v>20</v>
      </c>
      <c r="F18" s="177">
        <v>11.09053933132677</v>
      </c>
      <c r="G18" s="177">
        <f t="shared" si="0"/>
        <v>0.55452696656633849</v>
      </c>
      <c r="H18" s="178">
        <v>57</v>
      </c>
      <c r="I18" s="179">
        <v>8.4999999999999992E-2</v>
      </c>
      <c r="J18" s="180" t="s">
        <v>290</v>
      </c>
      <c r="K18" s="180" t="s">
        <v>290</v>
      </c>
      <c r="L18" s="180"/>
      <c r="M18" s="180"/>
      <c r="N18" s="180">
        <v>1</v>
      </c>
      <c r="O18" s="181" t="s">
        <v>342</v>
      </c>
    </row>
    <row r="19" spans="2:15" ht="19.95" customHeight="1" x14ac:dyDescent="0.4">
      <c r="B19" s="162"/>
      <c r="C19" s="189">
        <v>10</v>
      </c>
      <c r="D19" s="190" t="s">
        <v>341</v>
      </c>
      <c r="E19" s="78">
        <v>20</v>
      </c>
      <c r="F19" s="191">
        <v>17.186284877572604</v>
      </c>
      <c r="G19" s="191">
        <f t="shared" ref="G19" si="4">F19/E19</f>
        <v>0.8593142438786302</v>
      </c>
      <c r="H19" s="192">
        <v>57</v>
      </c>
      <c r="I19" s="193">
        <v>8.4999999999999992E-2</v>
      </c>
      <c r="J19" s="194" t="s">
        <v>290</v>
      </c>
      <c r="K19" s="194" t="s">
        <v>290</v>
      </c>
      <c r="L19" s="194"/>
      <c r="M19" s="194"/>
      <c r="N19" s="194">
        <v>1</v>
      </c>
      <c r="O19" s="195" t="s">
        <v>343</v>
      </c>
    </row>
    <row r="20" spans="2:15" ht="19.95" customHeight="1" x14ac:dyDescent="0.4">
      <c r="B20" s="163" t="s">
        <v>22</v>
      </c>
      <c r="C20" s="164">
        <v>10</v>
      </c>
      <c r="D20" s="169" t="s">
        <v>279</v>
      </c>
      <c r="E20" s="170">
        <v>13.1</v>
      </c>
      <c r="F20" s="171">
        <v>7.0207028390140724</v>
      </c>
      <c r="G20" s="171">
        <f t="shared" si="0"/>
        <v>0.53593151442855513</v>
      </c>
      <c r="H20" s="140">
        <v>58</v>
      </c>
      <c r="I20" s="172">
        <v>0.15267175572519084</v>
      </c>
      <c r="J20" s="173" t="s">
        <v>290</v>
      </c>
      <c r="K20" s="173"/>
      <c r="L20" s="173"/>
      <c r="M20" s="173"/>
      <c r="N20" s="173"/>
      <c r="O20" s="174" t="s">
        <v>344</v>
      </c>
    </row>
    <row r="21" spans="2:15" ht="19.95" customHeight="1" thickBot="1" x14ac:dyDescent="0.45">
      <c r="B21" s="196" t="s">
        <v>23</v>
      </c>
      <c r="C21" s="197">
        <v>10</v>
      </c>
      <c r="D21" s="198" t="s">
        <v>286</v>
      </c>
      <c r="E21" s="199">
        <v>40</v>
      </c>
      <c r="F21" s="200">
        <v>12.001504921500041</v>
      </c>
      <c r="G21" s="200">
        <f t="shared" si="0"/>
        <v>0.30003762303750103</v>
      </c>
      <c r="H21" s="201">
        <v>29</v>
      </c>
      <c r="I21" s="202">
        <v>2.5000000000000001E-2</v>
      </c>
      <c r="J21" s="203" t="s">
        <v>290</v>
      </c>
      <c r="K21" s="203" t="s">
        <v>290</v>
      </c>
      <c r="L21" s="203" t="s">
        <v>290</v>
      </c>
      <c r="M21" s="203"/>
      <c r="N21" s="203"/>
      <c r="O21" s="204" t="s">
        <v>299</v>
      </c>
    </row>
    <row r="22" spans="2:15" ht="19.95" customHeight="1" thickTop="1" x14ac:dyDescent="0.4">
      <c r="B22" s="231" t="s">
        <v>27</v>
      </c>
      <c r="C22" s="205">
        <v>12</v>
      </c>
      <c r="D22" s="206" t="s">
        <v>287</v>
      </c>
      <c r="E22" s="112">
        <v>18</v>
      </c>
      <c r="F22" s="207">
        <v>95.974614831204747</v>
      </c>
      <c r="G22" s="207">
        <f t="shared" si="0"/>
        <v>5.3319230461780416</v>
      </c>
      <c r="H22" s="208">
        <v>220</v>
      </c>
      <c r="I22" s="209"/>
      <c r="J22" s="210" t="s">
        <v>290</v>
      </c>
      <c r="K22" s="210" t="s">
        <v>290</v>
      </c>
      <c r="L22" s="210"/>
      <c r="M22" s="210"/>
      <c r="N22" s="210">
        <v>2</v>
      </c>
      <c r="O22" s="211" t="s">
        <v>346</v>
      </c>
    </row>
    <row r="23" spans="2:15" ht="19.95" customHeight="1" x14ac:dyDescent="0.4">
      <c r="B23" s="165"/>
      <c r="C23" s="212">
        <v>12</v>
      </c>
      <c r="D23" s="190" t="s">
        <v>293</v>
      </c>
      <c r="E23" s="78">
        <v>18</v>
      </c>
      <c r="F23" s="191">
        <v>77.342663403725709</v>
      </c>
      <c r="G23" s="191">
        <f t="shared" ref="G23" si="5">F23/E23</f>
        <v>4.2968146335403175</v>
      </c>
      <c r="H23" s="192">
        <v>104</v>
      </c>
      <c r="I23" s="193"/>
      <c r="J23" s="194" t="s">
        <v>290</v>
      </c>
      <c r="K23" s="194" t="s">
        <v>290</v>
      </c>
      <c r="L23" s="194"/>
      <c r="M23" s="194"/>
      <c r="N23" s="194"/>
      <c r="O23" s="195" t="s">
        <v>347</v>
      </c>
    </row>
    <row r="24" spans="2:15" ht="19.95" customHeight="1" x14ac:dyDescent="0.4">
      <c r="B24" s="232" t="s">
        <v>36</v>
      </c>
      <c r="C24" s="213">
        <v>12</v>
      </c>
      <c r="D24" s="176" t="s">
        <v>284</v>
      </c>
      <c r="E24" s="1">
        <v>14</v>
      </c>
      <c r="F24" s="177">
        <v>128.54612647821463</v>
      </c>
      <c r="G24" s="177">
        <f t="shared" si="0"/>
        <v>9.1818661770153316</v>
      </c>
      <c r="H24" s="178">
        <v>182</v>
      </c>
      <c r="I24" s="179"/>
      <c r="J24" s="180" t="s">
        <v>290</v>
      </c>
      <c r="K24" s="180" t="s">
        <v>290</v>
      </c>
      <c r="L24" s="180"/>
      <c r="M24" s="180"/>
      <c r="N24" s="180">
        <v>1</v>
      </c>
      <c r="O24" s="181" t="s">
        <v>349</v>
      </c>
    </row>
    <row r="25" spans="2:15" ht="19.95" customHeight="1" x14ac:dyDescent="0.4">
      <c r="B25" s="167"/>
      <c r="C25" s="214">
        <v>12</v>
      </c>
      <c r="D25" s="183" t="s">
        <v>345</v>
      </c>
      <c r="E25" s="3">
        <v>22</v>
      </c>
      <c r="F25" s="184">
        <v>128.54612647821463</v>
      </c>
      <c r="G25" s="184">
        <f t="shared" si="0"/>
        <v>5.8430057490097562</v>
      </c>
      <c r="H25" s="185">
        <v>182</v>
      </c>
      <c r="I25" s="186"/>
      <c r="J25" s="187" t="s">
        <v>290</v>
      </c>
      <c r="K25" s="187" t="s">
        <v>290</v>
      </c>
      <c r="L25" s="187"/>
      <c r="M25" s="187"/>
      <c r="N25" s="187">
        <v>1</v>
      </c>
      <c r="O25" s="188" t="s">
        <v>350</v>
      </c>
    </row>
    <row r="26" spans="2:15" ht="19.95" customHeight="1" x14ac:dyDescent="0.4">
      <c r="B26" s="165"/>
      <c r="C26" s="212">
        <v>12</v>
      </c>
      <c r="D26" s="190" t="s">
        <v>287</v>
      </c>
      <c r="E26" s="78">
        <v>14</v>
      </c>
      <c r="F26" s="191">
        <v>69.484392690926825</v>
      </c>
      <c r="G26" s="191">
        <f t="shared" ref="G26" si="6">F26/E26</f>
        <v>4.9631709064947733</v>
      </c>
      <c r="H26" s="192">
        <v>182</v>
      </c>
      <c r="I26" s="193"/>
      <c r="J26" s="194" t="s">
        <v>290</v>
      </c>
      <c r="K26" s="194" t="s">
        <v>290</v>
      </c>
      <c r="L26" s="194"/>
      <c r="M26" s="194"/>
      <c r="N26" s="194">
        <v>1</v>
      </c>
      <c r="O26" s="195" t="s">
        <v>348</v>
      </c>
    </row>
    <row r="27" spans="2:15" ht="19.95" customHeight="1" x14ac:dyDescent="0.4">
      <c r="B27" s="232" t="s">
        <v>61</v>
      </c>
      <c r="C27" s="213">
        <v>12</v>
      </c>
      <c r="D27" s="176" t="s">
        <v>288</v>
      </c>
      <c r="E27" s="1">
        <v>30</v>
      </c>
      <c r="F27" s="177">
        <v>211.14064326714239</v>
      </c>
      <c r="G27" s="177">
        <f t="shared" si="0"/>
        <v>7.0380214422380796</v>
      </c>
      <c r="H27" s="178">
        <v>73</v>
      </c>
      <c r="I27" s="179"/>
      <c r="J27" s="180" t="s">
        <v>290</v>
      </c>
      <c r="K27" s="180" t="s">
        <v>290</v>
      </c>
      <c r="L27" s="180" t="s">
        <v>290</v>
      </c>
      <c r="M27" s="180"/>
      <c r="N27" s="180">
        <v>2</v>
      </c>
      <c r="O27" s="181" t="s">
        <v>303</v>
      </c>
    </row>
    <row r="28" spans="2:15" ht="19.95" customHeight="1" x14ac:dyDescent="0.4">
      <c r="B28" s="167"/>
      <c r="C28" s="214">
        <v>12</v>
      </c>
      <c r="D28" s="183" t="s">
        <v>279</v>
      </c>
      <c r="E28" s="3">
        <v>30</v>
      </c>
      <c r="F28" s="184">
        <v>186.07199786412392</v>
      </c>
      <c r="G28" s="184">
        <f t="shared" si="0"/>
        <v>6.2023999288041303</v>
      </c>
      <c r="H28" s="185">
        <v>113</v>
      </c>
      <c r="I28" s="186"/>
      <c r="J28" s="187" t="s">
        <v>290</v>
      </c>
      <c r="K28" s="187" t="s">
        <v>290</v>
      </c>
      <c r="L28" s="187" t="s">
        <v>290</v>
      </c>
      <c r="M28" s="187"/>
      <c r="N28" s="187">
        <v>2</v>
      </c>
      <c r="O28" s="188" t="s">
        <v>358</v>
      </c>
    </row>
    <row r="29" spans="2:15" ht="19.95" customHeight="1" x14ac:dyDescent="0.4">
      <c r="B29" s="165"/>
      <c r="C29" s="212">
        <v>12</v>
      </c>
      <c r="D29" s="190" t="s">
        <v>287</v>
      </c>
      <c r="E29" s="78">
        <v>30</v>
      </c>
      <c r="F29" s="191">
        <v>129.16343484774609</v>
      </c>
      <c r="G29" s="191">
        <f t="shared" ref="G29:G30" si="7">F29/E29</f>
        <v>4.3054478282582034</v>
      </c>
      <c r="H29" s="192">
        <v>147</v>
      </c>
      <c r="I29" s="193"/>
      <c r="J29" s="194" t="s">
        <v>290</v>
      </c>
      <c r="K29" s="194" t="s">
        <v>290</v>
      </c>
      <c r="L29" s="194" t="s">
        <v>290</v>
      </c>
      <c r="M29" s="194"/>
      <c r="N29" s="194">
        <v>2</v>
      </c>
      <c r="O29" s="195" t="s">
        <v>351</v>
      </c>
    </row>
    <row r="30" spans="2:15" ht="19.95" customHeight="1" x14ac:dyDescent="0.4">
      <c r="B30" s="232" t="s">
        <v>76</v>
      </c>
      <c r="C30" s="213">
        <v>12</v>
      </c>
      <c r="D30" s="176" t="s">
        <v>284</v>
      </c>
      <c r="E30" s="1">
        <v>30</v>
      </c>
      <c r="F30" s="177">
        <v>195.39146575417757</v>
      </c>
      <c r="G30" s="177">
        <f t="shared" si="7"/>
        <v>6.5130488584725859</v>
      </c>
      <c r="H30" s="178">
        <v>125</v>
      </c>
      <c r="I30" s="179"/>
      <c r="J30" s="180" t="s">
        <v>290</v>
      </c>
      <c r="K30" s="180" t="s">
        <v>290</v>
      </c>
      <c r="L30" s="180" t="s">
        <v>290</v>
      </c>
      <c r="M30" s="180"/>
      <c r="N30" s="180">
        <v>2</v>
      </c>
      <c r="O30" s="181" t="s">
        <v>308</v>
      </c>
    </row>
    <row r="31" spans="2:15" ht="19.95" customHeight="1" x14ac:dyDescent="0.4">
      <c r="B31" s="167"/>
      <c r="C31" s="214">
        <v>12</v>
      </c>
      <c r="D31" s="183" t="s">
        <v>286</v>
      </c>
      <c r="E31" s="3">
        <v>19</v>
      </c>
      <c r="F31" s="184">
        <v>122.11966609636097</v>
      </c>
      <c r="G31" s="184">
        <f t="shared" ref="G31" si="8">F31/E31</f>
        <v>6.4273508471768936</v>
      </c>
      <c r="H31" s="185">
        <v>125</v>
      </c>
      <c r="I31" s="186"/>
      <c r="J31" s="187" t="s">
        <v>290</v>
      </c>
      <c r="K31" s="187" t="s">
        <v>290</v>
      </c>
      <c r="L31" s="187" t="s">
        <v>290</v>
      </c>
      <c r="M31" s="187"/>
      <c r="N31" s="187">
        <v>2</v>
      </c>
      <c r="O31" s="188" t="s">
        <v>352</v>
      </c>
    </row>
    <row r="32" spans="2:15" ht="19.95" customHeight="1" x14ac:dyDescent="0.4">
      <c r="B32" s="167"/>
      <c r="C32" s="214">
        <v>12</v>
      </c>
      <c r="D32" s="183" t="s">
        <v>285</v>
      </c>
      <c r="E32" s="3">
        <v>30</v>
      </c>
      <c r="F32" s="184">
        <v>169.45238373476354</v>
      </c>
      <c r="G32" s="184">
        <f t="shared" si="0"/>
        <v>5.6484127911587851</v>
      </c>
      <c r="H32" s="185">
        <v>176</v>
      </c>
      <c r="I32" s="186"/>
      <c r="J32" s="187" t="s">
        <v>290</v>
      </c>
      <c r="K32" s="187" t="s">
        <v>290</v>
      </c>
      <c r="L32" s="187" t="s">
        <v>290</v>
      </c>
      <c r="M32" s="187"/>
      <c r="N32" s="187">
        <v>2</v>
      </c>
      <c r="O32" s="188" t="s">
        <v>356</v>
      </c>
    </row>
    <row r="33" spans="2:15" ht="19.95" customHeight="1" thickBot="1" x14ac:dyDescent="0.45">
      <c r="B33" s="168"/>
      <c r="C33" s="215">
        <v>12</v>
      </c>
      <c r="D33" s="216" t="s">
        <v>273</v>
      </c>
      <c r="E33" s="5">
        <v>19</v>
      </c>
      <c r="F33" s="217">
        <v>105.90773983422721</v>
      </c>
      <c r="G33" s="217">
        <f t="shared" ref="G33" si="9">F33/E33</f>
        <v>5.5740915702224854</v>
      </c>
      <c r="H33" s="218">
        <v>176</v>
      </c>
      <c r="I33" s="219"/>
      <c r="J33" s="220" t="s">
        <v>290</v>
      </c>
      <c r="K33" s="220" t="s">
        <v>290</v>
      </c>
      <c r="L33" s="220" t="s">
        <v>290</v>
      </c>
      <c r="M33" s="220"/>
      <c r="N33" s="220">
        <v>2</v>
      </c>
      <c r="O33" s="221" t="s">
        <v>357</v>
      </c>
    </row>
    <row r="34" spans="2:15" s="34" customFormat="1" ht="4.95" customHeight="1" thickBot="1" x14ac:dyDescent="0.45">
      <c r="D34" s="156"/>
      <c r="F34" s="157"/>
      <c r="G34" s="157"/>
      <c r="I34" s="158"/>
      <c r="J34" s="159"/>
      <c r="K34" s="159"/>
      <c r="L34" s="159"/>
      <c r="M34" s="159"/>
      <c r="N34" s="159"/>
      <c r="O34" s="160"/>
    </row>
    <row r="35" spans="2:15" ht="25.05" customHeight="1" x14ac:dyDescent="0.4">
      <c r="B35" s="222" t="s">
        <v>274</v>
      </c>
      <c r="C35" s="223"/>
      <c r="D35" s="224"/>
      <c r="E35" s="144">
        <v>300</v>
      </c>
      <c r="F35" s="145">
        <v>239.69076873592795</v>
      </c>
      <c r="G35" s="145">
        <f>F35/E35</f>
        <v>0.79896922911975987</v>
      </c>
      <c r="H35" s="146">
        <v>89</v>
      </c>
      <c r="I35" s="147"/>
      <c r="J35" s="148" t="s">
        <v>309</v>
      </c>
      <c r="K35" s="148"/>
      <c r="L35" s="148"/>
      <c r="M35" s="148"/>
      <c r="N35" s="148"/>
      <c r="O35" s="149" t="s">
        <v>314</v>
      </c>
    </row>
    <row r="36" spans="2:15" ht="25.05" customHeight="1" x14ac:dyDescent="0.4">
      <c r="B36" s="225" t="s">
        <v>275</v>
      </c>
      <c r="C36" s="226"/>
      <c r="D36" s="227"/>
      <c r="E36" s="105">
        <v>300</v>
      </c>
      <c r="F36" s="139">
        <v>407.26182052106788</v>
      </c>
      <c r="G36" s="139">
        <f>F36/E36</f>
        <v>1.3575394017368929</v>
      </c>
      <c r="H36" s="140">
        <v>81</v>
      </c>
      <c r="I36" s="141"/>
      <c r="J36" s="142" t="s">
        <v>309</v>
      </c>
      <c r="K36" s="142"/>
      <c r="L36" s="142"/>
      <c r="M36" s="142"/>
      <c r="N36" s="142">
        <v>2</v>
      </c>
      <c r="O36" s="143" t="s">
        <v>313</v>
      </c>
    </row>
    <row r="37" spans="2:15" ht="25.05" customHeight="1" x14ac:dyDescent="0.4">
      <c r="B37" s="225" t="s">
        <v>353</v>
      </c>
      <c r="C37" s="226"/>
      <c r="D37" s="227"/>
      <c r="E37" s="105">
        <v>30</v>
      </c>
      <c r="F37" s="139">
        <f>(11.5*1.1*2)+(11.5*18)</f>
        <v>232.3</v>
      </c>
      <c r="G37" s="139">
        <f>F37/E37</f>
        <v>7.7433333333333341</v>
      </c>
      <c r="H37" s="140">
        <v>129</v>
      </c>
      <c r="I37" s="141"/>
      <c r="J37" s="142" t="s">
        <v>310</v>
      </c>
      <c r="K37" s="142" t="s">
        <v>289</v>
      </c>
      <c r="L37" s="142"/>
      <c r="M37" s="142"/>
      <c r="N37" s="142"/>
      <c r="O37" s="143" t="s">
        <v>354</v>
      </c>
    </row>
    <row r="38" spans="2:15" ht="25.05" customHeight="1" thickBot="1" x14ac:dyDescent="0.45">
      <c r="B38" s="228" t="s">
        <v>355</v>
      </c>
      <c r="C38" s="229"/>
      <c r="D38" s="230"/>
      <c r="E38" s="150">
        <v>30</v>
      </c>
      <c r="F38" s="151">
        <v>26.812286908973949</v>
      </c>
      <c r="G38" s="151">
        <f>F38/E38</f>
        <v>0.89374289696579834</v>
      </c>
      <c r="H38" s="152">
        <v>81</v>
      </c>
      <c r="I38" s="153"/>
      <c r="J38" s="154" t="s">
        <v>309</v>
      </c>
      <c r="K38" s="154" t="s">
        <v>289</v>
      </c>
      <c r="L38" s="154"/>
      <c r="M38" s="154"/>
      <c r="N38" s="154"/>
      <c r="O38" s="155" t="s">
        <v>311</v>
      </c>
    </row>
    <row r="39" spans="2:15" s="34" customFormat="1" ht="4.95" customHeight="1" thickBot="1" x14ac:dyDescent="0.45">
      <c r="D39" s="156"/>
      <c r="J39" s="159"/>
      <c r="K39" s="159"/>
      <c r="L39" s="159"/>
      <c r="M39" s="159"/>
      <c r="N39" s="159"/>
      <c r="O39" s="160"/>
    </row>
    <row r="40" spans="2:15" ht="18" thickBot="1" x14ac:dyDescent="0.45">
      <c r="B40" s="122" t="s">
        <v>316</v>
      </c>
      <c r="C40" s="123"/>
      <c r="D40" s="124"/>
      <c r="E40" s="124"/>
      <c r="F40" s="124"/>
      <c r="G40" s="124"/>
      <c r="H40" s="127">
        <v>81</v>
      </c>
      <c r="I40" s="124"/>
      <c r="J40" s="125"/>
      <c r="K40" s="125"/>
      <c r="L40" s="125"/>
      <c r="M40" s="125"/>
      <c r="N40" s="125"/>
      <c r="O40" s="126"/>
    </row>
    <row r="43" spans="2:15" x14ac:dyDescent="0.4">
      <c r="J43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BABD9-3372-4303-8D70-670AC6C41B53}">
  <dimension ref="B1:O29"/>
  <sheetViews>
    <sheetView zoomScale="85" zoomScaleNormal="85" workbookViewId="0">
      <selection activeCell="N15" sqref="N15"/>
    </sheetView>
  </sheetViews>
  <sheetFormatPr defaultRowHeight="17.399999999999999" x14ac:dyDescent="0.4"/>
  <cols>
    <col min="1" max="1" width="1.69921875" customWidth="1"/>
    <col min="2" max="2" width="19.19921875" customWidth="1"/>
    <col min="3" max="3" width="9.3984375" bestFit="1" customWidth="1"/>
    <col min="4" max="4" width="10.59765625" style="118" bestFit="1" customWidth="1"/>
    <col min="5" max="5" width="7" bestFit="1" customWidth="1"/>
    <col min="6" max="9" width="12.69921875" customWidth="1"/>
    <col min="10" max="14" width="8.69921875" style="120" customWidth="1"/>
    <col min="15" max="15" width="88.3984375" style="121" bestFit="1" customWidth="1"/>
  </cols>
  <sheetData>
    <row r="1" spans="2:15" ht="10.050000000000001" customHeight="1" thickBot="1" x14ac:dyDescent="0.45"/>
    <row r="2" spans="2:15" x14ac:dyDescent="0.4">
      <c r="B2" s="233" t="s">
        <v>263</v>
      </c>
      <c r="C2" s="234" t="s">
        <v>315</v>
      </c>
      <c r="D2" s="235" t="s">
        <v>264</v>
      </c>
      <c r="E2" s="234" t="s">
        <v>281</v>
      </c>
      <c r="F2" s="234" t="s">
        <v>272</v>
      </c>
      <c r="G2" s="234" t="s">
        <v>95</v>
      </c>
      <c r="H2" s="234" t="s">
        <v>262</v>
      </c>
      <c r="I2" s="234" t="s">
        <v>265</v>
      </c>
      <c r="J2" s="234" t="s">
        <v>267</v>
      </c>
      <c r="K2" s="234" t="s">
        <v>268</v>
      </c>
      <c r="L2" s="234" t="s">
        <v>269</v>
      </c>
      <c r="M2" s="234" t="s">
        <v>270</v>
      </c>
      <c r="N2" s="234" t="s">
        <v>271</v>
      </c>
      <c r="O2" s="236" t="s">
        <v>266</v>
      </c>
    </row>
    <row r="3" spans="2:15" ht="19.95" customHeight="1" x14ac:dyDescent="0.4">
      <c r="B3" s="163" t="s">
        <v>0</v>
      </c>
      <c r="C3" s="164">
        <v>12</v>
      </c>
      <c r="D3" s="138" t="s">
        <v>280</v>
      </c>
      <c r="E3" s="105">
        <v>5</v>
      </c>
      <c r="F3" s="139">
        <v>11.207602263055128</v>
      </c>
      <c r="G3" s="139">
        <v>2.2415204526110255</v>
      </c>
      <c r="H3" s="246">
        <v>62</v>
      </c>
      <c r="I3" s="141">
        <v>0.2</v>
      </c>
      <c r="J3" s="142"/>
      <c r="K3" s="142" t="s">
        <v>290</v>
      </c>
      <c r="L3" s="142"/>
      <c r="M3" s="142"/>
      <c r="N3" s="142"/>
      <c r="O3" s="143" t="s">
        <v>291</v>
      </c>
    </row>
    <row r="4" spans="2:15" ht="19.95" customHeight="1" x14ac:dyDescent="0.4">
      <c r="B4" s="163" t="s">
        <v>149</v>
      </c>
      <c r="C4" s="164">
        <v>12</v>
      </c>
      <c r="D4" s="138" t="s">
        <v>273</v>
      </c>
      <c r="E4" s="105">
        <v>11.1</v>
      </c>
      <c r="F4" s="139">
        <v>15.024297802032745</v>
      </c>
      <c r="G4" s="139">
        <v>1.2520248168360621</v>
      </c>
      <c r="H4" s="246">
        <v>29</v>
      </c>
      <c r="I4" s="141">
        <v>8.3333333333333329E-2</v>
      </c>
      <c r="J4" s="142" t="s">
        <v>290</v>
      </c>
      <c r="K4" s="142"/>
      <c r="L4" s="142"/>
      <c r="M4" s="142"/>
      <c r="N4" s="142"/>
      <c r="O4" s="143" t="s">
        <v>292</v>
      </c>
    </row>
    <row r="5" spans="2:15" ht="19.95" customHeight="1" x14ac:dyDescent="0.4">
      <c r="B5" s="163" t="s">
        <v>9</v>
      </c>
      <c r="C5" s="164">
        <v>12</v>
      </c>
      <c r="D5" s="138" t="s">
        <v>293</v>
      </c>
      <c r="E5" s="105">
        <v>10</v>
      </c>
      <c r="F5" s="139">
        <v>33.468255785682665</v>
      </c>
      <c r="G5" s="139">
        <v>3.3468255785682666</v>
      </c>
      <c r="H5" s="246">
        <v>93</v>
      </c>
      <c r="I5" s="141">
        <v>0.1</v>
      </c>
      <c r="J5" s="142" t="s">
        <v>290</v>
      </c>
      <c r="K5" s="142" t="s">
        <v>290</v>
      </c>
      <c r="L5" s="142"/>
      <c r="M5" s="142" t="s">
        <v>290</v>
      </c>
      <c r="N5" s="142">
        <v>2</v>
      </c>
      <c r="O5" s="143" t="s">
        <v>321</v>
      </c>
    </row>
    <row r="6" spans="2:15" ht="19.95" customHeight="1" x14ac:dyDescent="0.4">
      <c r="B6" s="163" t="s">
        <v>11</v>
      </c>
      <c r="C6" s="164">
        <v>12</v>
      </c>
      <c r="D6" s="138" t="s">
        <v>273</v>
      </c>
      <c r="E6" s="105">
        <v>10</v>
      </c>
      <c r="F6" s="139">
        <v>41.337001545595058</v>
      </c>
      <c r="G6" s="139">
        <v>4.1337001545595058</v>
      </c>
      <c r="H6" s="246">
        <v>58</v>
      </c>
      <c r="I6" s="141">
        <v>0.1</v>
      </c>
      <c r="J6" s="142"/>
      <c r="K6" s="142" t="s">
        <v>290</v>
      </c>
      <c r="L6" s="142"/>
      <c r="M6" s="142" t="s">
        <v>290</v>
      </c>
      <c r="N6" s="142"/>
      <c r="O6" s="143" t="s">
        <v>294</v>
      </c>
    </row>
    <row r="7" spans="2:15" ht="19.95" customHeight="1" x14ac:dyDescent="0.4">
      <c r="B7" s="163" t="s">
        <v>16</v>
      </c>
      <c r="C7" s="164">
        <v>12</v>
      </c>
      <c r="D7" s="138" t="s">
        <v>283</v>
      </c>
      <c r="E7" s="105">
        <v>16</v>
      </c>
      <c r="F7" s="139">
        <v>38.627261286911256</v>
      </c>
      <c r="G7" s="139">
        <v>2.4142038304319535</v>
      </c>
      <c r="H7" s="246">
        <v>145</v>
      </c>
      <c r="I7" s="141">
        <v>6.3E-2</v>
      </c>
      <c r="J7" s="142" t="s">
        <v>290</v>
      </c>
      <c r="K7" s="142" t="s">
        <v>290</v>
      </c>
      <c r="L7" s="142"/>
      <c r="M7" s="142"/>
      <c r="N7" s="142">
        <v>1</v>
      </c>
      <c r="O7" s="143" t="s">
        <v>295</v>
      </c>
    </row>
    <row r="8" spans="2:15" ht="19.95" customHeight="1" x14ac:dyDescent="0.4">
      <c r="B8" s="163" t="s">
        <v>17</v>
      </c>
      <c r="C8" s="164">
        <v>12</v>
      </c>
      <c r="D8" s="138" t="s">
        <v>284</v>
      </c>
      <c r="E8" s="105">
        <v>12</v>
      </c>
      <c r="F8" s="139">
        <v>20.627872122346048</v>
      </c>
      <c r="G8" s="139">
        <v>1.7189893435288373</v>
      </c>
      <c r="H8" s="246">
        <v>62</v>
      </c>
      <c r="I8" s="141">
        <v>8.3000000000000004E-2</v>
      </c>
      <c r="J8" s="142" t="s">
        <v>290</v>
      </c>
      <c r="K8" s="142" t="s">
        <v>290</v>
      </c>
      <c r="L8" s="142"/>
      <c r="M8" s="142"/>
      <c r="N8" s="142"/>
      <c r="O8" s="143" t="s">
        <v>296</v>
      </c>
    </row>
    <row r="9" spans="2:15" ht="19.95" customHeight="1" x14ac:dyDescent="0.4">
      <c r="B9" s="163" t="s">
        <v>20</v>
      </c>
      <c r="C9" s="164">
        <v>12</v>
      </c>
      <c r="D9" s="138" t="s">
        <v>273</v>
      </c>
      <c r="E9" s="105">
        <v>24</v>
      </c>
      <c r="F9" s="139">
        <v>48.148751199048235</v>
      </c>
      <c r="G9" s="139">
        <v>2.0061979666270098</v>
      </c>
      <c r="H9" s="246">
        <v>114</v>
      </c>
      <c r="I9" s="141">
        <v>4.2000000000000003E-2</v>
      </c>
      <c r="J9" s="142" t="s">
        <v>290</v>
      </c>
      <c r="K9" s="142" t="s">
        <v>290</v>
      </c>
      <c r="L9" s="142"/>
      <c r="M9" s="142"/>
      <c r="N9" s="142"/>
      <c r="O9" s="143" t="s">
        <v>306</v>
      </c>
    </row>
    <row r="10" spans="2:15" ht="19.95" customHeight="1" x14ac:dyDescent="0.4">
      <c r="B10" s="163" t="s">
        <v>21</v>
      </c>
      <c r="C10" s="164">
        <v>12</v>
      </c>
      <c r="D10" s="138" t="s">
        <v>280</v>
      </c>
      <c r="E10" s="105">
        <v>20</v>
      </c>
      <c r="F10" s="139">
        <v>19.627186203530464</v>
      </c>
      <c r="G10" s="139">
        <v>1.226699137720654</v>
      </c>
      <c r="H10" s="246">
        <v>57</v>
      </c>
      <c r="I10" s="141">
        <v>6.3E-2</v>
      </c>
      <c r="J10" s="142" t="s">
        <v>290</v>
      </c>
      <c r="K10" s="142" t="s">
        <v>290</v>
      </c>
      <c r="L10" s="142"/>
      <c r="M10" s="142"/>
      <c r="N10" s="142">
        <v>1</v>
      </c>
      <c r="O10" s="143" t="s">
        <v>297</v>
      </c>
    </row>
    <row r="11" spans="2:15" ht="19.95" customHeight="1" x14ac:dyDescent="0.4">
      <c r="B11" s="163" t="s">
        <v>22</v>
      </c>
      <c r="C11" s="164">
        <v>12</v>
      </c>
      <c r="D11" s="138" t="s">
        <v>285</v>
      </c>
      <c r="E11" s="105">
        <v>14</v>
      </c>
      <c r="F11" s="139">
        <v>30.538809403725697</v>
      </c>
      <c r="G11" s="139">
        <v>1.3633397055234686</v>
      </c>
      <c r="H11" s="246">
        <v>28</v>
      </c>
      <c r="I11" s="141">
        <v>7.0999999999999994E-2</v>
      </c>
      <c r="J11" s="142" t="s">
        <v>290</v>
      </c>
      <c r="K11" s="142"/>
      <c r="L11" s="142"/>
      <c r="M11" s="142"/>
      <c r="N11" s="142"/>
      <c r="O11" s="143" t="s">
        <v>298</v>
      </c>
    </row>
    <row r="12" spans="2:15" ht="19.95" customHeight="1" thickBot="1" x14ac:dyDescent="0.45">
      <c r="B12" s="196" t="s">
        <v>23</v>
      </c>
      <c r="C12" s="197">
        <v>12</v>
      </c>
      <c r="D12" s="239" t="s">
        <v>286</v>
      </c>
      <c r="E12" s="238">
        <v>40</v>
      </c>
      <c r="F12" s="240">
        <v>12.001504921500041</v>
      </c>
      <c r="G12" s="240">
        <v>0.30003762303750103</v>
      </c>
      <c r="H12" s="248">
        <v>29</v>
      </c>
      <c r="I12" s="241">
        <v>2.5000000000000001E-2</v>
      </c>
      <c r="J12" s="242" t="s">
        <v>290</v>
      </c>
      <c r="K12" s="242" t="s">
        <v>290</v>
      </c>
      <c r="L12" s="242" t="s">
        <v>290</v>
      </c>
      <c r="M12" s="242"/>
      <c r="N12" s="242"/>
      <c r="O12" s="243" t="s">
        <v>299</v>
      </c>
    </row>
    <row r="13" spans="2:15" ht="19.95" customHeight="1" thickTop="1" x14ac:dyDescent="0.4">
      <c r="B13" s="250" t="s">
        <v>27</v>
      </c>
      <c r="C13" s="166">
        <v>12</v>
      </c>
      <c r="D13" s="133" t="s">
        <v>286</v>
      </c>
      <c r="E13" s="132">
        <v>18</v>
      </c>
      <c r="F13" s="134">
        <v>98.973613041568385</v>
      </c>
      <c r="G13" s="134">
        <v>5.4985340578649105</v>
      </c>
      <c r="H13" s="249">
        <v>232</v>
      </c>
      <c r="I13" s="135"/>
      <c r="J13" s="136" t="s">
        <v>290</v>
      </c>
      <c r="K13" s="136" t="s">
        <v>290</v>
      </c>
      <c r="L13" s="136"/>
      <c r="M13" s="136"/>
      <c r="N13" s="136">
        <v>2</v>
      </c>
      <c r="O13" s="137" t="s">
        <v>300</v>
      </c>
    </row>
    <row r="14" spans="2:15" ht="19.95" customHeight="1" x14ac:dyDescent="0.4">
      <c r="B14" s="251" t="s">
        <v>36</v>
      </c>
      <c r="C14" s="106">
        <v>12</v>
      </c>
      <c r="D14" s="138" t="s">
        <v>284</v>
      </c>
      <c r="E14" s="105">
        <v>14</v>
      </c>
      <c r="F14" s="139">
        <v>128.54612647821463</v>
      </c>
      <c r="G14" s="139">
        <v>9.1818661770153316</v>
      </c>
      <c r="H14" s="246">
        <v>182</v>
      </c>
      <c r="I14" s="141"/>
      <c r="J14" s="142" t="s">
        <v>290</v>
      </c>
      <c r="K14" s="142" t="s">
        <v>290</v>
      </c>
      <c r="L14" s="142"/>
      <c r="M14" s="142"/>
      <c r="N14" s="142">
        <v>1</v>
      </c>
      <c r="O14" s="143" t="s">
        <v>301</v>
      </c>
    </row>
    <row r="15" spans="2:15" ht="19.95" customHeight="1" x14ac:dyDescent="0.4">
      <c r="B15" s="251" t="s">
        <v>42</v>
      </c>
      <c r="C15" s="106">
        <v>12</v>
      </c>
      <c r="D15" s="138" t="s">
        <v>286</v>
      </c>
      <c r="E15" s="105">
        <v>36</v>
      </c>
      <c r="F15" s="139">
        <v>229.23814675332275</v>
      </c>
      <c r="G15" s="139">
        <v>6.3677262987034098</v>
      </c>
      <c r="H15" s="246">
        <v>168</v>
      </c>
      <c r="I15" s="141"/>
      <c r="J15" s="142" t="s">
        <v>290</v>
      </c>
      <c r="K15" s="142" t="s">
        <v>290</v>
      </c>
      <c r="L15" s="142"/>
      <c r="M15" s="142"/>
      <c r="N15" s="142"/>
      <c r="O15" s="143" t="s">
        <v>304</v>
      </c>
    </row>
    <row r="16" spans="2:15" ht="19.95" customHeight="1" x14ac:dyDescent="0.4">
      <c r="B16" s="251" t="s">
        <v>54</v>
      </c>
      <c r="C16" s="106">
        <v>12</v>
      </c>
      <c r="D16" s="138" t="s">
        <v>286</v>
      </c>
      <c r="E16" s="105">
        <v>16</v>
      </c>
      <c r="F16" s="139">
        <v>80.547933020477814</v>
      </c>
      <c r="G16" s="139">
        <v>5.0342458137798634</v>
      </c>
      <c r="H16" s="246">
        <v>176</v>
      </c>
      <c r="I16" s="141"/>
      <c r="J16" s="142" t="s">
        <v>290</v>
      </c>
      <c r="K16" s="142" t="s">
        <v>290</v>
      </c>
      <c r="L16" s="142"/>
      <c r="M16" s="142"/>
      <c r="N16" s="142"/>
      <c r="O16" s="143" t="s">
        <v>302</v>
      </c>
    </row>
    <row r="17" spans="2:15" ht="19.95" customHeight="1" x14ac:dyDescent="0.4">
      <c r="B17" s="251" t="s">
        <v>61</v>
      </c>
      <c r="C17" s="106">
        <v>12</v>
      </c>
      <c r="D17" s="138" t="s">
        <v>288</v>
      </c>
      <c r="E17" s="105">
        <v>30</v>
      </c>
      <c r="F17" s="139">
        <v>211.14064326714239</v>
      </c>
      <c r="G17" s="139">
        <v>7.0380214422380796</v>
      </c>
      <c r="H17" s="246">
        <v>105</v>
      </c>
      <c r="I17" s="141"/>
      <c r="J17" s="142" t="s">
        <v>290</v>
      </c>
      <c r="K17" s="142" t="s">
        <v>290</v>
      </c>
      <c r="L17" s="142" t="s">
        <v>290</v>
      </c>
      <c r="M17" s="142"/>
      <c r="N17" s="142">
        <v>2</v>
      </c>
      <c r="O17" s="143" t="s">
        <v>307</v>
      </c>
    </row>
    <row r="18" spans="2:15" ht="19.95" customHeight="1" x14ac:dyDescent="0.4">
      <c r="B18" s="251" t="s">
        <v>69</v>
      </c>
      <c r="C18" s="106">
        <v>12</v>
      </c>
      <c r="D18" s="138" t="s">
        <v>280</v>
      </c>
      <c r="E18" s="105">
        <v>24</v>
      </c>
      <c r="F18" s="139">
        <v>96.993825766864816</v>
      </c>
      <c r="G18" s="139">
        <v>4.0414094069527007</v>
      </c>
      <c r="H18" s="246">
        <v>113</v>
      </c>
      <c r="I18" s="141"/>
      <c r="J18" s="142" t="s">
        <v>290</v>
      </c>
      <c r="K18" s="142"/>
      <c r="L18" s="142"/>
      <c r="M18" s="142"/>
      <c r="N18" s="142">
        <v>1</v>
      </c>
      <c r="O18" s="143" t="s">
        <v>305</v>
      </c>
    </row>
    <row r="19" spans="2:15" ht="19.95" customHeight="1" thickBot="1" x14ac:dyDescent="0.45">
      <c r="B19" s="252" t="s">
        <v>76</v>
      </c>
      <c r="C19" s="253">
        <v>12</v>
      </c>
      <c r="D19" s="237" t="s">
        <v>284</v>
      </c>
      <c r="E19" s="150">
        <v>30</v>
      </c>
      <c r="F19" s="151">
        <v>195.39146575417757</v>
      </c>
      <c r="G19" s="151">
        <v>6.5130488584725859</v>
      </c>
      <c r="H19" s="247">
        <v>125</v>
      </c>
      <c r="I19" s="153"/>
      <c r="J19" s="154" t="s">
        <v>290</v>
      </c>
      <c r="K19" s="154" t="s">
        <v>290</v>
      </c>
      <c r="L19" s="154" t="s">
        <v>290</v>
      </c>
      <c r="M19" s="154"/>
      <c r="N19" s="154">
        <v>2</v>
      </c>
      <c r="O19" s="155" t="s">
        <v>308</v>
      </c>
    </row>
    <row r="20" spans="2:15" ht="4.95" customHeight="1" thickBot="1" x14ac:dyDescent="0.45">
      <c r="F20" s="119"/>
      <c r="G20" s="119"/>
      <c r="I20" s="104"/>
    </row>
    <row r="21" spans="2:15" ht="19.95" customHeight="1" x14ac:dyDescent="0.4">
      <c r="B21" s="222" t="s">
        <v>274</v>
      </c>
      <c r="C21" s="223"/>
      <c r="D21" s="224"/>
      <c r="E21" s="144">
        <v>300</v>
      </c>
      <c r="F21" s="145">
        <v>239.69076873592795</v>
      </c>
      <c r="G21" s="145">
        <f>F21/E21</f>
        <v>0.79896922911975987</v>
      </c>
      <c r="H21" s="245">
        <v>89</v>
      </c>
      <c r="I21" s="147"/>
      <c r="J21" s="148" t="s">
        <v>309</v>
      </c>
      <c r="K21" s="148"/>
      <c r="L21" s="148"/>
      <c r="M21" s="148"/>
      <c r="N21" s="148"/>
      <c r="O21" s="149" t="s">
        <v>314</v>
      </c>
    </row>
    <row r="22" spans="2:15" ht="19.95" customHeight="1" x14ac:dyDescent="0.4">
      <c r="B22" s="225" t="s">
        <v>275</v>
      </c>
      <c r="C22" s="226"/>
      <c r="D22" s="227"/>
      <c r="E22" s="105">
        <v>300</v>
      </c>
      <c r="F22" s="139">
        <v>407.26182052106788</v>
      </c>
      <c r="G22" s="139">
        <f>F22/E22</f>
        <v>1.3575394017368929</v>
      </c>
      <c r="H22" s="246">
        <v>81</v>
      </c>
      <c r="I22" s="141"/>
      <c r="J22" s="142" t="s">
        <v>309</v>
      </c>
      <c r="K22" s="142"/>
      <c r="L22" s="142"/>
      <c r="M22" s="142"/>
      <c r="N22" s="142">
        <v>2</v>
      </c>
      <c r="O22" s="143" t="s">
        <v>313</v>
      </c>
    </row>
    <row r="23" spans="2:15" ht="19.95" customHeight="1" x14ac:dyDescent="0.4">
      <c r="B23" s="225" t="s">
        <v>276</v>
      </c>
      <c r="C23" s="226"/>
      <c r="D23" s="227"/>
      <c r="E23" s="105">
        <v>30</v>
      </c>
      <c r="F23" s="139">
        <f>(11.5*1.1*2)+(11.5*18)</f>
        <v>232.3</v>
      </c>
      <c r="G23" s="139">
        <f>F23/E23</f>
        <v>7.7433333333333341</v>
      </c>
      <c r="H23" s="246">
        <v>129</v>
      </c>
      <c r="I23" s="141"/>
      <c r="J23" s="142" t="s">
        <v>310</v>
      </c>
      <c r="K23" s="142" t="s">
        <v>289</v>
      </c>
      <c r="L23" s="142"/>
      <c r="M23" s="142"/>
      <c r="N23" s="142"/>
      <c r="O23" s="143" t="s">
        <v>312</v>
      </c>
    </row>
    <row r="24" spans="2:15" ht="19.95" customHeight="1" thickBot="1" x14ac:dyDescent="0.45">
      <c r="B24" s="228" t="s">
        <v>277</v>
      </c>
      <c r="C24" s="229"/>
      <c r="D24" s="230"/>
      <c r="E24" s="150">
        <v>30</v>
      </c>
      <c r="F24" s="151">
        <v>26.812286908973949</v>
      </c>
      <c r="G24" s="151">
        <f>F24/E24</f>
        <v>0.89374289696579834</v>
      </c>
      <c r="H24" s="247">
        <v>81</v>
      </c>
      <c r="I24" s="153"/>
      <c r="J24" s="154" t="s">
        <v>309</v>
      </c>
      <c r="K24" s="154" t="s">
        <v>289</v>
      </c>
      <c r="L24" s="154"/>
      <c r="M24" s="154"/>
      <c r="N24" s="154"/>
      <c r="O24" s="155" t="s">
        <v>311</v>
      </c>
    </row>
    <row r="25" spans="2:15" ht="4.95" customHeight="1" thickBot="1" x14ac:dyDescent="0.45"/>
    <row r="26" spans="2:15" ht="19.95" customHeight="1" thickBot="1" x14ac:dyDescent="0.45">
      <c r="B26" s="122" t="s">
        <v>316</v>
      </c>
      <c r="C26" s="123"/>
      <c r="D26" s="123"/>
      <c r="E26" s="124"/>
      <c r="F26" s="124"/>
      <c r="G26" s="124"/>
      <c r="H26" s="244">
        <v>81</v>
      </c>
      <c r="I26" s="124"/>
      <c r="J26" s="125"/>
      <c r="K26" s="125"/>
      <c r="L26" s="125"/>
      <c r="M26" s="125"/>
      <c r="N26" s="125"/>
      <c r="O26" s="126"/>
    </row>
    <row r="29" spans="2:15" x14ac:dyDescent="0.4">
      <c r="J29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8965C-E205-4342-981E-3B16E7F6323E}">
  <dimension ref="B1:N171"/>
  <sheetViews>
    <sheetView topLeftCell="A40" zoomScale="80" zoomScaleNormal="80" workbookViewId="0">
      <selection activeCell="F52" sqref="F52:G52"/>
    </sheetView>
  </sheetViews>
  <sheetFormatPr defaultRowHeight="17.399999999999999" outlineLevelRow="1" x14ac:dyDescent="0.4"/>
  <cols>
    <col min="1" max="1" width="1.69921875" customWidth="1"/>
    <col min="2" max="2" width="19.19921875" bestFit="1" customWidth="1"/>
    <col min="3" max="4" width="20.69921875" customWidth="1"/>
    <col min="5" max="5" width="25.3984375" bestFit="1" customWidth="1"/>
    <col min="6" max="7" width="13.09765625" bestFit="1" customWidth="1"/>
    <col min="10" max="11" width="9.3984375" bestFit="1" customWidth="1"/>
    <col min="13" max="13" width="9.3984375" bestFit="1" customWidth="1"/>
  </cols>
  <sheetData>
    <row r="1" spans="2:14" ht="10.050000000000001" customHeight="1" thickBot="1" x14ac:dyDescent="0.45"/>
    <row r="2" spans="2:14" ht="25.05" customHeight="1" x14ac:dyDescent="0.4">
      <c r="B2" s="254" t="s">
        <v>201</v>
      </c>
      <c r="C2" s="255"/>
      <c r="D2" s="255"/>
      <c r="E2" s="255"/>
      <c r="F2" s="101" t="s">
        <v>1</v>
      </c>
      <c r="G2" s="102" t="s">
        <v>95</v>
      </c>
    </row>
    <row r="3" spans="2:14" ht="19.95" customHeight="1" x14ac:dyDescent="0.4">
      <c r="B3" s="109" t="s">
        <v>27</v>
      </c>
      <c r="C3" s="81" t="s">
        <v>94</v>
      </c>
      <c r="D3" s="82">
        <v>18</v>
      </c>
      <c r="E3" s="81" t="s">
        <v>96</v>
      </c>
      <c r="F3" s="83">
        <f>('해방스킬 계수'!I16+'해방스킬 계수'!J16+'해방스킬 계수'!K16+'해방스킬 계수'!L16)*1.45</f>
        <v>19.993321402424144</v>
      </c>
      <c r="G3" s="89">
        <f>F3/D3</f>
        <v>1.1107400779124523</v>
      </c>
    </row>
    <row r="4" spans="2:14" ht="19.95" customHeight="1" outlineLevel="1" x14ac:dyDescent="0.4">
      <c r="B4" s="98" t="s">
        <v>162</v>
      </c>
      <c r="C4" s="70" t="s">
        <v>189</v>
      </c>
      <c r="D4" s="70" t="s">
        <v>114</v>
      </c>
      <c r="E4" s="1" t="s">
        <v>198</v>
      </c>
      <c r="F4" s="66">
        <f>((('해방스킬 계수'!L16)*3.66*1.73)+(('해방스킬 계수'!L16)*3.66*0.5))*1.45</f>
        <v>95.974614831204747</v>
      </c>
      <c r="G4" s="67">
        <f>F4/D3</f>
        <v>5.3319230461780416</v>
      </c>
    </row>
    <row r="5" spans="2:14" ht="19.95" customHeight="1" outlineLevel="1" x14ac:dyDescent="0.4">
      <c r="B5" s="98" t="s">
        <v>161</v>
      </c>
      <c r="C5" s="71"/>
      <c r="D5" s="74"/>
      <c r="E5" s="78" t="s">
        <v>199</v>
      </c>
      <c r="F5" s="75">
        <f>('해방스킬 계수'!H16*1.73+('해방스킬 계수'!I16+'해방스킬 계수'!J16+'해방스킬 계수'!K16+'해방스킬 계수'!L16)*1.586)*1.45</f>
        <v>48.666218835922891</v>
      </c>
      <c r="G5" s="77">
        <f>F5/D3</f>
        <v>2.7036788242179384</v>
      </c>
      <c r="J5" s="46"/>
      <c r="N5" s="46"/>
    </row>
    <row r="6" spans="2:14" ht="19.95" customHeight="1" outlineLevel="1" x14ac:dyDescent="0.4">
      <c r="B6" s="98" t="s">
        <v>202</v>
      </c>
      <c r="C6" s="71"/>
      <c r="D6" s="71" t="s">
        <v>195</v>
      </c>
      <c r="E6" s="7" t="s">
        <v>197</v>
      </c>
      <c r="F6" s="73">
        <f>((('해방스킬 계수'!L16)*3.66*1.73)+(('해방스킬 계수'!L16)*3.66*0.5))*1.45</f>
        <v>95.974614831204747</v>
      </c>
      <c r="G6" s="76">
        <f>F6/D3</f>
        <v>5.3319230461780416</v>
      </c>
    </row>
    <row r="7" spans="2:14" ht="19.95" customHeight="1" outlineLevel="1" x14ac:dyDescent="0.4">
      <c r="B7" s="99"/>
      <c r="C7" s="71"/>
      <c r="D7" s="74"/>
      <c r="E7" s="78" t="s">
        <v>199</v>
      </c>
      <c r="F7" s="75">
        <f>('해방스킬 계수'!H16*1.73+('해방스킬 계수'!I16+'해방스킬 계수'!J16+'해방스킬 계수'!K16+'해방스킬 계수'!L16)*1.586)*1.45</f>
        <v>48.666218835922891</v>
      </c>
      <c r="G7" s="77">
        <f>F7/D3</f>
        <v>2.7036788242179384</v>
      </c>
    </row>
    <row r="8" spans="2:14" ht="19.95" customHeight="1" outlineLevel="1" x14ac:dyDescent="0.4">
      <c r="B8" s="99"/>
      <c r="C8" s="71"/>
      <c r="D8" s="71" t="s">
        <v>196</v>
      </c>
      <c r="E8" s="7" t="s">
        <v>197</v>
      </c>
      <c r="F8" s="73">
        <f>((('해방스킬 계수'!L16)*3.66*1.73)+(('해방스킬 계수'!L16)*3.66*0.5)+(('해방스킬 계수'!I16+'해방스킬 계수'!J16+'해방스킬 계수'!K16+'해방스킬 계수'!L16)*0.15))*1.45</f>
        <v>98.973613041568385</v>
      </c>
      <c r="G8" s="76">
        <f>F8/D3</f>
        <v>5.4985340578649105</v>
      </c>
    </row>
    <row r="9" spans="2:14" ht="19.95" customHeight="1" outlineLevel="1" x14ac:dyDescent="0.4">
      <c r="B9" s="99"/>
      <c r="C9" s="71"/>
      <c r="D9" s="71"/>
      <c r="E9" s="7" t="s">
        <v>200</v>
      </c>
      <c r="F9" s="73">
        <f>('해방스킬 계수'!H16*1.73+(('해방스킬 계수'!I16+'해방스킬 계수'!J16+'해방스킬 계수'!K16+'해방스킬 계수'!L16)*0.15)+(('해방스킬 계수'!I16+'해방스킬 계수'!J16+'해방스킬 계수'!K16+'해방스킬 계수'!L16)*1.586))*1.45</f>
        <v>51.665217046286507</v>
      </c>
      <c r="G9" s="76">
        <f>F9/D3</f>
        <v>2.8702898359048059</v>
      </c>
    </row>
    <row r="10" spans="2:14" ht="19.95" customHeight="1" outlineLevel="1" thickBot="1" x14ac:dyDescent="0.45">
      <c r="B10" s="99"/>
      <c r="C10" s="84"/>
      <c r="D10" s="84"/>
      <c r="E10" s="85" t="s">
        <v>199</v>
      </c>
      <c r="F10" s="86">
        <f>('해방스킬 계수'!H16*1.73+('해방스킬 계수'!I16+'해방스킬 계수'!J16+'해방스킬 계수'!K16+'해방스킬 계수'!L16)*1.586)*1.45</f>
        <v>48.666218835922891</v>
      </c>
      <c r="G10" s="87">
        <f>F10/D3</f>
        <v>2.7036788242179384</v>
      </c>
      <c r="I10" s="46"/>
      <c r="J10" s="46"/>
      <c r="K10" s="46"/>
      <c r="L10" s="46"/>
      <c r="M10" s="55"/>
    </row>
    <row r="11" spans="2:14" ht="19.95" customHeight="1" outlineLevel="1" thickTop="1" x14ac:dyDescent="0.4">
      <c r="B11" s="99"/>
      <c r="C11" s="71" t="s">
        <v>190</v>
      </c>
      <c r="D11" s="71" t="s">
        <v>114</v>
      </c>
      <c r="E11" s="1" t="s">
        <v>198</v>
      </c>
      <c r="F11" s="73">
        <f>((('해방스킬 계수'!L16)*3.66)+(('해방스킬 계수'!L16)*3.66*0.5))*1.45</f>
        <v>64.556915805743117</v>
      </c>
      <c r="G11" s="76">
        <f>F11/D3</f>
        <v>3.5864953225412841</v>
      </c>
      <c r="M11" s="46"/>
    </row>
    <row r="12" spans="2:14" ht="19.95" customHeight="1" outlineLevel="1" x14ac:dyDescent="0.4">
      <c r="B12" s="99"/>
      <c r="C12" s="91"/>
      <c r="D12" s="74"/>
      <c r="E12" s="78" t="s">
        <v>199</v>
      </c>
      <c r="F12" s="75">
        <f>('해방스킬 계수'!H16+('해방스킬 계수'!I16+'해방스킬 계수'!J16+'해방스킬 계수'!K16+'해방스킬 계수'!L16)*1.586*2.13)*1.45</f>
        <v>77.342663403725709</v>
      </c>
      <c r="G12" s="77">
        <f>F12/D3</f>
        <v>4.2968146335403175</v>
      </c>
    </row>
    <row r="13" spans="2:14" ht="19.95" customHeight="1" outlineLevel="1" x14ac:dyDescent="0.4">
      <c r="B13" s="99"/>
      <c r="C13" s="71"/>
      <c r="D13" s="71" t="s">
        <v>195</v>
      </c>
      <c r="E13" s="7" t="s">
        <v>197</v>
      </c>
      <c r="F13" s="73">
        <f>((('해방스킬 계수'!L16)*3.66)+(('해방스킬 계수'!L16)*3.66*0.5))*1.45</f>
        <v>64.556915805743117</v>
      </c>
      <c r="G13" s="76">
        <f>F13/D3</f>
        <v>3.5864953225412841</v>
      </c>
    </row>
    <row r="14" spans="2:14" ht="19.95" customHeight="1" outlineLevel="1" x14ac:dyDescent="0.4">
      <c r="B14" s="99"/>
      <c r="C14" s="71"/>
      <c r="D14" s="74"/>
      <c r="E14" s="78" t="s">
        <v>199</v>
      </c>
      <c r="F14" s="75">
        <f>('해방스킬 계수'!H16+('해방스킬 계수'!I16+'해방스킬 계수'!J16+'해방스킬 계수'!K16+'해방스킬 계수'!L16)*1.586*2.13)*1.45</f>
        <v>77.342663403725709</v>
      </c>
      <c r="G14" s="77">
        <f>F14/D3</f>
        <v>4.2968146335403175</v>
      </c>
    </row>
    <row r="15" spans="2:14" ht="19.95" customHeight="1" outlineLevel="1" x14ac:dyDescent="0.4">
      <c r="B15" s="99"/>
      <c r="C15" s="71"/>
      <c r="D15" s="71" t="s">
        <v>196</v>
      </c>
      <c r="E15" s="7" t="s">
        <v>197</v>
      </c>
      <c r="F15" s="73">
        <f>((('해방스킬 계수'!L16)*3.66)+(('해방스킬 계수'!L16)*3.66*0.5)+(('해방스킬 계수'!I16+'해방스킬 계수'!J16+'해방스킬 계수'!K16+'해방스킬 계수'!L16)*0.15))*1.45</f>
        <v>67.555914016106726</v>
      </c>
      <c r="G15" s="76">
        <f>F15/D3</f>
        <v>3.7531063342281517</v>
      </c>
    </row>
    <row r="16" spans="2:14" ht="19.95" customHeight="1" outlineLevel="1" x14ac:dyDescent="0.4">
      <c r="B16" s="99"/>
      <c r="C16" s="71"/>
      <c r="D16" s="71"/>
      <c r="E16" s="7" t="s">
        <v>200</v>
      </c>
      <c r="F16" s="73">
        <f>((('해방스킬 계수'!I16+'해방스킬 계수'!J16+'해방스킬 계수'!K16+'해방스킬 계수'!L16)*0.15)+(('해방스킬 계수'!I16+'해방스킬 계수'!J16+'해방스킬 계수'!K16+'해방스킬 계수'!L16)*1.586*2.13))*1.45</f>
        <v>70.54003670560482</v>
      </c>
      <c r="G16" s="76">
        <f>F16/D3</f>
        <v>3.9188909280891568</v>
      </c>
    </row>
    <row r="17" spans="2:13" ht="19.95" customHeight="1" outlineLevel="1" thickBot="1" x14ac:dyDescent="0.45">
      <c r="B17" s="99"/>
      <c r="C17" s="84"/>
      <c r="D17" s="84"/>
      <c r="E17" s="85" t="s">
        <v>199</v>
      </c>
      <c r="F17" s="86">
        <f>('해방스킬 계수'!H16+('해방스킬 계수'!I16+'해방스킬 계수'!J16+'해방스킬 계수'!K16+'해방스킬 계수'!L16)*1.586*2.13)*1.45</f>
        <v>77.342663403725709</v>
      </c>
      <c r="G17" s="87">
        <f>F17/D3</f>
        <v>4.2968146335403175</v>
      </c>
    </row>
    <row r="18" spans="2:13" ht="19.95" customHeight="1" outlineLevel="1" thickTop="1" x14ac:dyDescent="0.4">
      <c r="B18" s="99"/>
      <c r="C18" s="71" t="s">
        <v>192</v>
      </c>
      <c r="D18" s="71" t="s">
        <v>114</v>
      </c>
      <c r="E18" s="1" t="s">
        <v>198</v>
      </c>
      <c r="F18" s="73">
        <f>((('해방스킬 계수'!L16)*3.66)+(('해방스킬 계수'!L16)*3.66*0.5))*1.45*1.45985401459854</f>
        <v>94.243672709114023</v>
      </c>
      <c r="G18" s="76">
        <f>F18/D3</f>
        <v>5.2357595949507791</v>
      </c>
    </row>
    <row r="19" spans="2:13" ht="19.95" customHeight="1" outlineLevel="1" x14ac:dyDescent="0.4">
      <c r="B19" s="99"/>
      <c r="C19" s="91" t="s">
        <v>193</v>
      </c>
      <c r="D19" s="74"/>
      <c r="E19" s="78" t="s">
        <v>199</v>
      </c>
      <c r="F19" s="75">
        <f>('해방스킬 계수'!H16+('해방스킬 계수'!I16+'해방스킬 계수'!J16+'해방스킬 계수'!K16+'해방스킬 계수'!L16)*1.586)*1.45*1.45985401459854</f>
        <v>60.600047668217798</v>
      </c>
      <c r="G19" s="77">
        <f>F19/D3</f>
        <v>3.3666693149009888</v>
      </c>
    </row>
    <row r="20" spans="2:13" ht="19.95" customHeight="1" outlineLevel="1" x14ac:dyDescent="0.4">
      <c r="B20" s="99"/>
      <c r="C20" s="71"/>
      <c r="D20" s="71" t="s">
        <v>195</v>
      </c>
      <c r="E20" s="7" t="s">
        <v>197</v>
      </c>
      <c r="F20" s="73">
        <f>((('해방스킬 계수'!L16)*3.66)+(('해방스킬 계수'!L16)*3.66*0.5))*1.45*1.45985401459854</f>
        <v>94.243672709114023</v>
      </c>
      <c r="G20" s="76">
        <f>F20/D3</f>
        <v>5.2357595949507791</v>
      </c>
    </row>
    <row r="21" spans="2:13" ht="19.95" customHeight="1" outlineLevel="1" x14ac:dyDescent="0.4">
      <c r="B21" s="99"/>
      <c r="C21" s="71"/>
      <c r="D21" s="74"/>
      <c r="E21" s="78" t="s">
        <v>199</v>
      </c>
      <c r="F21" s="75">
        <f>('해방스킬 계수'!H16+('해방스킬 계수'!I16+'해방스킬 계수'!J16+'해방스킬 계수'!K16+'해방스킬 계수'!L16)*1.586)*1.45*1.45985401459854</f>
        <v>60.600047668217798</v>
      </c>
      <c r="G21" s="77">
        <f>F21/D3</f>
        <v>3.3666693149009888</v>
      </c>
    </row>
    <row r="22" spans="2:13" ht="19.95" customHeight="1" outlineLevel="1" x14ac:dyDescent="0.4">
      <c r="B22" s="99"/>
      <c r="C22" s="71"/>
      <c r="D22" s="71" t="s">
        <v>196</v>
      </c>
      <c r="E22" s="7" t="s">
        <v>197</v>
      </c>
      <c r="F22" s="73">
        <f>((('해방스킬 계수'!L16)*3.66)+(('해방스킬 계수'!L16)*3.66*0.5)+(('해방스킬 계수'!I16+'해방스킬 계수'!J16+'해방스킬 계수'!K16+'해방스킬 계수'!L16)*0.15))*1.45*1.45985401459854</f>
        <v>98.621772286287182</v>
      </c>
      <c r="G22" s="76">
        <f>F22/D3</f>
        <v>5.4789873492381771</v>
      </c>
    </row>
    <row r="23" spans="2:13" ht="19.95" customHeight="1" outlineLevel="1" x14ac:dyDescent="0.4">
      <c r="B23" s="99"/>
      <c r="C23" s="71"/>
      <c r="D23" s="71"/>
      <c r="E23" s="7" t="s">
        <v>200</v>
      </c>
      <c r="F23" s="73">
        <f>('해방스킬 계수'!H16+(('해방스킬 계수'!I16+'해방스킬 계수'!J16+'해방스킬 계수'!K16+'해방스킬 계수'!L16)*0.15)+(('해방스킬 계수'!I16+'해방스킬 계수'!J16+'해방스킬 계수'!K16+'해방스킬 계수'!L16)*1.586))*1.45*1.45985401459854</f>
        <v>64.978147245390971</v>
      </c>
      <c r="G23" s="76">
        <f>F23/D3</f>
        <v>3.6098970691883872</v>
      </c>
    </row>
    <row r="24" spans="2:13" ht="19.95" customHeight="1" outlineLevel="1" thickBot="1" x14ac:dyDescent="0.45">
      <c r="B24" s="100"/>
      <c r="C24" s="72"/>
      <c r="D24" s="72"/>
      <c r="E24" s="5" t="s">
        <v>199</v>
      </c>
      <c r="F24" s="68">
        <f>('해방스킬 계수'!H16+('해방스킬 계수'!I16+'해방스킬 계수'!J16+'해방스킬 계수'!K16+'해방스킬 계수'!L16)*1.586)*1.45*1.45985401459854</f>
        <v>60.600047668217798</v>
      </c>
      <c r="G24" s="69">
        <f>F24/D3</f>
        <v>3.3666693149009888</v>
      </c>
      <c r="L24" s="59"/>
      <c r="M24" s="59"/>
    </row>
    <row r="25" spans="2:13" ht="19.95" customHeight="1" x14ac:dyDescent="0.4">
      <c r="B25" s="109" t="s">
        <v>36</v>
      </c>
      <c r="C25" s="81" t="s">
        <v>94</v>
      </c>
      <c r="D25" s="82">
        <v>22</v>
      </c>
      <c r="E25" s="81" t="s">
        <v>96</v>
      </c>
      <c r="F25" s="83">
        <f>('해방스킬 계수'!F40+'해방스킬 계수'!G40+'해방스킬 계수'!H40)*1.45</f>
        <v>25.313075661539827</v>
      </c>
      <c r="G25" s="89">
        <f>F25/D25</f>
        <v>1.1505943482518104</v>
      </c>
    </row>
    <row r="26" spans="2:13" ht="19.95" customHeight="1" outlineLevel="1" x14ac:dyDescent="0.4">
      <c r="B26" s="98" t="s">
        <v>162</v>
      </c>
      <c r="C26" s="70" t="s">
        <v>204</v>
      </c>
      <c r="D26" s="70" t="s">
        <v>114</v>
      </c>
      <c r="E26" s="1" t="s">
        <v>207</v>
      </c>
      <c r="F26" s="66">
        <f>('해방스킬 계수'!F40+'해방스킬 계수'!G40+'해방스킬 계수'!H40)*1.45*2.745</f>
        <v>69.484392690926825</v>
      </c>
      <c r="G26" s="67">
        <f>F26/D25</f>
        <v>3.1583814859512191</v>
      </c>
    </row>
    <row r="27" spans="2:13" ht="19.95" customHeight="1" outlineLevel="1" x14ac:dyDescent="0.4">
      <c r="B27" s="98" t="s">
        <v>161</v>
      </c>
      <c r="C27" s="71"/>
      <c r="D27" s="74"/>
      <c r="E27" s="78" t="s">
        <v>208</v>
      </c>
      <c r="F27" s="75">
        <f>('해방스킬 계수'!F40+'해방스킬 계수'!G40+'해방스킬 계수'!H40)*1.45*1.525</f>
        <v>38.602440383848233</v>
      </c>
      <c r="G27" s="77">
        <f>F27/D25</f>
        <v>1.7546563810840106</v>
      </c>
    </row>
    <row r="28" spans="2:13" ht="19.95" customHeight="1" outlineLevel="1" x14ac:dyDescent="0.4">
      <c r="B28" s="98" t="s">
        <v>203</v>
      </c>
      <c r="C28" s="71"/>
      <c r="D28" s="71" t="s">
        <v>192</v>
      </c>
      <c r="E28" s="7" t="s">
        <v>207</v>
      </c>
      <c r="F28" s="73">
        <f>('해방스킬 계수'!F40+'해방스킬 계수'!G40+'해방스킬 계수'!H40)*1.45*2.745*1.6</f>
        <v>111.17502830548293</v>
      </c>
      <c r="G28" s="76">
        <f>F28/D25</f>
        <v>5.053410377521951</v>
      </c>
    </row>
    <row r="29" spans="2:13" ht="19.95" customHeight="1" outlineLevel="1" x14ac:dyDescent="0.4">
      <c r="B29" s="99"/>
      <c r="C29" s="71"/>
      <c r="D29" s="74"/>
      <c r="E29" s="78" t="s">
        <v>208</v>
      </c>
      <c r="F29" s="75">
        <f>('해방스킬 계수'!F40+'해방스킬 계수'!G40+'해방스킬 계수'!H40)*1.45*1.525*1.6</f>
        <v>61.763904614157177</v>
      </c>
      <c r="G29" s="77">
        <f>F29/D25</f>
        <v>2.8074502097344172</v>
      </c>
    </row>
    <row r="30" spans="2:13" ht="19.95" customHeight="1" outlineLevel="1" x14ac:dyDescent="0.4">
      <c r="B30" s="99"/>
      <c r="C30" s="71"/>
      <c r="D30" s="71" t="s">
        <v>206</v>
      </c>
      <c r="E30" s="7" t="s">
        <v>207</v>
      </c>
      <c r="F30" s="73">
        <f>('해방스킬 계수'!F40+'해방스킬 계수'!G40+'해방스킬 계수'!H40)*1.45*2.745*1.85</f>
        <v>128.54612647821463</v>
      </c>
      <c r="G30" s="76">
        <f>F30/D25</f>
        <v>5.8430057490097562</v>
      </c>
    </row>
    <row r="31" spans="2:13" ht="19.95" customHeight="1" outlineLevel="1" thickBot="1" x14ac:dyDescent="0.45">
      <c r="B31" s="99"/>
      <c r="C31" s="84"/>
      <c r="D31" s="84"/>
      <c r="E31" s="85" t="s">
        <v>208</v>
      </c>
      <c r="F31" s="86">
        <f>('해방스킬 계수'!F40+'해방스킬 계수'!G40+'해방스킬 계수'!H40)*1.45*1.525*1.75</f>
        <v>67.5542706717344</v>
      </c>
      <c r="G31" s="87">
        <f>F31/D25</f>
        <v>3.0706486668970183</v>
      </c>
    </row>
    <row r="32" spans="2:13" ht="19.95" customHeight="1" outlineLevel="1" thickTop="1" x14ac:dyDescent="0.4">
      <c r="B32" s="99"/>
      <c r="C32" s="71" t="s">
        <v>177</v>
      </c>
      <c r="D32" s="71" t="s">
        <v>194</v>
      </c>
      <c r="E32" s="1" t="s">
        <v>207</v>
      </c>
      <c r="F32" s="73">
        <f>('해방스킬 계수'!F40+'해방스킬 계수'!G40+'해방스킬 계수'!H40)*1.45*2.745</f>
        <v>69.484392690926825</v>
      </c>
      <c r="G32" s="76">
        <f>F32/D25</f>
        <v>3.1583814859512191</v>
      </c>
    </row>
    <row r="33" spans="2:7" ht="19.95" customHeight="1" outlineLevel="1" x14ac:dyDescent="0.4">
      <c r="B33" s="99"/>
      <c r="C33" s="91"/>
      <c r="D33" s="74"/>
      <c r="E33" s="78" t="s">
        <v>208</v>
      </c>
      <c r="F33" s="75">
        <f>('해방스킬 계수'!F40+'해방스킬 계수'!G40+'해방스킬 계수'!H40)*1.45*1.525</f>
        <v>38.602440383848233</v>
      </c>
      <c r="G33" s="77">
        <f>F33/D25</f>
        <v>1.7546563810840106</v>
      </c>
    </row>
    <row r="34" spans="2:7" ht="19.95" customHeight="1" outlineLevel="1" x14ac:dyDescent="0.4">
      <c r="B34" s="99"/>
      <c r="C34" s="71"/>
      <c r="D34" s="71" t="s">
        <v>191</v>
      </c>
      <c r="E34" s="7" t="s">
        <v>207</v>
      </c>
      <c r="F34" s="73">
        <f>('해방스킬 계수'!F40+'해방스킬 계수'!G40+'해방스킬 계수'!H40)*1.45*2.745*1.6</f>
        <v>111.17502830548293</v>
      </c>
      <c r="G34" s="76">
        <f>F34/D25</f>
        <v>5.053410377521951</v>
      </c>
    </row>
    <row r="35" spans="2:7" ht="19.95" customHeight="1" outlineLevel="1" x14ac:dyDescent="0.4">
      <c r="B35" s="99"/>
      <c r="C35" s="71"/>
      <c r="D35" s="74"/>
      <c r="E35" s="78" t="s">
        <v>208</v>
      </c>
      <c r="F35" s="75">
        <f>('해방스킬 계수'!F40+'해방스킬 계수'!G40+'해방스킬 계수'!H40)*1.45*1.525*1.6</f>
        <v>61.763904614157177</v>
      </c>
      <c r="G35" s="77">
        <f>F35/D25</f>
        <v>2.8074502097344172</v>
      </c>
    </row>
    <row r="36" spans="2:7" ht="19.95" customHeight="1" outlineLevel="1" x14ac:dyDescent="0.4">
      <c r="B36" s="99"/>
      <c r="C36" s="71"/>
      <c r="D36" s="71" t="s">
        <v>205</v>
      </c>
      <c r="E36" s="7" t="s">
        <v>207</v>
      </c>
      <c r="F36" s="73">
        <f>('해방스킬 계수'!F40+'해방스킬 계수'!G40+'해방스킬 계수'!H40)*1.45*2.745*1.85</f>
        <v>128.54612647821463</v>
      </c>
      <c r="G36" s="76">
        <f>F36/D25</f>
        <v>5.8430057490097562</v>
      </c>
    </row>
    <row r="37" spans="2:7" ht="19.95" customHeight="1" outlineLevel="1" thickBot="1" x14ac:dyDescent="0.45">
      <c r="B37" s="99"/>
      <c r="C37" s="84"/>
      <c r="D37" s="84"/>
      <c r="E37" s="85" t="s">
        <v>208</v>
      </c>
      <c r="F37" s="86">
        <f>('해방스킬 계수'!F40+'해방스킬 계수'!G40+'해방스킬 계수'!H40)*1.45*1.525*1.75</f>
        <v>67.5542706717344</v>
      </c>
      <c r="G37" s="87">
        <f>F37/D25</f>
        <v>3.0706486668970183</v>
      </c>
    </row>
    <row r="38" spans="2:7" ht="19.95" customHeight="1" outlineLevel="1" thickTop="1" x14ac:dyDescent="0.4">
      <c r="B38" s="99"/>
      <c r="C38" s="71" t="s">
        <v>135</v>
      </c>
      <c r="D38" s="71" t="s">
        <v>194</v>
      </c>
      <c r="E38" s="1" t="s">
        <v>207</v>
      </c>
      <c r="F38" s="73">
        <f>('해방스킬 계수'!F40+'해방스킬 계수'!G40+'해방스킬 계수'!H40)*1.45*2.745</f>
        <v>69.484392690926825</v>
      </c>
      <c r="G38" s="76">
        <f>F38/(D25-8)</f>
        <v>4.9631709064947733</v>
      </c>
    </row>
    <row r="39" spans="2:7" ht="19.95" customHeight="1" outlineLevel="1" x14ac:dyDescent="0.4">
      <c r="B39" s="99"/>
      <c r="C39" s="91"/>
      <c r="D39" s="74"/>
      <c r="E39" s="78" t="s">
        <v>208</v>
      </c>
      <c r="F39" s="75">
        <f>('해방스킬 계수'!F40+'해방스킬 계수'!G40+'해방스킬 계수'!H40)*1.45*1.525</f>
        <v>38.602440383848233</v>
      </c>
      <c r="G39" s="77">
        <f>F39/(D25-8)</f>
        <v>2.7573171702748738</v>
      </c>
    </row>
    <row r="40" spans="2:7" ht="19.95" customHeight="1" outlineLevel="1" x14ac:dyDescent="0.4">
      <c r="B40" s="99"/>
      <c r="C40" s="71"/>
      <c r="D40" s="71" t="s">
        <v>191</v>
      </c>
      <c r="E40" s="7" t="s">
        <v>207</v>
      </c>
      <c r="F40" s="73">
        <f>('해방스킬 계수'!F40+'해방스킬 계수'!G40+'해방스킬 계수'!H40)*1.45*2.745*1.6</f>
        <v>111.17502830548293</v>
      </c>
      <c r="G40" s="76">
        <f>F40/(D25-8)</f>
        <v>7.9410734503916371</v>
      </c>
    </row>
    <row r="41" spans="2:7" ht="19.95" customHeight="1" outlineLevel="1" x14ac:dyDescent="0.4">
      <c r="B41" s="99"/>
      <c r="C41" s="71"/>
      <c r="D41" s="74"/>
      <c r="E41" s="78" t="s">
        <v>208</v>
      </c>
      <c r="F41" s="75">
        <f>('해방스킬 계수'!F40+'해방스킬 계수'!G40+'해방스킬 계수'!H40)*1.45*1.525*1.6</f>
        <v>61.763904614157177</v>
      </c>
      <c r="G41" s="77">
        <f>F41/(D25-8)</f>
        <v>4.4117074724397982</v>
      </c>
    </row>
    <row r="42" spans="2:7" ht="19.95" customHeight="1" outlineLevel="1" x14ac:dyDescent="0.4">
      <c r="B42" s="99"/>
      <c r="C42" s="71"/>
      <c r="D42" s="71" t="s">
        <v>205</v>
      </c>
      <c r="E42" s="7" t="s">
        <v>207</v>
      </c>
      <c r="F42" s="73">
        <f>('해방스킬 계수'!F40+'해방스킬 계수'!G40+'해방스킬 계수'!H40)*1.45*2.745*1.85</f>
        <v>128.54612647821463</v>
      </c>
      <c r="G42" s="76">
        <f>F42/(D25-8)</f>
        <v>9.1818661770153316</v>
      </c>
    </row>
    <row r="43" spans="2:7" ht="19.95" customHeight="1" outlineLevel="1" thickBot="1" x14ac:dyDescent="0.45">
      <c r="B43" s="100"/>
      <c r="C43" s="72"/>
      <c r="D43" s="72"/>
      <c r="E43" s="5" t="s">
        <v>208</v>
      </c>
      <c r="F43" s="68">
        <f>('해방스킬 계수'!F40+'해방스킬 계수'!G40+'해방스킬 계수'!H40)*1.45*1.525*1.75</f>
        <v>67.5542706717344</v>
      </c>
      <c r="G43" s="69">
        <f>F43/(D25-8)</f>
        <v>4.8253050479810282</v>
      </c>
    </row>
    <row r="44" spans="2:7" ht="19.95" customHeight="1" x14ac:dyDescent="0.4">
      <c r="B44" s="109" t="s">
        <v>212</v>
      </c>
      <c r="C44" s="81" t="s">
        <v>94</v>
      </c>
      <c r="D44" s="82">
        <v>36</v>
      </c>
      <c r="E44" s="81" t="s">
        <v>96</v>
      </c>
      <c r="F44" s="83">
        <f>('해방스킬 계수'!G50+'해방스킬 계수'!H50+'해방스킬 계수'!I50+('해방스킬 계수'!J50)*3)*1.45</f>
        <v>27.711125393377952</v>
      </c>
      <c r="G44" s="89">
        <f t="shared" ref="G44" si="0">F44/$D$3</f>
        <v>1.539506966298775</v>
      </c>
    </row>
    <row r="45" spans="2:7" ht="19.95" customHeight="1" outlineLevel="1" x14ac:dyDescent="0.4">
      <c r="B45" s="98" t="s">
        <v>162</v>
      </c>
      <c r="C45" s="70" t="s">
        <v>213</v>
      </c>
      <c r="D45" s="70" t="s">
        <v>91</v>
      </c>
      <c r="E45" s="1" t="s">
        <v>239</v>
      </c>
      <c r="F45" s="66">
        <f>(('해방스킬 계수'!G61+'해방스킬 계수'!H61+'해방스킬 계수'!I61)+(('해방스킬 계수'!J61)*3*0.75*3*1.65152766308835))*1.45</f>
        <v>102.5778974561705</v>
      </c>
      <c r="G45" s="67">
        <f>F45/D44</f>
        <v>2.8493860404491809</v>
      </c>
    </row>
    <row r="46" spans="2:7" ht="19.95" customHeight="1" outlineLevel="1" x14ac:dyDescent="0.4">
      <c r="B46" s="98" t="s">
        <v>161</v>
      </c>
      <c r="C46" s="91" t="s">
        <v>193</v>
      </c>
      <c r="D46" s="71" t="s">
        <v>222</v>
      </c>
      <c r="E46" s="90" t="s">
        <v>240</v>
      </c>
      <c r="F46" s="65">
        <f>(('해방스킬 계수'!G61+'해방스킬 계수'!H61+'해방스킬 계수'!I61)+(('해방스킬 계수'!J61)*3*3*1.65152766308835))*1.45</f>
        <v>130.60007650421301</v>
      </c>
      <c r="G46" s="103">
        <f>F46/D44</f>
        <v>3.6277799028948059</v>
      </c>
    </row>
    <row r="47" spans="2:7" ht="19.95" customHeight="1" outlineLevel="1" x14ac:dyDescent="0.4">
      <c r="B47" s="98"/>
      <c r="C47" s="71"/>
      <c r="D47" s="74"/>
      <c r="E47" s="78" t="s">
        <v>221</v>
      </c>
      <c r="F47" s="75">
        <f>(('해방스킬 계수'!G61+'해방스킬 계수'!H61+'해방스킬 계수'!I61)+(('해방스킬 계수'!J61)*3*2*1.65152766308835))*1.45</f>
        <v>93.237171106822984</v>
      </c>
      <c r="G47" s="77">
        <f>F47/D44</f>
        <v>2.5899214196339719</v>
      </c>
    </row>
    <row r="48" spans="2:7" ht="19.95" customHeight="1" outlineLevel="1" x14ac:dyDescent="0.4">
      <c r="B48" s="98"/>
      <c r="C48" s="71"/>
      <c r="D48" s="71" t="s">
        <v>217</v>
      </c>
      <c r="E48" s="1" t="s">
        <v>241</v>
      </c>
      <c r="F48" s="73">
        <f>('해방스킬 계수'!I61+('해방스킬 계수'!J61)*3*3*0.6*1.65152766308835)*1.45</f>
        <v>75.483028926329951</v>
      </c>
      <c r="G48" s="76">
        <f>F48/D44</f>
        <v>2.0967508035091651</v>
      </c>
    </row>
    <row r="49" spans="2:7" ht="19.95" customHeight="1" outlineLevel="1" x14ac:dyDescent="0.4">
      <c r="B49" s="98"/>
      <c r="C49" s="71"/>
      <c r="D49" s="71"/>
      <c r="E49" s="90" t="s">
        <v>240</v>
      </c>
      <c r="F49" s="65">
        <f>('해방스킬 계수'!I61+(('해방스킬 계수'!J61)*3*3*1.65152766308835))*1.45</f>
        <v>120.31851540319801</v>
      </c>
      <c r="G49" s="103">
        <f>F49/D44</f>
        <v>3.3421809834221667</v>
      </c>
    </row>
    <row r="50" spans="2:7" ht="19.95" customHeight="1" outlineLevel="1" x14ac:dyDescent="0.4">
      <c r="B50" s="99"/>
      <c r="C50" s="71"/>
      <c r="D50" s="74"/>
      <c r="E50" s="78" t="s">
        <v>221</v>
      </c>
      <c r="F50" s="75">
        <f>('해방스킬 계수'!I61+(('해방스킬 계수'!J61)*2*3*1.65152766308835))*1.45</f>
        <v>82.955610005807969</v>
      </c>
      <c r="G50" s="77">
        <f>F50/D44</f>
        <v>2.3043225001613323</v>
      </c>
    </row>
    <row r="51" spans="2:7" ht="19.95" customHeight="1" outlineLevel="1" x14ac:dyDescent="0.4">
      <c r="B51" s="99"/>
      <c r="C51" s="71"/>
      <c r="D51" s="71" t="s">
        <v>219</v>
      </c>
      <c r="E51" s="7" t="s">
        <v>241</v>
      </c>
      <c r="F51" s="73">
        <f>('해방스킬 계수'!G61+'해방스킬 계수'!H61+'해방스킬 계수'!I61+((('해방스킬 계수'!J61)*1.44)+(('해방스킬 계수'!J61)*1.88)+(('해방스킬 계수'!J61)*2.32))*3*0.6*1.65152766308835)*1.45</f>
        <v>144.94743217681082</v>
      </c>
      <c r="G51" s="76">
        <f>F51/D44</f>
        <v>4.0263175604669676</v>
      </c>
    </row>
    <row r="52" spans="2:7" ht="19.95" customHeight="1" outlineLevel="1" x14ac:dyDescent="0.4">
      <c r="B52" s="99"/>
      <c r="C52" s="71"/>
      <c r="D52" s="71"/>
      <c r="E52" s="90" t="s">
        <v>240</v>
      </c>
      <c r="F52" s="65">
        <f>('해방스킬 계수'!G61+'해방스킬 계수'!H61+'해방스킬 계수'!I61+((('해방스킬 계수'!J61)*1.44)+(('해방스킬 계수'!J61)*1.88)+(('해방스킬 계수'!J61)*2.32))*3*1.65152766308835)*1.45</f>
        <v>229.23814675332275</v>
      </c>
      <c r="G52" s="103">
        <f>F52/D44</f>
        <v>6.3677262987034098</v>
      </c>
    </row>
    <row r="53" spans="2:7" ht="19.95" customHeight="1" outlineLevel="1" thickBot="1" x14ac:dyDescent="0.45">
      <c r="B53" s="99"/>
      <c r="C53" s="84"/>
      <c r="D53" s="84"/>
      <c r="E53" s="85" t="s">
        <v>220</v>
      </c>
      <c r="F53" s="86">
        <f>('해방스킬 계수'!G61+'해방스킬 계수'!H61+'해방스킬 계수'!I61+((('해방스킬 계수'!J61)*1.44)+(('해방스킬 계수'!J61)*1.88)+(('해방스킬 계수'!J61)*2.32))*2*1.65152766308835)*1.45</f>
        <v>158.99588460622945</v>
      </c>
      <c r="G53" s="87">
        <f>F53/D44</f>
        <v>4.4165523501730402</v>
      </c>
    </row>
    <row r="54" spans="2:7" ht="19.95" customHeight="1" outlineLevel="1" thickTop="1" x14ac:dyDescent="0.4">
      <c r="B54" s="99"/>
      <c r="C54" s="71" t="s">
        <v>214</v>
      </c>
      <c r="D54" s="71" t="s">
        <v>90</v>
      </c>
      <c r="E54" s="1" t="s">
        <v>239</v>
      </c>
      <c r="F54" s="73">
        <f>(('해방스킬 계수'!G61+'해방스킬 계수'!H61+'해방스킬 계수'!I61)+(('해방스킬 계수'!J61)*3*0.75*3))*1.45</f>
        <v>69.413648552812376</v>
      </c>
      <c r="G54" s="76">
        <f>F54/D44</f>
        <v>1.9281569042447881</v>
      </c>
    </row>
    <row r="55" spans="2:7" ht="19.95" customHeight="1" outlineLevel="1" x14ac:dyDescent="0.4">
      <c r="B55" s="99"/>
      <c r="C55" s="71"/>
      <c r="D55" s="71"/>
      <c r="E55" s="90" t="s">
        <v>240</v>
      </c>
      <c r="F55" s="65">
        <f>(('해방스킬 계수'!G61+'해방스킬 계수'!H61+'해방스킬 계수'!I61)+(('해방스킬 계수'!J61)*3*3))*1.45</f>
        <v>86.381077966402188</v>
      </c>
      <c r="G55" s="103">
        <f>F55/D44</f>
        <v>2.3994743879556162</v>
      </c>
    </row>
    <row r="56" spans="2:7" ht="19.95" customHeight="1" outlineLevel="1" x14ac:dyDescent="0.4">
      <c r="B56" s="99"/>
      <c r="C56" s="91"/>
      <c r="D56" s="74"/>
      <c r="E56" s="78" t="s">
        <v>220</v>
      </c>
      <c r="F56" s="75">
        <f>(('해방스킬 계수'!G61+'해방스킬 계수'!H61+'해방스킬 계수'!I61)+(('해방스킬 계수'!J61)*3*2))*1.45</f>
        <v>63.757838748282438</v>
      </c>
      <c r="G56" s="77">
        <f>F56/D44</f>
        <v>1.7710510763411789</v>
      </c>
    </row>
    <row r="57" spans="2:7" ht="19.95" customHeight="1" outlineLevel="1" x14ac:dyDescent="0.4">
      <c r="B57" s="99"/>
      <c r="C57" s="71"/>
      <c r="D57" s="71" t="s">
        <v>216</v>
      </c>
      <c r="E57" s="7" t="s">
        <v>241</v>
      </c>
      <c r="F57" s="73">
        <f>('해방스킬 계수'!I61+('해방스킬 계수'!J61)*3*3*0.6)*1.45</f>
        <v>48.951629803643449</v>
      </c>
      <c r="G57" s="76">
        <f>F57/D44</f>
        <v>1.3597674945456513</v>
      </c>
    </row>
    <row r="58" spans="2:7" ht="19.95" customHeight="1" outlineLevel="1" x14ac:dyDescent="0.4">
      <c r="B58" s="99"/>
      <c r="C58" s="71"/>
      <c r="D58" s="71"/>
      <c r="E58" s="90" t="s">
        <v>240</v>
      </c>
      <c r="F58" s="65">
        <f>('해방스킬 계수'!I61+(('해방스킬 계수'!J61)*3*3))*1.45</f>
        <v>76.099516865387173</v>
      </c>
      <c r="G58" s="103">
        <f>F58/D44</f>
        <v>2.113875468482977</v>
      </c>
    </row>
    <row r="59" spans="2:7" ht="19.95" customHeight="1" outlineLevel="1" x14ac:dyDescent="0.4">
      <c r="B59" s="99"/>
      <c r="C59" s="71"/>
      <c r="D59" s="74"/>
      <c r="E59" s="78" t="s">
        <v>220</v>
      </c>
      <c r="F59" s="75">
        <f>('해방스킬 계수'!I61+(('해방스킬 계수'!J61)*2*3))*1.45</f>
        <v>53.476277647267409</v>
      </c>
      <c r="G59" s="77">
        <f>F59/D44</f>
        <v>1.485452156868539</v>
      </c>
    </row>
    <row r="60" spans="2:7" ht="19.95" customHeight="1" outlineLevel="1" x14ac:dyDescent="0.4">
      <c r="B60" s="99"/>
      <c r="C60" s="71"/>
      <c r="D60" s="71" t="s">
        <v>218</v>
      </c>
      <c r="E60" s="7" t="s">
        <v>241</v>
      </c>
      <c r="F60" s="73">
        <f>('해방스킬 계수'!G61+'해방스킬 계수'!H61+'해방스킬 계수'!I61+((('해방스킬 계수'!J61)*1.44)+(('해방스킬 계수'!J61)*1.88)+(('해방스킬 계수'!J61)*2.32))*3*0.6)*1.45</f>
        <v>95.068401826160184</v>
      </c>
      <c r="G60" s="76">
        <f>F60/D44</f>
        <v>2.6407889396155606</v>
      </c>
    </row>
    <row r="61" spans="2:7" ht="19.95" customHeight="1" outlineLevel="1" x14ac:dyDescent="0.4">
      <c r="B61" s="99"/>
      <c r="C61" s="71"/>
      <c r="D61" s="71"/>
      <c r="E61" s="90" t="s">
        <v>240</v>
      </c>
      <c r="F61" s="65">
        <f>('해방스킬 계수'!G61+'해방스킬 계수'!H61+'해방스킬 계수'!I61+((('해방스킬 계수'!J61)*1.44)+(('해방스킬 계수'!J61)*1.88)+(('해방스킬 계수'!J61)*2.32))*3)*1.45</f>
        <v>146.10642950223837</v>
      </c>
      <c r="G61" s="103">
        <f>F61/D44</f>
        <v>4.0585119306177324</v>
      </c>
    </row>
    <row r="62" spans="2:7" ht="19.95" customHeight="1" outlineLevel="1" thickBot="1" x14ac:dyDescent="0.45">
      <c r="B62" s="99"/>
      <c r="C62" s="84"/>
      <c r="D62" s="84"/>
      <c r="E62" s="85" t="s">
        <v>220</v>
      </c>
      <c r="F62" s="86">
        <f>('해방스킬 계수'!G61+'해방스킬 계수'!H61+'해방스킬 계수'!I61+((('해방스킬 계수'!J61)*1.44)+(('해방스킬 계수'!J61)*1.88)+(('해방스킬 계수'!J61)*2.32))*2)*1.45</f>
        <v>103.5747397721732</v>
      </c>
      <c r="G62" s="87">
        <f>F62/D44</f>
        <v>2.877076104782589</v>
      </c>
    </row>
    <row r="63" spans="2:7" ht="19.95" customHeight="1" outlineLevel="1" thickTop="1" x14ac:dyDescent="0.4">
      <c r="B63" s="99"/>
      <c r="C63" s="71" t="s">
        <v>215</v>
      </c>
      <c r="D63" s="71" t="s">
        <v>90</v>
      </c>
      <c r="E63" s="1" t="s">
        <v>239</v>
      </c>
      <c r="F63" s="73">
        <f>(('해방스킬 계수'!G61+'해방스킬 계수'!H61+'해방스킬 계수'!I61)+(('해방스킬 계수'!J61)*3*0.75*3*1.644))*1.45</f>
        <v>102.19472217986791</v>
      </c>
      <c r="G63" s="76">
        <f>F63/(D44)</f>
        <v>2.8387422827741084</v>
      </c>
    </row>
    <row r="64" spans="2:7" ht="19.95" customHeight="1" outlineLevel="1" x14ac:dyDescent="0.4">
      <c r="B64" s="99"/>
      <c r="C64" s="71"/>
      <c r="D64" s="71"/>
      <c r="E64" s="90" t="s">
        <v>240</v>
      </c>
      <c r="F64" s="65">
        <f>(('해방스킬 계수'!G61+'해방스킬 계수'!H61+'해방스킬 계수'!I61)+(('해방스킬 계수'!J61)*3*3*1.644))*1.45</f>
        <v>130.08917613580957</v>
      </c>
      <c r="G64" s="103">
        <f>F64/D44</f>
        <v>3.6135882259947101</v>
      </c>
    </row>
    <row r="65" spans="2:9" ht="19.95" customHeight="1" outlineLevel="1" x14ac:dyDescent="0.4">
      <c r="B65" s="99"/>
      <c r="C65" s="91"/>
      <c r="D65" s="74"/>
      <c r="E65" s="78" t="s">
        <v>220</v>
      </c>
      <c r="F65" s="75">
        <f>(('해방스킬 계수'!G61+'해방스킬 계수'!H61+'해방스킬 계수'!I61)+(('해방스킬 계수'!J61)*3*2*1.644))*1.45</f>
        <v>92.896570861220695</v>
      </c>
      <c r="G65" s="77">
        <f>F65/(D44)</f>
        <v>2.5804603017005747</v>
      </c>
    </row>
    <row r="66" spans="2:9" ht="19.95" customHeight="1" outlineLevel="1" x14ac:dyDescent="0.4">
      <c r="B66" s="99"/>
      <c r="C66" s="71"/>
      <c r="D66" s="71" t="s">
        <v>216</v>
      </c>
      <c r="E66" s="7" t="s">
        <v>241</v>
      </c>
      <c r="F66" s="73">
        <f>('해방스킬 계수'!I61+('해방스킬 계수'!J61)*3*3*0.6*1.644)*1.45</f>
        <v>75.176488705287866</v>
      </c>
      <c r="G66" s="76">
        <f>F66/(D44)</f>
        <v>2.0882357973691072</v>
      </c>
    </row>
    <row r="67" spans="2:9" ht="19.95" customHeight="1" outlineLevel="1" x14ac:dyDescent="0.4">
      <c r="B67" s="99"/>
      <c r="C67" s="71"/>
      <c r="D67" s="71"/>
      <c r="E67" s="90" t="s">
        <v>240</v>
      </c>
      <c r="F67" s="65">
        <f>('해방스킬 계수'!I61+(('해방스킬 계수'!J61)*3*3*1.644))*1.45</f>
        <v>119.80761503479457</v>
      </c>
      <c r="G67" s="103">
        <f>F67/D44</f>
        <v>3.3279893065220714</v>
      </c>
    </row>
    <row r="68" spans="2:9" ht="19.95" customHeight="1" outlineLevel="1" x14ac:dyDescent="0.4">
      <c r="B68" s="99"/>
      <c r="C68" s="71"/>
      <c r="D68" s="74"/>
      <c r="E68" s="78" t="s">
        <v>220</v>
      </c>
      <c r="F68" s="75">
        <f>('해방스킬 계수'!I61+(('해방스킬 계수'!J61)*2*3*1.644))*1.45</f>
        <v>82.615009760205666</v>
      </c>
      <c r="G68" s="77">
        <f>F68/(D44)</f>
        <v>2.2948613822279351</v>
      </c>
    </row>
    <row r="69" spans="2:9" ht="19.95" customHeight="1" outlineLevel="1" x14ac:dyDescent="0.4">
      <c r="B69" s="99"/>
      <c r="C69" s="71"/>
      <c r="D69" s="71" t="s">
        <v>218</v>
      </c>
      <c r="E69" s="7" t="s">
        <v>241</v>
      </c>
      <c r="F69" s="73">
        <f>('해방스킬 계수'!G61+'해방스킬 계수'!H61+'해방스킬 계수'!I61+((('해방스킬 계수'!J61)*1.44)+(('해방스킬 계수'!J61)*1.88)+(('해방스킬 계수'!J61)*2.32))*3*0.6*1.644)*1.45</f>
        <v>144.37113656125169</v>
      </c>
      <c r="G69" s="76">
        <f>F69/(D44)</f>
        <v>4.0103093489236583</v>
      </c>
    </row>
    <row r="70" spans="2:9" ht="19.95" customHeight="1" outlineLevel="1" x14ac:dyDescent="0.4">
      <c r="B70" s="99"/>
      <c r="C70" s="71"/>
      <c r="D70" s="71"/>
      <c r="E70" s="90" t="s">
        <v>240</v>
      </c>
      <c r="F70" s="65">
        <f>('해방스킬 계수'!G61+'해방스킬 계수'!H61+'해방스킬 계수'!I61+((('해방스킬 계수'!J61)*1.44)+(('해방스킬 계수'!J61)*1.88)+(('해방스킬 계수'!J61)*2.32))*3*1.644)*1.45</f>
        <v>228.27765406072425</v>
      </c>
      <c r="G70" s="103">
        <f>F70/D44</f>
        <v>6.3410459461312287</v>
      </c>
    </row>
    <row r="71" spans="2:9" ht="19.95" customHeight="1" outlineLevel="1" thickBot="1" x14ac:dyDescent="0.45">
      <c r="B71" s="100"/>
      <c r="C71" s="72"/>
      <c r="D71" s="72"/>
      <c r="E71" s="5" t="s">
        <v>220</v>
      </c>
      <c r="F71" s="68">
        <f>('해방스킬 계수'!G61+'해방스킬 계수'!H61+'해방스킬 계수'!I61+((('해방스킬 계수'!J61)*1.44)+(('해방스킬 계수'!J61)*1.88)+(('해방스킬 계수'!J61)*2.32))*2*1.644)*1.45</f>
        <v>158.35555614449711</v>
      </c>
      <c r="G71" s="69">
        <f>F71/(D44)</f>
        <v>4.3987654484582528</v>
      </c>
    </row>
    <row r="72" spans="2:9" ht="19.95" customHeight="1" x14ac:dyDescent="0.4">
      <c r="B72" s="109" t="s">
        <v>54</v>
      </c>
      <c r="C72" s="81" t="s">
        <v>94</v>
      </c>
      <c r="D72" s="82">
        <v>24</v>
      </c>
      <c r="E72" s="81" t="s">
        <v>96</v>
      </c>
      <c r="F72" s="83">
        <f>('해방스킬 계수'!I86+'해방스킬 계수'!J86+'해방스킬 계수'!K86+'해방스킬 계수'!L86+'해방스킬 계수'!M86+'해방스킬 계수'!N86)*1.45</f>
        <v>23.760564691281413</v>
      </c>
      <c r="G72" s="89">
        <f>F72/D72</f>
        <v>0.99002352880339217</v>
      </c>
    </row>
    <row r="73" spans="2:9" ht="19.95" customHeight="1" outlineLevel="1" x14ac:dyDescent="0.4">
      <c r="B73" s="98" t="s">
        <v>162</v>
      </c>
      <c r="C73" s="70" t="s">
        <v>135</v>
      </c>
      <c r="D73" s="70" t="s">
        <v>224</v>
      </c>
      <c r="E73" s="1" t="s">
        <v>229</v>
      </c>
      <c r="F73" s="66">
        <f>(('해방스킬 계수'!I86+'해방스킬 계수'!J86)*3+('해방스킬 계수'!K86+'해방스킬 계수'!L86+'해방스킬 계수'!M86)+('해방스킬 계수'!N86)*5.075)*1.45</f>
        <v>57.527718463277331</v>
      </c>
      <c r="G73" s="67">
        <f>F73/(D72-8)</f>
        <v>3.5954824039548332</v>
      </c>
      <c r="I73" s="104"/>
    </row>
    <row r="74" spans="2:9" ht="19.95" customHeight="1" outlineLevel="1" x14ac:dyDescent="0.4">
      <c r="B74" s="98" t="s">
        <v>161</v>
      </c>
      <c r="C74" s="71"/>
      <c r="D74" s="74"/>
      <c r="E74" s="78" t="s">
        <v>230</v>
      </c>
      <c r="F74" s="75">
        <f>(('해방스킬 계수'!P86+'해방스킬 계수'!Q86)*3+'해방스킬 계수'!R86+'해방스킬 계수'!S86+'해방스킬 계수'!T86)*1.45*1.708</f>
        <v>60.874566739062985</v>
      </c>
      <c r="G74" s="77">
        <f>F74/(D72-8)</f>
        <v>3.8046604211914365</v>
      </c>
    </row>
    <row r="75" spans="2:9" ht="19.95" customHeight="1" outlineLevel="1" x14ac:dyDescent="0.4">
      <c r="B75" s="98"/>
      <c r="C75" s="71"/>
      <c r="D75" s="71" t="s">
        <v>226</v>
      </c>
      <c r="E75" s="7" t="s">
        <v>229</v>
      </c>
      <c r="F75" s="73">
        <f>(('해방스킬 계수'!I86+'해방스킬 계수'!J86+'해방스킬 계수'!K86+'해방스킬 계수'!L86+'해방스킬 계수'!M86)+('해방스킬 계수'!N86)*5.075)*1.45*1.7</f>
        <v>77.255928178050624</v>
      </c>
      <c r="G75" s="76">
        <f>F75/(D72-8)</f>
        <v>4.828495511128164</v>
      </c>
    </row>
    <row r="76" spans="2:9" ht="19.95" customHeight="1" outlineLevel="1" x14ac:dyDescent="0.4">
      <c r="B76" s="99"/>
      <c r="C76" s="71"/>
      <c r="D76" s="74"/>
      <c r="E76" s="78" t="s">
        <v>230</v>
      </c>
      <c r="F76" s="75">
        <f>('해방스킬 계수'!P86+'해방스킬 계수'!Q86+'해방스킬 계수'!R86+'해방스킬 계수'!S86+'해방스킬 계수'!T86)*1.45*1.708*1.7</f>
        <v>68.991175637604712</v>
      </c>
      <c r="G76" s="77">
        <f>F76/(D72-8)</f>
        <v>4.3119484773502945</v>
      </c>
    </row>
    <row r="77" spans="2:9" ht="19.95" customHeight="1" outlineLevel="1" x14ac:dyDescent="0.4">
      <c r="B77" s="99"/>
      <c r="C77" s="71"/>
      <c r="D77" s="71" t="s">
        <v>228</v>
      </c>
      <c r="E77" s="7" t="s">
        <v>229</v>
      </c>
      <c r="F77" s="73">
        <f>((('해방스킬 계수'!I86)*1.18)+(('해방스킬 계수'!J86)*1.36)+(('해방스킬 계수'!K86)*1.54)+(('해방스킬 계수'!L86)*1.72)+(('해방스킬 계수'!M86)*1.9)+(('해방스킬 계수'!N86)*5.075*1.9))*1.45</f>
        <v>80.547933020477814</v>
      </c>
      <c r="G77" s="76">
        <f>F77/(D72-8)</f>
        <v>5.0342458137798634</v>
      </c>
    </row>
    <row r="78" spans="2:9" ht="19.95" customHeight="1" outlineLevel="1" thickBot="1" x14ac:dyDescent="0.45">
      <c r="B78" s="99"/>
      <c r="C78" s="84"/>
      <c r="D78" s="84"/>
      <c r="E78" s="85" t="s">
        <v>230</v>
      </c>
      <c r="F78" s="86">
        <f>((('해방스킬 계수'!P86)*1.18)+(('해방스킬 계수'!Q86)*1.36)+(('해방스킬 계수'!R86)*1.54)+(('해방스킬 계수'!S86)*1.72)+(('해방스킬 계수'!T86)*1.9))*1.45*1.708</f>
        <v>65.931214082854495</v>
      </c>
      <c r="G78" s="87">
        <f>F78/(D72-8)</f>
        <v>4.120700880178406</v>
      </c>
    </row>
    <row r="79" spans="2:9" ht="19.95" customHeight="1" outlineLevel="1" thickTop="1" x14ac:dyDescent="0.4">
      <c r="B79" s="99"/>
      <c r="C79" s="71" t="s">
        <v>177</v>
      </c>
      <c r="D79" s="71" t="s">
        <v>223</v>
      </c>
      <c r="E79" s="1" t="s">
        <v>229</v>
      </c>
      <c r="F79" s="73">
        <f>(('해방스킬 계수'!I86+'해방스킬 계수'!J86)*3+('해방스킬 계수'!K86+'해방스킬 계수'!L86+'해방스킬 계수'!M86)+('해방스킬 계수'!N86)*5.075)*1.45</f>
        <v>57.527718463277331</v>
      </c>
      <c r="G79" s="76">
        <f>F79/D72</f>
        <v>2.3969882693032223</v>
      </c>
    </row>
    <row r="80" spans="2:9" ht="19.95" customHeight="1" outlineLevel="1" x14ac:dyDescent="0.4">
      <c r="B80" s="99"/>
      <c r="C80" s="91"/>
      <c r="D80" s="74"/>
      <c r="E80" s="78" t="s">
        <v>230</v>
      </c>
      <c r="F80" s="75">
        <f>(('해방스킬 계수'!P86+'해방스킬 계수'!Q86)*3+'해방스킬 계수'!R86+'해방스킬 계수'!S86+'해방스킬 계수'!T86)*1.45*1.708</f>
        <v>60.874566739062985</v>
      </c>
      <c r="G80" s="77">
        <f>F80/D72</f>
        <v>2.5364402807942912</v>
      </c>
    </row>
    <row r="81" spans="2:7" ht="19.95" customHeight="1" outlineLevel="1" x14ac:dyDescent="0.4">
      <c r="B81" s="99"/>
      <c r="C81" s="71"/>
      <c r="D81" s="71" t="s">
        <v>225</v>
      </c>
      <c r="E81" s="7" t="s">
        <v>229</v>
      </c>
      <c r="F81" s="73">
        <f>(('해방스킬 계수'!I86+'해방스킬 계수'!J86+'해방스킬 계수'!K86+'해방스킬 계수'!L86+'해방스킬 계수'!M86)+('해방스킬 계수'!N86)*5.075)*1.45*1.7</f>
        <v>77.255928178050624</v>
      </c>
      <c r="G81" s="76">
        <f>F81/D72</f>
        <v>3.2189970074187761</v>
      </c>
    </row>
    <row r="82" spans="2:7" ht="19.95" customHeight="1" outlineLevel="1" x14ac:dyDescent="0.4">
      <c r="B82" s="99"/>
      <c r="C82" s="71"/>
      <c r="D82" s="74"/>
      <c r="E82" s="78" t="s">
        <v>230</v>
      </c>
      <c r="F82" s="75">
        <f>('해방스킬 계수'!P86+'해방스킬 계수'!Q86+'해방스킬 계수'!R86+'해방스킬 계수'!S86+'해방스킬 계수'!T86)*1.45*1.708*1.7</f>
        <v>68.991175637604712</v>
      </c>
      <c r="G82" s="77">
        <f>F82/D72</f>
        <v>2.8746323182335298</v>
      </c>
    </row>
    <row r="83" spans="2:7" ht="19.95" customHeight="1" outlineLevel="1" x14ac:dyDescent="0.4">
      <c r="B83" s="99"/>
      <c r="C83" s="71"/>
      <c r="D83" s="71" t="s">
        <v>227</v>
      </c>
      <c r="E83" s="7" t="s">
        <v>229</v>
      </c>
      <c r="F83" s="73">
        <f>((('해방스킬 계수'!I86)*1.18)+(('해방스킬 계수'!J86)*1.36)+(('해방스킬 계수'!K86)*1.54)+(('해방스킬 계수'!L86)*1.72)+(('해방스킬 계수'!M86)*1.9)+(('해방스킬 계수'!N86)*5.075*1.9))*1.45</f>
        <v>80.547933020477814</v>
      </c>
      <c r="G83" s="76">
        <f>F83/D72</f>
        <v>3.3561638758532424</v>
      </c>
    </row>
    <row r="84" spans="2:7" ht="19.95" customHeight="1" outlineLevel="1" thickBot="1" x14ac:dyDescent="0.45">
      <c r="B84" s="99"/>
      <c r="C84" s="84"/>
      <c r="D84" s="84"/>
      <c r="E84" s="85" t="s">
        <v>230</v>
      </c>
      <c r="F84" s="86">
        <f>('해방스킬 계수'!P86+'해방스킬 계수'!Q86+'해방스킬 계수'!R86+'해방스킬 계수'!S86+'해방스킬 계수'!T86)*1.45*1.708*1.7</f>
        <v>68.991175637604712</v>
      </c>
      <c r="G84" s="87">
        <f>F84/D72</f>
        <v>2.8746323182335298</v>
      </c>
    </row>
    <row r="85" spans="2:7" ht="19.95" customHeight="1" outlineLevel="1" thickTop="1" x14ac:dyDescent="0.4">
      <c r="B85" s="99"/>
      <c r="C85" s="71" t="s">
        <v>133</v>
      </c>
      <c r="D85" s="71" t="s">
        <v>223</v>
      </c>
      <c r="E85" s="1" t="s">
        <v>229</v>
      </c>
      <c r="F85" s="73">
        <f>(('해방스킬 계수'!I86+'해방스킬 계수'!J86)*3+('해방스킬 계수'!K86+'해방스킬 계수'!L86+'해방스킬 계수'!M86)+('해방스킬 계수'!N86)*5.075)*1.45</f>
        <v>57.527718463277331</v>
      </c>
      <c r="G85" s="76">
        <f>F85/(D72)</f>
        <v>2.3969882693032223</v>
      </c>
    </row>
    <row r="86" spans="2:7" ht="19.95" customHeight="1" outlineLevel="1" x14ac:dyDescent="0.4">
      <c r="B86" s="99"/>
      <c r="C86" s="91"/>
      <c r="D86" s="74"/>
      <c r="E86" s="78" t="s">
        <v>230</v>
      </c>
      <c r="F86" s="75">
        <f>(('해방스킬 계수'!P86+'해방스킬 계수'!Q86)*3+'해방스킬 계수'!R86+'해방스킬 계수'!S86+'해방스킬 계수'!T86)*1.45*1.708</f>
        <v>60.874566739062985</v>
      </c>
      <c r="G86" s="77">
        <f>F86/(D72)</f>
        <v>2.5364402807942912</v>
      </c>
    </row>
    <row r="87" spans="2:7" ht="19.95" customHeight="1" outlineLevel="1" x14ac:dyDescent="0.4">
      <c r="B87" s="99"/>
      <c r="C87" s="71"/>
      <c r="D87" s="71" t="s">
        <v>225</v>
      </c>
      <c r="E87" s="7" t="s">
        <v>229</v>
      </c>
      <c r="F87" s="73">
        <f>(('해방스킬 계수'!I86+'해방스킬 계수'!J86+'해방스킬 계수'!K86+'해방스킬 계수'!L86+'해방스킬 계수'!M86)+('해방스킬 계수'!N86)*5.075)*1.45*1.7</f>
        <v>77.255928178050624</v>
      </c>
      <c r="G87" s="76">
        <f>F87/(D72)</f>
        <v>3.2189970074187761</v>
      </c>
    </row>
    <row r="88" spans="2:7" ht="19.95" customHeight="1" outlineLevel="1" x14ac:dyDescent="0.4">
      <c r="B88" s="99"/>
      <c r="C88" s="71"/>
      <c r="D88" s="74"/>
      <c r="E88" s="78" t="s">
        <v>230</v>
      </c>
      <c r="F88" s="75">
        <f>('해방스킬 계수'!P86+'해방스킬 계수'!Q86+'해방스킬 계수'!R86+'해방스킬 계수'!S86+'해방스킬 계수'!T86)*1.45*1.708*1.7</f>
        <v>68.991175637604712</v>
      </c>
      <c r="G88" s="77">
        <f>F88/(D72)</f>
        <v>2.8746323182335298</v>
      </c>
    </row>
    <row r="89" spans="2:7" ht="19.95" customHeight="1" outlineLevel="1" x14ac:dyDescent="0.4">
      <c r="B89" s="99"/>
      <c r="C89" s="71"/>
      <c r="D89" s="71" t="s">
        <v>227</v>
      </c>
      <c r="E89" s="7" t="s">
        <v>229</v>
      </c>
      <c r="F89" s="73">
        <f>((('해방스킬 계수'!I86)*1.18)+(('해방스킬 계수'!J86)*1.36)+(('해방스킬 계수'!K86)*1.54)+(('해방스킬 계수'!L86)*1.72)+(('해방스킬 계수'!M86)*1.9)+(('해방스킬 계수'!N86)*5.075*1.9))*1.45</f>
        <v>80.547933020477814</v>
      </c>
      <c r="G89" s="76">
        <f>F89/(D72)</f>
        <v>3.3561638758532424</v>
      </c>
    </row>
    <row r="90" spans="2:7" ht="19.95" customHeight="1" outlineLevel="1" thickBot="1" x14ac:dyDescent="0.45">
      <c r="B90" s="100"/>
      <c r="C90" s="72"/>
      <c r="D90" s="72"/>
      <c r="E90" s="5" t="s">
        <v>230</v>
      </c>
      <c r="F90" s="68">
        <f>((('해방스킬 계수'!P86)*1.18)+(('해방스킬 계수'!Q86)*1.36)+(('해방스킬 계수'!R86)*1.54)+(('해방스킬 계수'!S86)*1.72)+(('해방스킬 계수'!T86)*1.9))*1.45*1.708</f>
        <v>65.931214082854495</v>
      </c>
      <c r="G90" s="69">
        <f>F90/(D72)</f>
        <v>2.7471339201189373</v>
      </c>
    </row>
    <row r="91" spans="2:7" ht="19.95" customHeight="1" x14ac:dyDescent="0.4">
      <c r="B91" s="113" t="s">
        <v>61</v>
      </c>
      <c r="C91" s="114" t="s">
        <v>94</v>
      </c>
      <c r="D91" s="115">
        <v>30</v>
      </c>
      <c r="E91" s="114" t="s">
        <v>96</v>
      </c>
      <c r="F91" s="116">
        <f>('해방스킬 계수'!F110)*1.45</f>
        <v>34.554873454190862</v>
      </c>
      <c r="G91" s="117">
        <f>F91/D91</f>
        <v>1.1518291151396953</v>
      </c>
    </row>
    <row r="92" spans="2:7" ht="19.95" customHeight="1" outlineLevel="1" x14ac:dyDescent="0.4">
      <c r="B92" s="98" t="s">
        <v>162</v>
      </c>
      <c r="C92" s="70" t="s">
        <v>226</v>
      </c>
      <c r="D92" s="70" t="s">
        <v>234</v>
      </c>
      <c r="E92" s="1" t="s">
        <v>237</v>
      </c>
      <c r="F92" s="66">
        <f>('해방스킬 계수'!F110+(('해방스킬 계수'!E110+'해방스킬 계수'!F110)*0.6))*1.45*1.45*1.45</f>
        <v>121.08790950534106</v>
      </c>
      <c r="G92" s="67">
        <f>F92/D91</f>
        <v>4.0362636501780349</v>
      </c>
    </row>
    <row r="93" spans="2:7" ht="19.95" customHeight="1" outlineLevel="1" x14ac:dyDescent="0.4">
      <c r="B93" s="98" t="s">
        <v>188</v>
      </c>
      <c r="C93" s="71"/>
      <c r="D93" s="71"/>
      <c r="E93" s="3" t="s">
        <v>242</v>
      </c>
      <c r="F93" s="110">
        <f>('해방스킬 계수'!E110+'해방스킬 계수'!F110+(('해방스킬 계수'!E110+'해방스킬 계수'!F110)*0.6))*1.45*1.45*1.45</f>
        <v>129.16343484774609</v>
      </c>
      <c r="G93" s="111">
        <f>F93/D91</f>
        <v>4.3054478282582034</v>
      </c>
    </row>
    <row r="94" spans="2:7" ht="19.95" customHeight="1" outlineLevel="1" x14ac:dyDescent="0.4">
      <c r="B94" s="98" t="s">
        <v>161</v>
      </c>
      <c r="C94" s="71"/>
      <c r="D94" s="71"/>
      <c r="E94" s="3" t="s">
        <v>238</v>
      </c>
      <c r="F94" s="110">
        <f>('해방스킬 계수'!F110*2.45)*1.45*1.45*1.45</f>
        <v>177.99647252171889</v>
      </c>
      <c r="G94" s="111">
        <f>F94/D91</f>
        <v>5.9332157507239627</v>
      </c>
    </row>
    <row r="95" spans="2:7" ht="19.95" customHeight="1" outlineLevel="1" x14ac:dyDescent="0.4">
      <c r="B95" s="98" t="s">
        <v>202</v>
      </c>
      <c r="C95" s="71"/>
      <c r="D95" s="74"/>
      <c r="E95" s="78" t="s">
        <v>243</v>
      </c>
      <c r="F95" s="75">
        <f>('해방스킬 계수'!E110+('해방스킬 계수'!F110*2.45))*1.45*1.45*1.45</f>
        <v>186.07199786412392</v>
      </c>
      <c r="G95" s="77">
        <f>F95/D91</f>
        <v>6.2023999288041303</v>
      </c>
    </row>
    <row r="96" spans="2:7" ht="19.95" customHeight="1" outlineLevel="1" x14ac:dyDescent="0.4">
      <c r="B96" s="98"/>
      <c r="C96" s="71"/>
      <c r="D96" s="71" t="s">
        <v>120</v>
      </c>
      <c r="E96" s="7" t="s">
        <v>237</v>
      </c>
      <c r="F96" s="73">
        <f>((('해방스킬 계수'!F110)*1.71)+(('해방스킬 계수'!E110+'해방스킬 계수'!F110)*0.6))*1.45*1.45</f>
        <v>119.08314532822126</v>
      </c>
      <c r="G96" s="76">
        <f>F96/D91</f>
        <v>3.9694381776073753</v>
      </c>
    </row>
    <row r="97" spans="2:7" ht="19.95" customHeight="1" outlineLevel="1" x14ac:dyDescent="0.4">
      <c r="B97" s="99"/>
      <c r="C97" s="71"/>
      <c r="D97" s="74"/>
      <c r="E97" s="78" t="s">
        <v>238</v>
      </c>
      <c r="F97" s="75">
        <f>('해방스킬 계수'!F110*2.45*1.72)*1.45*1.45</f>
        <v>211.14064326714239</v>
      </c>
      <c r="G97" s="77">
        <f>F97/D91</f>
        <v>7.0380214422380796</v>
      </c>
    </row>
    <row r="98" spans="2:7" ht="19.95" customHeight="1" outlineLevel="1" x14ac:dyDescent="0.4">
      <c r="B98" s="99"/>
      <c r="C98" s="71"/>
      <c r="D98" s="71" t="s">
        <v>236</v>
      </c>
      <c r="E98" s="1" t="s">
        <v>237</v>
      </c>
      <c r="F98" s="66">
        <f>('해방스킬 계수'!F110+(('해방스킬 계수'!E110+'해방스킬 계수'!F110)*0.6))*1.45*1.45</f>
        <v>83.508903107131772</v>
      </c>
      <c r="G98" s="67">
        <f>F98/D91</f>
        <v>2.7836301035710589</v>
      </c>
    </row>
    <row r="99" spans="2:7" ht="19.95" customHeight="1" outlineLevel="1" x14ac:dyDescent="0.4">
      <c r="B99" s="99"/>
      <c r="C99" s="71"/>
      <c r="D99" s="71"/>
      <c r="E99" s="3" t="s">
        <v>242</v>
      </c>
      <c r="F99" s="110">
        <f>('해방스킬 계수'!E110+'해방스킬 계수'!F110+(('해방스킬 계수'!E110+'해방스킬 계수'!F110)*0.6))*1.45*1.45</f>
        <v>89.078230929480071</v>
      </c>
      <c r="G99" s="111">
        <f>F99/D91</f>
        <v>2.9692743643160022</v>
      </c>
    </row>
    <row r="100" spans="2:7" ht="19.95" customHeight="1" outlineLevel="1" x14ac:dyDescent="0.4">
      <c r="B100" s="99"/>
      <c r="C100" s="71"/>
      <c r="D100" s="71"/>
      <c r="E100" s="3" t="s">
        <v>238</v>
      </c>
      <c r="F100" s="110">
        <f>('해방스킬 계수'!F110*2.45)*1.45*1.45</f>
        <v>122.75618794601303</v>
      </c>
      <c r="G100" s="111">
        <f>F100/D91</f>
        <v>4.0918729315337679</v>
      </c>
    </row>
    <row r="101" spans="2:7" ht="19.95" customHeight="1" outlineLevel="1" thickBot="1" x14ac:dyDescent="0.45">
      <c r="B101" s="99"/>
      <c r="C101" s="84"/>
      <c r="D101" s="84"/>
      <c r="E101" s="85" t="s">
        <v>243</v>
      </c>
      <c r="F101" s="86">
        <f>('해방스킬 계수'!E110+('해방스킬 계수'!F110*2.45))*1.45*1.45</f>
        <v>128.32551576836133</v>
      </c>
      <c r="G101" s="87">
        <f>F101/D91</f>
        <v>4.2775171922787107</v>
      </c>
    </row>
    <row r="102" spans="2:7" ht="19.95" customHeight="1" outlineLevel="1" thickTop="1" x14ac:dyDescent="0.4">
      <c r="B102" s="99"/>
      <c r="C102" s="71" t="s">
        <v>232</v>
      </c>
      <c r="D102" s="71" t="s">
        <v>233</v>
      </c>
      <c r="E102" s="7" t="s">
        <v>237</v>
      </c>
      <c r="F102" s="73">
        <f>('해방스킬 계수'!F110+(('해방스킬 계수'!E110+'해방스킬 계수'!F110)*0.6))*1.45*1.45*1.45</f>
        <v>121.08790950534106</v>
      </c>
      <c r="G102" s="76">
        <f>F102/D91</f>
        <v>4.0362636501780349</v>
      </c>
    </row>
    <row r="103" spans="2:7" ht="19.95" customHeight="1" outlineLevel="1" x14ac:dyDescent="0.4">
      <c r="B103" s="99"/>
      <c r="C103" s="91" t="s">
        <v>244</v>
      </c>
      <c r="D103" s="71"/>
      <c r="E103" s="3" t="s">
        <v>242</v>
      </c>
      <c r="F103" s="110">
        <f>('해방스킬 계수'!E110+'해방스킬 계수'!F110+(('해방스킬 계수'!E110+'해방스킬 계수'!F110)*0.6))*1.45*1.45*1.45</f>
        <v>129.16343484774609</v>
      </c>
      <c r="G103" s="111">
        <f>F103/D91</f>
        <v>4.3054478282582034</v>
      </c>
    </row>
    <row r="104" spans="2:7" ht="19.95" customHeight="1" outlineLevel="1" x14ac:dyDescent="0.4">
      <c r="B104" s="99"/>
      <c r="C104" s="71"/>
      <c r="D104" s="71"/>
      <c r="E104" s="3" t="s">
        <v>238</v>
      </c>
      <c r="F104" s="110">
        <f>('해방스킬 계수'!F110*2.45)*1.45*1.45*1.45</f>
        <v>177.99647252171889</v>
      </c>
      <c r="G104" s="111">
        <f>F104/D91</f>
        <v>5.9332157507239627</v>
      </c>
    </row>
    <row r="105" spans="2:7" ht="19.95" customHeight="1" outlineLevel="1" x14ac:dyDescent="0.4">
      <c r="B105" s="99"/>
      <c r="C105" s="91"/>
      <c r="D105" s="74"/>
      <c r="E105" s="78" t="s">
        <v>243</v>
      </c>
      <c r="F105" s="75">
        <f>('해방스킬 계수'!E110+('해방스킬 계수'!F110*2.45))*1.45*1.45*1.45</f>
        <v>186.07199786412392</v>
      </c>
      <c r="G105" s="77">
        <f>F105/D91</f>
        <v>6.2023999288041303</v>
      </c>
    </row>
    <row r="106" spans="2:7" ht="19.95" customHeight="1" outlineLevel="1" x14ac:dyDescent="0.4">
      <c r="B106" s="99"/>
      <c r="C106" s="71"/>
      <c r="D106" s="71" t="s">
        <v>119</v>
      </c>
      <c r="E106" s="7" t="s">
        <v>229</v>
      </c>
      <c r="F106" s="73">
        <f>((('해방스킬 계수'!F110)*1.71)+(('해방스킬 계수'!E110+'해방스킬 계수'!F110)*0.6))*1.45*1.45</f>
        <v>119.08314532822126</v>
      </c>
      <c r="G106" s="76">
        <f>F106/D91</f>
        <v>3.9694381776073753</v>
      </c>
    </row>
    <row r="107" spans="2:7" ht="19.95" customHeight="1" outlineLevel="1" x14ac:dyDescent="0.4">
      <c r="B107" s="99"/>
      <c r="C107" s="71"/>
      <c r="D107" s="74"/>
      <c r="E107" s="78" t="s">
        <v>230</v>
      </c>
      <c r="F107" s="75">
        <f>('해방스킬 계수'!F110*2.45*1.72)*1.45*1.45</f>
        <v>211.14064326714239</v>
      </c>
      <c r="G107" s="77">
        <f>F107/D91</f>
        <v>7.0380214422380796</v>
      </c>
    </row>
    <row r="108" spans="2:7" ht="19.95" customHeight="1" outlineLevel="1" x14ac:dyDescent="0.4">
      <c r="B108" s="99"/>
      <c r="C108" s="71"/>
      <c r="D108" s="71" t="s">
        <v>235</v>
      </c>
      <c r="E108" s="1" t="s">
        <v>237</v>
      </c>
      <c r="F108" s="66">
        <f>('해방스킬 계수'!F110+(('해방스킬 계수'!E110+'해방스킬 계수'!F110)*0.6))*1.45*1.45</f>
        <v>83.508903107131772</v>
      </c>
      <c r="G108" s="67">
        <f>F108/D91</f>
        <v>2.7836301035710589</v>
      </c>
    </row>
    <row r="109" spans="2:7" ht="19.95" customHeight="1" outlineLevel="1" x14ac:dyDescent="0.4">
      <c r="B109" s="99"/>
      <c r="C109" s="71"/>
      <c r="D109" s="71"/>
      <c r="E109" s="3" t="s">
        <v>242</v>
      </c>
      <c r="F109" s="110">
        <f>('해방스킬 계수'!E110+'해방스킬 계수'!F110+(('해방스킬 계수'!E110+'해방스킬 계수'!F110)*0.6))*1.45*1.45</f>
        <v>89.078230929480071</v>
      </c>
      <c r="G109" s="111">
        <f>F109/D91</f>
        <v>2.9692743643160022</v>
      </c>
    </row>
    <row r="110" spans="2:7" ht="19.95" customHeight="1" outlineLevel="1" x14ac:dyDescent="0.4">
      <c r="B110" s="99"/>
      <c r="C110" s="71"/>
      <c r="D110" s="71"/>
      <c r="E110" s="3" t="s">
        <v>238</v>
      </c>
      <c r="F110" s="110">
        <f>('해방스킬 계수'!F110*2.45)*1.45*1.45</f>
        <v>122.75618794601303</v>
      </c>
      <c r="G110" s="111">
        <f>F110/D91</f>
        <v>4.0918729315337679</v>
      </c>
    </row>
    <row r="111" spans="2:7" ht="19.95" customHeight="1" outlineLevel="1" thickBot="1" x14ac:dyDescent="0.45">
      <c r="B111" s="99"/>
      <c r="C111" s="84"/>
      <c r="D111" s="84"/>
      <c r="E111" s="85" t="s">
        <v>243</v>
      </c>
      <c r="F111" s="86">
        <f>('해방스킬 계수'!E110+('해방스킬 계수'!F110*2.45))*1.45*1.45</f>
        <v>128.32551576836133</v>
      </c>
      <c r="G111" s="87">
        <f>F111/D91</f>
        <v>4.2775171922787107</v>
      </c>
    </row>
    <row r="112" spans="2:7" ht="19.95" customHeight="1" outlineLevel="1" thickTop="1" x14ac:dyDescent="0.4">
      <c r="B112" s="99"/>
      <c r="C112" s="71" t="s">
        <v>114</v>
      </c>
      <c r="D112" s="71" t="s">
        <v>233</v>
      </c>
      <c r="E112" s="7" t="s">
        <v>237</v>
      </c>
      <c r="F112" s="73">
        <f>('해방스킬 계수'!F110+(('해방스킬 계수'!E110+'해방스킬 계수'!F110)*0.6))*1.45*1.45</f>
        <v>83.508903107131772</v>
      </c>
      <c r="G112" s="76">
        <f>F112/(D91)</f>
        <v>2.7836301035710589</v>
      </c>
    </row>
    <row r="113" spans="2:7" ht="19.95" customHeight="1" outlineLevel="1" x14ac:dyDescent="0.4">
      <c r="B113" s="99"/>
      <c r="C113" s="71"/>
      <c r="D113" s="71"/>
      <c r="E113" s="3" t="s">
        <v>242</v>
      </c>
      <c r="F113" s="110">
        <f>('해방스킬 계수'!E110+'해방스킬 계수'!F110+(('해방스킬 계수'!E110+'해방스킬 계수'!F110)*0.6))*1.45*1.45</f>
        <v>89.078230929480071</v>
      </c>
      <c r="G113" s="111">
        <f>F113/D91</f>
        <v>2.9692743643160022</v>
      </c>
    </row>
    <row r="114" spans="2:7" ht="19.95" customHeight="1" outlineLevel="1" x14ac:dyDescent="0.4">
      <c r="B114" s="99"/>
      <c r="C114" s="71"/>
      <c r="D114" s="71"/>
      <c r="E114" s="3" t="s">
        <v>238</v>
      </c>
      <c r="F114" s="110">
        <f>('해방스킬 계수'!F110*2.45)*1.45*1.45</f>
        <v>122.75618794601303</v>
      </c>
      <c r="G114" s="111">
        <f>F114/D91</f>
        <v>4.0918729315337679</v>
      </c>
    </row>
    <row r="115" spans="2:7" ht="19.95" customHeight="1" outlineLevel="1" x14ac:dyDescent="0.4">
      <c r="B115" s="99"/>
      <c r="C115" s="91"/>
      <c r="D115" s="74"/>
      <c r="E115" s="78" t="s">
        <v>243</v>
      </c>
      <c r="F115" s="75">
        <f>('해방스킬 계수'!E110+('해방스킬 계수'!F110*2.45))*1.45*1.45</f>
        <v>128.32551576836133</v>
      </c>
      <c r="G115" s="77">
        <f>F115/(D91)</f>
        <v>4.2775171922787107</v>
      </c>
    </row>
    <row r="116" spans="2:7" ht="19.95" customHeight="1" outlineLevel="1" x14ac:dyDescent="0.4">
      <c r="B116" s="99"/>
      <c r="C116" s="71"/>
      <c r="D116" s="71" t="s">
        <v>119</v>
      </c>
      <c r="E116" s="7" t="s">
        <v>229</v>
      </c>
      <c r="F116" s="73">
        <f>((('해방스킬 계수'!F110)*1.71)+(('해방스킬 계수'!E110+'해방스킬 계수'!F110)*0.6))*1.45</f>
        <v>82.126307122911214</v>
      </c>
      <c r="G116" s="76">
        <f>F116/(D91)</f>
        <v>2.737543570763707</v>
      </c>
    </row>
    <row r="117" spans="2:7" ht="19.95" customHeight="1" outlineLevel="1" x14ac:dyDescent="0.4">
      <c r="B117" s="99"/>
      <c r="C117" s="71"/>
      <c r="D117" s="74"/>
      <c r="E117" s="78" t="s">
        <v>230</v>
      </c>
      <c r="F117" s="75">
        <f>('해방스킬 계수'!F110*2.45*1.72)*1.45</f>
        <v>145.61423673596028</v>
      </c>
      <c r="G117" s="77">
        <f>F117/(D91)</f>
        <v>4.8538078911986755</v>
      </c>
    </row>
    <row r="118" spans="2:7" ht="19.95" customHeight="1" outlineLevel="1" x14ac:dyDescent="0.4">
      <c r="B118" s="99"/>
      <c r="C118" s="71"/>
      <c r="D118" s="71" t="s">
        <v>235</v>
      </c>
      <c r="E118" s="1" t="s">
        <v>237</v>
      </c>
      <c r="F118" s="66">
        <f>('해방스킬 계수'!F110+(('해방스킬 계수'!E110+'해방스킬 계수'!F110)*0.6))*1.45</f>
        <v>57.592346970435706</v>
      </c>
      <c r="G118" s="67">
        <f>F118/(D91)</f>
        <v>1.9197448990145236</v>
      </c>
    </row>
    <row r="119" spans="2:7" ht="19.95" customHeight="1" outlineLevel="1" x14ac:dyDescent="0.4">
      <c r="B119" s="99"/>
      <c r="C119" s="71"/>
      <c r="D119" s="71"/>
      <c r="E119" s="3" t="s">
        <v>242</v>
      </c>
      <c r="F119" s="110">
        <f>('해방스킬 계수'!E110+'해방스킬 계수'!F110+(('해방스킬 계수'!E110+'해방스킬 계수'!F110)*0.6))*1.45</f>
        <v>61.433262709986259</v>
      </c>
      <c r="G119" s="111">
        <f>F119/D91</f>
        <v>2.0477754236662085</v>
      </c>
    </row>
    <row r="120" spans="2:7" ht="19.95" customHeight="1" outlineLevel="1" x14ac:dyDescent="0.4">
      <c r="B120" s="99"/>
      <c r="C120" s="71"/>
      <c r="D120" s="71"/>
      <c r="E120" s="3" t="s">
        <v>238</v>
      </c>
      <c r="F120" s="110">
        <f>('해방스킬 계수'!F110*2.45)*1.45</f>
        <v>84.659439962767607</v>
      </c>
      <c r="G120" s="111">
        <f>F120/D91</f>
        <v>2.8219813320922538</v>
      </c>
    </row>
    <row r="121" spans="2:7" ht="19.95" customHeight="1" outlineLevel="1" thickBot="1" x14ac:dyDescent="0.45">
      <c r="B121" s="100"/>
      <c r="C121" s="72"/>
      <c r="D121" s="72"/>
      <c r="E121" s="5" t="s">
        <v>243</v>
      </c>
      <c r="F121" s="68">
        <f>('해방스킬 계수'!E110+('해방스킬 계수'!F110*2.45))*1.45</f>
        <v>88.50035570231816</v>
      </c>
      <c r="G121" s="69">
        <f>F121/(D91)</f>
        <v>2.9500118567439388</v>
      </c>
    </row>
    <row r="122" spans="2:7" ht="19.95" customHeight="1" x14ac:dyDescent="0.4">
      <c r="B122" s="109" t="s">
        <v>69</v>
      </c>
      <c r="C122" s="81" t="s">
        <v>94</v>
      </c>
      <c r="D122" s="82">
        <v>24</v>
      </c>
      <c r="E122" s="81" t="s">
        <v>96</v>
      </c>
      <c r="F122" s="83">
        <f>('해방스킬 계수'!G132+'해방스킬 계수'!H132)*1.45</f>
        <v>19.881919120568629</v>
      </c>
      <c r="G122" s="89">
        <f>F122/D122</f>
        <v>0.82841329669035957</v>
      </c>
    </row>
    <row r="123" spans="2:7" ht="19.95" customHeight="1" outlineLevel="1" x14ac:dyDescent="0.4">
      <c r="B123" s="98" t="s">
        <v>161</v>
      </c>
      <c r="C123" s="70" t="s">
        <v>204</v>
      </c>
      <c r="D123" s="70" t="s">
        <v>91</v>
      </c>
      <c r="E123" s="1" t="s">
        <v>248</v>
      </c>
      <c r="F123" s="66">
        <f>('해방스킬 계수'!G132+'해방스킬 계수'!H132)*1.45</f>
        <v>19.881919120568629</v>
      </c>
      <c r="G123" s="67">
        <f>F123/D122</f>
        <v>0.82841329669035957</v>
      </c>
    </row>
    <row r="124" spans="2:7" ht="19.95" customHeight="1" outlineLevel="1" x14ac:dyDescent="0.4">
      <c r="B124" s="98" t="s">
        <v>202</v>
      </c>
      <c r="C124" s="71"/>
      <c r="D124" s="74"/>
      <c r="E124" s="78" t="s">
        <v>249</v>
      </c>
      <c r="F124" s="75">
        <f>((('해방스킬 계수'!G132)*3.3)+('해방스킬 계수'!H132))*1.45</f>
        <v>41.525481656439005</v>
      </c>
      <c r="G124" s="77">
        <f>F124/D122</f>
        <v>1.7302284023516252</v>
      </c>
    </row>
    <row r="125" spans="2:7" ht="19.95" customHeight="1" outlineLevel="1" x14ac:dyDescent="0.4">
      <c r="B125" s="98"/>
      <c r="C125" s="71"/>
      <c r="D125" s="71" t="s">
        <v>247</v>
      </c>
      <c r="E125" s="7" t="s">
        <v>248</v>
      </c>
      <c r="F125" s="73">
        <f>('해방스킬 계수'!G132+(('해방스킬 계수'!H132)*2))*1.45</f>
        <v>30.353593660324048</v>
      </c>
      <c r="G125" s="76">
        <f>F125/D122</f>
        <v>1.2647330691801686</v>
      </c>
    </row>
    <row r="126" spans="2:7" ht="19.95" customHeight="1" outlineLevel="1" x14ac:dyDescent="0.4">
      <c r="B126" s="99"/>
      <c r="C126" s="71"/>
      <c r="D126" s="74"/>
      <c r="E126" s="78" t="s">
        <v>249</v>
      </c>
      <c r="F126" s="75">
        <f>((('해방스킬 계수'!G132)*3.3)+(('해방스킬 계수'!H132)*2))*1.45</f>
        <v>51.997156196194432</v>
      </c>
      <c r="G126" s="77">
        <f>F126/D122</f>
        <v>2.1665481748414348</v>
      </c>
    </row>
    <row r="127" spans="2:7" ht="19.95" customHeight="1" outlineLevel="1" x14ac:dyDescent="0.4">
      <c r="B127" s="99"/>
      <c r="C127" s="71"/>
      <c r="D127" s="71" t="s">
        <v>192</v>
      </c>
      <c r="E127" s="7" t="s">
        <v>248</v>
      </c>
      <c r="F127" s="73">
        <f>('해방스킬 계수'!G132+'해방스킬 계수'!H132)*1.6*1.45</f>
        <v>31.811070592909804</v>
      </c>
      <c r="G127" s="76">
        <f>F127/D122</f>
        <v>1.3254612747045751</v>
      </c>
    </row>
    <row r="128" spans="2:7" ht="19.95" customHeight="1" outlineLevel="1" thickBot="1" x14ac:dyDescent="0.45">
      <c r="B128" s="99"/>
      <c r="C128" s="84"/>
      <c r="D128" s="84"/>
      <c r="E128" s="85" t="s">
        <v>249</v>
      </c>
      <c r="F128" s="86">
        <f>((('해방스킬 계수'!G132)*3.3)+('해방스킬 계수'!H132))*1.6*1.45</f>
        <v>66.440770650302412</v>
      </c>
      <c r="G128" s="87">
        <f>F128/D122</f>
        <v>2.7683654437626006</v>
      </c>
    </row>
    <row r="129" spans="2:7" ht="19.95" customHeight="1" outlineLevel="1" thickTop="1" x14ac:dyDescent="0.4">
      <c r="B129" s="99"/>
      <c r="C129" s="71" t="s">
        <v>245</v>
      </c>
      <c r="D129" s="71" t="s">
        <v>90</v>
      </c>
      <c r="E129" s="1" t="s">
        <v>248</v>
      </c>
      <c r="F129" s="73">
        <f>('해방스킬 계수'!G132+'해방스킬 계수'!H132)*1.45</f>
        <v>19.881919120568629</v>
      </c>
      <c r="G129" s="76">
        <f>F129/(D122+1)</f>
        <v>0.79527676482274512</v>
      </c>
    </row>
    <row r="130" spans="2:7" ht="19.95" customHeight="1" outlineLevel="1" x14ac:dyDescent="0.4">
      <c r="B130" s="99"/>
      <c r="C130" s="91"/>
      <c r="D130" s="74"/>
      <c r="E130" s="78" t="s">
        <v>249</v>
      </c>
      <c r="F130" s="75">
        <f>((('해방스킬 계수'!G132)*3.3)+('해방스킬 계수'!H132))*1.45</f>
        <v>41.525481656439005</v>
      </c>
      <c r="G130" s="77">
        <f>F130/(D122+1)</f>
        <v>1.6610192662575602</v>
      </c>
    </row>
    <row r="131" spans="2:7" ht="19.95" customHeight="1" outlineLevel="1" x14ac:dyDescent="0.4">
      <c r="B131" s="99"/>
      <c r="C131" s="71"/>
      <c r="D131" s="71" t="s">
        <v>246</v>
      </c>
      <c r="E131" s="7" t="s">
        <v>248</v>
      </c>
      <c r="F131" s="73">
        <f>('해방스킬 계수'!G132+(('해방스킬 계수'!H132)*2))*1.45</f>
        <v>30.353593660324048</v>
      </c>
      <c r="G131" s="76">
        <f>F131/(D122+1)</f>
        <v>1.2141437464129619</v>
      </c>
    </row>
    <row r="132" spans="2:7" ht="19.95" customHeight="1" outlineLevel="1" x14ac:dyDescent="0.4">
      <c r="B132" s="99"/>
      <c r="C132" s="71"/>
      <c r="D132" s="74"/>
      <c r="E132" s="78" t="s">
        <v>249</v>
      </c>
      <c r="F132" s="75">
        <f>((('해방스킬 계수'!G132)*3.3)+(('해방스킬 계수'!H132)*2))*1.45</f>
        <v>51.997156196194432</v>
      </c>
      <c r="G132" s="77">
        <f>F132/(D122+1)</f>
        <v>2.0798862478477771</v>
      </c>
    </row>
    <row r="133" spans="2:7" ht="19.95" customHeight="1" outlineLevel="1" x14ac:dyDescent="0.4">
      <c r="B133" s="99"/>
      <c r="C133" s="71"/>
      <c r="D133" s="71" t="s">
        <v>191</v>
      </c>
      <c r="E133" s="7" t="s">
        <v>248</v>
      </c>
      <c r="F133" s="73">
        <f>('해방스킬 계수'!G132+'해방스킬 계수'!H132)*1.6*1.45</f>
        <v>31.811070592909804</v>
      </c>
      <c r="G133" s="76">
        <f>F133/(D122+1)</f>
        <v>1.2724428237163921</v>
      </c>
    </row>
    <row r="134" spans="2:7" ht="19.95" customHeight="1" outlineLevel="1" thickBot="1" x14ac:dyDescent="0.45">
      <c r="B134" s="99"/>
      <c r="C134" s="84"/>
      <c r="D134" s="84"/>
      <c r="E134" s="85" t="s">
        <v>249</v>
      </c>
      <c r="F134" s="86">
        <f>((('해방스킬 계수'!G132)*3.3)+('해방스킬 계수'!H132))*1.6*1.45</f>
        <v>66.440770650302412</v>
      </c>
      <c r="G134" s="87">
        <f>F134/(D122+1)</f>
        <v>2.6576308260120967</v>
      </c>
    </row>
    <row r="135" spans="2:7" ht="19.95" customHeight="1" outlineLevel="1" thickTop="1" x14ac:dyDescent="0.4">
      <c r="B135" s="99"/>
      <c r="C135" s="71" t="s">
        <v>115</v>
      </c>
      <c r="D135" s="71" t="s">
        <v>90</v>
      </c>
      <c r="E135" s="1" t="s">
        <v>248</v>
      </c>
      <c r="F135" s="73">
        <f>('해방스킬 계수'!G132+'해방스킬 계수'!H132)*1.45*1.45985401459854</f>
        <v>29.024699446085584</v>
      </c>
      <c r="G135" s="76">
        <f>F135/(D122)</f>
        <v>1.2093624769202327</v>
      </c>
    </row>
    <row r="136" spans="2:7" ht="19.95" customHeight="1" outlineLevel="1" x14ac:dyDescent="0.4">
      <c r="B136" s="99"/>
      <c r="C136" s="91" t="s">
        <v>193</v>
      </c>
      <c r="D136" s="74"/>
      <c r="E136" s="78" t="s">
        <v>249</v>
      </c>
      <c r="F136" s="75">
        <f>((('해방스킬 계수'!G132)*3.3)+('해방스킬 계수'!H132))*1.45*1.45985401459854</f>
        <v>60.621141104290508</v>
      </c>
      <c r="G136" s="77">
        <f>F136/(D122)</f>
        <v>2.5258808793454377</v>
      </c>
    </row>
    <row r="137" spans="2:7" ht="19.95" customHeight="1" outlineLevel="1" x14ac:dyDescent="0.4">
      <c r="B137" s="99"/>
      <c r="C137" s="71"/>
      <c r="D137" s="71" t="s">
        <v>246</v>
      </c>
      <c r="E137" s="7" t="s">
        <v>248</v>
      </c>
      <c r="F137" s="73">
        <f>('해방스킬 계수'!G132+(('해방스킬 계수'!H132)*2))*1.45*1.45985401459854</f>
        <v>44.311815562516848</v>
      </c>
      <c r="G137" s="76">
        <f>F137/(D122)</f>
        <v>1.846325648438202</v>
      </c>
    </row>
    <row r="138" spans="2:7" ht="19.95" customHeight="1" outlineLevel="1" x14ac:dyDescent="0.4">
      <c r="B138" s="99"/>
      <c r="C138" s="71"/>
      <c r="D138" s="74"/>
      <c r="E138" s="78" t="s">
        <v>249</v>
      </c>
      <c r="F138" s="75">
        <f>((('해방스킬 계수'!G132)*3.3)+(('해방스킬 계수'!H132)*2))*1.45*1.45985401459854</f>
        <v>75.908257220721779</v>
      </c>
      <c r="G138" s="77">
        <f>F138/(D122)</f>
        <v>3.1628440508634075</v>
      </c>
    </row>
    <row r="139" spans="2:7" ht="19.95" customHeight="1" outlineLevel="1" x14ac:dyDescent="0.4">
      <c r="B139" s="99"/>
      <c r="C139" s="71"/>
      <c r="D139" s="71" t="s">
        <v>191</v>
      </c>
      <c r="E139" s="7" t="s">
        <v>248</v>
      </c>
      <c r="F139" s="73">
        <f>('해방스킬 계수'!G132+'해방스킬 계수'!H132)*1.6*1.45*1.45985401459854</f>
        <v>46.439519113736935</v>
      </c>
      <c r="G139" s="76">
        <f>F139/(D122)</f>
        <v>1.9349799630723723</v>
      </c>
    </row>
    <row r="140" spans="2:7" ht="19.95" customHeight="1" outlineLevel="1" thickBot="1" x14ac:dyDescent="0.45">
      <c r="B140" s="100"/>
      <c r="C140" s="72"/>
      <c r="D140" s="72"/>
      <c r="E140" s="5" t="s">
        <v>249</v>
      </c>
      <c r="F140" s="68">
        <f>((('해방스킬 계수'!G132)*3.3)+('해방스킬 계수'!H132))*1.6*1.45*1.45985401459854</f>
        <v>96.993825766864816</v>
      </c>
      <c r="G140" s="69">
        <f>F140/(D122)</f>
        <v>4.0414094069527007</v>
      </c>
    </row>
    <row r="141" spans="2:7" ht="19.95" customHeight="1" x14ac:dyDescent="0.4">
      <c r="B141" s="113" t="s">
        <v>76</v>
      </c>
      <c r="C141" s="114" t="s">
        <v>94</v>
      </c>
      <c r="D141" s="115">
        <v>30</v>
      </c>
      <c r="E141" s="114" t="s">
        <v>96</v>
      </c>
      <c r="F141" s="116">
        <f>('해방스킬 계수'!F154)*1.45</f>
        <v>32.082720180843047</v>
      </c>
      <c r="G141" s="117">
        <f>F141/D141</f>
        <v>1.0694240060281015</v>
      </c>
    </row>
    <row r="142" spans="2:7" ht="19.95" customHeight="1" outlineLevel="1" x14ac:dyDescent="0.4">
      <c r="B142" s="98" t="s">
        <v>162</v>
      </c>
      <c r="C142" s="70" t="s">
        <v>135</v>
      </c>
      <c r="D142" s="70" t="s">
        <v>251</v>
      </c>
      <c r="E142" s="1" t="s">
        <v>255</v>
      </c>
      <c r="F142" s="66">
        <f>(('해방스킬 계수'!F154)*1.952)*1.45</f>
        <v>62.625469793005628</v>
      </c>
      <c r="G142" s="67">
        <f>F142/(D141-11)</f>
        <v>3.2960773575266118</v>
      </c>
    </row>
    <row r="143" spans="2:7" ht="19.95" customHeight="1" outlineLevel="1" x14ac:dyDescent="0.4">
      <c r="B143" s="98" t="s">
        <v>188</v>
      </c>
      <c r="C143" s="71"/>
      <c r="D143" s="71"/>
      <c r="E143" s="3" t="s">
        <v>260</v>
      </c>
      <c r="F143" s="110">
        <f>(('해방스킬 계수'!E154)+(('해방스킬 계수'!F154)*1.952))*1.45</f>
        <v>66.192337396392006</v>
      </c>
      <c r="G143" s="111">
        <f>F143/(D141-11)</f>
        <v>3.4838072313890529</v>
      </c>
    </row>
    <row r="144" spans="2:7" ht="19.95" customHeight="1" outlineLevel="1" x14ac:dyDescent="0.4">
      <c r="B144" s="98" t="s">
        <v>161</v>
      </c>
      <c r="C144" s="71"/>
      <c r="D144" s="71"/>
      <c r="E144" s="3" t="s">
        <v>258</v>
      </c>
      <c r="F144" s="110">
        <f>(('해방스킬 계수'!F154)*1.708)*1.45</f>
        <v>54.797286068879927</v>
      </c>
      <c r="G144" s="111">
        <f>F144/(D141-11)</f>
        <v>2.8840676878357856</v>
      </c>
    </row>
    <row r="145" spans="2:7" ht="19.95" customHeight="1" outlineLevel="1" x14ac:dyDescent="0.4">
      <c r="B145" s="98" t="s">
        <v>202</v>
      </c>
      <c r="C145" s="71"/>
      <c r="D145" s="74"/>
      <c r="E145" s="78" t="s">
        <v>261</v>
      </c>
      <c r="F145" s="75">
        <f>(('해방스킬 계수'!E154)+(('해방스킬 계수'!F154)*1.708))*1.45</f>
        <v>58.364153672266305</v>
      </c>
      <c r="G145" s="77">
        <f>F145/(D141-11)</f>
        <v>3.0717975616982267</v>
      </c>
    </row>
    <row r="146" spans="2:7" ht="19.95" customHeight="1" outlineLevel="1" x14ac:dyDescent="0.4">
      <c r="B146" s="99"/>
      <c r="C146" s="71"/>
      <c r="D146" s="71" t="s">
        <v>234</v>
      </c>
      <c r="E146" s="1" t="s">
        <v>255</v>
      </c>
      <c r="F146" s="66">
        <f>(('해방스킬 계수'!F154)*1.952)*1.6*1.45</f>
        <v>100.200751668809</v>
      </c>
      <c r="G146" s="67">
        <f>F146/(D141-11)</f>
        <v>5.2737237720425796</v>
      </c>
    </row>
    <row r="147" spans="2:7" ht="19.95" customHeight="1" outlineLevel="1" x14ac:dyDescent="0.4">
      <c r="B147" s="99"/>
      <c r="C147" s="71"/>
      <c r="D147" s="71"/>
      <c r="E147" s="3" t="s">
        <v>260</v>
      </c>
      <c r="F147" s="110">
        <f>(('해방스킬 계수'!E154)+(('해방스킬 계수'!F154)*1.952))*1.6*1.45</f>
        <v>105.90773983422721</v>
      </c>
      <c r="G147" s="111">
        <f>F147/(D141-11)</f>
        <v>5.5740915702224854</v>
      </c>
    </row>
    <row r="148" spans="2:7" ht="19.95" customHeight="1" outlineLevel="1" x14ac:dyDescent="0.4">
      <c r="B148" s="99"/>
      <c r="C148" s="71"/>
      <c r="D148" s="71"/>
      <c r="E148" s="3" t="s">
        <v>258</v>
      </c>
      <c r="F148" s="110">
        <f>(('해방스킬 계수'!F154)*1.708)*1.6*1.45</f>
        <v>87.675657710207886</v>
      </c>
      <c r="G148" s="111">
        <f>F148/(D141-11)</f>
        <v>4.6145083005372571</v>
      </c>
    </row>
    <row r="149" spans="2:7" ht="19.95" customHeight="1" outlineLevel="1" x14ac:dyDescent="0.4">
      <c r="B149" s="99"/>
      <c r="C149" s="90"/>
      <c r="D149" s="74"/>
      <c r="E149" s="78" t="s">
        <v>261</v>
      </c>
      <c r="F149" s="75">
        <f>(('해방스킬 계수'!E154)+(('해방스킬 계수'!F154)*1.708))*1.6*1.45</f>
        <v>93.382645875626082</v>
      </c>
      <c r="G149" s="77">
        <f>F149/(D141-11)</f>
        <v>4.914876098717162</v>
      </c>
    </row>
    <row r="150" spans="2:7" ht="19.95" customHeight="1" outlineLevel="1" x14ac:dyDescent="0.4">
      <c r="B150" s="98"/>
      <c r="C150" s="71"/>
      <c r="D150" s="71" t="s">
        <v>253</v>
      </c>
      <c r="E150" s="7" t="s">
        <v>255</v>
      </c>
      <c r="F150" s="73">
        <f>(('해방스킬 계수'!F154)*1.952*1.95)*1.45</f>
        <v>122.11966609636097</v>
      </c>
      <c r="G150" s="76">
        <f>F150/(D141-11)</f>
        <v>6.4273508471768936</v>
      </c>
    </row>
    <row r="151" spans="2:7" ht="19.95" customHeight="1" outlineLevel="1" thickBot="1" x14ac:dyDescent="0.45">
      <c r="B151" s="99"/>
      <c r="C151" s="84"/>
      <c r="D151" s="84"/>
      <c r="E151" s="85" t="s">
        <v>258</v>
      </c>
      <c r="F151" s="86">
        <f>(('해방스킬 계수'!F154)*1.708*1.95)*1.45</f>
        <v>106.85470783431585</v>
      </c>
      <c r="G151" s="87">
        <f>F151/(D141-11)</f>
        <v>5.6239319912797816</v>
      </c>
    </row>
    <row r="152" spans="2:7" ht="19.95" customHeight="1" outlineLevel="1" thickTop="1" x14ac:dyDescent="0.4">
      <c r="B152" s="99"/>
      <c r="C152" s="71" t="s">
        <v>114</v>
      </c>
      <c r="D152" s="71" t="s">
        <v>250</v>
      </c>
      <c r="E152" s="7" t="s">
        <v>254</v>
      </c>
      <c r="F152" s="73">
        <f>(('해방스킬 계수'!F154)*1.952)*1.45</f>
        <v>62.625469793005628</v>
      </c>
      <c r="G152" s="76">
        <f>F152/D141</f>
        <v>2.0875156597668543</v>
      </c>
    </row>
    <row r="153" spans="2:7" ht="19.95" customHeight="1" outlineLevel="1" x14ac:dyDescent="0.4">
      <c r="B153" s="99"/>
      <c r="C153" s="91"/>
      <c r="D153" s="71"/>
      <c r="E153" s="3" t="s">
        <v>256</v>
      </c>
      <c r="F153" s="110">
        <f>(('해방스킬 계수'!E154)+(('해방스킬 계수'!F154)*1.952))*1.45</f>
        <v>66.192337396392006</v>
      </c>
      <c r="G153" s="111">
        <f>F153/D141</f>
        <v>2.2064112465464003</v>
      </c>
    </row>
    <row r="154" spans="2:7" ht="19.95" customHeight="1" outlineLevel="1" x14ac:dyDescent="0.4">
      <c r="B154" s="99"/>
      <c r="C154" s="71"/>
      <c r="D154" s="71"/>
      <c r="E154" s="3" t="s">
        <v>257</v>
      </c>
      <c r="F154" s="110">
        <f>(('해방스킬 계수'!F154)*1.708)*1.45</f>
        <v>54.797286068879927</v>
      </c>
      <c r="G154" s="111">
        <f>F154/D141</f>
        <v>1.8265762022959975</v>
      </c>
    </row>
    <row r="155" spans="2:7" ht="19.95" customHeight="1" outlineLevel="1" x14ac:dyDescent="0.4">
      <c r="B155" s="99"/>
      <c r="C155" s="91"/>
      <c r="D155" s="74"/>
      <c r="E155" s="78" t="s">
        <v>259</v>
      </c>
      <c r="F155" s="75">
        <f>(('해방스킬 계수'!E154)+(('해방스킬 계수'!F154)*1.708))*1.45</f>
        <v>58.364153672266305</v>
      </c>
      <c r="G155" s="77">
        <f>F155/D141</f>
        <v>1.9454717890755435</v>
      </c>
    </row>
    <row r="156" spans="2:7" ht="19.95" customHeight="1" outlineLevel="1" x14ac:dyDescent="0.4">
      <c r="B156" s="99"/>
      <c r="C156" s="71"/>
      <c r="D156" s="71" t="s">
        <v>233</v>
      </c>
      <c r="E156" s="1" t="s">
        <v>255</v>
      </c>
      <c r="F156" s="66">
        <f>(('해방스킬 계수'!F154)*1.952)*1.6*1.45</f>
        <v>100.200751668809</v>
      </c>
      <c r="G156" s="67">
        <f>F156/D141</f>
        <v>3.3400250556269668</v>
      </c>
    </row>
    <row r="157" spans="2:7" ht="19.95" customHeight="1" outlineLevel="1" x14ac:dyDescent="0.4">
      <c r="B157" s="99"/>
      <c r="C157" s="71"/>
      <c r="D157" s="71"/>
      <c r="E157" s="3" t="s">
        <v>260</v>
      </c>
      <c r="F157" s="110">
        <f>(('해방스킬 계수'!E154)+(('해방스킬 계수'!F154)*1.952))*1.6*1.45</f>
        <v>105.90773983422721</v>
      </c>
      <c r="G157" s="111">
        <f>F157/D141</f>
        <v>3.5302579944742405</v>
      </c>
    </row>
    <row r="158" spans="2:7" ht="19.95" customHeight="1" outlineLevel="1" x14ac:dyDescent="0.4">
      <c r="B158" s="99"/>
      <c r="C158" s="71"/>
      <c r="D158" s="71"/>
      <c r="E158" s="3" t="s">
        <v>258</v>
      </c>
      <c r="F158" s="110">
        <f>(('해방스킬 계수'!F154)*1.708)*1.6*1.45</f>
        <v>87.675657710207886</v>
      </c>
      <c r="G158" s="111">
        <f>F158/D141</f>
        <v>2.9225219236735964</v>
      </c>
    </row>
    <row r="159" spans="2:7" ht="19.95" customHeight="1" outlineLevel="1" x14ac:dyDescent="0.4">
      <c r="B159" s="99"/>
      <c r="C159" s="90"/>
      <c r="D159" s="74"/>
      <c r="E159" s="78" t="s">
        <v>261</v>
      </c>
      <c r="F159" s="75">
        <f>(('해방스킬 계수'!E154)+(('해방스킬 계수'!F154)*1.708))*1.6*1.45</f>
        <v>93.382645875626082</v>
      </c>
      <c r="G159" s="77">
        <f>F159/D141</f>
        <v>3.1127548625208692</v>
      </c>
    </row>
    <row r="160" spans="2:7" ht="19.95" customHeight="1" outlineLevel="1" x14ac:dyDescent="0.4">
      <c r="B160" s="99"/>
      <c r="C160" s="71"/>
      <c r="D160" s="71" t="s">
        <v>253</v>
      </c>
      <c r="E160" s="7" t="s">
        <v>255</v>
      </c>
      <c r="F160" s="73">
        <f>(('해방스킬 계수'!F154)*1.952*1.95)*1.45</f>
        <v>122.11966609636097</v>
      </c>
      <c r="G160" s="76">
        <f>F160/D141</f>
        <v>4.0706555365453658</v>
      </c>
    </row>
    <row r="161" spans="2:7" ht="19.95" customHeight="1" outlineLevel="1" thickBot="1" x14ac:dyDescent="0.45">
      <c r="B161" s="99"/>
      <c r="C161" s="84"/>
      <c r="D161" s="84"/>
      <c r="E161" s="85" t="s">
        <v>258</v>
      </c>
      <c r="F161" s="86">
        <f>(('해방스킬 계수'!F154)*1.708*1.95)*1.45</f>
        <v>106.85470783431585</v>
      </c>
      <c r="G161" s="87">
        <f>F161/D141</f>
        <v>3.561823594477195</v>
      </c>
    </row>
    <row r="162" spans="2:7" ht="19.95" customHeight="1" outlineLevel="1" thickTop="1" x14ac:dyDescent="0.4">
      <c r="B162" s="99"/>
      <c r="C162" s="71" t="s">
        <v>192</v>
      </c>
      <c r="D162" s="71" t="s">
        <v>250</v>
      </c>
      <c r="E162" s="1" t="s">
        <v>255</v>
      </c>
      <c r="F162" s="73">
        <f>(('해방스킬 계수'!F154)*1.952)*1.6*1.45</f>
        <v>100.200751668809</v>
      </c>
      <c r="G162" s="76">
        <f>F162/(D141)</f>
        <v>3.3400250556269668</v>
      </c>
    </row>
    <row r="163" spans="2:7" ht="19.95" customHeight="1" outlineLevel="1" x14ac:dyDescent="0.4">
      <c r="B163" s="99"/>
      <c r="C163" s="71"/>
      <c r="D163" s="71"/>
      <c r="E163" s="3" t="s">
        <v>260</v>
      </c>
      <c r="F163" s="110">
        <f>(('해방스킬 계수'!E154)+(('해방스킬 계수'!F154)*1.952))*1.6*1.45</f>
        <v>105.90773983422721</v>
      </c>
      <c r="G163" s="111">
        <f>F163/D141</f>
        <v>3.5302579944742405</v>
      </c>
    </row>
    <row r="164" spans="2:7" ht="19.95" customHeight="1" outlineLevel="1" x14ac:dyDescent="0.4">
      <c r="B164" s="99"/>
      <c r="C164" s="71"/>
      <c r="D164" s="71"/>
      <c r="E164" s="3" t="s">
        <v>258</v>
      </c>
      <c r="F164" s="110">
        <f>(('해방스킬 계수'!F154)*1.708)*1.6*1.45</f>
        <v>87.675657710207886</v>
      </c>
      <c r="G164" s="111">
        <f>F164/D141</f>
        <v>2.9225219236735964</v>
      </c>
    </row>
    <row r="165" spans="2:7" ht="19.95" customHeight="1" outlineLevel="1" x14ac:dyDescent="0.4">
      <c r="B165" s="99"/>
      <c r="C165" s="91"/>
      <c r="D165" s="74"/>
      <c r="E165" s="78" t="s">
        <v>261</v>
      </c>
      <c r="F165" s="75">
        <f>(('해방스킬 계수'!E154)+(('해방스킬 계수'!F154)*1.708))*1.6*1.45</f>
        <v>93.382645875626082</v>
      </c>
      <c r="G165" s="77">
        <f>F165/(D141)</f>
        <v>3.1127548625208692</v>
      </c>
    </row>
    <row r="166" spans="2:7" ht="19.95" customHeight="1" outlineLevel="1" x14ac:dyDescent="0.4">
      <c r="B166" s="99"/>
      <c r="C166" s="71"/>
      <c r="D166" s="71" t="s">
        <v>233</v>
      </c>
      <c r="E166" s="1" t="s">
        <v>255</v>
      </c>
      <c r="F166" s="66">
        <f>(('해방스킬 계수'!F154)*1.952)*1.6*1.6*1.45</f>
        <v>160.32120267009441</v>
      </c>
      <c r="G166" s="67">
        <f>F166/(D141)</f>
        <v>5.3440400890031468</v>
      </c>
    </row>
    <row r="167" spans="2:7" ht="19.95" customHeight="1" outlineLevel="1" x14ac:dyDescent="0.4">
      <c r="B167" s="99"/>
      <c r="C167" s="71"/>
      <c r="D167" s="71"/>
      <c r="E167" s="3" t="s">
        <v>260</v>
      </c>
      <c r="F167" s="110">
        <f>(('해방스킬 계수'!E154)+(('해방스킬 계수'!F154)*1.952))*1.6*1.6*1.45</f>
        <v>169.45238373476354</v>
      </c>
      <c r="G167" s="111">
        <f>F167/D141</f>
        <v>5.6484127911587851</v>
      </c>
    </row>
    <row r="168" spans="2:7" ht="19.95" customHeight="1" outlineLevel="1" x14ac:dyDescent="0.4">
      <c r="B168" s="99"/>
      <c r="C168" s="71"/>
      <c r="D168" s="71"/>
      <c r="E168" s="3" t="s">
        <v>258</v>
      </c>
      <c r="F168" s="110">
        <f>(('해방스킬 계수'!F154)*1.708)*1.6*1.6*1.45</f>
        <v>140.28105233633261</v>
      </c>
      <c r="G168" s="111">
        <f>F168/D141</f>
        <v>4.6760350778777537</v>
      </c>
    </row>
    <row r="169" spans="2:7" ht="19.95" customHeight="1" outlineLevel="1" x14ac:dyDescent="0.4">
      <c r="B169" s="99"/>
      <c r="C169" s="90"/>
      <c r="D169" s="74"/>
      <c r="E169" s="78" t="s">
        <v>261</v>
      </c>
      <c r="F169" s="75">
        <f>(('해방스킬 계수'!E154)+(('해방스킬 계수'!F154)*1.708))*1.6*1.6*1.45</f>
        <v>149.41223340100177</v>
      </c>
      <c r="G169" s="77">
        <f>F169/(D141)</f>
        <v>4.9804077800333921</v>
      </c>
    </row>
    <row r="170" spans="2:7" ht="19.95" customHeight="1" outlineLevel="1" x14ac:dyDescent="0.4">
      <c r="B170" s="99"/>
      <c r="C170" s="71"/>
      <c r="D170" s="71" t="s">
        <v>252</v>
      </c>
      <c r="E170" s="7" t="s">
        <v>254</v>
      </c>
      <c r="F170" s="73">
        <f>(('해방스킬 계수'!F154)*1.952*1.95)*1.6*1.45</f>
        <v>195.39146575417757</v>
      </c>
      <c r="G170" s="76">
        <f>F170/(D141)</f>
        <v>6.5130488584725859</v>
      </c>
    </row>
    <row r="171" spans="2:7" ht="19.95" customHeight="1" outlineLevel="1" thickBot="1" x14ac:dyDescent="0.45">
      <c r="B171" s="100"/>
      <c r="C171" s="72"/>
      <c r="D171" s="72"/>
      <c r="E171" s="5" t="s">
        <v>257</v>
      </c>
      <c r="F171" s="68">
        <f>(('해방스킬 계수'!F154)*1.708*1.95)*1.6*1.45</f>
        <v>170.96753253490536</v>
      </c>
      <c r="G171" s="69">
        <f>F171/(D141)</f>
        <v>5.6989177511635116</v>
      </c>
    </row>
  </sheetData>
  <mergeCells count="1">
    <mergeCell ref="B2:E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74BF6-36DF-4DE4-A05E-5DC8CF57921F}">
  <dimension ref="B1:Q210"/>
  <sheetViews>
    <sheetView zoomScale="80" zoomScaleNormal="80" workbookViewId="0"/>
  </sheetViews>
  <sheetFormatPr defaultRowHeight="17.399999999999999" outlineLevelRow="1" x14ac:dyDescent="0.4"/>
  <cols>
    <col min="1" max="1" width="1.69921875" customWidth="1"/>
    <col min="2" max="2" width="15.8984375" bestFit="1" customWidth="1"/>
    <col min="3" max="5" width="20.69921875" customWidth="1"/>
    <col min="6" max="7" width="13.09765625" bestFit="1" customWidth="1"/>
    <col min="8" max="8" width="20.59765625" bestFit="1" customWidth="1"/>
    <col min="12" max="12" width="9.3984375" bestFit="1" customWidth="1"/>
  </cols>
  <sheetData>
    <row r="1" spans="2:8" ht="10.050000000000001" customHeight="1" thickBot="1" x14ac:dyDescent="0.45"/>
    <row r="2" spans="2:8" ht="25.05" customHeight="1" x14ac:dyDescent="0.4">
      <c r="B2" s="256" t="s">
        <v>100</v>
      </c>
      <c r="C2" s="257"/>
      <c r="D2" s="257"/>
      <c r="E2" s="258"/>
      <c r="F2" s="92" t="s">
        <v>1</v>
      </c>
      <c r="G2" s="93" t="s">
        <v>95</v>
      </c>
      <c r="H2" s="93" t="s">
        <v>101</v>
      </c>
    </row>
    <row r="3" spans="2:8" ht="19.95" customHeight="1" x14ac:dyDescent="0.4">
      <c r="B3" s="88" t="s">
        <v>0</v>
      </c>
      <c r="C3" s="81" t="s">
        <v>94</v>
      </c>
      <c r="D3" s="82">
        <v>5</v>
      </c>
      <c r="E3" s="81" t="s">
        <v>96</v>
      </c>
      <c r="F3" s="83">
        <v>5.1887047514144102</v>
      </c>
      <c r="G3" s="89">
        <f t="shared" ref="G3:G27" si="0">F3/$D$3</f>
        <v>1.037740950282882</v>
      </c>
      <c r="H3" s="89">
        <f>1/D3</f>
        <v>0.2</v>
      </c>
    </row>
    <row r="4" spans="2:8" ht="19.95" customHeight="1" outlineLevel="1" x14ac:dyDescent="0.4">
      <c r="B4" s="96" t="s">
        <v>160</v>
      </c>
      <c r="C4" s="70" t="s">
        <v>83</v>
      </c>
      <c r="D4" s="70" t="s">
        <v>84</v>
      </c>
      <c r="E4" s="1" t="s">
        <v>88</v>
      </c>
      <c r="F4" s="66">
        <v>5.1887047514144102</v>
      </c>
      <c r="G4" s="67">
        <f t="shared" si="0"/>
        <v>1.037740950282882</v>
      </c>
      <c r="H4" s="67">
        <f>1/D3</f>
        <v>0.2</v>
      </c>
    </row>
    <row r="5" spans="2:8" ht="19.95" customHeight="1" outlineLevel="1" x14ac:dyDescent="0.4">
      <c r="B5" s="96"/>
      <c r="C5" s="71"/>
      <c r="D5" s="74"/>
      <c r="E5" s="78" t="s">
        <v>89</v>
      </c>
      <c r="F5" s="75">
        <f>F3*1.8</f>
        <v>9.3396685525459393</v>
      </c>
      <c r="G5" s="77">
        <f t="shared" si="0"/>
        <v>1.8679337105091878</v>
      </c>
      <c r="H5" s="77">
        <f>1/D3</f>
        <v>0.2</v>
      </c>
    </row>
    <row r="6" spans="2:8" ht="19.95" customHeight="1" outlineLevel="1" x14ac:dyDescent="0.4">
      <c r="B6" s="79"/>
      <c r="C6" s="71"/>
      <c r="D6" s="71" t="s">
        <v>86</v>
      </c>
      <c r="E6" s="7" t="s">
        <v>91</v>
      </c>
      <c r="F6" s="73">
        <v>5.1887047514144102</v>
      </c>
      <c r="G6" s="76">
        <f t="shared" si="0"/>
        <v>1.037740950282882</v>
      </c>
      <c r="H6" s="76">
        <f>((2*0.75)+(1*0.25))/D3</f>
        <v>0.35</v>
      </c>
    </row>
    <row r="7" spans="2:8" ht="19.95" customHeight="1" outlineLevel="1" x14ac:dyDescent="0.4">
      <c r="B7" s="79"/>
      <c r="C7" s="71"/>
      <c r="D7" s="74"/>
      <c r="E7" s="78" t="s">
        <v>89</v>
      </c>
      <c r="F7" s="75">
        <f>F3*1.8</f>
        <v>9.3396685525459393</v>
      </c>
      <c r="G7" s="77">
        <f t="shared" si="0"/>
        <v>1.8679337105091878</v>
      </c>
      <c r="H7" s="77">
        <f>((2*0.75)+(1*0.25))/D3</f>
        <v>0.35</v>
      </c>
    </row>
    <row r="8" spans="2:8" ht="19.95" customHeight="1" outlineLevel="1" x14ac:dyDescent="0.4">
      <c r="B8" s="79"/>
      <c r="C8" s="71"/>
      <c r="D8" s="71" t="s">
        <v>87</v>
      </c>
      <c r="E8" s="7" t="s">
        <v>91</v>
      </c>
      <c r="F8" s="73">
        <v>5.1887047514144102</v>
      </c>
      <c r="G8" s="76">
        <f t="shared" si="0"/>
        <v>1.037740950282882</v>
      </c>
      <c r="H8" s="76">
        <f>1/D3</f>
        <v>0.2</v>
      </c>
    </row>
    <row r="9" spans="2:8" ht="19.95" customHeight="1" outlineLevel="1" x14ac:dyDescent="0.4">
      <c r="B9" s="79"/>
      <c r="C9" s="71"/>
      <c r="D9" s="71"/>
      <c r="E9" s="7" t="s">
        <v>97</v>
      </c>
      <c r="F9" s="73">
        <f>F3*1.6</f>
        <v>8.3019276022630564</v>
      </c>
      <c r="G9" s="76">
        <f t="shared" si="0"/>
        <v>1.6603855204526112</v>
      </c>
      <c r="H9" s="76">
        <f>1/D3</f>
        <v>0.2</v>
      </c>
    </row>
    <row r="10" spans="2:8" ht="19.95" customHeight="1" outlineLevel="1" x14ac:dyDescent="0.4">
      <c r="B10" s="79"/>
      <c r="C10" s="71"/>
      <c r="D10" s="71"/>
      <c r="E10" s="90" t="s">
        <v>89</v>
      </c>
      <c r="F10" s="65">
        <f>F3*1.8</f>
        <v>9.3396685525459393</v>
      </c>
      <c r="G10" s="76">
        <f t="shared" si="0"/>
        <v>1.8679337105091878</v>
      </c>
      <c r="H10" s="76">
        <f>1/D3</f>
        <v>0.2</v>
      </c>
    </row>
    <row r="11" spans="2:8" ht="19.95" customHeight="1" outlineLevel="1" thickBot="1" x14ac:dyDescent="0.45">
      <c r="B11" s="79"/>
      <c r="C11" s="84"/>
      <c r="D11" s="84"/>
      <c r="E11" s="85" t="s">
        <v>98</v>
      </c>
      <c r="F11" s="86">
        <f>F3*1.6*1.8</f>
        <v>14.943469684073502</v>
      </c>
      <c r="G11" s="87">
        <f t="shared" si="0"/>
        <v>2.9886939368147005</v>
      </c>
      <c r="H11" s="87">
        <f>1/D3</f>
        <v>0.2</v>
      </c>
    </row>
    <row r="12" spans="2:8" ht="19.95" customHeight="1" outlineLevel="1" thickTop="1" x14ac:dyDescent="0.4">
      <c r="B12" s="79"/>
      <c r="C12" s="71" t="s">
        <v>92</v>
      </c>
      <c r="D12" s="71" t="s">
        <v>84</v>
      </c>
      <c r="E12" s="7" t="s">
        <v>88</v>
      </c>
      <c r="F12" s="73">
        <v>5.1887047514144102</v>
      </c>
      <c r="G12" s="76">
        <f t="shared" si="0"/>
        <v>1.037740950282882</v>
      </c>
      <c r="H12" s="76">
        <f>1/D3</f>
        <v>0.2</v>
      </c>
    </row>
    <row r="13" spans="2:8" ht="19.95" customHeight="1" outlineLevel="1" x14ac:dyDescent="0.4">
      <c r="B13" s="79"/>
      <c r="C13" s="91" t="s">
        <v>99</v>
      </c>
      <c r="D13" s="74"/>
      <c r="E13" s="78" t="s">
        <v>89</v>
      </c>
      <c r="F13" s="75">
        <f>F3*1.8</f>
        <v>9.3396685525459393</v>
      </c>
      <c r="G13" s="77">
        <f t="shared" si="0"/>
        <v>1.8679337105091878</v>
      </c>
      <c r="H13" s="77">
        <f>1/D3</f>
        <v>0.2</v>
      </c>
    </row>
    <row r="14" spans="2:8" ht="19.95" customHeight="1" outlineLevel="1" x14ac:dyDescent="0.4">
      <c r="B14" s="79"/>
      <c r="C14" s="71"/>
      <c r="D14" s="71" t="s">
        <v>86</v>
      </c>
      <c r="E14" s="7" t="s">
        <v>91</v>
      </c>
      <c r="F14" s="73">
        <v>5.1887047514144102</v>
      </c>
      <c r="G14" s="76">
        <f t="shared" si="0"/>
        <v>1.037740950282882</v>
      </c>
      <c r="H14" s="76">
        <f>((2*0.75)+(1*0.25))/D3</f>
        <v>0.35</v>
      </c>
    </row>
    <row r="15" spans="2:8" ht="19.95" customHeight="1" outlineLevel="1" x14ac:dyDescent="0.4">
      <c r="B15" s="79"/>
      <c r="C15" s="71"/>
      <c r="D15" s="74"/>
      <c r="E15" s="78" t="s">
        <v>89</v>
      </c>
      <c r="F15" s="75">
        <f>F3*1.8</f>
        <v>9.3396685525459393</v>
      </c>
      <c r="G15" s="77">
        <f t="shared" si="0"/>
        <v>1.8679337105091878</v>
      </c>
      <c r="H15" s="77">
        <f>((2*0.75)+(1*0.25))/D3</f>
        <v>0.35</v>
      </c>
    </row>
    <row r="16" spans="2:8" ht="19.95" customHeight="1" outlineLevel="1" x14ac:dyDescent="0.4">
      <c r="B16" s="79"/>
      <c r="C16" s="71"/>
      <c r="D16" s="71" t="s">
        <v>87</v>
      </c>
      <c r="E16" s="7" t="s">
        <v>91</v>
      </c>
      <c r="F16" s="73">
        <v>5.1887047514144102</v>
      </c>
      <c r="G16" s="76">
        <f t="shared" si="0"/>
        <v>1.037740950282882</v>
      </c>
      <c r="H16" s="76">
        <f>1/D3</f>
        <v>0.2</v>
      </c>
    </row>
    <row r="17" spans="2:8" ht="19.95" customHeight="1" outlineLevel="1" x14ac:dyDescent="0.4">
      <c r="B17" s="79"/>
      <c r="C17" s="71"/>
      <c r="D17" s="71"/>
      <c r="E17" s="7" t="s">
        <v>97</v>
      </c>
      <c r="F17" s="73">
        <f>F3*1.6</f>
        <v>8.3019276022630564</v>
      </c>
      <c r="G17" s="76">
        <f t="shared" si="0"/>
        <v>1.6603855204526112</v>
      </c>
      <c r="H17" s="76">
        <f>1/D3</f>
        <v>0.2</v>
      </c>
    </row>
    <row r="18" spans="2:8" ht="19.95" customHeight="1" outlineLevel="1" x14ac:dyDescent="0.4">
      <c r="B18" s="79"/>
      <c r="C18" s="71"/>
      <c r="D18" s="71"/>
      <c r="E18" s="90" t="s">
        <v>89</v>
      </c>
      <c r="F18" s="65">
        <f>F3*1.8</f>
        <v>9.3396685525459393</v>
      </c>
      <c r="G18" s="76">
        <f t="shared" si="0"/>
        <v>1.8679337105091878</v>
      </c>
      <c r="H18" s="76">
        <f>1/D3</f>
        <v>0.2</v>
      </c>
    </row>
    <row r="19" spans="2:8" ht="19.95" customHeight="1" outlineLevel="1" thickBot="1" x14ac:dyDescent="0.45">
      <c r="B19" s="79"/>
      <c r="C19" s="84"/>
      <c r="D19" s="84"/>
      <c r="E19" s="85" t="s">
        <v>98</v>
      </c>
      <c r="F19" s="86">
        <f>F3*1.6*1.8</f>
        <v>14.943469684073502</v>
      </c>
      <c r="G19" s="87">
        <f t="shared" si="0"/>
        <v>2.9886939368147005</v>
      </c>
      <c r="H19" s="87">
        <f>1/D3</f>
        <v>0.2</v>
      </c>
    </row>
    <row r="20" spans="2:8" ht="19.95" customHeight="1" outlineLevel="1" thickTop="1" x14ac:dyDescent="0.4">
      <c r="B20" s="79"/>
      <c r="C20" s="71" t="s">
        <v>93</v>
      </c>
      <c r="D20" s="71" t="s">
        <v>84</v>
      </c>
      <c r="E20" s="7" t="s">
        <v>88</v>
      </c>
      <c r="F20" s="73">
        <f>F3*1.35</f>
        <v>7.004751414409454</v>
      </c>
      <c r="G20" s="76">
        <f t="shared" si="0"/>
        <v>1.4009502828818907</v>
      </c>
      <c r="H20" s="76">
        <f>1/D3</f>
        <v>0.2</v>
      </c>
    </row>
    <row r="21" spans="2:8" ht="19.95" customHeight="1" outlineLevel="1" x14ac:dyDescent="0.4">
      <c r="B21" s="79"/>
      <c r="C21" s="71"/>
      <c r="D21" s="74"/>
      <c r="E21" s="78" t="s">
        <v>89</v>
      </c>
      <c r="F21" s="75">
        <f>F3*1.35*1.8</f>
        <v>12.608552545937018</v>
      </c>
      <c r="G21" s="77">
        <f t="shared" si="0"/>
        <v>2.5217105091874035</v>
      </c>
      <c r="H21" s="77">
        <f>1/D3</f>
        <v>0.2</v>
      </c>
    </row>
    <row r="22" spans="2:8" ht="19.95" customHeight="1" outlineLevel="1" x14ac:dyDescent="0.4">
      <c r="B22" s="79"/>
      <c r="C22" s="71"/>
      <c r="D22" s="71" t="s">
        <v>86</v>
      </c>
      <c r="E22" s="7" t="s">
        <v>91</v>
      </c>
      <c r="F22" s="73">
        <f>F3*1.35</f>
        <v>7.004751414409454</v>
      </c>
      <c r="G22" s="76">
        <f t="shared" si="0"/>
        <v>1.4009502828818907</v>
      </c>
      <c r="H22" s="76">
        <f>((2*0.75)+(1*0.25))/D3</f>
        <v>0.35</v>
      </c>
    </row>
    <row r="23" spans="2:8" ht="19.95" customHeight="1" outlineLevel="1" x14ac:dyDescent="0.4">
      <c r="B23" s="79"/>
      <c r="C23" s="71"/>
      <c r="D23" s="74"/>
      <c r="E23" s="78" t="s">
        <v>89</v>
      </c>
      <c r="F23" s="75">
        <f>F3*1.35*1.8</f>
        <v>12.608552545937018</v>
      </c>
      <c r="G23" s="77">
        <f t="shared" si="0"/>
        <v>2.5217105091874035</v>
      </c>
      <c r="H23" s="77">
        <f>((2*0.75)+(1*0.25))/D3</f>
        <v>0.35</v>
      </c>
    </row>
    <row r="24" spans="2:8" ht="19.95" customHeight="1" outlineLevel="1" x14ac:dyDescent="0.4">
      <c r="B24" s="79"/>
      <c r="C24" s="71"/>
      <c r="D24" s="71" t="s">
        <v>87</v>
      </c>
      <c r="E24" s="7" t="s">
        <v>91</v>
      </c>
      <c r="F24" s="73">
        <f>F3*1.35</f>
        <v>7.004751414409454</v>
      </c>
      <c r="G24" s="76">
        <f t="shared" si="0"/>
        <v>1.4009502828818907</v>
      </c>
      <c r="H24" s="76">
        <f>1/D3</f>
        <v>0.2</v>
      </c>
    </row>
    <row r="25" spans="2:8" ht="19.95" customHeight="1" outlineLevel="1" x14ac:dyDescent="0.4">
      <c r="B25" s="79"/>
      <c r="C25" s="71"/>
      <c r="D25" s="71"/>
      <c r="E25" s="7" t="s">
        <v>97</v>
      </c>
      <c r="F25" s="73">
        <f>F3*1.35*1.6</f>
        <v>11.207602263055128</v>
      </c>
      <c r="G25" s="76">
        <f t="shared" si="0"/>
        <v>2.2415204526110255</v>
      </c>
      <c r="H25" s="76">
        <f>1/D3</f>
        <v>0.2</v>
      </c>
    </row>
    <row r="26" spans="2:8" ht="19.95" customHeight="1" outlineLevel="1" x14ac:dyDescent="0.4">
      <c r="B26" s="79"/>
      <c r="C26" s="71"/>
      <c r="D26" s="71"/>
      <c r="E26" s="90" t="s">
        <v>89</v>
      </c>
      <c r="F26" s="65">
        <f>F3*1.35*1.8</f>
        <v>12.608552545937018</v>
      </c>
      <c r="G26" s="76">
        <f t="shared" si="0"/>
        <v>2.5217105091874035</v>
      </c>
      <c r="H26" s="76">
        <f>1/D3</f>
        <v>0.2</v>
      </c>
    </row>
    <row r="27" spans="2:8" ht="19.95" customHeight="1" outlineLevel="1" thickBot="1" x14ac:dyDescent="0.45">
      <c r="B27" s="80"/>
      <c r="C27" s="72"/>
      <c r="D27" s="72"/>
      <c r="E27" s="5" t="s">
        <v>98</v>
      </c>
      <c r="F27" s="68">
        <f>F3*1.35*1.6*1.8</f>
        <v>20.173684073499231</v>
      </c>
      <c r="G27" s="69">
        <f t="shared" si="0"/>
        <v>4.0347368146998459</v>
      </c>
      <c r="H27" s="69">
        <f>1/D3</f>
        <v>0.2</v>
      </c>
    </row>
    <row r="28" spans="2:8" ht="19.95" customHeight="1" x14ac:dyDescent="0.4">
      <c r="B28" s="88" t="s">
        <v>149</v>
      </c>
      <c r="C28" s="81" t="s">
        <v>94</v>
      </c>
      <c r="D28" s="82">
        <v>12</v>
      </c>
      <c r="E28" s="81" t="s">
        <v>96</v>
      </c>
      <c r="F28" s="83">
        <f>SUM('집속스킬 계수'!P16:R16)</f>
        <v>7.907525158964603</v>
      </c>
      <c r="G28" s="89">
        <f>F28/$D$28</f>
        <v>0.65896042991371695</v>
      </c>
      <c r="H28" s="89">
        <f>1/D28</f>
        <v>8.3333333333333329E-2</v>
      </c>
    </row>
    <row r="29" spans="2:8" ht="19.95" customHeight="1" outlineLevel="1" x14ac:dyDescent="0.4">
      <c r="B29" s="96" t="s">
        <v>161</v>
      </c>
      <c r="C29" s="70" t="s">
        <v>132</v>
      </c>
      <c r="D29" s="70" t="s">
        <v>103</v>
      </c>
      <c r="E29" s="1" t="s">
        <v>109</v>
      </c>
      <c r="F29" s="66">
        <f>F28</f>
        <v>7.907525158964603</v>
      </c>
      <c r="G29" s="67">
        <f>F29/($D$28-0.9)</f>
        <v>0.71238965396077503</v>
      </c>
      <c r="H29" s="67">
        <f>1/(D28-0.9)</f>
        <v>9.00900900900901E-2</v>
      </c>
    </row>
    <row r="30" spans="2:8" ht="19.95" customHeight="1" outlineLevel="1" x14ac:dyDescent="0.4">
      <c r="B30" s="79"/>
      <c r="C30" s="91" t="s">
        <v>182</v>
      </c>
      <c r="D30" s="74"/>
      <c r="E30" s="78" t="s">
        <v>111</v>
      </c>
      <c r="F30" s="75">
        <f>F28</f>
        <v>7.907525158964603</v>
      </c>
      <c r="G30" s="77">
        <f t="shared" ref="G30:G36" si="1">F30/($D$28-0.9)</f>
        <v>0.71238965396077503</v>
      </c>
      <c r="H30" s="77">
        <f>1/(D28-0.9)</f>
        <v>9.00900900900901E-2</v>
      </c>
    </row>
    <row r="31" spans="2:8" ht="19.95" customHeight="1" outlineLevel="1" x14ac:dyDescent="0.4">
      <c r="B31" s="79"/>
      <c r="C31" s="71"/>
      <c r="D31" s="71" t="s">
        <v>105</v>
      </c>
      <c r="E31" s="7" t="s">
        <v>108</v>
      </c>
      <c r="F31" s="73">
        <f>F28</f>
        <v>7.907525158964603</v>
      </c>
      <c r="G31" s="76">
        <f t="shared" si="1"/>
        <v>0.71238965396077503</v>
      </c>
      <c r="H31" s="76">
        <f>1/(D28-0.9)</f>
        <v>9.00900900900901E-2</v>
      </c>
    </row>
    <row r="32" spans="2:8" ht="19.95" customHeight="1" outlineLevel="1" x14ac:dyDescent="0.4">
      <c r="B32" s="79"/>
      <c r="C32" s="71"/>
      <c r="D32" s="71"/>
      <c r="E32" s="7" t="s">
        <v>112</v>
      </c>
      <c r="F32" s="73">
        <f>F28*1.9</f>
        <v>15.024297802032745</v>
      </c>
      <c r="G32" s="76">
        <f t="shared" si="1"/>
        <v>1.3535403425254726</v>
      </c>
      <c r="H32" s="76">
        <f>1/(D28-0.9)</f>
        <v>9.00900900900901E-2</v>
      </c>
    </row>
    <row r="33" spans="2:8" ht="19.95" customHeight="1" outlineLevel="1" x14ac:dyDescent="0.4">
      <c r="B33" s="79"/>
      <c r="C33" s="71"/>
      <c r="D33" s="71"/>
      <c r="E33" s="7" t="s">
        <v>111</v>
      </c>
      <c r="F33" s="73">
        <f>F28</f>
        <v>7.907525158964603</v>
      </c>
      <c r="G33" s="76">
        <f t="shared" si="1"/>
        <v>0.71238965396077503</v>
      </c>
      <c r="H33" s="76">
        <f>1/(D28-0.9)</f>
        <v>9.00900900900901E-2</v>
      </c>
    </row>
    <row r="34" spans="2:8" ht="19.95" customHeight="1" outlineLevel="1" x14ac:dyDescent="0.4">
      <c r="B34" s="79"/>
      <c r="C34" s="71"/>
      <c r="D34" s="74"/>
      <c r="E34" s="78" t="s">
        <v>113</v>
      </c>
      <c r="F34" s="75">
        <f>F28*1.9</f>
        <v>15.024297802032745</v>
      </c>
      <c r="G34" s="77">
        <f t="shared" si="1"/>
        <v>1.3535403425254726</v>
      </c>
      <c r="H34" s="77">
        <f>1/(D28-0.9)</f>
        <v>9.00900900900901E-2</v>
      </c>
    </row>
    <row r="35" spans="2:8" ht="19.95" customHeight="1" outlineLevel="1" x14ac:dyDescent="0.4">
      <c r="B35" s="79"/>
      <c r="C35" s="71"/>
      <c r="D35" s="71" t="s">
        <v>107</v>
      </c>
      <c r="E35" s="7" t="s">
        <v>108</v>
      </c>
      <c r="F35" s="73">
        <f>F28</f>
        <v>7.907525158964603</v>
      </c>
      <c r="G35" s="76">
        <f t="shared" si="1"/>
        <v>0.71238965396077503</v>
      </c>
      <c r="H35" s="76">
        <f>1/(D28-0.9)</f>
        <v>9.00900900900901E-2</v>
      </c>
    </row>
    <row r="36" spans="2:8" ht="19.95" customHeight="1" outlineLevel="1" thickBot="1" x14ac:dyDescent="0.45">
      <c r="B36" s="79"/>
      <c r="C36" s="84"/>
      <c r="D36" s="84"/>
      <c r="E36" s="85" t="s">
        <v>110</v>
      </c>
      <c r="F36" s="86">
        <f>F28</f>
        <v>7.907525158964603</v>
      </c>
      <c r="G36" s="87">
        <f t="shared" si="1"/>
        <v>0.71238965396077503</v>
      </c>
      <c r="H36" s="87">
        <f>1/(D28-0.9)</f>
        <v>9.00900900900901E-2</v>
      </c>
    </row>
    <row r="37" spans="2:8" ht="19.95" customHeight="1" outlineLevel="1" thickTop="1" x14ac:dyDescent="0.4">
      <c r="B37" s="79"/>
      <c r="C37" s="71" t="s">
        <v>133</v>
      </c>
      <c r="D37" s="71" t="s">
        <v>102</v>
      </c>
      <c r="E37" s="7" t="s">
        <v>108</v>
      </c>
      <c r="F37" s="73">
        <f>F28</f>
        <v>7.907525158964603</v>
      </c>
      <c r="G37" s="76">
        <f t="shared" ref="G37:G52" si="2">F37/$D$28</f>
        <v>0.65896042991371695</v>
      </c>
      <c r="H37" s="76">
        <f>1/D28</f>
        <v>8.3333333333333329E-2</v>
      </c>
    </row>
    <row r="38" spans="2:8" ht="19.95" customHeight="1" outlineLevel="1" x14ac:dyDescent="0.4">
      <c r="B38" s="79"/>
      <c r="C38" s="71"/>
      <c r="D38" s="74"/>
      <c r="E38" s="78" t="s">
        <v>110</v>
      </c>
      <c r="F38" s="75">
        <f>F28</f>
        <v>7.907525158964603</v>
      </c>
      <c r="G38" s="77">
        <f t="shared" si="2"/>
        <v>0.65896042991371695</v>
      </c>
      <c r="H38" s="77">
        <f>1/D28</f>
        <v>8.3333333333333329E-2</v>
      </c>
    </row>
    <row r="39" spans="2:8" ht="19.95" customHeight="1" outlineLevel="1" x14ac:dyDescent="0.4">
      <c r="B39" s="79"/>
      <c r="C39" s="71"/>
      <c r="D39" s="71" t="s">
        <v>104</v>
      </c>
      <c r="E39" s="7" t="s">
        <v>108</v>
      </c>
      <c r="F39" s="73">
        <f>F28</f>
        <v>7.907525158964603</v>
      </c>
      <c r="G39" s="76">
        <f t="shared" si="2"/>
        <v>0.65896042991371695</v>
      </c>
      <c r="H39" s="76">
        <f>1/D28</f>
        <v>8.3333333333333329E-2</v>
      </c>
    </row>
    <row r="40" spans="2:8" ht="19.95" customHeight="1" outlineLevel="1" x14ac:dyDescent="0.4">
      <c r="B40" s="79"/>
      <c r="C40" s="71"/>
      <c r="D40" s="71"/>
      <c r="E40" s="7" t="s">
        <v>112</v>
      </c>
      <c r="F40" s="73">
        <f>F28*1.9</f>
        <v>15.024297802032745</v>
      </c>
      <c r="G40" s="76">
        <f t="shared" si="2"/>
        <v>1.2520248168360621</v>
      </c>
      <c r="H40" s="76">
        <f>1/D28</f>
        <v>8.3333333333333329E-2</v>
      </c>
    </row>
    <row r="41" spans="2:8" ht="19.95" customHeight="1" outlineLevel="1" x14ac:dyDescent="0.4">
      <c r="B41" s="79"/>
      <c r="C41" s="71"/>
      <c r="D41" s="71"/>
      <c r="E41" s="7" t="s">
        <v>111</v>
      </c>
      <c r="F41" s="73">
        <f>F28</f>
        <v>7.907525158964603</v>
      </c>
      <c r="G41" s="76">
        <f t="shared" si="2"/>
        <v>0.65896042991371695</v>
      </c>
      <c r="H41" s="76">
        <f>1/D28</f>
        <v>8.3333333333333329E-2</v>
      </c>
    </row>
    <row r="42" spans="2:8" ht="19.95" customHeight="1" outlineLevel="1" x14ac:dyDescent="0.4">
      <c r="B42" s="79"/>
      <c r="C42" s="71"/>
      <c r="D42" s="74"/>
      <c r="E42" s="78" t="s">
        <v>113</v>
      </c>
      <c r="F42" s="75">
        <f>F28*1.9</f>
        <v>15.024297802032745</v>
      </c>
      <c r="G42" s="77">
        <f t="shared" si="2"/>
        <v>1.2520248168360621</v>
      </c>
      <c r="H42" s="77">
        <f>1/D28</f>
        <v>8.3333333333333329E-2</v>
      </c>
    </row>
    <row r="43" spans="2:8" ht="19.95" customHeight="1" outlineLevel="1" x14ac:dyDescent="0.4">
      <c r="B43" s="79"/>
      <c r="C43" s="71"/>
      <c r="D43" s="71" t="s">
        <v>106</v>
      </c>
      <c r="E43" s="7" t="s">
        <v>108</v>
      </c>
      <c r="F43" s="73">
        <f>F28</f>
        <v>7.907525158964603</v>
      </c>
      <c r="G43" s="76">
        <f t="shared" si="2"/>
        <v>0.65896042991371695</v>
      </c>
      <c r="H43" s="76">
        <f>1/D28</f>
        <v>8.3333333333333329E-2</v>
      </c>
    </row>
    <row r="44" spans="2:8" ht="19.95" customHeight="1" outlineLevel="1" thickBot="1" x14ac:dyDescent="0.45">
      <c r="B44" s="79"/>
      <c r="C44" s="84"/>
      <c r="D44" s="84"/>
      <c r="E44" s="85" t="s">
        <v>110</v>
      </c>
      <c r="F44" s="86">
        <f>F28</f>
        <v>7.907525158964603</v>
      </c>
      <c r="G44" s="87">
        <f t="shared" si="2"/>
        <v>0.65896042991371695</v>
      </c>
      <c r="H44" s="87">
        <f>1/D28</f>
        <v>8.3333333333333329E-2</v>
      </c>
    </row>
    <row r="45" spans="2:8" ht="19.95" customHeight="1" outlineLevel="1" thickTop="1" x14ac:dyDescent="0.4">
      <c r="B45" s="79"/>
      <c r="C45" s="71" t="s">
        <v>86</v>
      </c>
      <c r="D45" s="71" t="s">
        <v>102</v>
      </c>
      <c r="E45" s="7" t="s">
        <v>108</v>
      </c>
      <c r="F45" s="73">
        <f>F28</f>
        <v>7.907525158964603</v>
      </c>
      <c r="G45" s="76">
        <f t="shared" si="2"/>
        <v>0.65896042991371695</v>
      </c>
      <c r="H45" s="76">
        <f>((2*0.95)+(1*0.05))/D28</f>
        <v>0.16250000000000001</v>
      </c>
    </row>
    <row r="46" spans="2:8" ht="19.95" customHeight="1" outlineLevel="1" x14ac:dyDescent="0.4">
      <c r="B46" s="79"/>
      <c r="C46" s="71"/>
      <c r="D46" s="74"/>
      <c r="E46" s="78" t="s">
        <v>110</v>
      </c>
      <c r="F46" s="75">
        <f>F28</f>
        <v>7.907525158964603</v>
      </c>
      <c r="G46" s="77">
        <f t="shared" si="2"/>
        <v>0.65896042991371695</v>
      </c>
      <c r="H46" s="77">
        <f>((2*0.95)+(1*0.05))/D28</f>
        <v>0.16250000000000001</v>
      </c>
    </row>
    <row r="47" spans="2:8" ht="19.95" customHeight="1" outlineLevel="1" x14ac:dyDescent="0.4">
      <c r="B47" s="79"/>
      <c r="C47" s="71"/>
      <c r="D47" s="71" t="s">
        <v>104</v>
      </c>
      <c r="E47" s="7" t="s">
        <v>108</v>
      </c>
      <c r="F47" s="73">
        <f>F28</f>
        <v>7.907525158964603</v>
      </c>
      <c r="G47" s="76">
        <f t="shared" si="2"/>
        <v>0.65896042991371695</v>
      </c>
      <c r="H47" s="76">
        <f>((2*0.95)+(1*0.05))/D28</f>
        <v>0.16250000000000001</v>
      </c>
    </row>
    <row r="48" spans="2:8" ht="19.95" customHeight="1" outlineLevel="1" x14ac:dyDescent="0.4">
      <c r="B48" s="79"/>
      <c r="C48" s="71"/>
      <c r="D48" s="71"/>
      <c r="E48" s="7" t="s">
        <v>112</v>
      </c>
      <c r="F48" s="73">
        <f>F28*1.9</f>
        <v>15.024297802032745</v>
      </c>
      <c r="G48" s="76">
        <f t="shared" si="2"/>
        <v>1.2520248168360621</v>
      </c>
      <c r="H48" s="76">
        <f>((2*0.95)+(1*0.05))/D28</f>
        <v>0.16250000000000001</v>
      </c>
    </row>
    <row r="49" spans="2:8" ht="19.95" customHeight="1" outlineLevel="1" x14ac:dyDescent="0.4">
      <c r="B49" s="79"/>
      <c r="C49" s="71"/>
      <c r="D49" s="71"/>
      <c r="E49" s="7" t="s">
        <v>111</v>
      </c>
      <c r="F49" s="73">
        <f>F28</f>
        <v>7.907525158964603</v>
      </c>
      <c r="G49" s="76">
        <f t="shared" si="2"/>
        <v>0.65896042991371695</v>
      </c>
      <c r="H49" s="76">
        <f>((2*0.95)+(1*0.05))/D28</f>
        <v>0.16250000000000001</v>
      </c>
    </row>
    <row r="50" spans="2:8" ht="19.95" customHeight="1" outlineLevel="1" x14ac:dyDescent="0.4">
      <c r="B50" s="79"/>
      <c r="C50" s="71"/>
      <c r="D50" s="74"/>
      <c r="E50" s="78" t="s">
        <v>113</v>
      </c>
      <c r="F50" s="75">
        <f>F28*1.9</f>
        <v>15.024297802032745</v>
      </c>
      <c r="G50" s="77">
        <f t="shared" si="2"/>
        <v>1.2520248168360621</v>
      </c>
      <c r="H50" s="77">
        <f>((2*0.95)+(1*0.05))/D28</f>
        <v>0.16250000000000001</v>
      </c>
    </row>
    <row r="51" spans="2:8" ht="19.95" customHeight="1" outlineLevel="1" x14ac:dyDescent="0.4">
      <c r="B51" s="79"/>
      <c r="C51" s="71"/>
      <c r="D51" s="71" t="s">
        <v>106</v>
      </c>
      <c r="E51" s="7" t="s">
        <v>108</v>
      </c>
      <c r="F51" s="73">
        <f>F28</f>
        <v>7.907525158964603</v>
      </c>
      <c r="G51" s="76">
        <f t="shared" si="2"/>
        <v>0.65896042991371695</v>
      </c>
      <c r="H51" s="76">
        <f>((2*0.95)+(1*0.05))/D28</f>
        <v>0.16250000000000001</v>
      </c>
    </row>
    <row r="52" spans="2:8" ht="19.95" customHeight="1" outlineLevel="1" thickBot="1" x14ac:dyDescent="0.45">
      <c r="B52" s="80"/>
      <c r="C52" s="72"/>
      <c r="D52" s="72"/>
      <c r="E52" s="5" t="s">
        <v>110</v>
      </c>
      <c r="F52" s="68">
        <f>F28</f>
        <v>7.907525158964603</v>
      </c>
      <c r="G52" s="69">
        <f t="shared" si="2"/>
        <v>0.65896042991371695</v>
      </c>
      <c r="H52" s="69">
        <f>((2*0.95)+(1*0.05))/D28</f>
        <v>0.16250000000000001</v>
      </c>
    </row>
    <row r="53" spans="2:8" ht="19.95" customHeight="1" x14ac:dyDescent="0.4">
      <c r="B53" s="88" t="s">
        <v>9</v>
      </c>
      <c r="C53" s="81" t="s">
        <v>94</v>
      </c>
      <c r="D53" s="82">
        <v>10</v>
      </c>
      <c r="E53" s="81" t="s">
        <v>96</v>
      </c>
      <c r="F53" s="83">
        <f>SUM('집속스킬 계수'!I16:J16)</f>
        <v>6.9226455715215538</v>
      </c>
      <c r="G53" s="89">
        <f>F53/$D$53</f>
        <v>0.6922645571521554</v>
      </c>
      <c r="H53" s="89">
        <f>1/D53</f>
        <v>0.1</v>
      </c>
    </row>
    <row r="54" spans="2:8" ht="19.95" customHeight="1" outlineLevel="1" x14ac:dyDescent="0.4">
      <c r="B54" s="96" t="s">
        <v>162</v>
      </c>
      <c r="C54" s="70" t="s">
        <v>114</v>
      </c>
      <c r="D54" s="70" t="s">
        <v>118</v>
      </c>
      <c r="E54" s="1" t="s">
        <v>124</v>
      </c>
      <c r="F54" s="66">
        <f>F53*1.6</f>
        <v>11.076232914434486</v>
      </c>
      <c r="G54" s="67">
        <f t="shared" ref="G54:G77" si="3">F54/$D$53</f>
        <v>1.1076232914434487</v>
      </c>
      <c r="H54" s="67">
        <f>1/D53</f>
        <v>0.1</v>
      </c>
    </row>
    <row r="55" spans="2:8" ht="19.95" customHeight="1" outlineLevel="1" x14ac:dyDescent="0.4">
      <c r="B55" s="97" t="s">
        <v>161</v>
      </c>
      <c r="C55" s="91"/>
      <c r="D55" s="74"/>
      <c r="E55" s="78" t="s">
        <v>126</v>
      </c>
      <c r="F55" s="75">
        <f>F53*1.948</f>
        <v>13.485313573323987</v>
      </c>
      <c r="G55" s="77">
        <f t="shared" si="3"/>
        <v>1.3485313573323987</v>
      </c>
      <c r="H55" s="77">
        <f>1/D53</f>
        <v>0.1</v>
      </c>
    </row>
    <row r="56" spans="2:8" ht="19.95" customHeight="1" outlineLevel="1" x14ac:dyDescent="0.4">
      <c r="B56" s="97" t="s">
        <v>163</v>
      </c>
      <c r="C56" s="71"/>
      <c r="D56" s="71" t="s">
        <v>120</v>
      </c>
      <c r="E56" s="7" t="s">
        <v>124</v>
      </c>
      <c r="F56" s="73">
        <f>F53*1.6*1.7</f>
        <v>18.829595954538625</v>
      </c>
      <c r="G56" s="76">
        <f t="shared" si="3"/>
        <v>1.8829595954538625</v>
      </c>
      <c r="H56" s="76">
        <f>1/D53</f>
        <v>0.1</v>
      </c>
    </row>
    <row r="57" spans="2:8" ht="19.95" customHeight="1" outlineLevel="1" x14ac:dyDescent="0.4">
      <c r="B57" s="96" t="s">
        <v>202</v>
      </c>
      <c r="C57" s="71"/>
      <c r="D57" s="94" t="s">
        <v>130</v>
      </c>
      <c r="E57" s="78" t="s">
        <v>126</v>
      </c>
      <c r="F57" s="75">
        <f>F53*1.948*1.7</f>
        <v>22.925033074650777</v>
      </c>
      <c r="G57" s="77">
        <f t="shared" si="3"/>
        <v>2.2925033074650778</v>
      </c>
      <c r="H57" s="77">
        <f>1/D53</f>
        <v>0.1</v>
      </c>
    </row>
    <row r="58" spans="2:8" ht="19.95" customHeight="1" outlineLevel="1" x14ac:dyDescent="0.4">
      <c r="B58" s="79"/>
      <c r="C58" s="71"/>
      <c r="D58" s="71" t="s">
        <v>122</v>
      </c>
      <c r="E58" s="7" t="s">
        <v>124</v>
      </c>
      <c r="F58" s="73">
        <f>F53*1.6</f>
        <v>11.076232914434486</v>
      </c>
      <c r="G58" s="76">
        <f t="shared" si="3"/>
        <v>1.1076232914434487</v>
      </c>
      <c r="H58" s="76">
        <f>1/D53</f>
        <v>0.1</v>
      </c>
    </row>
    <row r="59" spans="2:8" ht="19.95" customHeight="1" outlineLevel="1" x14ac:dyDescent="0.4">
      <c r="B59" s="79"/>
      <c r="C59" s="71"/>
      <c r="D59" s="71"/>
      <c r="E59" s="7" t="s">
        <v>128</v>
      </c>
      <c r="F59" s="73">
        <f>F53*1.6*2.44</f>
        <v>27.026008311220146</v>
      </c>
      <c r="G59" s="76">
        <f t="shared" si="3"/>
        <v>2.7026008311220147</v>
      </c>
      <c r="H59" s="76">
        <f>1/D53</f>
        <v>0.1</v>
      </c>
    </row>
    <row r="60" spans="2:8" ht="19.95" customHeight="1" outlineLevel="1" x14ac:dyDescent="0.4">
      <c r="B60" s="79"/>
      <c r="C60" s="71"/>
      <c r="D60" s="71"/>
      <c r="E60" s="90" t="s">
        <v>126</v>
      </c>
      <c r="F60" s="65">
        <f>F53*1.948</f>
        <v>13.485313573323987</v>
      </c>
      <c r="G60" s="76">
        <f t="shared" si="3"/>
        <v>1.3485313573323987</v>
      </c>
      <c r="H60" s="76">
        <f>1/D53</f>
        <v>0.1</v>
      </c>
    </row>
    <row r="61" spans="2:8" ht="19.95" customHeight="1" outlineLevel="1" thickBot="1" x14ac:dyDescent="0.45">
      <c r="B61" s="79"/>
      <c r="C61" s="84"/>
      <c r="D61" s="84"/>
      <c r="E61" s="85" t="s">
        <v>127</v>
      </c>
      <c r="F61" s="86">
        <f>F53*1.948*2.44</f>
        <v>32.904165118910527</v>
      </c>
      <c r="G61" s="87">
        <f t="shared" si="3"/>
        <v>3.2904165118910527</v>
      </c>
      <c r="H61" s="87">
        <f>1/D53</f>
        <v>0.1</v>
      </c>
    </row>
    <row r="62" spans="2:8" ht="19.95" customHeight="1" outlineLevel="1" thickTop="1" x14ac:dyDescent="0.4">
      <c r="B62" s="79"/>
      <c r="C62" s="71" t="s">
        <v>115</v>
      </c>
      <c r="D62" s="71" t="s">
        <v>117</v>
      </c>
      <c r="E62" s="7" t="s">
        <v>123</v>
      </c>
      <c r="F62" s="73">
        <f>F53*1.6*1.4599</f>
        <v>16.170192431782908</v>
      </c>
      <c r="G62" s="76">
        <f t="shared" si="3"/>
        <v>1.6170192431782908</v>
      </c>
      <c r="H62" s="76">
        <f>1/D53</f>
        <v>0.1</v>
      </c>
    </row>
    <row r="63" spans="2:8" ht="19.95" customHeight="1" outlineLevel="1" x14ac:dyDescent="0.4">
      <c r="B63" s="79"/>
      <c r="C63" s="91" t="s">
        <v>131</v>
      </c>
      <c r="D63" s="74"/>
      <c r="E63" s="78" t="s">
        <v>125</v>
      </c>
      <c r="F63" s="75">
        <f>F53*1.948*1.4599</f>
        <v>19.687209285695687</v>
      </c>
      <c r="G63" s="77">
        <f t="shared" si="3"/>
        <v>1.9687209285695686</v>
      </c>
      <c r="H63" s="77">
        <f>1/D53</f>
        <v>0.1</v>
      </c>
    </row>
    <row r="64" spans="2:8" ht="19.95" customHeight="1" outlineLevel="1" x14ac:dyDescent="0.4">
      <c r="B64" s="79"/>
      <c r="C64" s="71"/>
      <c r="D64" s="71" t="s">
        <v>119</v>
      </c>
      <c r="E64" s="7" t="s">
        <v>123</v>
      </c>
      <c r="F64" s="73">
        <f>F53*1.6*1.4599*1.7</f>
        <v>27.489327134030944</v>
      </c>
      <c r="G64" s="76">
        <f t="shared" si="3"/>
        <v>2.7489327134030943</v>
      </c>
      <c r="H64" s="76">
        <f>1/D53</f>
        <v>0.1</v>
      </c>
    </row>
    <row r="65" spans="2:14" ht="19.95" customHeight="1" outlineLevel="1" x14ac:dyDescent="0.4">
      <c r="B65" s="79"/>
      <c r="C65" s="71"/>
      <c r="D65" s="94" t="s">
        <v>130</v>
      </c>
      <c r="E65" s="78" t="s">
        <v>125</v>
      </c>
      <c r="F65" s="75">
        <f>F53*1.948*1.4599*1.7</f>
        <v>33.468255785682665</v>
      </c>
      <c r="G65" s="77">
        <f t="shared" si="3"/>
        <v>3.3468255785682666</v>
      </c>
      <c r="H65" s="77">
        <f>1/D53</f>
        <v>0.1</v>
      </c>
    </row>
    <row r="66" spans="2:14" ht="19.95" customHeight="1" outlineLevel="1" x14ac:dyDescent="0.4">
      <c r="B66" s="79"/>
      <c r="C66" s="71"/>
      <c r="D66" s="71" t="s">
        <v>121</v>
      </c>
      <c r="E66" s="7" t="s">
        <v>123</v>
      </c>
      <c r="F66" s="73">
        <f>F53*1.6*1.4599</f>
        <v>16.170192431782908</v>
      </c>
      <c r="G66" s="76">
        <f t="shared" si="3"/>
        <v>1.6170192431782908</v>
      </c>
      <c r="H66" s="76">
        <f>1/D53</f>
        <v>0.1</v>
      </c>
    </row>
    <row r="67" spans="2:14" ht="19.95" customHeight="1" outlineLevel="1" x14ac:dyDescent="0.4">
      <c r="B67" s="79"/>
      <c r="C67" s="71"/>
      <c r="D67" s="71"/>
      <c r="E67" s="7" t="s">
        <v>128</v>
      </c>
      <c r="F67" s="73">
        <f>F53*1.6*1.4599*2.44</f>
        <v>39.455269533550293</v>
      </c>
      <c r="G67" s="76">
        <f t="shared" si="3"/>
        <v>3.9455269533550292</v>
      </c>
      <c r="H67" s="76">
        <f>1/D53</f>
        <v>0.1</v>
      </c>
    </row>
    <row r="68" spans="2:14" ht="19.95" customHeight="1" outlineLevel="1" x14ac:dyDescent="0.4">
      <c r="B68" s="79"/>
      <c r="C68" s="71"/>
      <c r="D68" s="71"/>
      <c r="E68" s="90" t="s">
        <v>125</v>
      </c>
      <c r="F68" s="65">
        <f>F53*1.948*1.4599</f>
        <v>19.687209285695687</v>
      </c>
      <c r="G68" s="76">
        <f t="shared" si="3"/>
        <v>1.9687209285695686</v>
      </c>
      <c r="H68" s="76">
        <f>1/D53</f>
        <v>0.1</v>
      </c>
    </row>
    <row r="69" spans="2:14" ht="19.95" customHeight="1" outlineLevel="1" thickBot="1" x14ac:dyDescent="0.45">
      <c r="B69" s="79"/>
      <c r="C69" s="84"/>
      <c r="D69" s="84"/>
      <c r="E69" s="85" t="s">
        <v>127</v>
      </c>
      <c r="F69" s="86">
        <f>F53*1.948*1.4599*2.44</f>
        <v>48.036790657097477</v>
      </c>
      <c r="G69" s="87">
        <f t="shared" si="3"/>
        <v>4.8036790657097477</v>
      </c>
      <c r="H69" s="87">
        <f>1/D53</f>
        <v>0.1</v>
      </c>
    </row>
    <row r="70" spans="2:14" ht="19.95" customHeight="1" outlineLevel="1" thickTop="1" x14ac:dyDescent="0.4">
      <c r="B70" s="79"/>
      <c r="C70" s="71" t="s">
        <v>116</v>
      </c>
      <c r="D70" s="71" t="s">
        <v>117</v>
      </c>
      <c r="E70" s="7" t="s">
        <v>123</v>
      </c>
      <c r="F70" s="73">
        <f>F53*1.6</f>
        <v>11.076232914434486</v>
      </c>
      <c r="G70" s="76">
        <f t="shared" si="3"/>
        <v>1.1076232914434487</v>
      </c>
      <c r="H70" s="76">
        <f>1/D53</f>
        <v>0.1</v>
      </c>
    </row>
    <row r="71" spans="2:14" ht="19.95" customHeight="1" outlineLevel="1" x14ac:dyDescent="0.4">
      <c r="B71" s="79"/>
      <c r="C71" s="71"/>
      <c r="D71" s="74"/>
      <c r="E71" s="78" t="s">
        <v>125</v>
      </c>
      <c r="F71" s="75">
        <f>F53*1.948</f>
        <v>13.485313573323987</v>
      </c>
      <c r="G71" s="77">
        <f t="shared" si="3"/>
        <v>1.3485313573323987</v>
      </c>
      <c r="H71" s="77">
        <f>1/D53</f>
        <v>0.1</v>
      </c>
    </row>
    <row r="72" spans="2:14" ht="19.95" customHeight="1" outlineLevel="1" x14ac:dyDescent="0.4">
      <c r="B72" s="79"/>
      <c r="C72" s="71"/>
      <c r="D72" s="71" t="s">
        <v>119</v>
      </c>
      <c r="E72" s="7" t="s">
        <v>123</v>
      </c>
      <c r="F72" s="73">
        <f>F53*1.6*1.7</f>
        <v>18.829595954538625</v>
      </c>
      <c r="G72" s="76">
        <f t="shared" si="3"/>
        <v>1.8829595954538625</v>
      </c>
      <c r="H72" s="76">
        <f>1/D53</f>
        <v>0.1</v>
      </c>
    </row>
    <row r="73" spans="2:14" ht="19.95" customHeight="1" outlineLevel="1" x14ac:dyDescent="0.4">
      <c r="B73" s="79"/>
      <c r="C73" s="71"/>
      <c r="D73" s="95" t="s">
        <v>129</v>
      </c>
      <c r="E73" s="78" t="s">
        <v>125</v>
      </c>
      <c r="F73" s="75">
        <f>F53*1.948*1.7</f>
        <v>22.925033074650777</v>
      </c>
      <c r="G73" s="77">
        <f t="shared" si="3"/>
        <v>2.2925033074650778</v>
      </c>
      <c r="H73" s="77">
        <f>1/D53</f>
        <v>0.1</v>
      </c>
    </row>
    <row r="74" spans="2:14" ht="19.95" customHeight="1" outlineLevel="1" x14ac:dyDescent="0.4">
      <c r="B74" s="79"/>
      <c r="C74" s="71"/>
      <c r="D74" s="71" t="s">
        <v>121</v>
      </c>
      <c r="E74" s="7" t="s">
        <v>123</v>
      </c>
      <c r="F74" s="73">
        <f>F53*1.6</f>
        <v>11.076232914434486</v>
      </c>
      <c r="G74" s="76">
        <f t="shared" si="3"/>
        <v>1.1076232914434487</v>
      </c>
      <c r="H74" s="76">
        <f>1/D53</f>
        <v>0.1</v>
      </c>
    </row>
    <row r="75" spans="2:14" ht="19.95" customHeight="1" outlineLevel="1" x14ac:dyDescent="0.4">
      <c r="B75" s="79"/>
      <c r="C75" s="71"/>
      <c r="D75" s="71"/>
      <c r="E75" s="7" t="s">
        <v>128</v>
      </c>
      <c r="F75" s="73">
        <f>F53*1.6*2.44</f>
        <v>27.026008311220146</v>
      </c>
      <c r="G75" s="76">
        <f t="shared" si="3"/>
        <v>2.7026008311220147</v>
      </c>
      <c r="H75" s="76">
        <f>1/D53</f>
        <v>0.1</v>
      </c>
    </row>
    <row r="76" spans="2:14" ht="19.95" customHeight="1" outlineLevel="1" x14ac:dyDescent="0.4">
      <c r="B76" s="79"/>
      <c r="C76" s="71"/>
      <c r="D76" s="71"/>
      <c r="E76" s="90" t="s">
        <v>125</v>
      </c>
      <c r="F76" s="65">
        <f>F53*1.948</f>
        <v>13.485313573323987</v>
      </c>
      <c r="G76" s="76">
        <f t="shared" si="3"/>
        <v>1.3485313573323987</v>
      </c>
      <c r="H76" s="76">
        <f>1/D53</f>
        <v>0.1</v>
      </c>
    </row>
    <row r="77" spans="2:14" ht="19.95" customHeight="1" outlineLevel="1" thickBot="1" x14ac:dyDescent="0.45">
      <c r="B77" s="80"/>
      <c r="C77" s="72"/>
      <c r="D77" s="72"/>
      <c r="E77" s="5" t="s">
        <v>127</v>
      </c>
      <c r="F77" s="68">
        <f>F53*1.948*2.44</f>
        <v>32.904165118910527</v>
      </c>
      <c r="G77" s="69">
        <f t="shared" si="3"/>
        <v>3.2904165118910527</v>
      </c>
      <c r="H77" s="69">
        <f>1/D53</f>
        <v>0.1</v>
      </c>
    </row>
    <row r="78" spans="2:14" ht="19.95" customHeight="1" x14ac:dyDescent="0.4">
      <c r="B78" s="88" t="s">
        <v>11</v>
      </c>
      <c r="C78" s="81" t="s">
        <v>94</v>
      </c>
      <c r="D78" s="82">
        <v>10</v>
      </c>
      <c r="E78" s="81" t="s">
        <v>96</v>
      </c>
      <c r="F78" s="83">
        <f>SUM('집속스킬 계수'!P32:R32)</f>
        <v>8.8176197836166921</v>
      </c>
      <c r="G78" s="89">
        <f>F78/$D$78</f>
        <v>0.88176197836166925</v>
      </c>
      <c r="H78" s="89">
        <f>1/D78</f>
        <v>0.1</v>
      </c>
      <c r="K78" s="46"/>
      <c r="L78" s="46"/>
      <c r="M78" s="46"/>
    </row>
    <row r="79" spans="2:14" ht="19.95" customHeight="1" outlineLevel="1" x14ac:dyDescent="0.4">
      <c r="B79" s="96" t="s">
        <v>162</v>
      </c>
      <c r="C79" s="70" t="s">
        <v>134</v>
      </c>
      <c r="D79" s="70" t="s">
        <v>86</v>
      </c>
      <c r="E79" s="1" t="s">
        <v>139</v>
      </c>
      <c r="F79" s="66">
        <f>F78*1.6*1.525</f>
        <v>21.514992272024728</v>
      </c>
      <c r="G79" s="67">
        <f t="shared" ref="G79:G90" si="4">F79/$D$78</f>
        <v>2.1514992272024727</v>
      </c>
      <c r="H79" s="67">
        <f>((2*0.75)+(1*0.25))/D78</f>
        <v>0.17499999999999999</v>
      </c>
    </row>
    <row r="80" spans="2:14" ht="19.95" customHeight="1" outlineLevel="1" x14ac:dyDescent="0.4">
      <c r="B80" s="97" t="s">
        <v>163</v>
      </c>
      <c r="C80" s="91" t="s">
        <v>159</v>
      </c>
      <c r="D80" s="74"/>
      <c r="E80" s="78" t="s">
        <v>141</v>
      </c>
      <c r="F80" s="75">
        <f>F78*1.6*1.61</f>
        <v>22.7141885625966</v>
      </c>
      <c r="G80" s="77">
        <f t="shared" si="4"/>
        <v>2.2714188562596602</v>
      </c>
      <c r="H80" s="77">
        <f>((2*0.75)+(1*0.25))/D78</f>
        <v>0.17499999999999999</v>
      </c>
      <c r="N80" s="46"/>
    </row>
    <row r="81" spans="2:17" ht="19.95" customHeight="1" outlineLevel="1" x14ac:dyDescent="0.4">
      <c r="B81" s="79"/>
      <c r="C81" s="71"/>
      <c r="D81" s="71" t="s">
        <v>137</v>
      </c>
      <c r="E81" s="7" t="s">
        <v>138</v>
      </c>
      <c r="F81" s="73">
        <f>F78*1.6*2.93</f>
        <v>41.337001545595058</v>
      </c>
      <c r="G81" s="76">
        <f t="shared" si="4"/>
        <v>4.1337001545595058</v>
      </c>
      <c r="H81" s="76">
        <f>1/D78</f>
        <v>0.1</v>
      </c>
      <c r="N81" s="56"/>
    </row>
    <row r="82" spans="2:17" ht="19.95" customHeight="1" outlineLevel="1" x14ac:dyDescent="0.4">
      <c r="B82" s="79"/>
      <c r="C82" s="71"/>
      <c r="D82" s="94"/>
      <c r="E82" s="78" t="s">
        <v>140</v>
      </c>
      <c r="F82" s="75">
        <f>F78*1.6*2.57</f>
        <v>36.258052550231838</v>
      </c>
      <c r="G82" s="77">
        <f t="shared" si="4"/>
        <v>3.6258052550231836</v>
      </c>
      <c r="H82" s="77">
        <f>1/D78</f>
        <v>0.1</v>
      </c>
    </row>
    <row r="83" spans="2:17" ht="19.95" customHeight="1" outlineLevel="1" x14ac:dyDescent="0.4">
      <c r="B83" s="79"/>
      <c r="C83" s="71"/>
      <c r="D83" s="71" t="s">
        <v>91</v>
      </c>
      <c r="E83" s="7" t="s">
        <v>138</v>
      </c>
      <c r="F83" s="73">
        <v>21.514992272024728</v>
      </c>
      <c r="G83" s="76">
        <f t="shared" si="4"/>
        <v>2.1514992272024727</v>
      </c>
      <c r="H83" s="76">
        <f>1/D78</f>
        <v>0.1</v>
      </c>
      <c r="K83" s="46"/>
      <c r="L83" s="46"/>
      <c r="M83" s="46"/>
      <c r="N83" s="46"/>
      <c r="O83" s="46"/>
      <c r="P83" s="46"/>
    </row>
    <row r="84" spans="2:17" ht="19.95" customHeight="1" outlineLevel="1" thickBot="1" x14ac:dyDescent="0.45">
      <c r="B84" s="79"/>
      <c r="C84" s="84"/>
      <c r="D84" s="84"/>
      <c r="E84" s="85" t="s">
        <v>140</v>
      </c>
      <c r="F84" s="86">
        <v>22.7141885625966</v>
      </c>
      <c r="G84" s="87">
        <f t="shared" si="4"/>
        <v>2.2714188562596602</v>
      </c>
      <c r="H84" s="87">
        <f>1/D78</f>
        <v>0.1</v>
      </c>
      <c r="Q84" s="46"/>
    </row>
    <row r="85" spans="2:17" ht="19.95" customHeight="1" outlineLevel="1" thickTop="1" x14ac:dyDescent="0.4">
      <c r="B85" s="79"/>
      <c r="C85" s="71" t="s">
        <v>115</v>
      </c>
      <c r="D85" s="71" t="s">
        <v>85</v>
      </c>
      <c r="E85" s="7" t="s">
        <v>138</v>
      </c>
      <c r="F85" s="73">
        <f>F78*1.4599*1.525</f>
        <v>19.631085761205561</v>
      </c>
      <c r="G85" s="76">
        <f t="shared" si="4"/>
        <v>1.9631085761205562</v>
      </c>
      <c r="H85" s="76">
        <f>((2*0.75)+(1*0.25))/D78</f>
        <v>0.17499999999999999</v>
      </c>
    </row>
    <row r="86" spans="2:17" ht="19.95" customHeight="1" outlineLevel="1" x14ac:dyDescent="0.4">
      <c r="B86" s="79"/>
      <c r="C86" s="91" t="s">
        <v>131</v>
      </c>
      <c r="D86" s="74"/>
      <c r="E86" s="78" t="s">
        <v>140</v>
      </c>
      <c r="F86" s="75">
        <f>F78*1.4599*1.61</f>
        <v>20.725277426584235</v>
      </c>
      <c r="G86" s="77">
        <f t="shared" si="4"/>
        <v>2.0725277426584237</v>
      </c>
      <c r="H86" s="77">
        <f>((2*0.75)+(1*0.25))/D78</f>
        <v>0.17499999999999999</v>
      </c>
    </row>
    <row r="87" spans="2:17" ht="19.95" customHeight="1" outlineLevel="1" x14ac:dyDescent="0.4">
      <c r="B87" s="79"/>
      <c r="C87" s="71"/>
      <c r="D87" s="71" t="s">
        <v>136</v>
      </c>
      <c r="E87" s="7" t="s">
        <v>138</v>
      </c>
      <c r="F87" s="73">
        <f>F78*1.4599*2.93</f>
        <v>37.717430347758885</v>
      </c>
      <c r="G87" s="76">
        <f t="shared" si="4"/>
        <v>3.7717430347758887</v>
      </c>
      <c r="H87" s="76">
        <f>1/D78</f>
        <v>0.1</v>
      </c>
    </row>
    <row r="88" spans="2:17" ht="19.95" customHeight="1" outlineLevel="1" x14ac:dyDescent="0.4">
      <c r="B88" s="79"/>
      <c r="C88" s="71"/>
      <c r="D88" s="94"/>
      <c r="E88" s="78" t="s">
        <v>140</v>
      </c>
      <c r="F88" s="75">
        <f>F78*1.4599*2.57</f>
        <v>33.083206823802158</v>
      </c>
      <c r="G88" s="77">
        <f t="shared" si="4"/>
        <v>3.3083206823802156</v>
      </c>
      <c r="H88" s="77">
        <f>1/D78</f>
        <v>0.1</v>
      </c>
    </row>
    <row r="89" spans="2:17" ht="19.95" customHeight="1" outlineLevel="1" x14ac:dyDescent="0.4">
      <c r="B89" s="79"/>
      <c r="C89" s="71"/>
      <c r="D89" s="71" t="s">
        <v>90</v>
      </c>
      <c r="E89" s="7" t="s">
        <v>138</v>
      </c>
      <c r="F89" s="73">
        <f>F78*1.4599*1.525</f>
        <v>19.631085761205561</v>
      </c>
      <c r="G89" s="76">
        <f t="shared" si="4"/>
        <v>1.9631085761205562</v>
      </c>
      <c r="H89" s="76">
        <f>1/D78</f>
        <v>0.1</v>
      </c>
    </row>
    <row r="90" spans="2:17" ht="19.95" customHeight="1" outlineLevel="1" thickBot="1" x14ac:dyDescent="0.45">
      <c r="B90" s="79"/>
      <c r="C90" s="84"/>
      <c r="D90" s="84"/>
      <c r="E90" s="85" t="s">
        <v>140</v>
      </c>
      <c r="F90" s="86">
        <f>F78*1.4599*1.61</f>
        <v>20.725277426584235</v>
      </c>
      <c r="G90" s="87">
        <f t="shared" si="4"/>
        <v>2.0725277426584237</v>
      </c>
      <c r="H90" s="87">
        <f>1/D78</f>
        <v>0.1</v>
      </c>
    </row>
    <row r="91" spans="2:17" ht="19.95" customHeight="1" outlineLevel="1" thickTop="1" x14ac:dyDescent="0.4">
      <c r="B91" s="79"/>
      <c r="C91" s="71" t="s">
        <v>135</v>
      </c>
      <c r="D91" s="71" t="s">
        <v>85</v>
      </c>
      <c r="E91" s="7" t="s">
        <v>138</v>
      </c>
      <c r="F91" s="73">
        <f>F78*1.525</f>
        <v>13.446870170015455</v>
      </c>
      <c r="G91" s="76">
        <f>F91/($D$78-4)</f>
        <v>2.2411450283359091</v>
      </c>
      <c r="H91" s="76">
        <f>((2*0.75)+(1*0.25))/(D78-4)</f>
        <v>0.29166666666666669</v>
      </c>
    </row>
    <row r="92" spans="2:17" ht="19.95" customHeight="1" outlineLevel="1" x14ac:dyDescent="0.4">
      <c r="B92" s="79"/>
      <c r="C92" s="71"/>
      <c r="D92" s="74"/>
      <c r="E92" s="78" t="s">
        <v>140</v>
      </c>
      <c r="F92" s="75">
        <f>F78*1.61</f>
        <v>14.196367851622876</v>
      </c>
      <c r="G92" s="77">
        <f t="shared" ref="G92:G96" si="5">F92/($D$78-4)</f>
        <v>2.3660613086038125</v>
      </c>
      <c r="H92" s="77">
        <f>((2*0.75)+(1*0.25))/(D78-4)</f>
        <v>0.29166666666666669</v>
      </c>
    </row>
    <row r="93" spans="2:17" ht="19.95" customHeight="1" outlineLevel="1" x14ac:dyDescent="0.4">
      <c r="B93" s="79"/>
      <c r="C93" s="71"/>
      <c r="D93" s="71" t="s">
        <v>136</v>
      </c>
      <c r="E93" s="7" t="s">
        <v>138</v>
      </c>
      <c r="F93" s="73">
        <f>F78*2.93</f>
        <v>25.835625965996908</v>
      </c>
      <c r="G93" s="76">
        <f t="shared" si="5"/>
        <v>4.3059376609994846</v>
      </c>
      <c r="H93" s="76">
        <f>1/(D78-4)</f>
        <v>0.16666666666666666</v>
      </c>
    </row>
    <row r="94" spans="2:17" ht="19.95" customHeight="1" outlineLevel="1" x14ac:dyDescent="0.4">
      <c r="B94" s="79"/>
      <c r="C94" s="71"/>
      <c r="D94" s="95"/>
      <c r="E94" s="78" t="s">
        <v>140</v>
      </c>
      <c r="F94" s="75">
        <f>F78*2.57</f>
        <v>22.661282843894899</v>
      </c>
      <c r="G94" s="77">
        <f t="shared" si="5"/>
        <v>3.7768804739824833</v>
      </c>
      <c r="H94" s="77">
        <f>1/(D78-4)</f>
        <v>0.16666666666666666</v>
      </c>
    </row>
    <row r="95" spans="2:17" ht="19.95" customHeight="1" outlineLevel="1" x14ac:dyDescent="0.4">
      <c r="B95" s="79"/>
      <c r="C95" s="71"/>
      <c r="D95" s="71" t="s">
        <v>90</v>
      </c>
      <c r="E95" s="7" t="s">
        <v>138</v>
      </c>
      <c r="F95" s="73">
        <f>F78*1.525</f>
        <v>13.446870170015455</v>
      </c>
      <c r="G95" s="76">
        <f t="shared" si="5"/>
        <v>2.2411450283359091</v>
      </c>
      <c r="H95" s="76">
        <f>1/(D78-4)</f>
        <v>0.16666666666666666</v>
      </c>
    </row>
    <row r="96" spans="2:17" ht="19.95" customHeight="1" outlineLevel="1" thickBot="1" x14ac:dyDescent="0.45">
      <c r="B96" s="80"/>
      <c r="C96" s="72"/>
      <c r="D96" s="72"/>
      <c r="E96" s="5" t="s">
        <v>140</v>
      </c>
      <c r="F96" s="68">
        <f>F78*1.61</f>
        <v>14.196367851622876</v>
      </c>
      <c r="G96" s="69">
        <f t="shared" si="5"/>
        <v>2.3660613086038125</v>
      </c>
      <c r="H96" s="69">
        <f>1/(D78-4)</f>
        <v>0.16666666666666666</v>
      </c>
    </row>
    <row r="97" spans="2:8" ht="19.95" customHeight="1" x14ac:dyDescent="0.4">
      <c r="B97" s="88" t="s">
        <v>16</v>
      </c>
      <c r="C97" s="81" t="s">
        <v>94</v>
      </c>
      <c r="D97" s="82">
        <v>16</v>
      </c>
      <c r="E97" s="81" t="s">
        <v>96</v>
      </c>
      <c r="F97" s="83">
        <f>SUM('집속스킬 계수'!D32)</f>
        <v>7.817701130724803</v>
      </c>
      <c r="G97" s="89">
        <f>F97/D97</f>
        <v>0.48860632067030019</v>
      </c>
      <c r="H97" s="89">
        <f>1/D97</f>
        <v>6.25E-2</v>
      </c>
    </row>
    <row r="98" spans="2:8" ht="19.95" customHeight="1" outlineLevel="1" x14ac:dyDescent="0.4">
      <c r="B98" s="96" t="s">
        <v>162</v>
      </c>
      <c r="C98" s="70" t="s">
        <v>142</v>
      </c>
      <c r="D98" s="70" t="s">
        <v>145</v>
      </c>
      <c r="E98" s="1" t="s">
        <v>148</v>
      </c>
      <c r="F98" s="66">
        <f>(F97*1.5*1.3)+(F97*0.651)</f>
        <v>20.333840641015215</v>
      </c>
      <c r="G98" s="67">
        <f>F98/D97</f>
        <v>1.2708650400634509</v>
      </c>
      <c r="H98" s="67">
        <f>1/D97</f>
        <v>6.25E-2</v>
      </c>
    </row>
    <row r="99" spans="2:8" ht="19.95" customHeight="1" outlineLevel="1" x14ac:dyDescent="0.4">
      <c r="B99" s="97" t="s">
        <v>161</v>
      </c>
      <c r="C99" s="91" t="s">
        <v>99</v>
      </c>
      <c r="D99" s="74"/>
      <c r="E99" s="78" t="s">
        <v>84</v>
      </c>
      <c r="F99" s="75">
        <f>F97*1.5*2.44</f>
        <v>28.61278613845278</v>
      </c>
      <c r="G99" s="77">
        <f>F99/D97</f>
        <v>1.7882991336532987</v>
      </c>
      <c r="H99" s="77">
        <f>1/D97</f>
        <v>6.25E-2</v>
      </c>
    </row>
    <row r="100" spans="2:8" ht="19.95" customHeight="1" outlineLevel="1" x14ac:dyDescent="0.4">
      <c r="B100" s="96" t="s">
        <v>203</v>
      </c>
      <c r="C100" s="71"/>
      <c r="D100" s="71" t="s">
        <v>147</v>
      </c>
      <c r="E100" s="7" t="s">
        <v>148</v>
      </c>
      <c r="F100" s="73">
        <f>(F97*1.3)+(F97*0.651)</f>
        <v>15.252334906044091</v>
      </c>
      <c r="G100" s="76">
        <f>F100/D97</f>
        <v>0.95327093162775567</v>
      </c>
      <c r="H100" s="76">
        <f>1/D97</f>
        <v>6.25E-2</v>
      </c>
    </row>
    <row r="101" spans="2:8" ht="19.95" customHeight="1" outlineLevel="1" x14ac:dyDescent="0.4">
      <c r="B101" s="79"/>
      <c r="C101" s="71"/>
      <c r="D101" s="94"/>
      <c r="E101" s="78" t="s">
        <v>84</v>
      </c>
      <c r="F101" s="75">
        <f>F97*2.44</f>
        <v>19.075190758968517</v>
      </c>
      <c r="G101" s="77">
        <f>F101/D97</f>
        <v>1.1921994224355323</v>
      </c>
      <c r="H101" s="77">
        <f>1/D97</f>
        <v>6.25E-2</v>
      </c>
    </row>
    <row r="102" spans="2:8" ht="19.95" customHeight="1" outlineLevel="1" x14ac:dyDescent="0.4">
      <c r="B102" s="79"/>
      <c r="C102" s="71"/>
      <c r="D102" s="71" t="s">
        <v>86</v>
      </c>
      <c r="E102" s="7" t="s">
        <v>148</v>
      </c>
      <c r="F102" s="73">
        <f>(F97*1.3)+(F97*0.651)</f>
        <v>15.252334906044091</v>
      </c>
      <c r="G102" s="76">
        <f>F102/D97</f>
        <v>0.95327093162775567</v>
      </c>
      <c r="H102" s="76">
        <f>((2*0.7)+(1*0.3))/D97</f>
        <v>0.10625</v>
      </c>
    </row>
    <row r="103" spans="2:8" ht="19.95" customHeight="1" outlineLevel="1" thickBot="1" x14ac:dyDescent="0.45">
      <c r="B103" s="79"/>
      <c r="C103" s="84"/>
      <c r="D103" s="84"/>
      <c r="E103" s="85" t="s">
        <v>84</v>
      </c>
      <c r="F103" s="86">
        <f>F97*2.44</f>
        <v>19.075190758968517</v>
      </c>
      <c r="G103" s="87">
        <f>F103/D97</f>
        <v>1.1921994224355323</v>
      </c>
      <c r="H103" s="87">
        <f>((2*0.7)+(1*0.3))/D97</f>
        <v>0.10625</v>
      </c>
    </row>
    <row r="104" spans="2:8" ht="19.95" customHeight="1" outlineLevel="1" thickTop="1" x14ac:dyDescent="0.4">
      <c r="B104" s="79"/>
      <c r="C104" s="71" t="s">
        <v>143</v>
      </c>
      <c r="D104" s="71" t="s">
        <v>144</v>
      </c>
      <c r="E104" s="7" t="s">
        <v>148</v>
      </c>
      <c r="F104" s="73">
        <f>((F97*1.5*1.3)+(F97*0.651))*1.35</f>
        <v>27.45068486537054</v>
      </c>
      <c r="G104" s="76">
        <f>F104/D97</f>
        <v>1.7156678040856588</v>
      </c>
      <c r="H104" s="76">
        <f>1/D97</f>
        <v>6.25E-2</v>
      </c>
    </row>
    <row r="105" spans="2:8" ht="19.95" customHeight="1" outlineLevel="1" x14ac:dyDescent="0.4">
      <c r="B105" s="79"/>
      <c r="C105" s="91"/>
      <c r="D105" s="74"/>
      <c r="E105" s="78" t="s">
        <v>84</v>
      </c>
      <c r="F105" s="75">
        <f>(F97*1.5*2.44)*1.35</f>
        <v>38.627261286911256</v>
      </c>
      <c r="G105" s="77">
        <f>F105/D97</f>
        <v>2.4142038304319535</v>
      </c>
      <c r="H105" s="77">
        <f>1/D97</f>
        <v>6.25E-2</v>
      </c>
    </row>
    <row r="106" spans="2:8" ht="19.95" customHeight="1" outlineLevel="1" x14ac:dyDescent="0.4">
      <c r="B106" s="79"/>
      <c r="C106" s="71"/>
      <c r="D106" s="71" t="s">
        <v>146</v>
      </c>
      <c r="E106" s="7" t="s">
        <v>148</v>
      </c>
      <c r="F106" s="73">
        <f>((F97*1.3)+(F97*0.651))*1.35</f>
        <v>20.590652123159522</v>
      </c>
      <c r="G106" s="76">
        <f>F106/D97</f>
        <v>1.2869157576974701</v>
      </c>
      <c r="H106" s="76">
        <f>1/D97</f>
        <v>6.25E-2</v>
      </c>
    </row>
    <row r="107" spans="2:8" ht="19.95" customHeight="1" outlineLevel="1" x14ac:dyDescent="0.4">
      <c r="B107" s="79"/>
      <c r="C107" s="71"/>
      <c r="D107" s="94"/>
      <c r="E107" s="78" t="s">
        <v>84</v>
      </c>
      <c r="F107" s="75">
        <f>F97*2.44*1.35</f>
        <v>25.751507524607501</v>
      </c>
      <c r="G107" s="77">
        <f>F107/D97</f>
        <v>1.6094692202879688</v>
      </c>
      <c r="H107" s="77">
        <f>1/D97</f>
        <v>6.25E-2</v>
      </c>
    </row>
    <row r="108" spans="2:8" ht="19.95" customHeight="1" outlineLevel="1" x14ac:dyDescent="0.4">
      <c r="B108" s="79"/>
      <c r="C108" s="71"/>
      <c r="D108" s="71" t="s">
        <v>85</v>
      </c>
      <c r="E108" s="7" t="s">
        <v>148</v>
      </c>
      <c r="F108" s="73">
        <f>((F97*1.3)+(F97*0.651))*1.35</f>
        <v>20.590652123159522</v>
      </c>
      <c r="G108" s="76">
        <f>F108/D97</f>
        <v>1.2869157576974701</v>
      </c>
      <c r="H108" s="76">
        <f>((2*0.7)+(1*0.3))/D97</f>
        <v>0.10625</v>
      </c>
    </row>
    <row r="109" spans="2:8" ht="19.95" customHeight="1" outlineLevel="1" thickBot="1" x14ac:dyDescent="0.45">
      <c r="B109" s="79"/>
      <c r="C109" s="84"/>
      <c r="D109" s="84"/>
      <c r="E109" s="85" t="s">
        <v>84</v>
      </c>
      <c r="F109" s="86">
        <f>F97*2.44*1.35</f>
        <v>25.751507524607501</v>
      </c>
      <c r="G109" s="87">
        <f>F109/D97</f>
        <v>1.6094692202879688</v>
      </c>
      <c r="H109" s="87">
        <f>((2*0.7)+(1*0.3))/D97</f>
        <v>0.10625</v>
      </c>
    </row>
    <row r="110" spans="2:8" ht="19.95" customHeight="1" outlineLevel="1" thickTop="1" x14ac:dyDescent="0.4">
      <c r="B110" s="79"/>
      <c r="C110" s="71" t="s">
        <v>116</v>
      </c>
      <c r="D110" s="71" t="s">
        <v>144</v>
      </c>
      <c r="E110" s="7" t="s">
        <v>148</v>
      </c>
      <c r="F110" s="73">
        <f>(F97*1.5*1.3)+(F97*0.651)</f>
        <v>20.333840641015215</v>
      </c>
      <c r="G110" s="76">
        <f>F110/D97</f>
        <v>1.2708650400634509</v>
      </c>
      <c r="H110" s="76">
        <f>1/D97</f>
        <v>6.25E-2</v>
      </c>
    </row>
    <row r="111" spans="2:8" ht="19.95" customHeight="1" outlineLevel="1" x14ac:dyDescent="0.4">
      <c r="B111" s="79"/>
      <c r="C111" s="71"/>
      <c r="D111" s="74"/>
      <c r="E111" s="78" t="s">
        <v>84</v>
      </c>
      <c r="F111" s="75">
        <f>F97*1.5*2.44</f>
        <v>28.61278613845278</v>
      </c>
      <c r="G111" s="77">
        <f>F111/D97</f>
        <v>1.7882991336532987</v>
      </c>
      <c r="H111" s="77">
        <f>1/D97</f>
        <v>6.25E-2</v>
      </c>
    </row>
    <row r="112" spans="2:8" ht="19.95" customHeight="1" outlineLevel="1" x14ac:dyDescent="0.4">
      <c r="B112" s="79"/>
      <c r="C112" s="71"/>
      <c r="D112" s="71" t="s">
        <v>146</v>
      </c>
      <c r="E112" s="7" t="s">
        <v>148</v>
      </c>
      <c r="F112" s="73">
        <f>(F97*1.3)+(F97*0.651)</f>
        <v>15.252334906044091</v>
      </c>
      <c r="G112" s="76">
        <f>F112/D97</f>
        <v>0.95327093162775567</v>
      </c>
      <c r="H112" s="76">
        <f>1/D97</f>
        <v>6.25E-2</v>
      </c>
    </row>
    <row r="113" spans="2:8" ht="19.95" customHeight="1" outlineLevel="1" x14ac:dyDescent="0.4">
      <c r="B113" s="79"/>
      <c r="C113" s="71"/>
      <c r="D113" s="95"/>
      <c r="E113" s="78" t="s">
        <v>84</v>
      </c>
      <c r="F113" s="75">
        <f>F97*2.44</f>
        <v>19.075190758968517</v>
      </c>
      <c r="G113" s="77">
        <f>F113/D97</f>
        <v>1.1921994224355323</v>
      </c>
      <c r="H113" s="77">
        <f>1/D97</f>
        <v>6.25E-2</v>
      </c>
    </row>
    <row r="114" spans="2:8" ht="19.95" customHeight="1" outlineLevel="1" x14ac:dyDescent="0.4">
      <c r="B114" s="79"/>
      <c r="C114" s="71"/>
      <c r="D114" s="71" t="s">
        <v>85</v>
      </c>
      <c r="E114" s="7" t="s">
        <v>148</v>
      </c>
      <c r="F114" s="73">
        <f>(F97*1.3)+(F97*0.651)</f>
        <v>15.252334906044091</v>
      </c>
      <c r="G114" s="76">
        <f>F114/D97</f>
        <v>0.95327093162775567</v>
      </c>
      <c r="H114" s="76">
        <f>((2*0.7)+(1*0.3))/D97</f>
        <v>0.10625</v>
      </c>
    </row>
    <row r="115" spans="2:8" ht="19.95" customHeight="1" outlineLevel="1" thickBot="1" x14ac:dyDescent="0.45">
      <c r="B115" s="80"/>
      <c r="C115" s="72"/>
      <c r="D115" s="72"/>
      <c r="E115" s="5" t="s">
        <v>84</v>
      </c>
      <c r="F115" s="68">
        <f>F97*2.44</f>
        <v>19.075190758968517</v>
      </c>
      <c r="G115" s="69">
        <f>F115/D97</f>
        <v>1.1921994224355323</v>
      </c>
      <c r="H115" s="69">
        <f>((2*0.7)+(1*0.3))/D97</f>
        <v>0.10625</v>
      </c>
    </row>
    <row r="116" spans="2:8" ht="19.95" customHeight="1" x14ac:dyDescent="0.4">
      <c r="B116" s="88" t="s">
        <v>17</v>
      </c>
      <c r="C116" s="81" t="s">
        <v>94</v>
      </c>
      <c r="D116" s="82">
        <v>12</v>
      </c>
      <c r="E116" s="81" t="s">
        <v>96</v>
      </c>
      <c r="F116" s="83">
        <f>SUM('집속스킬 계수'!I32:J32)</f>
        <v>7.7657203286423169</v>
      </c>
      <c r="G116" s="89">
        <f>F116/D116</f>
        <v>0.64714336072019307</v>
      </c>
      <c r="H116" s="89">
        <f>1/D116</f>
        <v>8.3333333333333329E-2</v>
      </c>
    </row>
    <row r="117" spans="2:8" ht="19.95" customHeight="1" outlineLevel="1" x14ac:dyDescent="0.4">
      <c r="B117" s="96" t="s">
        <v>162</v>
      </c>
      <c r="C117" s="70" t="s">
        <v>118</v>
      </c>
      <c r="D117" s="70" t="s">
        <v>153</v>
      </c>
      <c r="E117" s="1" t="s">
        <v>156</v>
      </c>
      <c r="F117" s="66">
        <f>('집속스킬 계수'!I32)+('집속스킬 계수'!J32*1.88)</f>
        <v>12.89242007646628</v>
      </c>
      <c r="G117" s="67">
        <f>F117/D116</f>
        <v>1.0743683397055233</v>
      </c>
      <c r="H117" s="67">
        <f>1/D116</f>
        <v>8.3333333333333329E-2</v>
      </c>
    </row>
    <row r="118" spans="2:8" ht="19.95" customHeight="1" outlineLevel="1" x14ac:dyDescent="0.4">
      <c r="B118" s="97" t="s">
        <v>161</v>
      </c>
      <c r="C118" s="91"/>
      <c r="D118" s="74"/>
      <c r="E118" s="78" t="s">
        <v>157</v>
      </c>
      <c r="F118" s="75">
        <f>F116</f>
        <v>7.7657203286423169</v>
      </c>
      <c r="G118" s="77">
        <f>F118/D116</f>
        <v>0.64714336072019307</v>
      </c>
      <c r="H118" s="77">
        <f>1/D116</f>
        <v>8.3333333333333329E-2</v>
      </c>
    </row>
    <row r="119" spans="2:8" ht="19.95" customHeight="1" outlineLevel="1" x14ac:dyDescent="0.4">
      <c r="B119" s="79"/>
      <c r="C119" s="71"/>
      <c r="D119" s="71" t="s">
        <v>155</v>
      </c>
      <c r="E119" s="7" t="s">
        <v>156</v>
      </c>
      <c r="F119" s="73">
        <f>('집속스킬 계수'!I32)+('집속스킬 계수'!J32*1.88)</f>
        <v>12.89242007646628</v>
      </c>
      <c r="G119" s="76">
        <f>F119/D116</f>
        <v>1.0743683397055233</v>
      </c>
      <c r="H119" s="76">
        <f>1/D116</f>
        <v>8.3333333333333329E-2</v>
      </c>
    </row>
    <row r="120" spans="2:8" ht="19.95" customHeight="1" outlineLevel="1" x14ac:dyDescent="0.4">
      <c r="B120" s="79"/>
      <c r="C120" s="71"/>
      <c r="D120" s="94"/>
      <c r="E120" s="78" t="s">
        <v>157</v>
      </c>
      <c r="F120" s="75">
        <f>F116</f>
        <v>7.7657203286423169</v>
      </c>
      <c r="G120" s="77">
        <f>F120/D116</f>
        <v>0.64714336072019307</v>
      </c>
      <c r="H120" s="77">
        <f>1/D116</f>
        <v>8.3333333333333329E-2</v>
      </c>
    </row>
    <row r="121" spans="2:8" ht="19.95" customHeight="1" outlineLevel="1" x14ac:dyDescent="0.4">
      <c r="B121" s="79"/>
      <c r="C121" s="71"/>
      <c r="D121" s="71" t="s">
        <v>91</v>
      </c>
      <c r="E121" s="7" t="s">
        <v>156</v>
      </c>
      <c r="F121" s="73">
        <f>('집속스킬 계수'!I32)+('집속스킬 계수'!J32*1.88)</f>
        <v>12.89242007646628</v>
      </c>
      <c r="G121" s="76">
        <f>F121/D116</f>
        <v>1.0743683397055233</v>
      </c>
      <c r="H121" s="76">
        <f>1/D116</f>
        <v>8.3333333333333329E-2</v>
      </c>
    </row>
    <row r="122" spans="2:8" ht="19.95" customHeight="1" outlineLevel="1" thickBot="1" x14ac:dyDescent="0.45">
      <c r="B122" s="79"/>
      <c r="C122" s="84"/>
      <c r="D122" s="84"/>
      <c r="E122" s="85" t="s">
        <v>157</v>
      </c>
      <c r="F122" s="86">
        <f>F116</f>
        <v>7.7657203286423169</v>
      </c>
      <c r="G122" s="87">
        <f>F122/D116</f>
        <v>0.64714336072019307</v>
      </c>
      <c r="H122" s="87">
        <f>1/D116</f>
        <v>8.3333333333333329E-2</v>
      </c>
    </row>
    <row r="123" spans="2:8" ht="19.95" customHeight="1" outlineLevel="1" thickTop="1" x14ac:dyDescent="0.4">
      <c r="B123" s="79"/>
      <c r="C123" s="71" t="s">
        <v>150</v>
      </c>
      <c r="D123" s="71" t="s">
        <v>152</v>
      </c>
      <c r="E123" s="7" t="s">
        <v>156</v>
      </c>
      <c r="F123" s="73">
        <f>('집속스킬 계수'!I32)+('집속스킬 계수'!J32*1.88*1.52)</f>
        <v>18.587717432685267</v>
      </c>
      <c r="G123" s="76">
        <f>F123/D116</f>
        <v>1.5489764527237722</v>
      </c>
      <c r="H123" s="76">
        <f>1/D116</f>
        <v>8.3333333333333329E-2</v>
      </c>
    </row>
    <row r="124" spans="2:8" ht="19.95" customHeight="1" outlineLevel="1" x14ac:dyDescent="0.4">
      <c r="B124" s="79"/>
      <c r="C124" s="91"/>
      <c r="D124" s="74"/>
      <c r="E124" s="78" t="s">
        <v>157</v>
      </c>
      <c r="F124" s="75">
        <f>('집속스킬 계수'!I32)+('집속스킬 계수'!J32*1.52)</f>
        <v>10.795133815992841</v>
      </c>
      <c r="G124" s="77">
        <f>F124/D116</f>
        <v>0.89959448466607006</v>
      </c>
      <c r="H124" s="77">
        <f>1/D116</f>
        <v>8.3333333333333329E-2</v>
      </c>
    </row>
    <row r="125" spans="2:8" ht="19.95" customHeight="1" outlineLevel="1" x14ac:dyDescent="0.4">
      <c r="B125" s="79"/>
      <c r="C125" s="71"/>
      <c r="D125" s="71" t="s">
        <v>154</v>
      </c>
      <c r="E125" s="7" t="s">
        <v>156</v>
      </c>
      <c r="F125" s="73">
        <f>('집속스킬 계수'!I32)+('집속스킬 계수'!J32*1.88*1.52)</f>
        <v>18.587717432685267</v>
      </c>
      <c r="G125" s="76">
        <f>F125/D116</f>
        <v>1.5489764527237722</v>
      </c>
      <c r="H125" s="76">
        <f>1/D116</f>
        <v>8.3333333333333329E-2</v>
      </c>
    </row>
    <row r="126" spans="2:8" ht="19.95" customHeight="1" outlineLevel="1" x14ac:dyDescent="0.4">
      <c r="B126" s="79"/>
      <c r="C126" s="71"/>
      <c r="D126" s="94"/>
      <c r="E126" s="78" t="s">
        <v>157</v>
      </c>
      <c r="F126" s="75">
        <f>('집속스킬 계수'!I32)+('집속스킬 계수'!J32*1.52)</f>
        <v>10.795133815992841</v>
      </c>
      <c r="G126" s="77">
        <f>F126/D116</f>
        <v>0.89959448466607006</v>
      </c>
      <c r="H126" s="77">
        <f>1/D116</f>
        <v>8.3333333333333329E-2</v>
      </c>
    </row>
    <row r="127" spans="2:8" ht="19.95" customHeight="1" outlineLevel="1" x14ac:dyDescent="0.4">
      <c r="B127" s="79"/>
      <c r="C127" s="71"/>
      <c r="D127" s="71" t="s">
        <v>90</v>
      </c>
      <c r="E127" s="7" t="s">
        <v>156</v>
      </c>
      <c r="F127" s="73">
        <f>('집속스킬 계수'!I32)+('집속스킬 계수'!J32*1.88*1.52)</f>
        <v>18.587717432685267</v>
      </c>
      <c r="G127" s="76">
        <f>F127/D116</f>
        <v>1.5489764527237722</v>
      </c>
      <c r="H127" s="76">
        <f>1/D116</f>
        <v>8.3333333333333329E-2</v>
      </c>
    </row>
    <row r="128" spans="2:8" ht="19.95" customHeight="1" outlineLevel="1" thickBot="1" x14ac:dyDescent="0.45">
      <c r="B128" s="79"/>
      <c r="C128" s="84"/>
      <c r="D128" s="84"/>
      <c r="E128" s="85" t="s">
        <v>157</v>
      </c>
      <c r="F128" s="86">
        <f>('집속스킬 계수'!I32)+('집속스킬 계수'!J32*1.52)</f>
        <v>10.795133815992841</v>
      </c>
      <c r="G128" s="87">
        <f>F128/D116</f>
        <v>0.89959448466607006</v>
      </c>
      <c r="H128" s="87">
        <f>1/D116</f>
        <v>8.3333333333333329E-2</v>
      </c>
    </row>
    <row r="129" spans="2:8" ht="19.95" customHeight="1" outlineLevel="1" thickTop="1" x14ac:dyDescent="0.4">
      <c r="B129" s="79"/>
      <c r="C129" s="71" t="s">
        <v>151</v>
      </c>
      <c r="D129" s="71" t="s">
        <v>152</v>
      </c>
      <c r="E129" s="7" t="s">
        <v>156</v>
      </c>
      <c r="F129" s="73">
        <f>(('집속스킬 계수'!I32)+('집속스킬 계수'!J32*1.88))*1.6</f>
        <v>20.627872122346048</v>
      </c>
      <c r="G129" s="76">
        <f>F129/D116</f>
        <v>1.7189893435288373</v>
      </c>
      <c r="H129" s="76">
        <f>1/D116</f>
        <v>8.3333333333333329E-2</v>
      </c>
    </row>
    <row r="130" spans="2:8" ht="19.95" customHeight="1" outlineLevel="1" x14ac:dyDescent="0.4">
      <c r="B130" s="79"/>
      <c r="C130" s="91" t="s">
        <v>158</v>
      </c>
      <c r="D130" s="74"/>
      <c r="E130" s="78" t="s">
        <v>157</v>
      </c>
      <c r="F130" s="75">
        <f>F116*1.6</f>
        <v>12.425152525827707</v>
      </c>
      <c r="G130" s="77">
        <f>F130/D116</f>
        <v>1.0354293771523089</v>
      </c>
      <c r="H130" s="77">
        <f>1/D116</f>
        <v>8.3333333333333329E-2</v>
      </c>
    </row>
    <row r="131" spans="2:8" ht="19.95" customHeight="1" outlineLevel="1" x14ac:dyDescent="0.4">
      <c r="B131" s="79"/>
      <c r="C131" s="71"/>
      <c r="D131" s="71" t="s">
        <v>154</v>
      </c>
      <c r="E131" s="7" t="s">
        <v>156</v>
      </c>
      <c r="F131" s="73">
        <f>(('집속스킬 계수'!I32)+('집속스킬 계수'!J32*1.88))*1.6</f>
        <v>20.627872122346048</v>
      </c>
      <c r="G131" s="76">
        <f>F131/D116</f>
        <v>1.7189893435288373</v>
      </c>
      <c r="H131" s="76">
        <f>1/D116</f>
        <v>8.3333333333333329E-2</v>
      </c>
    </row>
    <row r="132" spans="2:8" ht="19.95" customHeight="1" outlineLevel="1" x14ac:dyDescent="0.4">
      <c r="B132" s="79"/>
      <c r="C132" s="71"/>
      <c r="D132" s="95"/>
      <c r="E132" s="78" t="s">
        <v>157</v>
      </c>
      <c r="F132" s="75">
        <f>F116*1.6</f>
        <v>12.425152525827707</v>
      </c>
      <c r="G132" s="77">
        <f>F132/D116</f>
        <v>1.0354293771523089</v>
      </c>
      <c r="H132" s="77">
        <f>1/D116</f>
        <v>8.3333333333333329E-2</v>
      </c>
    </row>
    <row r="133" spans="2:8" ht="19.95" customHeight="1" outlineLevel="1" x14ac:dyDescent="0.4">
      <c r="B133" s="79"/>
      <c r="C133" s="71"/>
      <c r="D133" s="71" t="s">
        <v>90</v>
      </c>
      <c r="E133" s="7" t="s">
        <v>156</v>
      </c>
      <c r="F133" s="73">
        <f>(('집속스킬 계수'!I32)+('집속스킬 계수'!J32*1.88))*1.6</f>
        <v>20.627872122346048</v>
      </c>
      <c r="G133" s="76">
        <f>F133/D116</f>
        <v>1.7189893435288373</v>
      </c>
      <c r="H133" s="76">
        <f>1/D116</f>
        <v>8.3333333333333329E-2</v>
      </c>
    </row>
    <row r="134" spans="2:8" ht="19.95" customHeight="1" outlineLevel="1" thickBot="1" x14ac:dyDescent="0.45">
      <c r="B134" s="80"/>
      <c r="C134" s="72"/>
      <c r="D134" s="72"/>
      <c r="E134" s="5" t="s">
        <v>157</v>
      </c>
      <c r="F134" s="68">
        <f>F116*1.6</f>
        <v>12.425152525827707</v>
      </c>
      <c r="G134" s="69">
        <f>F134/D116</f>
        <v>1.0354293771523089</v>
      </c>
      <c r="H134" s="69">
        <f>1/D116</f>
        <v>8.3333333333333329E-2</v>
      </c>
    </row>
    <row r="135" spans="2:8" ht="19.95" customHeight="1" x14ac:dyDescent="0.4">
      <c r="B135" s="88" t="s">
        <v>20</v>
      </c>
      <c r="C135" s="81" t="s">
        <v>94</v>
      </c>
      <c r="D135" s="82">
        <v>24</v>
      </c>
      <c r="E135" s="81" t="s">
        <v>96</v>
      </c>
      <c r="F135" s="83">
        <f>SUM('집속스킬 계수'!I48:J48)</f>
        <v>17.904335800862277</v>
      </c>
      <c r="G135" s="89">
        <f>F135/D135</f>
        <v>0.74601399170259486</v>
      </c>
      <c r="H135" s="89">
        <f>1/D135</f>
        <v>4.1666666666666664E-2</v>
      </c>
    </row>
    <row r="136" spans="2:8" ht="19.95" customHeight="1" outlineLevel="1" x14ac:dyDescent="0.4">
      <c r="B136" s="96" t="s">
        <v>162</v>
      </c>
      <c r="C136" s="70" t="s">
        <v>151</v>
      </c>
      <c r="D136" s="70" t="s">
        <v>91</v>
      </c>
      <c r="E136" s="1" t="s">
        <v>169</v>
      </c>
      <c r="F136" s="66">
        <f>(('집속스킬 계수'!I48)+('집속스킬 계수'!J48*1.91))*1.45</f>
        <v>43.210478300658906</v>
      </c>
      <c r="G136" s="67">
        <f>F136/D135</f>
        <v>1.8004365958607877</v>
      </c>
      <c r="H136" s="67">
        <f>1/D135</f>
        <v>4.1666666666666664E-2</v>
      </c>
    </row>
    <row r="137" spans="2:8" ht="19.95" customHeight="1" outlineLevel="1" x14ac:dyDescent="0.4">
      <c r="B137" s="97" t="s">
        <v>161</v>
      </c>
      <c r="C137" s="91" t="s">
        <v>164</v>
      </c>
      <c r="D137" s="74"/>
      <c r="E137" s="78" t="s">
        <v>170</v>
      </c>
      <c r="F137" s="75">
        <f>(('집속스킬 계수'!I48)+('집속스킬 계수'!J48))*1.45</f>
        <v>25.961286911250301</v>
      </c>
      <c r="G137" s="77">
        <f>F137/D135</f>
        <v>1.0817202879687626</v>
      </c>
      <c r="H137" s="77">
        <f>1/D135</f>
        <v>4.1666666666666664E-2</v>
      </c>
    </row>
    <row r="138" spans="2:8" ht="19.95" customHeight="1" outlineLevel="1" x14ac:dyDescent="0.4">
      <c r="B138" s="79"/>
      <c r="C138" s="71"/>
      <c r="D138" s="71" t="s">
        <v>166</v>
      </c>
      <c r="E138" s="7" t="s">
        <v>169</v>
      </c>
      <c r="F138" s="73">
        <f>(('집속스킬 계수'!I48)+('집속스킬 계수'!J48*1.91*1.1364))*1.45</f>
        <v>48.148751199048235</v>
      </c>
      <c r="G138" s="76">
        <f>F138/D135</f>
        <v>2.0061979666270098</v>
      </c>
      <c r="H138" s="76">
        <f>1/D135</f>
        <v>4.1666666666666664E-2</v>
      </c>
    </row>
    <row r="139" spans="2:8" ht="19.95" customHeight="1" outlineLevel="1" x14ac:dyDescent="0.4">
      <c r="B139" s="79"/>
      <c r="C139" s="71"/>
      <c r="D139" s="94" t="s">
        <v>171</v>
      </c>
      <c r="E139" s="78" t="s">
        <v>170</v>
      </c>
      <c r="F139" s="75">
        <f>(('집속스킬 계수'!I48)+('집속스킬 계수'!J48*1.1364))*1.45</f>
        <v>28.546770104124299</v>
      </c>
      <c r="G139" s="77">
        <f>F139/D135</f>
        <v>1.1894487543385124</v>
      </c>
      <c r="H139" s="77">
        <f>1/D135</f>
        <v>4.1666666666666664E-2</v>
      </c>
    </row>
    <row r="140" spans="2:8" ht="19.95" customHeight="1" outlineLevel="1" x14ac:dyDescent="0.4">
      <c r="B140" s="79"/>
      <c r="C140" s="71"/>
      <c r="D140" s="71" t="s">
        <v>168</v>
      </c>
      <c r="E140" s="7" t="s">
        <v>169</v>
      </c>
      <c r="F140" s="73">
        <f>(('집속스킬 계수'!I48)+('집속스킬 계수'!J48*1.91))*1.45</f>
        <v>43.210478300658906</v>
      </c>
      <c r="G140" s="76">
        <f>F140/D135</f>
        <v>1.8004365958607877</v>
      </c>
      <c r="H140" s="76">
        <f>1/D135</f>
        <v>4.1666666666666664E-2</v>
      </c>
    </row>
    <row r="141" spans="2:8" ht="19.95" customHeight="1" outlineLevel="1" thickBot="1" x14ac:dyDescent="0.45">
      <c r="B141" s="79"/>
      <c r="C141" s="84"/>
      <c r="D141" s="84"/>
      <c r="E141" s="85" t="s">
        <v>170</v>
      </c>
      <c r="F141" s="86">
        <f>(('집속스킬 계수'!I48)+('집속스킬 계수'!J48))*1.45</f>
        <v>25.961286911250301</v>
      </c>
      <c r="G141" s="87">
        <f>F141/D135</f>
        <v>1.0817202879687626</v>
      </c>
      <c r="H141" s="87">
        <f>1/D135</f>
        <v>4.1666666666666664E-2</v>
      </c>
    </row>
    <row r="142" spans="2:8" ht="19.95" customHeight="1" outlineLevel="1" thickTop="1" x14ac:dyDescent="0.4">
      <c r="B142" s="79"/>
      <c r="C142" s="71" t="s">
        <v>118</v>
      </c>
      <c r="D142" s="71" t="s">
        <v>90</v>
      </c>
      <c r="E142" s="7" t="s">
        <v>169</v>
      </c>
      <c r="F142" s="73">
        <f>(('집속스킬 계수'!I48)+('집속스킬 계수'!J48*1.91))</f>
        <v>29.800329862523384</v>
      </c>
      <c r="G142" s="76">
        <f>F142/D135</f>
        <v>1.2416804109384743</v>
      </c>
      <c r="H142" s="76">
        <f>1/D135</f>
        <v>4.1666666666666664E-2</v>
      </c>
    </row>
    <row r="143" spans="2:8" ht="19.95" customHeight="1" outlineLevel="1" x14ac:dyDescent="0.4">
      <c r="B143" s="79"/>
      <c r="C143" s="91"/>
      <c r="D143" s="74"/>
      <c r="E143" s="78" t="s">
        <v>170</v>
      </c>
      <c r="F143" s="75">
        <f>(('집속스킬 계수'!I48)+('집속스킬 계수'!J48))</f>
        <v>17.904335800862277</v>
      </c>
      <c r="G143" s="77">
        <f>F143/D135</f>
        <v>0.74601399170259486</v>
      </c>
      <c r="H143" s="77">
        <f>1/D135</f>
        <v>4.1666666666666664E-2</v>
      </c>
    </row>
    <row r="144" spans="2:8" ht="19.95" customHeight="1" outlineLevel="1" x14ac:dyDescent="0.4">
      <c r="B144" s="79"/>
      <c r="C144" s="71"/>
      <c r="D144" s="71" t="s">
        <v>165</v>
      </c>
      <c r="E144" s="7" t="s">
        <v>169</v>
      </c>
      <c r="F144" s="73">
        <f>(('집속스킬 계수'!I48)+('집속스킬 계수'!J48*1.91*1.1364))</f>
        <v>33.206035309688438</v>
      </c>
      <c r="G144" s="76">
        <f>F144/D135</f>
        <v>1.3835848045703516</v>
      </c>
      <c r="H144" s="76">
        <f>1/D135</f>
        <v>4.1666666666666664E-2</v>
      </c>
    </row>
    <row r="145" spans="2:8" ht="19.95" customHeight="1" outlineLevel="1" x14ac:dyDescent="0.4">
      <c r="B145" s="79"/>
      <c r="C145" s="71"/>
      <c r="D145" s="94" t="s">
        <v>171</v>
      </c>
      <c r="E145" s="78" t="s">
        <v>170</v>
      </c>
      <c r="F145" s="75">
        <f>(('집속스킬 계수'!I48)+('집속스킬 계수'!J48*1.1364))</f>
        <v>19.687427658016759</v>
      </c>
      <c r="G145" s="77">
        <f>F145/D135</f>
        <v>0.82030948575069829</v>
      </c>
      <c r="H145" s="77">
        <f>1/D135</f>
        <v>4.1666666666666664E-2</v>
      </c>
    </row>
    <row r="146" spans="2:8" ht="19.95" customHeight="1" outlineLevel="1" x14ac:dyDescent="0.4">
      <c r="B146" s="79"/>
      <c r="C146" s="71"/>
      <c r="D146" s="71" t="s">
        <v>167</v>
      </c>
      <c r="E146" s="7" t="s">
        <v>169</v>
      </c>
      <c r="F146" s="73">
        <f>(('집속스킬 계수'!I48)+('집속스킬 계수'!J48*1.91))</f>
        <v>29.800329862523384</v>
      </c>
      <c r="G146" s="76">
        <f>F146/D135</f>
        <v>1.2416804109384743</v>
      </c>
      <c r="H146" s="76">
        <f>1/D135</f>
        <v>4.1666666666666664E-2</v>
      </c>
    </row>
    <row r="147" spans="2:8" ht="19.95" customHeight="1" outlineLevel="1" thickBot="1" x14ac:dyDescent="0.45">
      <c r="B147" s="79"/>
      <c r="C147" s="84"/>
      <c r="D147" s="84"/>
      <c r="E147" s="85" t="s">
        <v>170</v>
      </c>
      <c r="F147" s="86">
        <f>(('집속스킬 계수'!I48)+('집속스킬 계수'!J48))</f>
        <v>17.904335800862277</v>
      </c>
      <c r="G147" s="87">
        <f>F147/D135</f>
        <v>0.74601399170259486</v>
      </c>
      <c r="H147" s="87">
        <f>1/D135</f>
        <v>4.1666666666666664E-2</v>
      </c>
    </row>
    <row r="148" spans="2:8" ht="19.95" customHeight="1" outlineLevel="1" thickTop="1" x14ac:dyDescent="0.4">
      <c r="B148" s="79"/>
      <c r="C148" s="71" t="s">
        <v>86</v>
      </c>
      <c r="D148" s="71" t="s">
        <v>90</v>
      </c>
      <c r="E148" s="7" t="s">
        <v>169</v>
      </c>
      <c r="F148" s="73">
        <f>(('집속스킬 계수'!I48)+('집속스킬 계수'!J48*1.91))</f>
        <v>29.800329862523384</v>
      </c>
      <c r="G148" s="76">
        <f>F148/D135</f>
        <v>1.2416804109384743</v>
      </c>
      <c r="H148" s="76">
        <f>((2*0.45)+(1*0.55))/D135</f>
        <v>6.0416666666666674E-2</v>
      </c>
    </row>
    <row r="149" spans="2:8" ht="19.95" customHeight="1" outlineLevel="1" x14ac:dyDescent="0.4">
      <c r="B149" s="79"/>
      <c r="C149" s="91"/>
      <c r="D149" s="74"/>
      <c r="E149" s="78" t="s">
        <v>170</v>
      </c>
      <c r="F149" s="75">
        <f>(('집속스킬 계수'!I48)+('집속스킬 계수'!J48))</f>
        <v>17.904335800862277</v>
      </c>
      <c r="G149" s="77">
        <f>F149/D135</f>
        <v>0.74601399170259486</v>
      </c>
      <c r="H149" s="77">
        <f>((2*0.45)+(1*0.55))/D135</f>
        <v>6.0416666666666674E-2</v>
      </c>
    </row>
    <row r="150" spans="2:8" ht="19.95" customHeight="1" outlineLevel="1" x14ac:dyDescent="0.4">
      <c r="B150" s="79"/>
      <c r="C150" s="71"/>
      <c r="D150" s="71" t="s">
        <v>165</v>
      </c>
      <c r="E150" s="7" t="s">
        <v>169</v>
      </c>
      <c r="F150" s="73">
        <f>(('집속스킬 계수'!I48)+('집속스킬 계수'!J48*1.91*1.1364))</f>
        <v>33.206035309688438</v>
      </c>
      <c r="G150" s="76">
        <f>F150/D135</f>
        <v>1.3835848045703516</v>
      </c>
      <c r="H150" s="76">
        <f>((2*0.45)+(1*0.55))/D135</f>
        <v>6.0416666666666674E-2</v>
      </c>
    </row>
    <row r="151" spans="2:8" ht="19.95" customHeight="1" outlineLevel="1" x14ac:dyDescent="0.4">
      <c r="B151" s="79"/>
      <c r="C151" s="71"/>
      <c r="D151" s="94" t="s">
        <v>171</v>
      </c>
      <c r="E151" s="78" t="s">
        <v>170</v>
      </c>
      <c r="F151" s="75">
        <f>(('집속스킬 계수'!I48)+('집속스킬 계수'!J48*1.1364))</f>
        <v>19.687427658016759</v>
      </c>
      <c r="G151" s="77">
        <f>F151/D135</f>
        <v>0.82030948575069829</v>
      </c>
      <c r="H151" s="77">
        <f>((2*0.45)+(1*0.55))/D135</f>
        <v>6.0416666666666674E-2</v>
      </c>
    </row>
    <row r="152" spans="2:8" ht="19.95" customHeight="1" outlineLevel="1" x14ac:dyDescent="0.4">
      <c r="B152" s="79"/>
      <c r="C152" s="71"/>
      <c r="D152" s="71" t="s">
        <v>167</v>
      </c>
      <c r="E152" s="7" t="s">
        <v>169</v>
      </c>
      <c r="F152" s="73">
        <f>(('집속스킬 계수'!I48)+('집속스킬 계수'!J48*1.91))</f>
        <v>29.800329862523384</v>
      </c>
      <c r="G152" s="76">
        <f>F152/D135</f>
        <v>1.2416804109384743</v>
      </c>
      <c r="H152" s="76">
        <f>((2*0.45)+(1*0.55))/D135</f>
        <v>6.0416666666666674E-2</v>
      </c>
    </row>
    <row r="153" spans="2:8" ht="19.95" customHeight="1" outlineLevel="1" thickBot="1" x14ac:dyDescent="0.45">
      <c r="B153" s="80"/>
      <c r="C153" s="72"/>
      <c r="D153" s="72"/>
      <c r="E153" s="5" t="s">
        <v>170</v>
      </c>
      <c r="F153" s="68">
        <f>(('집속스킬 계수'!I48)+('집속스킬 계수'!J48))</f>
        <v>17.904335800862277</v>
      </c>
      <c r="G153" s="69">
        <f>F153/D135</f>
        <v>0.74601399170259486</v>
      </c>
      <c r="H153" s="69">
        <f>((2*0.45)+(1*0.55))/D135</f>
        <v>6.0416666666666674E-2</v>
      </c>
    </row>
    <row r="154" spans="2:8" ht="19.95" customHeight="1" x14ac:dyDescent="0.4">
      <c r="B154" s="88" t="s">
        <v>21</v>
      </c>
      <c r="C154" s="81" t="s">
        <v>94</v>
      </c>
      <c r="D154" s="82">
        <v>20</v>
      </c>
      <c r="E154" s="81" t="s">
        <v>96</v>
      </c>
      <c r="F154" s="83">
        <f>SUM('집속스킬 계수'!I64:J64)</f>
        <v>13.083462132921175</v>
      </c>
      <c r="G154" s="89">
        <f>F154/D154</f>
        <v>0.65417310664605877</v>
      </c>
      <c r="H154" s="89">
        <f>1/D154</f>
        <v>0.05</v>
      </c>
    </row>
    <row r="155" spans="2:8" ht="19.95" customHeight="1" outlineLevel="1" x14ac:dyDescent="0.4">
      <c r="B155" s="96" t="s">
        <v>162</v>
      </c>
      <c r="C155" s="70" t="s">
        <v>86</v>
      </c>
      <c r="D155" s="70" t="s">
        <v>155</v>
      </c>
      <c r="E155" s="1" t="s">
        <v>174</v>
      </c>
      <c r="F155" s="66">
        <f>'집속스킬 계수'!I64+'집속스킬 계수'!J64</f>
        <v>13.083462132921175</v>
      </c>
      <c r="G155" s="67">
        <f>F155/D154</f>
        <v>0.65417310664605877</v>
      </c>
      <c r="H155" s="67">
        <f>((2*0.7)+(1*0.3))/D154</f>
        <v>8.4999999999999992E-2</v>
      </c>
    </row>
    <row r="156" spans="2:8" ht="19.95" customHeight="1" outlineLevel="1" x14ac:dyDescent="0.4">
      <c r="B156" s="97" t="s">
        <v>161</v>
      </c>
      <c r="C156" s="91"/>
      <c r="D156" s="74"/>
      <c r="E156" s="78" t="s">
        <v>175</v>
      </c>
      <c r="F156" s="75">
        <f>'집속스킬 계수'!I64+('집속스킬 계수'!J64*3)</f>
        <v>19.627186203530464</v>
      </c>
      <c r="G156" s="77">
        <f>F156/D154</f>
        <v>0.98135931017652323</v>
      </c>
      <c r="H156" s="77">
        <f>((2*0.7)+(1*0.3))/D154</f>
        <v>8.4999999999999992E-2</v>
      </c>
    </row>
    <row r="157" spans="2:8" ht="19.95" customHeight="1" outlineLevel="1" x14ac:dyDescent="0.4">
      <c r="B157" s="96" t="s">
        <v>203</v>
      </c>
      <c r="C157" s="71"/>
      <c r="D157" s="71" t="s">
        <v>172</v>
      </c>
      <c r="E157" s="7" t="s">
        <v>174</v>
      </c>
      <c r="F157" s="73">
        <f>'집속스킬 계수'!I64+'집속스킬 계수'!J64</f>
        <v>13.083462132921175</v>
      </c>
      <c r="G157" s="76">
        <f>F157/D154</f>
        <v>0.65417310664605877</v>
      </c>
      <c r="H157" s="76">
        <f>((2*0.7)+(1*0.3))/D154</f>
        <v>8.4999999999999992E-2</v>
      </c>
    </row>
    <row r="158" spans="2:8" ht="19.95" customHeight="1" outlineLevel="1" x14ac:dyDescent="0.4">
      <c r="B158" s="79"/>
      <c r="C158" s="71"/>
      <c r="D158" s="94"/>
      <c r="E158" s="78" t="s">
        <v>175</v>
      </c>
      <c r="F158" s="75">
        <f>'집속스킬 계수'!I64+('집속스킬 계수'!J64*3)</f>
        <v>19.627186203530464</v>
      </c>
      <c r="G158" s="77">
        <f>F158/D154</f>
        <v>0.98135931017652323</v>
      </c>
      <c r="H158" s="77">
        <f>((2*0.7)+(1*0.3))/D154</f>
        <v>8.4999999999999992E-2</v>
      </c>
    </row>
    <row r="159" spans="2:8" ht="19.95" customHeight="1" outlineLevel="1" x14ac:dyDescent="0.4">
      <c r="B159" s="79"/>
      <c r="C159" s="71"/>
      <c r="D159" s="71" t="s">
        <v>173</v>
      </c>
      <c r="E159" s="7" t="s">
        <v>174</v>
      </c>
      <c r="F159" s="73">
        <f>'집속스킬 계수'!I64+'집속스킬 계수'!J64</f>
        <v>13.083462132921175</v>
      </c>
      <c r="G159" s="76">
        <f>F159/D154</f>
        <v>0.65417310664605877</v>
      </c>
      <c r="H159" s="76">
        <f>((2*0.7)+(1*0.3))/D154</f>
        <v>8.4999999999999992E-2</v>
      </c>
    </row>
    <row r="160" spans="2:8" ht="19.95" customHeight="1" outlineLevel="1" thickBot="1" x14ac:dyDescent="0.45">
      <c r="B160" s="79"/>
      <c r="C160" s="84"/>
      <c r="D160" s="84"/>
      <c r="E160" s="85" t="s">
        <v>175</v>
      </c>
      <c r="F160" s="86">
        <f>'집속스킬 계수'!I64+('집속스킬 계수'!J64*3)</f>
        <v>19.627186203530464</v>
      </c>
      <c r="G160" s="87">
        <f>F160/D154</f>
        <v>0.98135931017652323</v>
      </c>
      <c r="H160" s="87">
        <f>((2*0.7)+(1*0.3))/D154</f>
        <v>8.4999999999999992E-2</v>
      </c>
    </row>
    <row r="161" spans="2:14" ht="19.95" customHeight="1" outlineLevel="1" thickTop="1" x14ac:dyDescent="0.4">
      <c r="B161" s="79"/>
      <c r="C161" s="71" t="s">
        <v>133</v>
      </c>
      <c r="D161" s="70" t="s">
        <v>155</v>
      </c>
      <c r="E161" s="7" t="s">
        <v>174</v>
      </c>
      <c r="F161" s="73">
        <f>'집속스킬 계수'!I64+'집속스킬 계수'!J64</f>
        <v>13.083462132921175</v>
      </c>
      <c r="G161" s="76">
        <f>F161/D154</f>
        <v>0.65417310664605877</v>
      </c>
      <c r="H161" s="76">
        <f>1/D154</f>
        <v>0.05</v>
      </c>
    </row>
    <row r="162" spans="2:14" ht="19.95" customHeight="1" outlineLevel="1" x14ac:dyDescent="0.4">
      <c r="B162" s="79"/>
      <c r="C162" s="91"/>
      <c r="D162" s="74"/>
      <c r="E162" s="78" t="s">
        <v>175</v>
      </c>
      <c r="F162" s="75">
        <f>'집속스킬 계수'!I64+('집속스킬 계수'!J64*3)</f>
        <v>19.627186203530464</v>
      </c>
      <c r="G162" s="77">
        <f>F162/D154</f>
        <v>0.98135931017652323</v>
      </c>
      <c r="H162" s="77">
        <f>1/D154</f>
        <v>0.05</v>
      </c>
    </row>
    <row r="163" spans="2:14" ht="19.95" customHeight="1" outlineLevel="1" x14ac:dyDescent="0.4">
      <c r="B163" s="79"/>
      <c r="C163" s="71"/>
      <c r="D163" s="71" t="s">
        <v>172</v>
      </c>
      <c r="E163" s="7" t="s">
        <v>174</v>
      </c>
      <c r="F163" s="73">
        <f>'집속스킬 계수'!I64+'집속스킬 계수'!J64</f>
        <v>13.083462132921175</v>
      </c>
      <c r="G163" s="76">
        <f>F163/D154</f>
        <v>0.65417310664605877</v>
      </c>
      <c r="H163" s="76">
        <f>1/D154</f>
        <v>0.05</v>
      </c>
    </row>
    <row r="164" spans="2:14" ht="19.95" customHeight="1" outlineLevel="1" x14ac:dyDescent="0.4">
      <c r="B164" s="79"/>
      <c r="C164" s="71"/>
      <c r="D164" s="94"/>
      <c r="E164" s="78" t="s">
        <v>175</v>
      </c>
      <c r="F164" s="75">
        <f>'집속스킬 계수'!I64+('집속스킬 계수'!J64*3)</f>
        <v>19.627186203530464</v>
      </c>
      <c r="G164" s="77">
        <f>F164/D154</f>
        <v>0.98135931017652323</v>
      </c>
      <c r="H164" s="77">
        <f>1/D154</f>
        <v>0.05</v>
      </c>
    </row>
    <row r="165" spans="2:14" ht="19.95" customHeight="1" outlineLevel="1" x14ac:dyDescent="0.4">
      <c r="B165" s="79"/>
      <c r="C165" s="71"/>
      <c r="D165" s="71" t="s">
        <v>173</v>
      </c>
      <c r="E165" s="7" t="s">
        <v>174</v>
      </c>
      <c r="F165" s="73">
        <f>'집속스킬 계수'!I64+'집속스킬 계수'!J64</f>
        <v>13.083462132921175</v>
      </c>
      <c r="G165" s="76">
        <f>F165/D154</f>
        <v>0.65417310664605877</v>
      </c>
      <c r="H165" s="76">
        <f>1/D154</f>
        <v>0.05</v>
      </c>
    </row>
    <row r="166" spans="2:14" ht="19.95" customHeight="1" outlineLevel="1" thickBot="1" x14ac:dyDescent="0.45">
      <c r="B166" s="79"/>
      <c r="C166" s="84"/>
      <c r="D166" s="84"/>
      <c r="E166" s="85" t="s">
        <v>175</v>
      </c>
      <c r="F166" s="86">
        <f>'집속스킬 계수'!I64+('집속스킬 계수'!J64*3)</f>
        <v>19.627186203530464</v>
      </c>
      <c r="G166" s="87">
        <f>F166/D154</f>
        <v>0.98135931017652323</v>
      </c>
      <c r="H166" s="87">
        <f>1/D154</f>
        <v>0.05</v>
      </c>
    </row>
    <row r="167" spans="2:14" ht="19.95" customHeight="1" outlineLevel="1" thickTop="1" x14ac:dyDescent="0.4">
      <c r="B167" s="79"/>
      <c r="C167" s="71" t="s">
        <v>135</v>
      </c>
      <c r="D167" s="70" t="s">
        <v>155</v>
      </c>
      <c r="E167" s="7" t="s">
        <v>174</v>
      </c>
      <c r="F167" s="73">
        <f>'집속스킬 계수'!I64+'집속스킬 계수'!J64</f>
        <v>13.083462132921175</v>
      </c>
      <c r="G167" s="76">
        <f>F167/(D154-4)</f>
        <v>0.81771638330757346</v>
      </c>
      <c r="H167" s="76">
        <f>1/(D154-4)</f>
        <v>6.25E-2</v>
      </c>
    </row>
    <row r="168" spans="2:14" ht="19.95" customHeight="1" outlineLevel="1" x14ac:dyDescent="0.4">
      <c r="B168" s="79"/>
      <c r="C168" s="91"/>
      <c r="D168" s="74"/>
      <c r="E168" s="78" t="s">
        <v>175</v>
      </c>
      <c r="F168" s="75">
        <f>'집속스킬 계수'!I64+('집속스킬 계수'!J64*3)</f>
        <v>19.627186203530464</v>
      </c>
      <c r="G168" s="77">
        <f>F168/(D154-4)</f>
        <v>1.226699137720654</v>
      </c>
      <c r="H168" s="77">
        <f>1/(D154-4)</f>
        <v>6.25E-2</v>
      </c>
    </row>
    <row r="169" spans="2:14" ht="19.95" customHeight="1" outlineLevel="1" x14ac:dyDescent="0.4">
      <c r="B169" s="79"/>
      <c r="C169" s="71"/>
      <c r="D169" s="71" t="s">
        <v>172</v>
      </c>
      <c r="E169" s="7" t="s">
        <v>174</v>
      </c>
      <c r="F169" s="73">
        <f>'집속스킬 계수'!I64+'집속스킬 계수'!J64</f>
        <v>13.083462132921175</v>
      </c>
      <c r="G169" s="76">
        <f>F169/(D154-4)</f>
        <v>0.81771638330757346</v>
      </c>
      <c r="H169" s="76">
        <f>1/(D154-4)</f>
        <v>6.25E-2</v>
      </c>
    </row>
    <row r="170" spans="2:14" ht="19.95" customHeight="1" outlineLevel="1" x14ac:dyDescent="0.4">
      <c r="B170" s="79"/>
      <c r="C170" s="71"/>
      <c r="D170" s="94"/>
      <c r="E170" s="78" t="s">
        <v>175</v>
      </c>
      <c r="F170" s="75">
        <f>'집속스킬 계수'!I64+('집속스킬 계수'!J64*3)</f>
        <v>19.627186203530464</v>
      </c>
      <c r="G170" s="77">
        <f>F170/(D154-4)</f>
        <v>1.226699137720654</v>
      </c>
      <c r="H170" s="77">
        <f>1/(D154-4)</f>
        <v>6.25E-2</v>
      </c>
    </row>
    <row r="171" spans="2:14" ht="19.95" customHeight="1" outlineLevel="1" x14ac:dyDescent="0.4">
      <c r="B171" s="79"/>
      <c r="C171" s="71"/>
      <c r="D171" s="71" t="s">
        <v>173</v>
      </c>
      <c r="E171" s="7" t="s">
        <v>174</v>
      </c>
      <c r="F171" s="73">
        <f>'집속스킬 계수'!I64+'집속스킬 계수'!J64</f>
        <v>13.083462132921175</v>
      </c>
      <c r="G171" s="76">
        <f>F171/(D154-4)</f>
        <v>0.81771638330757346</v>
      </c>
      <c r="H171" s="76">
        <f>1/(D154-4)</f>
        <v>6.25E-2</v>
      </c>
      <c r="L171" s="56"/>
      <c r="N171" s="56"/>
    </row>
    <row r="172" spans="2:14" ht="19.95" customHeight="1" outlineLevel="1" thickBot="1" x14ac:dyDescent="0.45">
      <c r="B172" s="80"/>
      <c r="C172" s="72"/>
      <c r="D172" s="72"/>
      <c r="E172" s="5" t="s">
        <v>175</v>
      </c>
      <c r="F172" s="68">
        <f>'집속스킬 계수'!I64+('집속스킬 계수'!J64*3)</f>
        <v>19.627186203530464</v>
      </c>
      <c r="G172" s="69">
        <f>F172/(D154-4)</f>
        <v>1.226699137720654</v>
      </c>
      <c r="H172" s="69">
        <f>1/(D154-4)</f>
        <v>6.25E-2</v>
      </c>
    </row>
    <row r="173" spans="2:14" ht="19.95" customHeight="1" x14ac:dyDescent="0.4">
      <c r="B173" s="88" t="s">
        <v>22</v>
      </c>
      <c r="C173" s="81" t="s">
        <v>94</v>
      </c>
      <c r="D173" s="82">
        <v>14</v>
      </c>
      <c r="E173" s="81" t="s">
        <v>96</v>
      </c>
      <c r="F173" s="83">
        <f>'집속스킬 계수'!P48+'집속스킬 계수'!Q48+'집속스킬 계수'!R48</f>
        <v>8.0196453266086394</v>
      </c>
      <c r="G173" s="89">
        <f>F173/D173</f>
        <v>0.57283180904347419</v>
      </c>
      <c r="H173" s="89">
        <f>1/D173</f>
        <v>7.1428571428571425E-2</v>
      </c>
    </row>
    <row r="174" spans="2:14" ht="19.95" customHeight="1" outlineLevel="1" x14ac:dyDescent="0.4">
      <c r="B174" s="96" t="s">
        <v>161</v>
      </c>
      <c r="C174" s="70" t="s">
        <v>132</v>
      </c>
      <c r="D174" s="70" t="s">
        <v>177</v>
      </c>
      <c r="E174" s="1" t="s">
        <v>180</v>
      </c>
      <c r="F174" s="66">
        <f>('집속스킬 계수'!P48+'집속스킬 계수'!Q48+'집속스킬 계수'!R48)*1.7</f>
        <v>13.633397055234687</v>
      </c>
      <c r="G174" s="67">
        <f>F174/(D173-0.9)</f>
        <v>1.0407173324606631</v>
      </c>
      <c r="H174" s="67">
        <f>1/(D173-0.9)</f>
        <v>7.6335877862595422E-2</v>
      </c>
    </row>
    <row r="175" spans="2:14" ht="19.95" customHeight="1" outlineLevel="1" x14ac:dyDescent="0.4">
      <c r="B175" s="97"/>
      <c r="C175" s="91" t="s">
        <v>182</v>
      </c>
      <c r="D175" s="74"/>
      <c r="E175" s="78" t="s">
        <v>181</v>
      </c>
      <c r="F175" s="75">
        <f>'집속스킬 계수'!P48+'집속스킬 계수'!Q48+'집속스킬 계수'!R48</f>
        <v>8.0196453266086394</v>
      </c>
      <c r="G175" s="77">
        <f>F175/(D173-0.9)</f>
        <v>0.61218666615333128</v>
      </c>
      <c r="H175" s="77">
        <f>2/(D173-0.9)</f>
        <v>0.15267175572519084</v>
      </c>
    </row>
    <row r="176" spans="2:14" ht="19.95" customHeight="1" outlineLevel="1" x14ac:dyDescent="0.4">
      <c r="B176" s="79"/>
      <c r="C176" s="71"/>
      <c r="D176" s="71" t="s">
        <v>179</v>
      </c>
      <c r="E176" s="7" t="s">
        <v>180</v>
      </c>
      <c r="F176" s="73">
        <f>('집속스킬 계수'!P48+'집속스킬 계수'!Q48+'집속스킬 계수'!R48)*1.6*1.7</f>
        <v>21.813435288375501</v>
      </c>
      <c r="G176" s="76">
        <f>F176/(D173-0.9)</f>
        <v>1.6651477319370611</v>
      </c>
      <c r="H176" s="76">
        <f>1/(D173-0.9)</f>
        <v>7.6335877862595422E-2</v>
      </c>
    </row>
    <row r="177" spans="2:8" ht="19.95" customHeight="1" outlineLevel="1" x14ac:dyDescent="0.4">
      <c r="B177" s="79"/>
      <c r="C177" s="71"/>
      <c r="D177" s="94"/>
      <c r="E177" s="78" t="s">
        <v>181</v>
      </c>
      <c r="F177" s="75">
        <f>('집속스킬 계수'!P48+'집속스킬 계수'!Q48+'집속스킬 계수'!R48)*1.6</f>
        <v>12.831432522573824</v>
      </c>
      <c r="G177" s="77">
        <f>F177/(D173-0.9)</f>
        <v>0.97949866584533007</v>
      </c>
      <c r="H177" s="77">
        <f>2/(D173-0.9)</f>
        <v>0.15267175572519084</v>
      </c>
    </row>
    <row r="178" spans="2:8" ht="19.95" customHeight="1" outlineLevel="1" x14ac:dyDescent="0.4">
      <c r="B178" s="79"/>
      <c r="C178" s="71"/>
      <c r="D178" s="71" t="s">
        <v>86</v>
      </c>
      <c r="E178" s="7" t="s">
        <v>180</v>
      </c>
      <c r="F178" s="73">
        <f>('집속스킬 계수'!P48+'집속스킬 계수'!Q48+'집속스킬 계수'!R48)*1.7</f>
        <v>13.633397055234687</v>
      </c>
      <c r="G178" s="76">
        <f>F178/(D173-0.9)</f>
        <v>1.0407173324606631</v>
      </c>
      <c r="H178" s="76">
        <f>((2*0.5)+(1*0.5))/(D173-0.9)</f>
        <v>0.11450381679389313</v>
      </c>
    </row>
    <row r="179" spans="2:8" ht="19.95" customHeight="1" outlineLevel="1" thickBot="1" x14ac:dyDescent="0.45">
      <c r="B179" s="79"/>
      <c r="C179" s="84"/>
      <c r="D179" s="84"/>
      <c r="E179" s="85" t="s">
        <v>181</v>
      </c>
      <c r="F179" s="86">
        <f>'집속스킬 계수'!P48+'집속스킬 계수'!Q48+'집속스킬 계수'!R48</f>
        <v>8.0196453266086394</v>
      </c>
      <c r="G179" s="87">
        <f>F179/(D173-0.9)</f>
        <v>0.61218666615333128</v>
      </c>
      <c r="H179" s="87">
        <f>((2*2*0.5)+(2*1*0.5))/(D173-0.9)</f>
        <v>0.22900763358778625</v>
      </c>
    </row>
    <row r="180" spans="2:8" ht="19.95" customHeight="1" outlineLevel="1" thickTop="1" x14ac:dyDescent="0.4">
      <c r="B180" s="79"/>
      <c r="C180" s="71" t="s">
        <v>118</v>
      </c>
      <c r="D180" s="70" t="s">
        <v>176</v>
      </c>
      <c r="E180" s="7" t="s">
        <v>180</v>
      </c>
      <c r="F180" s="73">
        <f>('집속스킬 계수'!P48+'집속스킬 계수'!Q48+'집속스킬 계수'!R48)*1.7</f>
        <v>13.633397055234687</v>
      </c>
      <c r="G180" s="76">
        <f>F180/D173</f>
        <v>0.97381407537390619</v>
      </c>
      <c r="H180" s="76">
        <f>1/(D173)</f>
        <v>7.1428571428571425E-2</v>
      </c>
    </row>
    <row r="181" spans="2:8" ht="19.95" customHeight="1" outlineLevel="1" x14ac:dyDescent="0.4">
      <c r="B181" s="79"/>
      <c r="C181" s="91"/>
      <c r="D181" s="74"/>
      <c r="E181" s="78" t="s">
        <v>181</v>
      </c>
      <c r="F181" s="75">
        <f>'집속스킬 계수'!P48+'집속스킬 계수'!Q48+'집속스킬 계수'!R48</f>
        <v>8.0196453266086394</v>
      </c>
      <c r="G181" s="77">
        <f>F181/D173</f>
        <v>0.57283180904347419</v>
      </c>
      <c r="H181" s="77">
        <f>2/D173</f>
        <v>0.14285714285714285</v>
      </c>
    </row>
    <row r="182" spans="2:8" ht="19.95" customHeight="1" outlineLevel="1" x14ac:dyDescent="0.4">
      <c r="B182" s="79"/>
      <c r="C182" s="71"/>
      <c r="D182" s="71" t="s">
        <v>178</v>
      </c>
      <c r="E182" s="7" t="s">
        <v>180</v>
      </c>
      <c r="F182" s="73">
        <f>('집속스킬 계수'!P48+'집속스킬 계수'!Q48+'집속스킬 계수'!R48)*1.6*1.7</f>
        <v>21.813435288375501</v>
      </c>
      <c r="G182" s="76">
        <f>F182/D173</f>
        <v>1.5581025205982502</v>
      </c>
      <c r="H182" s="76">
        <f>1/(D173)</f>
        <v>7.1428571428571425E-2</v>
      </c>
    </row>
    <row r="183" spans="2:8" ht="19.95" customHeight="1" outlineLevel="1" x14ac:dyDescent="0.4">
      <c r="B183" s="79"/>
      <c r="C183" s="71"/>
      <c r="D183" s="94"/>
      <c r="E183" s="78" t="s">
        <v>181</v>
      </c>
      <c r="F183" s="75">
        <f>('집속스킬 계수'!P48+'집속스킬 계수'!Q48+'집속스킬 계수'!R48)*1.6</f>
        <v>12.831432522573824</v>
      </c>
      <c r="G183" s="77">
        <f>F183/D173</f>
        <v>0.91653089446955882</v>
      </c>
      <c r="H183" s="77">
        <f>2/D173</f>
        <v>0.14285714285714285</v>
      </c>
    </row>
    <row r="184" spans="2:8" ht="19.95" customHeight="1" outlineLevel="1" x14ac:dyDescent="0.4">
      <c r="B184" s="79"/>
      <c r="C184" s="71"/>
      <c r="D184" s="71" t="s">
        <v>85</v>
      </c>
      <c r="E184" s="7" t="s">
        <v>180</v>
      </c>
      <c r="F184" s="73">
        <f>('집속스킬 계수'!P48+'집속스킬 계수'!Q48+'집속스킬 계수'!R48)*1.7</f>
        <v>13.633397055234687</v>
      </c>
      <c r="G184" s="76">
        <f>F184/D173</f>
        <v>0.97381407537390619</v>
      </c>
      <c r="H184" s="76">
        <f>((2*0.5)+(1*0.5))/(D173)</f>
        <v>0.10714285714285714</v>
      </c>
    </row>
    <row r="185" spans="2:8" ht="19.95" customHeight="1" outlineLevel="1" thickBot="1" x14ac:dyDescent="0.45">
      <c r="B185" s="79"/>
      <c r="C185" s="84"/>
      <c r="D185" s="84"/>
      <c r="E185" s="85" t="s">
        <v>181</v>
      </c>
      <c r="F185" s="86">
        <f>'집속스킬 계수'!P48+'집속스킬 계수'!Q48+'집속스킬 계수'!R48</f>
        <v>8.0196453266086394</v>
      </c>
      <c r="G185" s="87">
        <f>F185/D173</f>
        <v>0.57283180904347419</v>
      </c>
      <c r="H185" s="87">
        <f>((2*2*0.5)+(2*1*0.5))/(D173)</f>
        <v>0.21428571428571427</v>
      </c>
    </row>
    <row r="186" spans="2:8" ht="19.95" customHeight="1" outlineLevel="1" thickTop="1" x14ac:dyDescent="0.4">
      <c r="B186" s="79"/>
      <c r="C186" s="71" t="s">
        <v>151</v>
      </c>
      <c r="D186" s="70" t="s">
        <v>176</v>
      </c>
      <c r="E186" s="7" t="s">
        <v>180</v>
      </c>
      <c r="F186" s="73">
        <f>('집속스킬 계수'!P48+'집속스킬 계수'!Q48+'집속스킬 계수'!R48)*1.4*1.7</f>
        <v>19.08675587732856</v>
      </c>
      <c r="G186" s="76">
        <f>F186/(D173)</f>
        <v>1.3633397055234686</v>
      </c>
      <c r="H186" s="76">
        <f>1/(D173)</f>
        <v>7.1428571428571425E-2</v>
      </c>
    </row>
    <row r="187" spans="2:8" ht="19.95" customHeight="1" outlineLevel="1" x14ac:dyDescent="0.4">
      <c r="B187" s="79"/>
      <c r="C187" s="91"/>
      <c r="D187" s="74"/>
      <c r="E187" s="78" t="s">
        <v>181</v>
      </c>
      <c r="F187" s="75">
        <f>('집속스킬 계수'!P48+'집속스킬 계수'!Q48+'집속스킬 계수'!R48)*1.4</f>
        <v>11.227503457252094</v>
      </c>
      <c r="G187" s="77">
        <f>F186/(D173)</f>
        <v>1.3633397055234686</v>
      </c>
      <c r="H187" s="77">
        <f>2/D173</f>
        <v>0.14285714285714285</v>
      </c>
    </row>
    <row r="188" spans="2:8" ht="19.95" customHeight="1" outlineLevel="1" x14ac:dyDescent="0.4">
      <c r="B188" s="79"/>
      <c r="C188" s="71"/>
      <c r="D188" s="71" t="s">
        <v>178</v>
      </c>
      <c r="E188" s="7" t="s">
        <v>180</v>
      </c>
      <c r="F188" s="73">
        <f>('집속스킬 계수'!P48+'집속스킬 계수'!Q48+'집속스킬 계수'!R48)*1.4*1.6*1.7</f>
        <v>30.538809403725697</v>
      </c>
      <c r="G188" s="76">
        <f>F186/(D173)</f>
        <v>1.3633397055234686</v>
      </c>
      <c r="H188" s="76">
        <f>1/(D173)</f>
        <v>7.1428571428571425E-2</v>
      </c>
    </row>
    <row r="189" spans="2:8" ht="19.95" customHeight="1" outlineLevel="1" x14ac:dyDescent="0.4">
      <c r="B189" s="79"/>
      <c r="C189" s="71"/>
      <c r="D189" s="94"/>
      <c r="E189" s="78" t="s">
        <v>181</v>
      </c>
      <c r="F189" s="75">
        <f>('집속스킬 계수'!P48+'집속스킬 계수'!Q48+'집속스킬 계수'!R48)*1.4*1.6</f>
        <v>17.964005531603352</v>
      </c>
      <c r="G189" s="77">
        <f>F186/(D173)</f>
        <v>1.3633397055234686</v>
      </c>
      <c r="H189" s="77">
        <f>2/D173</f>
        <v>0.14285714285714285</v>
      </c>
    </row>
    <row r="190" spans="2:8" ht="19.95" customHeight="1" outlineLevel="1" x14ac:dyDescent="0.4">
      <c r="B190" s="79"/>
      <c r="C190" s="71"/>
      <c r="D190" s="71" t="s">
        <v>85</v>
      </c>
      <c r="E190" s="7" t="s">
        <v>180</v>
      </c>
      <c r="F190" s="73">
        <f>('집속스킬 계수'!P48+'집속스킬 계수'!Q48+'집속스킬 계수'!R48)*1.4*1.7</f>
        <v>19.08675587732856</v>
      </c>
      <c r="G190" s="76">
        <f>F186/(D173)</f>
        <v>1.3633397055234686</v>
      </c>
      <c r="H190" s="76">
        <f>((2*0.5)+(1*0.5))/(D173)</f>
        <v>0.10714285714285714</v>
      </c>
    </row>
    <row r="191" spans="2:8" ht="19.95" customHeight="1" outlineLevel="1" thickBot="1" x14ac:dyDescent="0.45">
      <c r="B191" s="80"/>
      <c r="C191" s="72"/>
      <c r="D191" s="72"/>
      <c r="E191" s="5" t="s">
        <v>181</v>
      </c>
      <c r="F191" s="68">
        <f>'집속스킬 계수'!P48+'집속스킬 계수'!Q48+'집속스킬 계수'!R48</f>
        <v>8.0196453266086394</v>
      </c>
      <c r="G191" s="69">
        <f>F186/(D173)</f>
        <v>1.3633397055234686</v>
      </c>
      <c r="H191" s="69">
        <f>((2*2*0.5)+(2*1*0.5))/(D173)</f>
        <v>0.21428571428571427</v>
      </c>
    </row>
    <row r="192" spans="2:8" ht="19.95" customHeight="1" x14ac:dyDescent="0.4">
      <c r="B192" s="88" t="s">
        <v>23</v>
      </c>
      <c r="C192" s="81" t="s">
        <v>94</v>
      </c>
      <c r="D192" s="82">
        <v>40</v>
      </c>
      <c r="E192" s="81" t="s">
        <v>96</v>
      </c>
      <c r="F192" s="83">
        <f>'집속스킬 계수'!D48</f>
        <v>12.001504921500041</v>
      </c>
      <c r="G192" s="89">
        <f>F192/D192</f>
        <v>0.30003762303750103</v>
      </c>
      <c r="H192" s="89">
        <f>1/D192</f>
        <v>2.5000000000000001E-2</v>
      </c>
    </row>
    <row r="193" spans="2:8" ht="19.95" customHeight="1" outlineLevel="1" x14ac:dyDescent="0.4">
      <c r="B193" s="96" t="s">
        <v>162</v>
      </c>
      <c r="C193" s="70" t="s">
        <v>91</v>
      </c>
      <c r="D193" s="70" t="s">
        <v>155</v>
      </c>
      <c r="E193" s="1" t="s">
        <v>186</v>
      </c>
      <c r="F193" s="66">
        <f>'집속스킬 계수'!D48</f>
        <v>12.001504921500041</v>
      </c>
      <c r="G193" s="67">
        <f>F193/(D192)</f>
        <v>0.30003762303750103</v>
      </c>
      <c r="H193" s="67">
        <f>1/D192</f>
        <v>2.5000000000000001E-2</v>
      </c>
    </row>
    <row r="194" spans="2:8" ht="19.95" customHeight="1" outlineLevel="1" x14ac:dyDescent="0.4">
      <c r="B194" s="97" t="s">
        <v>188</v>
      </c>
      <c r="C194" s="91"/>
      <c r="D194" s="74"/>
      <c r="E194" s="78" t="s">
        <v>187</v>
      </c>
      <c r="F194" s="75">
        <f>'집속스킬 계수'!D48</f>
        <v>12.001504921500041</v>
      </c>
      <c r="G194" s="77">
        <f>F194/(D192)</f>
        <v>0.30003762303750103</v>
      </c>
      <c r="H194" s="77">
        <f>1/D192</f>
        <v>2.5000000000000001E-2</v>
      </c>
    </row>
    <row r="195" spans="2:8" ht="19.95" customHeight="1" outlineLevel="1" x14ac:dyDescent="0.4">
      <c r="B195" s="96" t="s">
        <v>161</v>
      </c>
      <c r="C195" s="71"/>
      <c r="D195" s="71" t="s">
        <v>185</v>
      </c>
      <c r="E195" s="7" t="s">
        <v>186</v>
      </c>
      <c r="F195" s="73">
        <f>'집속스킬 계수'!D48</f>
        <v>12.001504921500041</v>
      </c>
      <c r="G195" s="76">
        <f>F195/(D192)</f>
        <v>0.30003762303750103</v>
      </c>
      <c r="H195" s="76">
        <f>1/D192</f>
        <v>2.5000000000000001E-2</v>
      </c>
    </row>
    <row r="196" spans="2:8" ht="19.95" customHeight="1" outlineLevel="1" x14ac:dyDescent="0.4">
      <c r="B196" s="79"/>
      <c r="C196" s="71"/>
      <c r="D196" s="94"/>
      <c r="E196" s="78" t="s">
        <v>187</v>
      </c>
      <c r="F196" s="75">
        <f>'집속스킬 계수'!D48</f>
        <v>12.001504921500041</v>
      </c>
      <c r="G196" s="77">
        <f>F196/(D192)</f>
        <v>0.30003762303750103</v>
      </c>
      <c r="H196" s="77">
        <f>1/D192</f>
        <v>2.5000000000000001E-2</v>
      </c>
    </row>
    <row r="197" spans="2:8" ht="19.95" customHeight="1" outlineLevel="1" x14ac:dyDescent="0.4">
      <c r="B197" s="79"/>
      <c r="C197" s="71"/>
      <c r="D197" s="71" t="s">
        <v>166</v>
      </c>
      <c r="E197" s="7" t="s">
        <v>186</v>
      </c>
      <c r="F197" s="73">
        <f>'집속스킬 계수'!D48</f>
        <v>12.001504921500041</v>
      </c>
      <c r="G197" s="76">
        <f>F197/(D192)</f>
        <v>0.30003762303750103</v>
      </c>
      <c r="H197" s="76">
        <f>1/D192</f>
        <v>2.5000000000000001E-2</v>
      </c>
    </row>
    <row r="198" spans="2:8" ht="19.95" customHeight="1" outlineLevel="1" thickBot="1" x14ac:dyDescent="0.45">
      <c r="B198" s="79"/>
      <c r="C198" s="84"/>
      <c r="D198" s="84"/>
      <c r="E198" s="85" t="s">
        <v>187</v>
      </c>
      <c r="F198" s="86">
        <f>'집속스킬 계수'!D48</f>
        <v>12.001504921500041</v>
      </c>
      <c r="G198" s="87">
        <f>F198/(D192)</f>
        <v>0.30003762303750103</v>
      </c>
      <c r="H198" s="87">
        <f>1/D192</f>
        <v>2.5000000000000001E-2</v>
      </c>
    </row>
    <row r="199" spans="2:8" ht="19.95" customHeight="1" outlineLevel="1" thickTop="1" x14ac:dyDescent="0.4">
      <c r="B199" s="79"/>
      <c r="C199" s="71" t="s">
        <v>133</v>
      </c>
      <c r="D199" s="70" t="s">
        <v>154</v>
      </c>
      <c r="E199" s="7" t="s">
        <v>186</v>
      </c>
      <c r="F199" s="73">
        <f>'집속스킬 계수'!D48</f>
        <v>12.001504921500041</v>
      </c>
      <c r="G199" s="76">
        <f>F199/D192</f>
        <v>0.30003762303750103</v>
      </c>
      <c r="H199" s="76">
        <f>1/D192</f>
        <v>2.5000000000000001E-2</v>
      </c>
    </row>
    <row r="200" spans="2:8" ht="19.95" customHeight="1" outlineLevel="1" x14ac:dyDescent="0.4">
      <c r="B200" s="79"/>
      <c r="C200" s="91"/>
      <c r="D200" s="74"/>
      <c r="E200" s="78" t="s">
        <v>187</v>
      </c>
      <c r="F200" s="75">
        <f>'집속스킬 계수'!D48</f>
        <v>12.001504921500041</v>
      </c>
      <c r="G200" s="77">
        <f>F200/D192</f>
        <v>0.30003762303750103</v>
      </c>
      <c r="H200" s="77">
        <f>1/D192</f>
        <v>2.5000000000000001E-2</v>
      </c>
    </row>
    <row r="201" spans="2:8" ht="19.95" customHeight="1" outlineLevel="1" x14ac:dyDescent="0.4">
      <c r="B201" s="79"/>
      <c r="C201" s="71"/>
      <c r="D201" s="71" t="s">
        <v>184</v>
      </c>
      <c r="E201" s="7" t="s">
        <v>186</v>
      </c>
      <c r="F201" s="73">
        <f>'집속스킬 계수'!D48</f>
        <v>12.001504921500041</v>
      </c>
      <c r="G201" s="76">
        <f>F201/D192</f>
        <v>0.30003762303750103</v>
      </c>
      <c r="H201" s="76">
        <f>1/D192</f>
        <v>2.5000000000000001E-2</v>
      </c>
    </row>
    <row r="202" spans="2:8" ht="19.95" customHeight="1" outlineLevel="1" x14ac:dyDescent="0.4">
      <c r="B202" s="79"/>
      <c r="C202" s="71"/>
      <c r="D202" s="94"/>
      <c r="E202" s="78" t="s">
        <v>187</v>
      </c>
      <c r="F202" s="75">
        <f>'집속스킬 계수'!D48</f>
        <v>12.001504921500041</v>
      </c>
      <c r="G202" s="77">
        <f>F202/D192</f>
        <v>0.30003762303750103</v>
      </c>
      <c r="H202" s="77">
        <f>1/D192</f>
        <v>2.5000000000000001E-2</v>
      </c>
    </row>
    <row r="203" spans="2:8" ht="19.95" customHeight="1" outlineLevel="1" x14ac:dyDescent="0.4">
      <c r="B203" s="79"/>
      <c r="C203" s="71"/>
      <c r="D203" s="71" t="s">
        <v>165</v>
      </c>
      <c r="E203" s="7" t="s">
        <v>186</v>
      </c>
      <c r="F203" s="73">
        <f>'집속스킬 계수'!D48</f>
        <v>12.001504921500041</v>
      </c>
      <c r="G203" s="76">
        <f>F203/D192</f>
        <v>0.30003762303750103</v>
      </c>
      <c r="H203" s="76">
        <f>1/D192</f>
        <v>2.5000000000000001E-2</v>
      </c>
    </row>
    <row r="204" spans="2:8" ht="19.95" customHeight="1" outlineLevel="1" thickBot="1" x14ac:dyDescent="0.45">
      <c r="B204" s="79"/>
      <c r="C204" s="84"/>
      <c r="D204" s="84"/>
      <c r="E204" s="85" t="s">
        <v>187</v>
      </c>
      <c r="F204" s="86">
        <f>'집속스킬 계수'!D48</f>
        <v>12.001504921500041</v>
      </c>
      <c r="G204" s="87">
        <f>F204/D192</f>
        <v>0.30003762303750103</v>
      </c>
      <c r="H204" s="87">
        <f>1/D192</f>
        <v>2.5000000000000001E-2</v>
      </c>
    </row>
    <row r="205" spans="2:8" ht="19.95" customHeight="1" outlineLevel="1" thickTop="1" x14ac:dyDescent="0.4">
      <c r="B205" s="79"/>
      <c r="C205" s="71" t="s">
        <v>183</v>
      </c>
      <c r="D205" s="70" t="s">
        <v>154</v>
      </c>
      <c r="E205" s="7" t="s">
        <v>186</v>
      </c>
      <c r="F205" s="73">
        <f>'집속스킬 계수'!D48</f>
        <v>12.001504921500041</v>
      </c>
      <c r="G205" s="76">
        <f>F205/(D192)</f>
        <v>0.30003762303750103</v>
      </c>
      <c r="H205" s="76">
        <f>1/D192</f>
        <v>2.5000000000000001E-2</v>
      </c>
    </row>
    <row r="206" spans="2:8" ht="19.95" customHeight="1" outlineLevel="1" x14ac:dyDescent="0.4">
      <c r="B206" s="79"/>
      <c r="C206" s="91"/>
      <c r="D206" s="74"/>
      <c r="E206" s="78" t="s">
        <v>187</v>
      </c>
      <c r="F206" s="75">
        <f>'집속스킬 계수'!D48</f>
        <v>12.001504921500041</v>
      </c>
      <c r="G206" s="77">
        <f>F206/(D192)</f>
        <v>0.30003762303750103</v>
      </c>
      <c r="H206" s="77">
        <f>1/D192</f>
        <v>2.5000000000000001E-2</v>
      </c>
    </row>
    <row r="207" spans="2:8" ht="19.95" customHeight="1" outlineLevel="1" x14ac:dyDescent="0.4">
      <c r="B207" s="79"/>
      <c r="C207" s="71"/>
      <c r="D207" s="71" t="s">
        <v>184</v>
      </c>
      <c r="E207" s="7" t="s">
        <v>186</v>
      </c>
      <c r="F207" s="73">
        <f>'집속스킬 계수'!D48</f>
        <v>12.001504921500041</v>
      </c>
      <c r="G207" s="76">
        <f>F207/(D192)</f>
        <v>0.30003762303750103</v>
      </c>
      <c r="H207" s="76">
        <f>1/D192</f>
        <v>2.5000000000000001E-2</v>
      </c>
    </row>
    <row r="208" spans="2:8" ht="19.95" customHeight="1" outlineLevel="1" x14ac:dyDescent="0.4">
      <c r="B208" s="79"/>
      <c r="C208" s="71"/>
      <c r="D208" s="94"/>
      <c r="E208" s="78" t="s">
        <v>187</v>
      </c>
      <c r="F208" s="75">
        <f>'집속스킬 계수'!D48</f>
        <v>12.001504921500041</v>
      </c>
      <c r="G208" s="77">
        <f>F208/(D192)</f>
        <v>0.30003762303750103</v>
      </c>
      <c r="H208" s="77">
        <f>1/D192</f>
        <v>2.5000000000000001E-2</v>
      </c>
    </row>
    <row r="209" spans="2:8" ht="19.95" customHeight="1" outlineLevel="1" x14ac:dyDescent="0.4">
      <c r="B209" s="79"/>
      <c r="C209" s="71"/>
      <c r="D209" s="71" t="s">
        <v>165</v>
      </c>
      <c r="E209" s="7" t="s">
        <v>186</v>
      </c>
      <c r="F209" s="73">
        <f>'집속스킬 계수'!D48</f>
        <v>12.001504921500041</v>
      </c>
      <c r="G209" s="76">
        <f>F209/(D192)</f>
        <v>0.30003762303750103</v>
      </c>
      <c r="H209" s="76">
        <f>1/D192</f>
        <v>2.5000000000000001E-2</v>
      </c>
    </row>
    <row r="210" spans="2:8" ht="19.95" customHeight="1" outlineLevel="1" thickBot="1" x14ac:dyDescent="0.45">
      <c r="B210" s="80"/>
      <c r="C210" s="72"/>
      <c r="D210" s="72"/>
      <c r="E210" s="5" t="s">
        <v>187</v>
      </c>
      <c r="F210" s="68">
        <f>'집속스킬 계수'!D48</f>
        <v>12.001504921500041</v>
      </c>
      <c r="G210" s="69">
        <f>F210/(D192)</f>
        <v>0.30003762303750103</v>
      </c>
      <c r="H210" s="69">
        <f>1/D192</f>
        <v>2.5000000000000001E-2</v>
      </c>
    </row>
  </sheetData>
  <mergeCells count="1">
    <mergeCell ref="B2:E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B9DA0-AEF8-4813-A44A-1F456C6D88F4}">
  <dimension ref="B1:AJ158"/>
  <sheetViews>
    <sheetView topLeftCell="A40" zoomScale="85" zoomScaleNormal="85" workbookViewId="0">
      <selection activeCell="J61" sqref="J61"/>
    </sheetView>
  </sheetViews>
  <sheetFormatPr defaultRowHeight="18" customHeight="1" x14ac:dyDescent="0.4"/>
  <cols>
    <col min="1" max="1" width="1.59765625" customWidth="1"/>
    <col min="2" max="2" width="5.19921875" bestFit="1" customWidth="1"/>
    <col min="3" max="36" width="11.59765625" customWidth="1"/>
  </cols>
  <sheetData>
    <row r="1" spans="2:36" ht="10.050000000000001" customHeight="1" thickBot="1" x14ac:dyDescent="0.45"/>
    <row r="2" spans="2:36" ht="18" customHeight="1" x14ac:dyDescent="0.4">
      <c r="B2" s="265" t="s">
        <v>27</v>
      </c>
      <c r="C2" s="266"/>
      <c r="D2" s="266"/>
      <c r="E2" s="266"/>
      <c r="F2" s="266"/>
      <c r="G2" s="266"/>
      <c r="H2" s="266"/>
      <c r="I2" s="266"/>
      <c r="J2" s="266"/>
      <c r="K2" s="266"/>
      <c r="L2" s="267"/>
      <c r="AA2" s="34"/>
      <c r="AB2" s="34"/>
      <c r="AC2" s="34"/>
      <c r="AD2" s="34"/>
      <c r="AE2" s="34"/>
      <c r="AF2" s="34"/>
      <c r="AG2" s="34"/>
      <c r="AH2" s="34"/>
      <c r="AI2" s="34"/>
      <c r="AJ2" s="34"/>
    </row>
    <row r="3" spans="2:36" ht="18" customHeight="1" x14ac:dyDescent="0.4">
      <c r="B3" s="260" t="s">
        <v>2</v>
      </c>
      <c r="C3" s="263" t="s">
        <v>3</v>
      </c>
      <c r="D3" s="274"/>
      <c r="E3" s="268"/>
      <c r="F3" s="268"/>
      <c r="G3" s="269"/>
      <c r="H3" s="270" t="s">
        <v>1</v>
      </c>
      <c r="I3" s="274"/>
      <c r="J3" s="268"/>
      <c r="K3" s="268"/>
      <c r="L3" s="264"/>
      <c r="AA3" s="34"/>
      <c r="AB3" s="34"/>
      <c r="AC3" s="34"/>
      <c r="AD3" s="34"/>
      <c r="AE3" s="34"/>
      <c r="AF3" s="34"/>
      <c r="AG3" s="34"/>
      <c r="AH3" s="34"/>
      <c r="AI3" s="34"/>
      <c r="AJ3" s="34"/>
    </row>
    <row r="4" spans="2:36" ht="18" customHeight="1" x14ac:dyDescent="0.4">
      <c r="B4" s="260"/>
      <c r="C4" s="40" t="s">
        <v>29</v>
      </c>
      <c r="D4" s="41" t="s">
        <v>5</v>
      </c>
      <c r="E4" s="42" t="s">
        <v>10</v>
      </c>
      <c r="F4" s="42" t="s">
        <v>15</v>
      </c>
      <c r="G4" s="43" t="s">
        <v>31</v>
      </c>
      <c r="H4" s="44" t="s">
        <v>28</v>
      </c>
      <c r="I4" s="41" t="s">
        <v>12</v>
      </c>
      <c r="J4" s="42" t="s">
        <v>13</v>
      </c>
      <c r="K4" s="42" t="s">
        <v>14</v>
      </c>
      <c r="L4" s="45" t="s">
        <v>30</v>
      </c>
      <c r="AA4" s="34"/>
      <c r="AB4" s="34"/>
      <c r="AC4" s="34"/>
      <c r="AD4" s="34"/>
      <c r="AE4" s="34"/>
      <c r="AF4" s="34"/>
      <c r="AG4" s="34"/>
      <c r="AH4" s="34"/>
      <c r="AI4" s="34"/>
      <c r="AJ4" s="34"/>
    </row>
    <row r="5" spans="2:36" ht="18" customHeight="1" x14ac:dyDescent="0.4">
      <c r="B5" s="13">
        <v>1</v>
      </c>
      <c r="C5" s="27">
        <v>278</v>
      </c>
      <c r="D5" s="1">
        <v>61</v>
      </c>
      <c r="E5" s="36">
        <v>78</v>
      </c>
      <c r="F5" s="36">
        <v>95</v>
      </c>
      <c r="G5" s="28">
        <v>333</v>
      </c>
      <c r="H5" s="22">
        <v>4.5528349467176445</v>
      </c>
      <c r="I5" s="7">
        <v>1.0019523305946474</v>
      </c>
      <c r="J5" s="39">
        <v>1.2749532254128366</v>
      </c>
      <c r="K5" s="39">
        <v>1.5479541202310259</v>
      </c>
      <c r="L5" s="8">
        <v>5.4627836980395346</v>
      </c>
      <c r="AA5" s="34"/>
      <c r="AB5" s="34"/>
      <c r="AC5" s="34"/>
      <c r="AD5" s="34"/>
      <c r="AE5" s="34"/>
      <c r="AF5" s="34"/>
      <c r="AG5" s="34"/>
      <c r="AH5" s="34"/>
      <c r="AI5" s="34"/>
      <c r="AJ5" s="34"/>
    </row>
    <row r="6" spans="2:36" ht="18" customHeight="1" x14ac:dyDescent="0.4">
      <c r="B6" s="14">
        <v>2</v>
      </c>
      <c r="C6" s="29">
        <v>494</v>
      </c>
      <c r="D6" s="3">
        <v>109</v>
      </c>
      <c r="E6" s="37">
        <v>138</v>
      </c>
      <c r="F6" s="37">
        <v>168</v>
      </c>
      <c r="G6" s="30">
        <v>591</v>
      </c>
      <c r="H6" s="23">
        <v>4.9987797933783451</v>
      </c>
      <c r="I6" s="3">
        <v>1.5067111364191004</v>
      </c>
      <c r="J6" s="37">
        <v>1.3999430570243228</v>
      </c>
      <c r="K6" s="37">
        <v>1.6999511917351338</v>
      </c>
      <c r="L6" s="9">
        <v>5.9977629545269666</v>
      </c>
      <c r="AA6" s="35"/>
      <c r="AB6" s="35"/>
      <c r="AC6" s="34"/>
      <c r="AD6" s="34"/>
      <c r="AE6" s="34"/>
      <c r="AF6" s="34"/>
      <c r="AG6" s="34"/>
      <c r="AH6" s="34"/>
      <c r="AI6" s="34"/>
      <c r="AJ6" s="34"/>
    </row>
    <row r="7" spans="2:36" ht="18" customHeight="1" x14ac:dyDescent="0.4">
      <c r="B7" s="14">
        <v>3</v>
      </c>
      <c r="C7" s="29">
        <v>633</v>
      </c>
      <c r="D7" s="3">
        <v>139</v>
      </c>
      <c r="E7" s="37">
        <v>177</v>
      </c>
      <c r="F7" s="37">
        <v>215</v>
      </c>
      <c r="G7" s="30">
        <v>757</v>
      </c>
      <c r="H7" s="23">
        <v>5.2357845928577236</v>
      </c>
      <c r="I7" s="3">
        <v>1.1519563979500529</v>
      </c>
      <c r="J7" s="37">
        <v>1.4659562352558366</v>
      </c>
      <c r="K7" s="37">
        <v>1.7809322378589441</v>
      </c>
      <c r="L7" s="9">
        <v>6.281745708940047</v>
      </c>
      <c r="AA7" s="34"/>
      <c r="AB7" s="34"/>
      <c r="AC7" s="34"/>
      <c r="AD7" s="34"/>
      <c r="AE7" s="34"/>
      <c r="AF7" s="34"/>
      <c r="AG7" s="34"/>
      <c r="AH7" s="34"/>
      <c r="AI7" s="34"/>
      <c r="AJ7" s="34"/>
    </row>
    <row r="8" spans="2:36" ht="18" customHeight="1" x14ac:dyDescent="0.4">
      <c r="B8" s="14">
        <v>4</v>
      </c>
      <c r="C8" s="29">
        <v>741</v>
      </c>
      <c r="D8" s="3">
        <v>162</v>
      </c>
      <c r="E8" s="37">
        <v>207</v>
      </c>
      <c r="F8" s="37">
        <v>252</v>
      </c>
      <c r="G8" s="30">
        <v>886</v>
      </c>
      <c r="H8" s="23">
        <v>5.4047832099568858</v>
      </c>
      <c r="I8" s="3">
        <v>1.1889693321402424</v>
      </c>
      <c r="J8" s="37">
        <v>1.5129341901895388</v>
      </c>
      <c r="K8" s="37">
        <v>1.8389327259415928</v>
      </c>
      <c r="L8" s="9">
        <v>6.4847474172293174</v>
      </c>
      <c r="AA8" s="34"/>
      <c r="AB8" s="34"/>
      <c r="AC8" s="34"/>
      <c r="AD8" s="34"/>
      <c r="AE8" s="34"/>
      <c r="AF8" s="34"/>
      <c r="AG8" s="34"/>
      <c r="AH8" s="34"/>
      <c r="AI8" s="34"/>
      <c r="AJ8" s="34"/>
    </row>
    <row r="9" spans="2:36" ht="18" customHeight="1" x14ac:dyDescent="0.4">
      <c r="B9" s="14">
        <v>5</v>
      </c>
      <c r="C9" s="29">
        <v>827</v>
      </c>
      <c r="D9" s="3">
        <v>181</v>
      </c>
      <c r="E9" s="37">
        <v>232</v>
      </c>
      <c r="F9" s="37">
        <v>281</v>
      </c>
      <c r="G9" s="30">
        <v>989</v>
      </c>
      <c r="H9" s="23">
        <v>5.5357520540144796</v>
      </c>
      <c r="I9" s="3">
        <v>1.2179695761815668</v>
      </c>
      <c r="J9" s="37">
        <v>1.5499064508256732</v>
      </c>
      <c r="K9" s="37">
        <v>1.8829008378752135</v>
      </c>
      <c r="L9" s="9">
        <v>6.6417066623281542</v>
      </c>
      <c r="AA9" s="34"/>
      <c r="AB9" s="35"/>
      <c r="AC9" s="35"/>
      <c r="AD9" s="35"/>
      <c r="AE9" s="35"/>
      <c r="AF9" s="34"/>
      <c r="AG9" s="34"/>
      <c r="AH9" s="34"/>
      <c r="AI9" s="34"/>
      <c r="AJ9" s="34"/>
    </row>
    <row r="10" spans="2:36" ht="18" customHeight="1" x14ac:dyDescent="0.4">
      <c r="B10" s="14">
        <v>6</v>
      </c>
      <c r="C10" s="29">
        <v>899</v>
      </c>
      <c r="D10" s="3">
        <v>197</v>
      </c>
      <c r="E10" s="37">
        <v>252</v>
      </c>
      <c r="F10" s="37">
        <v>305</v>
      </c>
      <c r="G10" s="30">
        <v>1075</v>
      </c>
      <c r="H10" s="23">
        <v>5.6407711705848858</v>
      </c>
      <c r="I10" s="3">
        <v>1.2409501342227285</v>
      </c>
      <c r="J10" s="37">
        <v>1.5789066948669974</v>
      </c>
      <c r="K10" s="37">
        <v>1.9189376067680795</v>
      </c>
      <c r="L10" s="9">
        <v>6.7677133327910193</v>
      </c>
      <c r="AA10" s="34"/>
      <c r="AB10" s="34"/>
      <c r="AC10" s="60"/>
      <c r="AD10" s="60"/>
      <c r="AE10" s="60"/>
      <c r="AF10" s="34"/>
      <c r="AG10" s="34"/>
      <c r="AH10" s="34"/>
      <c r="AI10" s="34"/>
      <c r="AJ10" s="34"/>
    </row>
    <row r="11" spans="2:36" ht="18" customHeight="1" x14ac:dyDescent="0.4">
      <c r="B11" s="14">
        <v>7</v>
      </c>
      <c r="C11" s="29">
        <v>959</v>
      </c>
      <c r="D11" s="3">
        <v>210</v>
      </c>
      <c r="E11" s="37">
        <v>268</v>
      </c>
      <c r="F11" s="37">
        <v>325</v>
      </c>
      <c r="G11" s="30">
        <v>1146</v>
      </c>
      <c r="H11" s="23">
        <v>5.7277719027088585</v>
      </c>
      <c r="I11" s="3">
        <v>1.259944683966485</v>
      </c>
      <c r="J11" s="37">
        <v>1.6029447653135931</v>
      </c>
      <c r="K11" s="37">
        <v>1.9489546896607826</v>
      </c>
      <c r="L11" s="9">
        <v>6.8717156105100461</v>
      </c>
      <c r="AA11" s="34"/>
      <c r="AB11" s="34"/>
      <c r="AC11" s="34"/>
      <c r="AD11" s="34"/>
      <c r="AE11" s="34"/>
      <c r="AF11" s="34"/>
      <c r="AG11" s="34"/>
      <c r="AH11" s="34"/>
      <c r="AI11" s="34"/>
      <c r="AJ11" s="34"/>
    </row>
    <row r="12" spans="2:36" ht="18" customHeight="1" x14ac:dyDescent="0.4">
      <c r="B12" s="14">
        <v>8</v>
      </c>
      <c r="C12" s="29">
        <v>1010</v>
      </c>
      <c r="D12" s="3">
        <v>221</v>
      </c>
      <c r="E12" s="37">
        <v>283</v>
      </c>
      <c r="F12" s="37">
        <v>343</v>
      </c>
      <c r="G12" s="30">
        <v>1207</v>
      </c>
      <c r="H12" s="23">
        <v>5.800780932237859</v>
      </c>
      <c r="I12" s="3">
        <v>1.2759700642642153</v>
      </c>
      <c r="J12" s="37">
        <v>1.6239323192060522</v>
      </c>
      <c r="K12" s="37">
        <v>1.9739282518506467</v>
      </c>
      <c r="L12" s="9">
        <v>6.9597331814853982</v>
      </c>
      <c r="AA12" s="34"/>
      <c r="AB12" s="34"/>
      <c r="AC12" s="35"/>
      <c r="AD12" s="35"/>
      <c r="AE12" s="35"/>
      <c r="AF12" s="34"/>
      <c r="AG12" s="34"/>
      <c r="AH12" s="34"/>
      <c r="AI12" s="34"/>
      <c r="AJ12" s="34"/>
    </row>
    <row r="13" spans="2:36" ht="18" customHeight="1" x14ac:dyDescent="0.4">
      <c r="B13" s="14">
        <v>9</v>
      </c>
      <c r="C13" s="29">
        <v>1054</v>
      </c>
      <c r="D13" s="3">
        <v>230</v>
      </c>
      <c r="E13" s="37">
        <v>295</v>
      </c>
      <c r="F13" s="37">
        <v>357</v>
      </c>
      <c r="G13" s="30">
        <v>1258</v>
      </c>
      <c r="H13" s="23">
        <v>5.8637435939152365</v>
      </c>
      <c r="I13" s="3">
        <v>1.2899617668591881</v>
      </c>
      <c r="J13" s="37">
        <v>1.6419507036524852</v>
      </c>
      <c r="K13" s="37">
        <v>1.994956479297161</v>
      </c>
      <c r="L13" s="9">
        <v>7.0347352151631011</v>
      </c>
      <c r="AA13" s="34"/>
      <c r="AB13" s="35"/>
      <c r="AC13" s="55"/>
      <c r="AD13" s="55"/>
      <c r="AE13" s="55"/>
      <c r="AF13" s="34"/>
      <c r="AG13" s="34"/>
      <c r="AH13" s="34"/>
      <c r="AI13" s="34"/>
      <c r="AJ13" s="34"/>
    </row>
    <row r="14" spans="2:36" ht="18" customHeight="1" x14ac:dyDescent="0.4">
      <c r="B14" s="14">
        <v>10</v>
      </c>
      <c r="C14" s="29">
        <v>1092</v>
      </c>
      <c r="D14" s="3">
        <v>239</v>
      </c>
      <c r="E14" s="37">
        <v>306</v>
      </c>
      <c r="F14" s="37">
        <v>371</v>
      </c>
      <c r="G14" s="30">
        <v>1305</v>
      </c>
      <c r="H14" s="23">
        <v>5.9187749125518589</v>
      </c>
      <c r="I14" s="3">
        <v>1.3019604653054584</v>
      </c>
      <c r="J14" s="37">
        <v>1.6569592450988366</v>
      </c>
      <c r="K14" s="37">
        <v>2.0139103554868623</v>
      </c>
      <c r="L14" s="9">
        <v>7.1007077198405595</v>
      </c>
      <c r="AA14" s="34"/>
      <c r="AB14" s="34"/>
      <c r="AC14" s="60"/>
      <c r="AD14" s="60"/>
      <c r="AE14" s="60"/>
      <c r="AF14" s="34"/>
      <c r="AG14" s="34"/>
      <c r="AH14" s="34"/>
      <c r="AI14" s="34"/>
      <c r="AJ14" s="34"/>
    </row>
    <row r="15" spans="2:36" ht="18" customHeight="1" x14ac:dyDescent="0.4">
      <c r="B15" s="14">
        <v>11</v>
      </c>
      <c r="C15" s="29">
        <v>1093</v>
      </c>
      <c r="D15" s="3">
        <v>239</v>
      </c>
      <c r="E15" s="37">
        <v>306</v>
      </c>
      <c r="F15" s="37">
        <v>371</v>
      </c>
      <c r="G15" s="30">
        <v>1306</v>
      </c>
      <c r="H15" s="23">
        <v>6.4387456275929393</v>
      </c>
      <c r="I15" s="3">
        <v>1.4159684373220531</v>
      </c>
      <c r="J15" s="37">
        <v>1.8029366306027821</v>
      </c>
      <c r="K15" s="37">
        <v>2.19092166273489</v>
      </c>
      <c r="L15" s="9">
        <v>7.7246807126006667</v>
      </c>
      <c r="AA15" s="34"/>
      <c r="AB15" s="34"/>
      <c r="AC15" s="34"/>
      <c r="AD15" s="34"/>
      <c r="AE15" s="34"/>
      <c r="AF15" s="34"/>
      <c r="AG15" s="34"/>
      <c r="AH15" s="34"/>
      <c r="AI15" s="34"/>
      <c r="AJ15" s="34"/>
    </row>
    <row r="16" spans="2:36" ht="18" customHeight="1" thickBot="1" x14ac:dyDescent="0.45">
      <c r="B16" s="15">
        <v>12</v>
      </c>
      <c r="C16" s="31">
        <v>1093</v>
      </c>
      <c r="D16" s="5">
        <v>239</v>
      </c>
      <c r="E16" s="38">
        <v>306</v>
      </c>
      <c r="F16" s="38">
        <v>371</v>
      </c>
      <c r="G16" s="32">
        <v>1306</v>
      </c>
      <c r="H16" s="24">
        <v>6.7597413161962097</v>
      </c>
      <c r="I16" s="5">
        <v>1.485967623850972</v>
      </c>
      <c r="J16" s="38">
        <v>1.8929472057268364</v>
      </c>
      <c r="K16" s="38">
        <v>2.2999267876027005</v>
      </c>
      <c r="L16" s="10">
        <v>8.1096559017326939</v>
      </c>
      <c r="AA16" s="34"/>
      <c r="AB16" s="34"/>
      <c r="AC16" s="34"/>
      <c r="AD16" s="34"/>
      <c r="AE16" s="34"/>
      <c r="AF16" s="34"/>
      <c r="AG16" s="34"/>
      <c r="AH16" s="34"/>
      <c r="AI16" s="34"/>
      <c r="AJ16" s="34"/>
    </row>
    <row r="17" spans="2:36" ht="4.95" customHeight="1" thickBot="1" x14ac:dyDescent="0.45">
      <c r="AA17" s="34"/>
      <c r="AB17" s="34"/>
      <c r="AC17" s="34"/>
      <c r="AD17" s="34"/>
      <c r="AE17" s="34"/>
      <c r="AF17" s="34"/>
      <c r="AG17" s="34"/>
      <c r="AH17" s="34"/>
      <c r="AI17" s="34"/>
      <c r="AJ17" s="34"/>
    </row>
    <row r="18" spans="2:36" ht="18" customHeight="1" x14ac:dyDescent="0.4">
      <c r="B18" s="47" t="s">
        <v>32</v>
      </c>
      <c r="C18" s="48"/>
      <c r="D18" s="48"/>
      <c r="E18" s="48"/>
      <c r="F18" s="48"/>
      <c r="G18" s="48"/>
      <c r="H18" s="48"/>
      <c r="I18" s="48"/>
      <c r="J18" s="48"/>
      <c r="K18" s="48"/>
      <c r="L18" s="49"/>
      <c r="AA18" s="34"/>
      <c r="AB18" s="34"/>
      <c r="AC18" s="34"/>
      <c r="AD18" s="34"/>
      <c r="AE18" s="34"/>
      <c r="AF18" s="34"/>
      <c r="AG18" s="34"/>
      <c r="AH18" s="34"/>
      <c r="AI18" s="34"/>
      <c r="AJ18" s="34"/>
    </row>
    <row r="19" spans="2:36" ht="18" customHeight="1" x14ac:dyDescent="0.4">
      <c r="B19" s="50" t="s">
        <v>33</v>
      </c>
      <c r="C19" s="33"/>
      <c r="D19" s="33"/>
      <c r="E19" s="33"/>
      <c r="F19" s="33"/>
      <c r="G19" s="33"/>
      <c r="H19" s="33"/>
      <c r="I19" s="33"/>
      <c r="J19" s="33"/>
      <c r="K19" s="33"/>
      <c r="L19" s="51"/>
      <c r="AA19" s="34"/>
      <c r="AB19" s="34"/>
      <c r="AC19" s="35"/>
      <c r="AD19" s="35"/>
      <c r="AE19" s="35"/>
      <c r="AF19" s="34"/>
      <c r="AG19" s="34"/>
      <c r="AH19" s="34"/>
      <c r="AI19" s="34"/>
      <c r="AJ19" s="34"/>
    </row>
    <row r="20" spans="2:36" ht="18" customHeight="1" x14ac:dyDescent="0.4">
      <c r="B20" s="50" t="s">
        <v>34</v>
      </c>
      <c r="C20" s="33"/>
      <c r="D20" s="33"/>
      <c r="E20" s="33"/>
      <c r="F20" s="33"/>
      <c r="G20" s="33"/>
      <c r="H20" s="33"/>
      <c r="I20" s="33"/>
      <c r="J20" s="33"/>
      <c r="K20" s="33"/>
      <c r="L20" s="51"/>
      <c r="AA20" s="34"/>
      <c r="AB20" s="34"/>
      <c r="AC20" s="60"/>
      <c r="AD20" s="60"/>
      <c r="AE20" s="60"/>
      <c r="AF20" s="34"/>
      <c r="AG20" s="34"/>
      <c r="AH20" s="34"/>
      <c r="AI20" s="34"/>
      <c r="AJ20" s="34"/>
    </row>
    <row r="21" spans="2:36" ht="18" customHeight="1" x14ac:dyDescent="0.4">
      <c r="B21" s="50" t="s">
        <v>35</v>
      </c>
      <c r="C21" s="33"/>
      <c r="D21" s="33"/>
      <c r="E21" s="33"/>
      <c r="F21" s="33"/>
      <c r="G21" s="33"/>
      <c r="H21" s="33"/>
      <c r="I21" s="33"/>
      <c r="J21" s="33"/>
      <c r="K21" s="33"/>
      <c r="L21" s="51"/>
      <c r="AA21" s="34"/>
      <c r="AB21" s="34"/>
      <c r="AC21" s="60"/>
      <c r="AD21" s="60"/>
      <c r="AE21" s="60"/>
      <c r="AF21" s="34"/>
      <c r="AG21" s="34"/>
      <c r="AH21" s="34"/>
      <c r="AI21" s="34"/>
      <c r="AJ21" s="34"/>
    </row>
    <row r="22" spans="2:36" ht="18" customHeight="1" x14ac:dyDescent="0.4">
      <c r="B22" s="50" t="s">
        <v>211</v>
      </c>
      <c r="C22" s="33"/>
      <c r="D22" s="33"/>
      <c r="E22" s="33"/>
      <c r="F22" s="33"/>
      <c r="G22" s="33"/>
      <c r="H22" s="33"/>
      <c r="I22" s="33"/>
      <c r="J22" s="33"/>
      <c r="K22" s="33"/>
      <c r="L22" s="51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2:36" ht="18" customHeight="1" x14ac:dyDescent="0.4">
      <c r="B23" s="50" t="s">
        <v>209</v>
      </c>
      <c r="C23" s="33"/>
      <c r="D23" s="33"/>
      <c r="E23" s="33"/>
      <c r="F23" s="33"/>
      <c r="G23" s="33"/>
      <c r="H23" s="33"/>
      <c r="I23" s="33"/>
      <c r="J23" s="33"/>
      <c r="K23" s="33"/>
      <c r="L23" s="51"/>
      <c r="AA23" s="34"/>
      <c r="AB23" s="34"/>
      <c r="AC23" s="60"/>
      <c r="AD23" s="60"/>
      <c r="AE23" s="60"/>
      <c r="AF23" s="60"/>
      <c r="AG23" s="60"/>
      <c r="AH23" s="60"/>
      <c r="AI23" s="34"/>
      <c r="AJ23" s="34"/>
    </row>
    <row r="24" spans="2:36" ht="18" customHeight="1" thickBot="1" x14ac:dyDescent="0.45">
      <c r="B24" s="52" t="s">
        <v>210</v>
      </c>
      <c r="C24" s="53"/>
      <c r="D24" s="53"/>
      <c r="E24" s="53"/>
      <c r="F24" s="53"/>
      <c r="G24" s="53"/>
      <c r="H24" s="53"/>
      <c r="I24" s="53"/>
      <c r="J24" s="53"/>
      <c r="K24" s="53"/>
      <c r="L24" s="54"/>
      <c r="AA24" s="34"/>
      <c r="AB24" s="34"/>
      <c r="AC24" s="34"/>
      <c r="AD24" s="34"/>
      <c r="AE24" s="34"/>
      <c r="AF24" s="34"/>
      <c r="AG24" s="34"/>
      <c r="AH24" s="34"/>
      <c r="AI24" s="61"/>
      <c r="AJ24" s="34"/>
    </row>
    <row r="25" spans="2:36" ht="18" customHeight="1" thickBot="1" x14ac:dyDescent="0.45">
      <c r="AA25" s="34"/>
      <c r="AB25" s="34"/>
      <c r="AC25" s="34"/>
      <c r="AD25" s="34"/>
      <c r="AE25" s="34"/>
      <c r="AF25" s="34"/>
      <c r="AG25" s="34"/>
      <c r="AH25" s="34"/>
      <c r="AI25" s="34"/>
      <c r="AJ25" s="34"/>
    </row>
    <row r="26" spans="2:36" ht="18" customHeight="1" x14ac:dyDescent="0.4">
      <c r="B26" s="265" t="s">
        <v>36</v>
      </c>
      <c r="C26" s="266"/>
      <c r="D26" s="266"/>
      <c r="E26" s="266"/>
      <c r="F26" s="266"/>
      <c r="G26" s="266"/>
      <c r="H26" s="267"/>
      <c r="S26" s="35"/>
      <c r="T26" s="35"/>
      <c r="AA26" s="34"/>
      <c r="AB26" s="34"/>
      <c r="AC26" s="34"/>
      <c r="AD26" s="34"/>
      <c r="AE26" s="34"/>
      <c r="AF26" s="34"/>
      <c r="AG26" s="34"/>
      <c r="AH26" s="34"/>
      <c r="AI26" s="60"/>
      <c r="AJ26" s="34"/>
    </row>
    <row r="27" spans="2:36" ht="18" customHeight="1" x14ac:dyDescent="0.4">
      <c r="B27" s="260" t="s">
        <v>2</v>
      </c>
      <c r="C27" s="263" t="s">
        <v>3</v>
      </c>
      <c r="D27" s="268"/>
      <c r="E27" s="269"/>
      <c r="F27" s="270" t="s">
        <v>1</v>
      </c>
      <c r="G27" s="268"/>
      <c r="H27" s="264"/>
      <c r="S27" s="35"/>
      <c r="T27" s="35"/>
      <c r="AA27" s="34"/>
      <c r="AB27" s="34"/>
      <c r="AC27" s="34"/>
      <c r="AD27" s="34"/>
      <c r="AE27" s="34"/>
      <c r="AF27" s="34"/>
      <c r="AG27" s="34"/>
      <c r="AH27" s="34"/>
      <c r="AI27" s="61"/>
      <c r="AJ27" s="34"/>
    </row>
    <row r="28" spans="2:36" ht="18" customHeight="1" x14ac:dyDescent="0.4">
      <c r="B28" s="260"/>
      <c r="C28" s="40" t="s">
        <v>5</v>
      </c>
      <c r="D28" s="42" t="s">
        <v>10</v>
      </c>
      <c r="E28" s="43" t="s">
        <v>37</v>
      </c>
      <c r="F28" s="44" t="s">
        <v>12</v>
      </c>
      <c r="G28" s="42" t="s">
        <v>13</v>
      </c>
      <c r="H28" s="45" t="s">
        <v>37</v>
      </c>
      <c r="S28" s="35"/>
      <c r="T28" s="35"/>
      <c r="AA28" s="34"/>
      <c r="AB28" s="34"/>
      <c r="AC28" s="34"/>
      <c r="AD28" s="34"/>
      <c r="AE28" s="34"/>
      <c r="AF28" s="34"/>
      <c r="AG28" s="34"/>
      <c r="AH28" s="34"/>
      <c r="AI28" s="34"/>
      <c r="AJ28" s="34"/>
    </row>
    <row r="29" spans="2:36" ht="18" customHeight="1" x14ac:dyDescent="0.4">
      <c r="B29" s="13">
        <v>1</v>
      </c>
      <c r="C29" s="27">
        <v>101</v>
      </c>
      <c r="D29" s="36">
        <v>115</v>
      </c>
      <c r="E29" s="28">
        <v>503</v>
      </c>
      <c r="F29" s="22">
        <v>1.6458933557909667</v>
      </c>
      <c r="G29" s="39">
        <v>1.8819201276539161</v>
      </c>
      <c r="H29" s="8">
        <v>8.2316386684987375</v>
      </c>
      <c r="S29" s="55"/>
      <c r="T29" s="55"/>
      <c r="AA29" s="34"/>
      <c r="AB29" s="34"/>
      <c r="AC29" s="35"/>
      <c r="AD29" s="35"/>
      <c r="AE29" s="35"/>
      <c r="AF29" s="35"/>
      <c r="AG29" s="35"/>
      <c r="AH29" s="34"/>
      <c r="AI29" s="34"/>
      <c r="AJ29" s="34"/>
    </row>
    <row r="30" spans="2:36" ht="18" customHeight="1" x14ac:dyDescent="0.4">
      <c r="B30" s="14">
        <v>2</v>
      </c>
      <c r="C30" s="29">
        <v>178</v>
      </c>
      <c r="D30" s="37">
        <v>204</v>
      </c>
      <c r="E30" s="30">
        <v>893</v>
      </c>
      <c r="F30" s="23">
        <v>1.8069234519746464</v>
      </c>
      <c r="G30" s="37">
        <v>2.0659101990160011</v>
      </c>
      <c r="H30" s="9">
        <v>9.038562120473383</v>
      </c>
      <c r="AA30" s="34"/>
      <c r="AB30" s="34"/>
      <c r="AC30" s="35"/>
      <c r="AD30" s="34"/>
      <c r="AE30" s="34"/>
      <c r="AF30" s="34"/>
      <c r="AG30" s="34"/>
      <c r="AH30" s="34"/>
      <c r="AI30" s="34"/>
      <c r="AJ30" s="34"/>
    </row>
    <row r="31" spans="2:36" ht="18" customHeight="1" x14ac:dyDescent="0.4">
      <c r="B31" s="14">
        <v>3</v>
      </c>
      <c r="C31" s="29">
        <v>228</v>
      </c>
      <c r="D31" s="37">
        <v>262</v>
      </c>
      <c r="E31" s="30">
        <v>1143</v>
      </c>
      <c r="F31" s="23">
        <v>1.8929125482026505</v>
      </c>
      <c r="G31" s="37">
        <v>2.1639111741500821</v>
      </c>
      <c r="H31" s="9">
        <v>9.4665573334515312</v>
      </c>
      <c r="AA31" s="34"/>
      <c r="AB31" s="34"/>
      <c r="AC31" s="55"/>
      <c r="AD31" s="55"/>
      <c r="AE31" s="55"/>
      <c r="AF31" s="55"/>
      <c r="AG31" s="55"/>
      <c r="AH31" s="34"/>
      <c r="AI31" s="34"/>
      <c r="AJ31" s="34"/>
    </row>
    <row r="32" spans="2:36" ht="18" customHeight="1" x14ac:dyDescent="0.4">
      <c r="B32" s="14">
        <v>4</v>
      </c>
      <c r="C32" s="29">
        <v>267</v>
      </c>
      <c r="D32" s="37">
        <v>307</v>
      </c>
      <c r="E32" s="30">
        <v>1338</v>
      </c>
      <c r="F32" s="23">
        <v>1.9539470768139711</v>
      </c>
      <c r="G32" s="37">
        <v>2.2338992065954524</v>
      </c>
      <c r="H32" s="9">
        <v>9.7725721377598518</v>
      </c>
      <c r="AA32" s="34"/>
      <c r="AB32" s="34"/>
      <c r="AC32" s="57"/>
      <c r="AD32" s="34"/>
      <c r="AE32" s="34"/>
      <c r="AF32" s="34"/>
      <c r="AG32" s="34"/>
      <c r="AH32" s="34"/>
      <c r="AI32" s="60"/>
      <c r="AJ32" s="34"/>
    </row>
    <row r="33" spans="2:36" ht="18" customHeight="1" x14ac:dyDescent="0.4">
      <c r="B33" s="14">
        <v>5</v>
      </c>
      <c r="C33" s="29">
        <v>299</v>
      </c>
      <c r="D33" s="37">
        <v>342</v>
      </c>
      <c r="E33" s="30">
        <v>1492</v>
      </c>
      <c r="F33" s="23">
        <v>2.0008864855281239</v>
      </c>
      <c r="G33" s="37">
        <v>2.2879304995345953</v>
      </c>
      <c r="H33" s="9">
        <v>10.008554585346394</v>
      </c>
      <c r="U33" s="58"/>
      <c r="V33" s="58"/>
      <c r="W33" s="58"/>
      <c r="X33" s="58"/>
      <c r="Y33" s="58"/>
      <c r="Z33" s="58"/>
      <c r="AA33" s="34"/>
      <c r="AB33" s="34"/>
      <c r="AC33" s="34"/>
      <c r="AD33" s="34"/>
      <c r="AE33" s="34"/>
      <c r="AF33" s="34"/>
      <c r="AG33" s="34"/>
      <c r="AH33" s="61"/>
      <c r="AI33" s="60"/>
      <c r="AJ33" s="34"/>
    </row>
    <row r="34" spans="2:36" ht="18" customHeight="1" x14ac:dyDescent="0.4">
      <c r="B34" s="14">
        <v>6</v>
      </c>
      <c r="C34" s="29">
        <v>324</v>
      </c>
      <c r="D34" s="37">
        <v>372</v>
      </c>
      <c r="E34" s="30">
        <v>1622</v>
      </c>
      <c r="F34" s="23">
        <v>2.0389167146846328</v>
      </c>
      <c r="G34" s="37">
        <v>2.3309250476485972</v>
      </c>
      <c r="H34" s="9">
        <v>10.19857275829972</v>
      </c>
      <c r="U34" s="59"/>
      <c r="V34" s="59"/>
      <c r="W34" s="59"/>
      <c r="X34" s="59"/>
      <c r="Y34" s="59"/>
      <c r="Z34" s="59"/>
      <c r="AA34" s="34"/>
      <c r="AB34" s="34"/>
      <c r="AC34" s="34"/>
      <c r="AD34" s="55"/>
      <c r="AE34" s="34"/>
      <c r="AF34" s="34"/>
      <c r="AG34" s="34"/>
      <c r="AH34" s="34"/>
      <c r="AI34" s="34"/>
      <c r="AJ34" s="34"/>
    </row>
    <row r="35" spans="2:36" ht="18" customHeight="1" x14ac:dyDescent="0.4">
      <c r="B35" s="14">
        <v>7</v>
      </c>
      <c r="C35" s="29">
        <v>346</v>
      </c>
      <c r="D35" s="37">
        <v>397</v>
      </c>
      <c r="E35" s="30">
        <v>1730</v>
      </c>
      <c r="F35" s="23">
        <v>2.0698993838925581</v>
      </c>
      <c r="G35" s="37">
        <v>2.3668720358140152</v>
      </c>
      <c r="H35" s="9">
        <v>10.355569345330437</v>
      </c>
      <c r="AA35" s="34"/>
      <c r="AB35" s="34"/>
      <c r="AC35" s="34"/>
      <c r="AD35" s="34"/>
      <c r="AE35" s="34"/>
      <c r="AF35" s="34"/>
      <c r="AG35" s="34"/>
      <c r="AH35" s="60"/>
      <c r="AI35" s="60"/>
      <c r="AJ35" s="34"/>
    </row>
    <row r="36" spans="2:36" ht="18" customHeight="1" x14ac:dyDescent="0.4">
      <c r="B36" s="14">
        <v>8</v>
      </c>
      <c r="C36" s="29">
        <v>364</v>
      </c>
      <c r="D36" s="37">
        <v>418</v>
      </c>
      <c r="E36" s="30">
        <v>1822</v>
      </c>
      <c r="F36" s="23">
        <v>2.09591773414299</v>
      </c>
      <c r="G36" s="37">
        <v>2.3968795709410045</v>
      </c>
      <c r="H36" s="9">
        <v>10.488542174549</v>
      </c>
      <c r="W36" s="56"/>
      <c r="X36" s="56"/>
      <c r="Z36" s="56"/>
      <c r="AA36" s="34"/>
      <c r="AB36" s="34"/>
      <c r="AC36" s="34"/>
      <c r="AD36" s="34"/>
      <c r="AE36" s="34"/>
      <c r="AF36" s="34"/>
      <c r="AG36" s="34"/>
      <c r="AH36" s="34"/>
      <c r="AI36" s="34"/>
      <c r="AJ36" s="34"/>
    </row>
    <row r="37" spans="2:36" ht="18" customHeight="1" x14ac:dyDescent="0.4">
      <c r="B37" s="14">
        <v>9</v>
      </c>
      <c r="C37" s="29">
        <v>380</v>
      </c>
      <c r="D37" s="37">
        <v>436</v>
      </c>
      <c r="E37" s="30">
        <v>1900</v>
      </c>
      <c r="F37" s="23">
        <v>2.1189220335978014</v>
      </c>
      <c r="G37" s="37">
        <v>2.4228979211914368</v>
      </c>
      <c r="H37" s="9">
        <v>10.602499889189309</v>
      </c>
      <c r="AA37" s="34"/>
      <c r="AB37" s="34"/>
      <c r="AC37" s="34"/>
      <c r="AD37" s="34"/>
      <c r="AE37" s="34"/>
      <c r="AF37" s="34"/>
      <c r="AG37" s="34"/>
      <c r="AH37" s="34"/>
      <c r="AI37" s="34"/>
      <c r="AJ37" s="34"/>
    </row>
    <row r="38" spans="2:36" ht="18" customHeight="1" x14ac:dyDescent="0.4">
      <c r="B38" s="14">
        <v>10</v>
      </c>
      <c r="C38" s="29">
        <v>394</v>
      </c>
      <c r="D38" s="37">
        <v>452</v>
      </c>
      <c r="E38" s="30">
        <v>1971</v>
      </c>
      <c r="F38" s="23">
        <v>2.1389122822569924</v>
      </c>
      <c r="G38" s="37">
        <v>2.4459022206462477</v>
      </c>
      <c r="H38" s="9">
        <v>10.701520322680732</v>
      </c>
      <c r="AA38" s="34"/>
      <c r="AB38" s="34"/>
      <c r="AC38" s="34"/>
      <c r="AD38" s="34"/>
      <c r="AE38" s="34"/>
      <c r="AF38" s="34"/>
      <c r="AG38" s="34"/>
      <c r="AH38" s="34"/>
      <c r="AI38" s="34"/>
      <c r="AJ38" s="34"/>
    </row>
    <row r="39" spans="2:36" ht="18" customHeight="1" x14ac:dyDescent="0.4">
      <c r="B39" s="14">
        <v>11</v>
      </c>
      <c r="C39" s="29">
        <v>394</v>
      </c>
      <c r="D39" s="37">
        <v>453</v>
      </c>
      <c r="E39" s="30">
        <v>1972</v>
      </c>
      <c r="F39" s="23">
        <v>2.3268915384956341</v>
      </c>
      <c r="G39" s="37">
        <v>2.6608749612162583</v>
      </c>
      <c r="H39" s="9">
        <v>11.641460928150348</v>
      </c>
      <c r="AA39" s="34"/>
      <c r="AB39" s="34"/>
      <c r="AC39" s="34"/>
      <c r="AD39" s="34"/>
      <c r="AE39" s="34"/>
      <c r="AF39" s="34"/>
      <c r="AG39" s="34"/>
      <c r="AH39" s="34"/>
      <c r="AI39" s="34"/>
      <c r="AJ39" s="34"/>
    </row>
    <row r="40" spans="2:36" ht="18" customHeight="1" thickBot="1" x14ac:dyDescent="0.45">
      <c r="B40" s="15">
        <v>12</v>
      </c>
      <c r="C40" s="31">
        <v>394</v>
      </c>
      <c r="D40" s="38">
        <v>453</v>
      </c>
      <c r="E40" s="32">
        <v>1972</v>
      </c>
      <c r="F40" s="24">
        <v>2.4429324941270334</v>
      </c>
      <c r="G40" s="38">
        <v>2.792872656353885</v>
      </c>
      <c r="H40" s="10">
        <v>12.22148840920172</v>
      </c>
    </row>
    <row r="41" spans="2:36" ht="4.95" customHeight="1" thickBot="1" x14ac:dyDescent="0.45">
      <c r="AA41" s="34"/>
      <c r="AB41" s="34"/>
      <c r="AC41" s="34"/>
      <c r="AD41" s="34"/>
      <c r="AE41" s="34"/>
      <c r="AF41" s="34"/>
      <c r="AG41" s="34"/>
      <c r="AH41" s="34"/>
      <c r="AI41" s="34"/>
      <c r="AJ41" s="34"/>
    </row>
    <row r="42" spans="2:36" ht="18" customHeight="1" x14ac:dyDescent="0.4">
      <c r="B42" s="47" t="s">
        <v>39</v>
      </c>
      <c r="C42" s="48"/>
      <c r="D42" s="48"/>
      <c r="E42" s="48"/>
      <c r="F42" s="48"/>
      <c r="G42" s="48"/>
      <c r="H42" s="48"/>
      <c r="I42" s="48"/>
      <c r="J42" s="48"/>
      <c r="K42" s="48"/>
      <c r="L42" s="49"/>
    </row>
    <row r="43" spans="2:36" ht="18" customHeight="1" x14ac:dyDescent="0.4">
      <c r="B43" s="50" t="s">
        <v>38</v>
      </c>
      <c r="C43" s="33"/>
      <c r="D43" s="33"/>
      <c r="E43" s="33"/>
      <c r="F43" s="33"/>
      <c r="G43" s="33"/>
      <c r="H43" s="33"/>
      <c r="I43" s="33"/>
      <c r="J43" s="33"/>
      <c r="K43" s="33"/>
      <c r="L43" s="51"/>
    </row>
    <row r="44" spans="2:36" ht="18" customHeight="1" x14ac:dyDescent="0.4">
      <c r="B44" s="50" t="s">
        <v>40</v>
      </c>
      <c r="C44" s="33"/>
      <c r="D44" s="33"/>
      <c r="E44" s="33"/>
      <c r="F44" s="33"/>
      <c r="G44" s="33"/>
      <c r="H44" s="33"/>
      <c r="I44" s="33"/>
      <c r="J44" s="33"/>
      <c r="K44" s="33"/>
      <c r="L44" s="51"/>
    </row>
    <row r="45" spans="2:36" ht="18" customHeight="1" thickBot="1" x14ac:dyDescent="0.45">
      <c r="B45" s="52" t="s">
        <v>41</v>
      </c>
      <c r="C45" s="53"/>
      <c r="D45" s="53"/>
      <c r="E45" s="53"/>
      <c r="F45" s="53"/>
      <c r="G45" s="53"/>
      <c r="H45" s="53"/>
      <c r="I45" s="53"/>
      <c r="J45" s="53"/>
      <c r="K45" s="53"/>
      <c r="L45" s="54"/>
    </row>
    <row r="46" spans="2:36" ht="18" customHeight="1" thickBot="1" x14ac:dyDescent="0.45"/>
    <row r="47" spans="2:36" ht="18" customHeight="1" x14ac:dyDescent="0.4">
      <c r="B47" s="265" t="s">
        <v>42</v>
      </c>
      <c r="C47" s="266"/>
      <c r="D47" s="266"/>
      <c r="E47" s="266"/>
      <c r="F47" s="266"/>
      <c r="G47" s="266"/>
      <c r="H47" s="266"/>
      <c r="I47" s="266"/>
      <c r="J47" s="267"/>
    </row>
    <row r="48" spans="2:36" ht="18" customHeight="1" x14ac:dyDescent="0.4">
      <c r="B48" s="260" t="s">
        <v>2</v>
      </c>
      <c r="C48" s="263" t="s">
        <v>3</v>
      </c>
      <c r="D48" s="274"/>
      <c r="E48" s="268"/>
      <c r="F48" s="269"/>
      <c r="G48" s="270" t="s">
        <v>1</v>
      </c>
      <c r="H48" s="274"/>
      <c r="I48" s="268"/>
      <c r="J48" s="264"/>
    </row>
    <row r="49" spans="2:36" ht="18" customHeight="1" x14ac:dyDescent="0.4">
      <c r="B49" s="260"/>
      <c r="C49" s="40" t="s">
        <v>5</v>
      </c>
      <c r="D49" s="41" t="s">
        <v>10</v>
      </c>
      <c r="E49" s="42" t="s">
        <v>15</v>
      </c>
      <c r="F49" s="43" t="s">
        <v>43</v>
      </c>
      <c r="G49" s="44" t="s">
        <v>5</v>
      </c>
      <c r="H49" s="41" t="s">
        <v>10</v>
      </c>
      <c r="I49" s="42" t="s">
        <v>15</v>
      </c>
      <c r="J49" s="45" t="s">
        <v>43</v>
      </c>
    </row>
    <row r="50" spans="2:36" ht="18" customHeight="1" x14ac:dyDescent="0.4">
      <c r="B50" s="13">
        <v>1</v>
      </c>
      <c r="C50" s="27">
        <v>116</v>
      </c>
      <c r="D50" s="1">
        <v>175</v>
      </c>
      <c r="E50" s="36">
        <v>233</v>
      </c>
      <c r="F50" s="28">
        <v>214</v>
      </c>
      <c r="G50" s="22">
        <v>1.9109525286999689</v>
      </c>
      <c r="H50" s="7">
        <v>2.8668498736758123</v>
      </c>
      <c r="I50" s="39">
        <v>3.8218164088471256</v>
      </c>
      <c r="J50" s="8">
        <v>3.5038340499091354</v>
      </c>
    </row>
    <row r="51" spans="2:36" ht="18" customHeight="1" x14ac:dyDescent="0.4">
      <c r="B51" s="14">
        <v>2</v>
      </c>
      <c r="C51" s="29">
        <v>207</v>
      </c>
      <c r="D51" s="3">
        <v>311</v>
      </c>
      <c r="E51" s="37">
        <v>413</v>
      </c>
      <c r="F51" s="30">
        <v>379</v>
      </c>
      <c r="G51" s="23">
        <v>2.0978680023048626</v>
      </c>
      <c r="H51" s="3">
        <v>3.147865786091042</v>
      </c>
      <c r="I51" s="37">
        <v>4.1968441115198791</v>
      </c>
      <c r="J51" s="9">
        <v>3.8468596250166218</v>
      </c>
    </row>
    <row r="52" spans="2:36" ht="18" customHeight="1" x14ac:dyDescent="0.4">
      <c r="B52" s="14">
        <v>3</v>
      </c>
      <c r="C52" s="29">
        <v>264</v>
      </c>
      <c r="D52" s="3">
        <v>398</v>
      </c>
      <c r="E52" s="37">
        <v>529</v>
      </c>
      <c r="F52" s="30">
        <v>486</v>
      </c>
      <c r="G52" s="23">
        <v>2.1969327600726918</v>
      </c>
      <c r="H52" s="3">
        <v>3.2968396790922387</v>
      </c>
      <c r="I52" s="37">
        <v>4.3958157883072557</v>
      </c>
      <c r="J52" s="9">
        <v>4.0288107796640222</v>
      </c>
    </row>
    <row r="53" spans="2:36" ht="18" customHeight="1" x14ac:dyDescent="0.4">
      <c r="B53" s="14">
        <v>4</v>
      </c>
      <c r="C53" s="29">
        <v>310</v>
      </c>
      <c r="D53" s="3">
        <v>465</v>
      </c>
      <c r="E53" s="37">
        <v>619</v>
      </c>
      <c r="F53" s="30">
        <v>570</v>
      </c>
      <c r="G53" s="23">
        <v>2.2678959265989982</v>
      </c>
      <c r="H53" s="3">
        <v>3.4038828066131819</v>
      </c>
      <c r="I53" s="37">
        <v>4.5377864456362751</v>
      </c>
      <c r="J53" s="9">
        <v>4.1588138823633702</v>
      </c>
    </row>
    <row r="54" spans="2:36" ht="18" customHeight="1" x14ac:dyDescent="0.4">
      <c r="B54" s="14">
        <v>5</v>
      </c>
      <c r="C54" s="29">
        <v>346</v>
      </c>
      <c r="D54" s="3">
        <v>519</v>
      </c>
      <c r="E54" s="37">
        <v>690</v>
      </c>
      <c r="F54" s="30">
        <v>635</v>
      </c>
      <c r="G54" s="23">
        <v>2.3229023536190772</v>
      </c>
      <c r="H54" s="3">
        <v>3.4858383936882231</v>
      </c>
      <c r="I54" s="37">
        <v>4.647799299676433</v>
      </c>
      <c r="J54" s="9">
        <v>4.2598289082930725</v>
      </c>
    </row>
    <row r="55" spans="2:36" ht="18" customHeight="1" x14ac:dyDescent="0.4">
      <c r="B55" s="14">
        <v>6</v>
      </c>
      <c r="C55" s="29">
        <v>376</v>
      </c>
      <c r="D55" s="3">
        <v>565</v>
      </c>
      <c r="E55" s="37">
        <v>750</v>
      </c>
      <c r="F55" s="30">
        <v>691</v>
      </c>
      <c r="G55" s="23">
        <v>2.3668720358140152</v>
      </c>
      <c r="H55" s="3">
        <v>3.5518372412570365</v>
      </c>
      <c r="I55" s="37">
        <v>4.7357829883427156</v>
      </c>
      <c r="J55" s="9">
        <v>4.3408093612871772</v>
      </c>
    </row>
    <row r="56" spans="2:36" ht="18" customHeight="1" x14ac:dyDescent="0.4">
      <c r="B56" s="14">
        <v>7</v>
      </c>
      <c r="C56" s="29">
        <v>401</v>
      </c>
      <c r="D56" s="3">
        <v>603</v>
      </c>
      <c r="E56" s="37">
        <v>800</v>
      </c>
      <c r="F56" s="30">
        <v>736</v>
      </c>
      <c r="G56" s="23">
        <v>2.4029076725322458</v>
      </c>
      <c r="H56" s="3">
        <v>3.6068436682771154</v>
      </c>
      <c r="I56" s="37">
        <v>4.8087850715837064</v>
      </c>
      <c r="J56" s="9">
        <v>4.4078276672133327</v>
      </c>
    </row>
    <row r="57" spans="2:36" ht="18" customHeight="1" x14ac:dyDescent="0.4">
      <c r="B57" s="14">
        <v>8</v>
      </c>
      <c r="C57" s="29">
        <v>422</v>
      </c>
      <c r="D57" s="3">
        <v>635</v>
      </c>
      <c r="E57" s="37">
        <v>844</v>
      </c>
      <c r="F57" s="30">
        <v>775</v>
      </c>
      <c r="G57" s="23">
        <v>2.4338903417401712</v>
      </c>
      <c r="H57" s="3">
        <v>3.6528079429103322</v>
      </c>
      <c r="I57" s="37">
        <v>4.8707947342759628</v>
      </c>
      <c r="J57" s="9">
        <v>4.4638092283143473</v>
      </c>
    </row>
    <row r="58" spans="2:36" ht="18" customHeight="1" x14ac:dyDescent="0.4">
      <c r="B58" s="14">
        <v>9</v>
      </c>
      <c r="C58" s="29">
        <v>440</v>
      </c>
      <c r="D58" s="3">
        <v>662</v>
      </c>
      <c r="E58" s="37">
        <v>879</v>
      </c>
      <c r="F58" s="30">
        <v>809</v>
      </c>
      <c r="G58" s="23">
        <v>2.4619032844288817</v>
      </c>
      <c r="H58" s="3">
        <v>3.6928327645051193</v>
      </c>
      <c r="I58" s="37">
        <v>4.9238065688577635</v>
      </c>
      <c r="J58" s="9">
        <v>4.5118124196622489</v>
      </c>
    </row>
    <row r="59" spans="2:36" ht="18" customHeight="1" x14ac:dyDescent="0.4">
      <c r="B59" s="14">
        <v>10</v>
      </c>
      <c r="C59" s="29">
        <v>457</v>
      </c>
      <c r="D59" s="3">
        <v>686</v>
      </c>
      <c r="E59" s="37">
        <v>913</v>
      </c>
      <c r="F59" s="30">
        <v>839</v>
      </c>
      <c r="G59" s="23">
        <v>2.4828686671690083</v>
      </c>
      <c r="H59" s="3">
        <v>3.7268294845086656</v>
      </c>
      <c r="I59" s="37">
        <v>4.9697708434909798</v>
      </c>
      <c r="J59" s="9">
        <v>4.5537875094189086</v>
      </c>
    </row>
    <row r="60" spans="2:36" ht="18" customHeight="1" x14ac:dyDescent="0.4">
      <c r="B60" s="14">
        <v>11</v>
      </c>
      <c r="C60" s="29">
        <v>457</v>
      </c>
      <c r="D60" s="3">
        <v>686</v>
      </c>
      <c r="E60" s="37">
        <v>913</v>
      </c>
      <c r="F60" s="30">
        <v>839</v>
      </c>
      <c r="G60" s="23">
        <v>2.7008997828110455</v>
      </c>
      <c r="H60" s="3">
        <v>4.0524799432649266</v>
      </c>
      <c r="I60" s="37">
        <v>5.4067638845795845</v>
      </c>
      <c r="J60" s="9">
        <v>4.9538141039847527</v>
      </c>
    </row>
    <row r="61" spans="2:36" ht="18" customHeight="1" thickBot="1" x14ac:dyDescent="0.45">
      <c r="B61" s="15">
        <v>12</v>
      </c>
      <c r="C61" s="31">
        <v>457</v>
      </c>
      <c r="D61" s="5">
        <v>686</v>
      </c>
      <c r="E61" s="38">
        <v>914</v>
      </c>
      <c r="F61" s="32">
        <v>840</v>
      </c>
      <c r="G61" s="24">
        <v>2.8348920703869509</v>
      </c>
      <c r="H61" s="5">
        <v>4.2558397234165151</v>
      </c>
      <c r="I61" s="38">
        <v>5.6757235938123314</v>
      </c>
      <c r="J61" s="10">
        <v>5.2007446478436243</v>
      </c>
    </row>
    <row r="62" spans="2:36" ht="4.95" customHeight="1" thickBot="1" x14ac:dyDescent="0.45">
      <c r="AA62" s="34"/>
      <c r="AB62" s="34"/>
      <c r="AC62" s="34"/>
      <c r="AD62" s="34"/>
      <c r="AE62" s="34"/>
      <c r="AF62" s="34"/>
      <c r="AG62" s="34"/>
      <c r="AH62" s="34"/>
      <c r="AI62" s="34"/>
      <c r="AJ62" s="34"/>
    </row>
    <row r="63" spans="2:36" ht="18" customHeight="1" x14ac:dyDescent="0.4">
      <c r="B63" s="47" t="s">
        <v>45</v>
      </c>
      <c r="C63" s="48"/>
      <c r="D63" s="48"/>
      <c r="E63" s="48"/>
      <c r="F63" s="48"/>
      <c r="G63" s="48"/>
      <c r="H63" s="48"/>
      <c r="I63" s="48"/>
      <c r="J63" s="48"/>
      <c r="K63" s="48"/>
      <c r="L63" s="49"/>
    </row>
    <row r="64" spans="2:36" ht="18" customHeight="1" x14ac:dyDescent="0.4">
      <c r="B64" s="50" t="s">
        <v>46</v>
      </c>
      <c r="C64" s="33"/>
      <c r="D64" s="33"/>
      <c r="E64" s="33"/>
      <c r="F64" s="33"/>
      <c r="G64" s="33"/>
      <c r="H64" s="33"/>
      <c r="I64" s="33"/>
      <c r="J64" s="33"/>
      <c r="K64" s="33"/>
      <c r="L64" s="51"/>
    </row>
    <row r="65" spans="2:14" ht="18" customHeight="1" x14ac:dyDescent="0.4">
      <c r="B65" s="50" t="s">
        <v>47</v>
      </c>
      <c r="C65" s="33"/>
      <c r="D65" s="33"/>
      <c r="E65" s="33"/>
      <c r="F65" s="33"/>
      <c r="G65" s="33"/>
      <c r="H65" s="33"/>
      <c r="I65" s="33"/>
      <c r="J65" s="33"/>
      <c r="K65" s="33"/>
      <c r="L65" s="51"/>
    </row>
    <row r="66" spans="2:14" ht="18" customHeight="1" x14ac:dyDescent="0.4">
      <c r="B66" s="50" t="s">
        <v>44</v>
      </c>
      <c r="C66" s="33"/>
      <c r="D66" s="33"/>
      <c r="E66" s="33"/>
      <c r="F66" s="33"/>
      <c r="G66" s="33"/>
      <c r="H66" s="33"/>
      <c r="I66" s="33"/>
      <c r="J66" s="33"/>
      <c r="K66" s="33"/>
      <c r="L66" s="51"/>
    </row>
    <row r="67" spans="2:14" ht="18" customHeight="1" x14ac:dyDescent="0.4">
      <c r="B67" s="50" t="s">
        <v>48</v>
      </c>
      <c r="C67" s="33"/>
      <c r="D67" s="33"/>
      <c r="E67" s="33"/>
      <c r="F67" s="33"/>
      <c r="G67" s="33"/>
      <c r="H67" s="33"/>
      <c r="I67" s="33"/>
      <c r="J67" s="33"/>
      <c r="K67" s="33"/>
      <c r="L67" s="51"/>
    </row>
    <row r="68" spans="2:14" ht="18" customHeight="1" x14ac:dyDescent="0.4">
      <c r="B68" s="50" t="s">
        <v>49</v>
      </c>
      <c r="C68" s="33"/>
      <c r="D68" s="33"/>
      <c r="E68" s="33"/>
      <c r="F68" s="33"/>
      <c r="G68" s="33"/>
      <c r="H68" s="33"/>
      <c r="I68" s="33"/>
      <c r="J68" s="33"/>
      <c r="K68" s="33"/>
      <c r="L68" s="51"/>
    </row>
    <row r="69" spans="2:14" ht="18" customHeight="1" x14ac:dyDescent="0.4">
      <c r="B69" s="50" t="s">
        <v>50</v>
      </c>
      <c r="C69" s="33"/>
      <c r="D69" s="33"/>
      <c r="E69" s="33"/>
      <c r="F69" s="33"/>
      <c r="G69" s="33"/>
      <c r="H69" s="33"/>
      <c r="I69" s="33"/>
      <c r="J69" s="33"/>
      <c r="K69" s="33"/>
      <c r="L69" s="51"/>
    </row>
    <row r="70" spans="2:14" ht="18" customHeight="1" thickBot="1" x14ac:dyDescent="0.45">
      <c r="B70" s="52" t="s">
        <v>51</v>
      </c>
      <c r="C70" s="53"/>
      <c r="D70" s="53"/>
      <c r="E70" s="53"/>
      <c r="F70" s="53"/>
      <c r="G70" s="53"/>
      <c r="H70" s="53"/>
      <c r="I70" s="53"/>
      <c r="J70" s="53"/>
      <c r="K70" s="53"/>
      <c r="L70" s="54"/>
    </row>
    <row r="71" spans="2:14" ht="18" customHeight="1" thickBot="1" x14ac:dyDescent="0.45"/>
    <row r="72" spans="2:14" ht="18" customHeight="1" x14ac:dyDescent="0.4">
      <c r="B72" s="265" t="s">
        <v>54</v>
      </c>
      <c r="C72" s="266"/>
      <c r="D72" s="266"/>
      <c r="E72" s="266"/>
      <c r="F72" s="266"/>
      <c r="G72" s="266"/>
      <c r="H72" s="266"/>
      <c r="I72" s="266"/>
      <c r="J72" s="266"/>
      <c r="K72" s="266"/>
      <c r="L72" s="266"/>
      <c r="M72" s="266"/>
      <c r="N72" s="267"/>
    </row>
    <row r="73" spans="2:14" ht="18" customHeight="1" x14ac:dyDescent="0.4">
      <c r="B73" s="260" t="s">
        <v>2</v>
      </c>
      <c r="C73" s="263" t="s">
        <v>3</v>
      </c>
      <c r="D73" s="274"/>
      <c r="E73" s="268"/>
      <c r="F73" s="268"/>
      <c r="G73" s="268"/>
      <c r="H73" s="269"/>
      <c r="I73" s="270" t="s">
        <v>1</v>
      </c>
      <c r="J73" s="274"/>
      <c r="K73" s="268"/>
      <c r="L73" s="268"/>
      <c r="M73" s="268"/>
      <c r="N73" s="264"/>
    </row>
    <row r="74" spans="2:14" ht="18" customHeight="1" x14ac:dyDescent="0.4">
      <c r="B74" s="260"/>
      <c r="C74" s="40" t="s">
        <v>5</v>
      </c>
      <c r="D74" s="41" t="s">
        <v>10</v>
      </c>
      <c r="E74" s="42" t="s">
        <v>15</v>
      </c>
      <c r="F74" s="42" t="s">
        <v>18</v>
      </c>
      <c r="G74" s="42" t="s">
        <v>52</v>
      </c>
      <c r="H74" s="43" t="s">
        <v>53</v>
      </c>
      <c r="I74" s="44" t="s">
        <v>5</v>
      </c>
      <c r="J74" s="41" t="s">
        <v>10</v>
      </c>
      <c r="K74" s="42" t="s">
        <v>15</v>
      </c>
      <c r="L74" s="42" t="s">
        <v>18</v>
      </c>
      <c r="M74" s="42" t="s">
        <v>52</v>
      </c>
      <c r="N74" s="45" t="s">
        <v>53</v>
      </c>
    </row>
    <row r="75" spans="2:14" ht="18" customHeight="1" x14ac:dyDescent="0.4">
      <c r="B75" s="13">
        <v>1</v>
      </c>
      <c r="C75" s="27">
        <v>82</v>
      </c>
      <c r="D75" s="1">
        <v>88</v>
      </c>
      <c r="E75" s="36">
        <v>96</v>
      </c>
      <c r="F75" s="36">
        <v>121</v>
      </c>
      <c r="G75" s="36">
        <v>131</v>
      </c>
      <c r="H75" s="28">
        <v>150</v>
      </c>
      <c r="I75" s="22">
        <v>1.3479455697885732</v>
      </c>
      <c r="J75" s="7">
        <v>1.4575595053410753</v>
      </c>
      <c r="K75" s="39">
        <v>1.5935463853552592</v>
      </c>
      <c r="L75" s="39">
        <v>2.0035902663889011</v>
      </c>
      <c r="M75" s="39">
        <v>2.1600106378263373</v>
      </c>
      <c r="N75" s="8">
        <v>2.47192057089668</v>
      </c>
    </row>
    <row r="76" spans="2:14" ht="18" customHeight="1" x14ac:dyDescent="0.4">
      <c r="B76" s="14">
        <v>2</v>
      </c>
      <c r="C76" s="29">
        <v>146</v>
      </c>
      <c r="D76" s="3">
        <v>157</v>
      </c>
      <c r="E76" s="37">
        <v>172</v>
      </c>
      <c r="F76" s="37">
        <v>217</v>
      </c>
      <c r="G76" s="37">
        <v>233</v>
      </c>
      <c r="H76" s="30">
        <v>267</v>
      </c>
      <c r="I76" s="23">
        <v>1.4799432649262001</v>
      </c>
      <c r="J76" s="3">
        <v>1.6002836753689995</v>
      </c>
      <c r="K76" s="37">
        <v>1.7495678383050397</v>
      </c>
      <c r="L76" s="37">
        <v>2.1997695137626878</v>
      </c>
      <c r="M76" s="37">
        <v>2.3715704091130712</v>
      </c>
      <c r="N76" s="9">
        <v>2.7138867957980586</v>
      </c>
    </row>
    <row r="77" spans="2:14" ht="18" customHeight="1" x14ac:dyDescent="0.4">
      <c r="B77" s="14">
        <v>3</v>
      </c>
      <c r="C77" s="29">
        <v>187</v>
      </c>
      <c r="D77" s="3">
        <v>202</v>
      </c>
      <c r="E77" s="37">
        <v>221</v>
      </c>
      <c r="F77" s="37">
        <v>277</v>
      </c>
      <c r="G77" s="37">
        <v>299</v>
      </c>
      <c r="H77" s="30">
        <v>342</v>
      </c>
      <c r="I77" s="23">
        <v>1.5499312973715704</v>
      </c>
      <c r="J77" s="3">
        <v>1.6759452151943619</v>
      </c>
      <c r="K77" s="37">
        <v>1.8322769380789858</v>
      </c>
      <c r="L77" s="37">
        <v>2.3038429147644166</v>
      </c>
      <c r="M77" s="37">
        <v>2.4837108284207261</v>
      </c>
      <c r="N77" s="9">
        <v>2.8428704401400648</v>
      </c>
    </row>
    <row r="78" spans="2:14" ht="18" customHeight="1" x14ac:dyDescent="0.4">
      <c r="B78" s="14">
        <v>4</v>
      </c>
      <c r="C78" s="29">
        <v>220</v>
      </c>
      <c r="D78" s="3">
        <v>237</v>
      </c>
      <c r="E78" s="37">
        <v>260</v>
      </c>
      <c r="F78" s="37">
        <v>327</v>
      </c>
      <c r="G78" s="37">
        <v>352</v>
      </c>
      <c r="H78" s="30">
        <v>399</v>
      </c>
      <c r="I78" s="23">
        <v>1.59992908115775</v>
      </c>
      <c r="J78" s="3">
        <v>1.7300208324099109</v>
      </c>
      <c r="K78" s="37">
        <v>1.891361198528434</v>
      </c>
      <c r="L78" s="37">
        <v>2.3781304020211871</v>
      </c>
      <c r="M78" s="37">
        <v>2.563804795886707</v>
      </c>
      <c r="N78" s="9">
        <v>2.9348876379593105</v>
      </c>
    </row>
    <row r="79" spans="2:14" ht="18" customHeight="1" x14ac:dyDescent="0.4">
      <c r="B79" s="14">
        <v>5</v>
      </c>
      <c r="C79" s="29">
        <v>245</v>
      </c>
      <c r="D79" s="3">
        <v>264</v>
      </c>
      <c r="E79" s="37">
        <v>289</v>
      </c>
      <c r="F79" s="37">
        <v>364</v>
      </c>
      <c r="G79" s="37">
        <v>392</v>
      </c>
      <c r="H79" s="30">
        <v>447</v>
      </c>
      <c r="I79" s="23">
        <v>1.6389344443951952</v>
      </c>
      <c r="J79" s="3">
        <v>1.7722175435486016</v>
      </c>
      <c r="K79" s="37">
        <v>1.9375027702672754</v>
      </c>
      <c r="L79" s="37">
        <v>2.4361065555604804</v>
      </c>
      <c r="M79" s="37">
        <v>2.6263020256194318</v>
      </c>
      <c r="N79" s="9">
        <v>3.0058508044856169</v>
      </c>
    </row>
    <row r="80" spans="2:14" ht="18" customHeight="1" x14ac:dyDescent="0.4">
      <c r="B80" s="14">
        <v>6</v>
      </c>
      <c r="C80" s="29">
        <v>266</v>
      </c>
      <c r="D80" s="3">
        <v>287</v>
      </c>
      <c r="E80" s="37">
        <v>314</v>
      </c>
      <c r="F80" s="37">
        <v>395</v>
      </c>
      <c r="G80" s="37">
        <v>426</v>
      </c>
      <c r="H80" s="30">
        <v>485</v>
      </c>
      <c r="I80" s="23">
        <v>1.6699171136031203</v>
      </c>
      <c r="J80" s="3">
        <v>1.8056823722352733</v>
      </c>
      <c r="K80" s="37">
        <v>1.9741146225787864</v>
      </c>
      <c r="L80" s="37">
        <v>2.4821594787465093</v>
      </c>
      <c r="M80" s="37">
        <v>2.6759452151943619</v>
      </c>
      <c r="N80" s="9">
        <v>3.0628518239439741</v>
      </c>
    </row>
    <row r="81" spans="2:36" ht="18" customHeight="1" x14ac:dyDescent="0.4">
      <c r="B81" s="14">
        <v>7</v>
      </c>
      <c r="C81" s="29">
        <v>284</v>
      </c>
      <c r="D81" s="3">
        <v>307</v>
      </c>
      <c r="E81" s="37">
        <v>335</v>
      </c>
      <c r="F81" s="37">
        <v>422</v>
      </c>
      <c r="G81" s="37">
        <v>455</v>
      </c>
      <c r="H81" s="30">
        <v>518</v>
      </c>
      <c r="I81" s="23">
        <v>1.6958911395771463</v>
      </c>
      <c r="J81" s="3">
        <v>1.83373963920039</v>
      </c>
      <c r="K81" s="37">
        <v>2.0048313461282743</v>
      </c>
      <c r="L81" s="37">
        <v>2.5207659234962989</v>
      </c>
      <c r="M81" s="37">
        <v>2.7175657107397724</v>
      </c>
      <c r="N81" s="9">
        <v>3.1098355569345331</v>
      </c>
    </row>
    <row r="82" spans="2:36" ht="18" customHeight="1" x14ac:dyDescent="0.4">
      <c r="B82" s="14">
        <v>8</v>
      </c>
      <c r="C82" s="29">
        <v>300</v>
      </c>
      <c r="D82" s="3">
        <v>324</v>
      </c>
      <c r="E82" s="37">
        <v>354</v>
      </c>
      <c r="F82" s="37">
        <v>445</v>
      </c>
      <c r="G82" s="37">
        <v>480</v>
      </c>
      <c r="H82" s="30">
        <v>545</v>
      </c>
      <c r="I82" s="23">
        <v>1.7179203049510217</v>
      </c>
      <c r="J82" s="3">
        <v>1.8575860999069189</v>
      </c>
      <c r="K82" s="37">
        <v>2.0308940206551127</v>
      </c>
      <c r="L82" s="37">
        <v>2.5535215637604716</v>
      </c>
      <c r="M82" s="37">
        <v>2.7528921590355035</v>
      </c>
      <c r="N82" s="9">
        <v>3.1498603785293207</v>
      </c>
    </row>
    <row r="83" spans="2:36" ht="18" customHeight="1" x14ac:dyDescent="0.4">
      <c r="B83" s="14">
        <v>9</v>
      </c>
      <c r="C83" s="29">
        <v>312</v>
      </c>
      <c r="D83" s="3">
        <v>337</v>
      </c>
      <c r="E83" s="37">
        <v>368</v>
      </c>
      <c r="F83" s="37">
        <v>463</v>
      </c>
      <c r="G83" s="37">
        <v>499</v>
      </c>
      <c r="H83" s="30">
        <v>569</v>
      </c>
      <c r="I83" s="23">
        <v>1.73689109525287</v>
      </c>
      <c r="J83" s="3">
        <v>1.8781082398829838</v>
      </c>
      <c r="K83" s="37">
        <v>2.0533221045166439</v>
      </c>
      <c r="L83" s="37">
        <v>2.581711803554807</v>
      </c>
      <c r="M83" s="37">
        <v>2.7832986126501487</v>
      </c>
      <c r="N83" s="9">
        <v>3.1838570985328665</v>
      </c>
    </row>
    <row r="84" spans="2:36" ht="18" customHeight="1" x14ac:dyDescent="0.4">
      <c r="B84" s="14">
        <v>10</v>
      </c>
      <c r="C84" s="29">
        <v>323</v>
      </c>
      <c r="D84" s="3">
        <v>349</v>
      </c>
      <c r="E84" s="37">
        <v>381</v>
      </c>
      <c r="F84" s="37">
        <v>480</v>
      </c>
      <c r="G84" s="37">
        <v>517</v>
      </c>
      <c r="H84" s="30">
        <v>590</v>
      </c>
      <c r="I84" s="23">
        <v>1.7528921590355038</v>
      </c>
      <c r="J84" s="3">
        <v>1.8953947076813971</v>
      </c>
      <c r="K84" s="37">
        <v>2.0722485705420861</v>
      </c>
      <c r="L84" s="37">
        <v>2.6054696157085235</v>
      </c>
      <c r="M84" s="37">
        <v>2.8089180444129251</v>
      </c>
      <c r="N84" s="9">
        <v>3.2138646336598553</v>
      </c>
      <c r="P84" s="259" t="s">
        <v>231</v>
      </c>
      <c r="Q84" s="259"/>
      <c r="R84" s="259"/>
      <c r="S84" s="259"/>
      <c r="T84" s="259"/>
    </row>
    <row r="85" spans="2:36" ht="18" customHeight="1" x14ac:dyDescent="0.4">
      <c r="B85" s="14">
        <v>11</v>
      </c>
      <c r="C85" s="29">
        <v>323</v>
      </c>
      <c r="D85" s="3">
        <v>349</v>
      </c>
      <c r="E85" s="37">
        <v>381</v>
      </c>
      <c r="F85" s="37">
        <v>480</v>
      </c>
      <c r="G85" s="37">
        <v>517</v>
      </c>
      <c r="H85" s="30">
        <v>590</v>
      </c>
      <c r="I85" s="23">
        <v>1.9069190195470058</v>
      </c>
      <c r="J85" s="3">
        <v>2.0619210141394442</v>
      </c>
      <c r="K85" s="37">
        <v>2.2543326980187048</v>
      </c>
      <c r="L85" s="37">
        <v>2.834448827622889</v>
      </c>
      <c r="M85" s="37">
        <v>3.0557599397189841</v>
      </c>
      <c r="N85" s="9">
        <v>3.4958556801560214</v>
      </c>
      <c r="P85" s="107" t="s">
        <v>5</v>
      </c>
      <c r="Q85" s="108" t="s">
        <v>10</v>
      </c>
      <c r="R85" s="108" t="s">
        <v>15</v>
      </c>
      <c r="S85" s="108" t="s">
        <v>18</v>
      </c>
      <c r="T85" s="108" t="s">
        <v>52</v>
      </c>
    </row>
    <row r="86" spans="2:36" ht="18" customHeight="1" thickBot="1" x14ac:dyDescent="0.45">
      <c r="B86" s="15">
        <v>12</v>
      </c>
      <c r="C86" s="31">
        <v>323</v>
      </c>
      <c r="D86" s="5">
        <v>349</v>
      </c>
      <c r="E86" s="38">
        <v>381</v>
      </c>
      <c r="F86" s="38">
        <v>480</v>
      </c>
      <c r="G86" s="38">
        <v>517</v>
      </c>
      <c r="H86" s="32">
        <v>590</v>
      </c>
      <c r="I86" s="24">
        <v>2.0019059438854661</v>
      </c>
      <c r="J86" s="5">
        <v>2.1646646868489872</v>
      </c>
      <c r="K86" s="38">
        <v>2.3666060901555781</v>
      </c>
      <c r="L86" s="38">
        <v>2.9756216479765967</v>
      </c>
      <c r="M86" s="38">
        <v>3.2079695048978327</v>
      </c>
      <c r="N86" s="10">
        <v>3.6698284650503079</v>
      </c>
      <c r="P86" s="105">
        <v>1.8025255972696246</v>
      </c>
      <c r="Q86" s="105">
        <v>2.2941234874340677</v>
      </c>
      <c r="R86" s="105">
        <v>3.4411852311511018</v>
      </c>
      <c r="S86" s="105">
        <v>4.0966490847036923</v>
      </c>
      <c r="T86" s="105">
        <v>4.7521129382562837</v>
      </c>
    </row>
    <row r="87" spans="2:36" ht="4.95" customHeight="1" thickBot="1" x14ac:dyDescent="0.45">
      <c r="AA87" s="34"/>
      <c r="AB87" s="34"/>
      <c r="AC87" s="34"/>
      <c r="AD87" s="34"/>
      <c r="AE87" s="34"/>
      <c r="AF87" s="34"/>
      <c r="AG87" s="34"/>
      <c r="AH87" s="34"/>
      <c r="AI87" s="34"/>
      <c r="AJ87" s="34"/>
    </row>
    <row r="88" spans="2:36" ht="18" customHeight="1" x14ac:dyDescent="0.4">
      <c r="B88" s="47" t="s">
        <v>55</v>
      </c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9"/>
    </row>
    <row r="89" spans="2:36" ht="18" customHeight="1" x14ac:dyDescent="0.4">
      <c r="B89" s="50" t="s">
        <v>56</v>
      </c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51"/>
      <c r="R89" s="34"/>
      <c r="S89" s="34"/>
      <c r="T89" s="34"/>
      <c r="U89" s="34"/>
      <c r="V89" s="34"/>
      <c r="W89" s="34"/>
      <c r="X89" s="34"/>
      <c r="Y89" s="34"/>
      <c r="Z89" s="34"/>
    </row>
    <row r="90" spans="2:36" ht="18" customHeight="1" x14ac:dyDescent="0.4">
      <c r="B90" s="50" t="s">
        <v>57</v>
      </c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51"/>
      <c r="R90" s="34"/>
      <c r="S90" s="34"/>
      <c r="T90" s="34"/>
      <c r="U90" s="34"/>
      <c r="V90" s="34"/>
      <c r="W90" s="34"/>
      <c r="X90" s="34"/>
      <c r="Y90" s="34"/>
      <c r="Z90" s="34"/>
    </row>
    <row r="91" spans="2:36" ht="18" customHeight="1" x14ac:dyDescent="0.4">
      <c r="B91" s="50" t="s">
        <v>58</v>
      </c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51"/>
      <c r="R91" s="34"/>
      <c r="S91" s="34"/>
      <c r="T91" s="34"/>
      <c r="U91" s="34"/>
      <c r="V91" s="34"/>
      <c r="W91" s="34"/>
      <c r="X91" s="34"/>
      <c r="Y91" s="34"/>
      <c r="Z91" s="34"/>
    </row>
    <row r="92" spans="2:36" ht="18" customHeight="1" x14ac:dyDescent="0.4">
      <c r="B92" s="50" t="s">
        <v>63</v>
      </c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51"/>
      <c r="R92" s="34"/>
      <c r="S92" s="34"/>
      <c r="T92" s="34"/>
      <c r="U92" s="34"/>
      <c r="V92" s="34"/>
      <c r="W92" s="34"/>
      <c r="X92" s="34"/>
      <c r="Y92" s="34"/>
      <c r="Z92" s="34"/>
    </row>
    <row r="93" spans="2:36" ht="18" customHeight="1" x14ac:dyDescent="0.4">
      <c r="B93" s="50" t="s">
        <v>59</v>
      </c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51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</row>
    <row r="94" spans="2:36" ht="18" customHeight="1" thickBot="1" x14ac:dyDescent="0.45">
      <c r="B94" s="52" t="s">
        <v>60</v>
      </c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4"/>
      <c r="R94" s="34"/>
      <c r="S94" s="35"/>
      <c r="T94" s="35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60"/>
      <c r="AJ94" s="34"/>
    </row>
    <row r="95" spans="2:36" ht="18" customHeight="1" thickBot="1" x14ac:dyDescent="0.45"/>
    <row r="96" spans="2:36" ht="18" customHeight="1" x14ac:dyDescent="0.4">
      <c r="B96" s="265" t="s">
        <v>61</v>
      </c>
      <c r="C96" s="266"/>
      <c r="D96" s="266"/>
      <c r="E96" s="266"/>
      <c r="F96" s="267"/>
      <c r="G96" s="62"/>
      <c r="H96" s="62"/>
      <c r="R96" s="34"/>
      <c r="S96" s="35"/>
      <c r="T96" s="35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61"/>
      <c r="AJ96" s="34"/>
    </row>
    <row r="97" spans="2:36" ht="18" customHeight="1" x14ac:dyDescent="0.4">
      <c r="B97" s="271" t="s">
        <v>2</v>
      </c>
      <c r="C97" s="261" t="s">
        <v>3</v>
      </c>
      <c r="D97" s="262"/>
      <c r="E97" s="261" t="s">
        <v>1</v>
      </c>
      <c r="F97" s="273"/>
      <c r="G97" s="63"/>
      <c r="H97" s="63"/>
      <c r="R97" s="34"/>
      <c r="S97" s="35"/>
      <c r="T97" s="35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</row>
    <row r="98" spans="2:36" ht="18" customHeight="1" x14ac:dyDescent="0.4">
      <c r="B98" s="272"/>
      <c r="C98" s="40" t="s">
        <v>62</v>
      </c>
      <c r="D98" s="43" t="s">
        <v>37</v>
      </c>
      <c r="E98" s="40" t="s">
        <v>62</v>
      </c>
      <c r="F98" s="45" t="s">
        <v>37</v>
      </c>
      <c r="G98" s="64"/>
      <c r="H98" s="64"/>
      <c r="R98" s="34"/>
      <c r="S98" s="35"/>
      <c r="T98" s="35"/>
      <c r="U98" s="35"/>
      <c r="V98" s="34"/>
      <c r="W98" s="34"/>
      <c r="X98" s="34"/>
      <c r="Y98" s="34"/>
      <c r="Z98" s="34"/>
      <c r="AA98" s="34"/>
      <c r="AB98" s="34"/>
      <c r="AC98" s="35"/>
      <c r="AD98" s="35"/>
      <c r="AE98" s="35"/>
      <c r="AF98" s="35"/>
      <c r="AG98" s="35"/>
      <c r="AH98" s="34"/>
      <c r="AI98" s="34"/>
      <c r="AJ98" s="34"/>
    </row>
    <row r="99" spans="2:36" ht="18" customHeight="1" x14ac:dyDescent="0.4">
      <c r="B99" s="13">
        <v>1</v>
      </c>
      <c r="C99" s="27">
        <v>108</v>
      </c>
      <c r="D99" s="28">
        <v>980</v>
      </c>
      <c r="E99" s="27">
        <v>1.783919152519835</v>
      </c>
      <c r="F99" s="8">
        <v>16.05128318780196</v>
      </c>
      <c r="G99" s="35"/>
      <c r="H99" s="35"/>
      <c r="I99" s="34"/>
      <c r="J99" s="34"/>
      <c r="K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5"/>
      <c r="AD99" s="34"/>
      <c r="AE99" s="34"/>
      <c r="AF99" s="34"/>
      <c r="AG99" s="34"/>
      <c r="AH99" s="34"/>
      <c r="AI99" s="34"/>
      <c r="AJ99" s="34"/>
    </row>
    <row r="100" spans="2:36" ht="18" customHeight="1" x14ac:dyDescent="0.4">
      <c r="B100" s="14">
        <v>2</v>
      </c>
      <c r="C100" s="29">
        <v>193</v>
      </c>
      <c r="D100" s="30">
        <v>1740</v>
      </c>
      <c r="E100" s="29">
        <v>1.9589113957714641</v>
      </c>
      <c r="F100" s="9">
        <v>17.62421878462834</v>
      </c>
      <c r="G100" s="35"/>
      <c r="H100" s="35"/>
      <c r="I100" s="34"/>
      <c r="J100" s="34"/>
      <c r="K100" s="34"/>
      <c r="R100" s="34"/>
      <c r="S100" s="34"/>
      <c r="T100" s="34"/>
      <c r="U100" s="34"/>
      <c r="V100" s="60"/>
      <c r="W100" s="60"/>
      <c r="X100" s="60"/>
      <c r="Y100" s="34"/>
      <c r="Z100" s="34"/>
      <c r="AA100" s="34"/>
      <c r="AB100" s="34"/>
      <c r="AC100" s="55"/>
      <c r="AD100" s="55"/>
      <c r="AE100" s="55"/>
      <c r="AF100" s="55"/>
      <c r="AG100" s="55"/>
      <c r="AH100" s="34"/>
      <c r="AI100" s="34"/>
      <c r="AJ100" s="34"/>
    </row>
    <row r="101" spans="2:36" ht="18" customHeight="1" x14ac:dyDescent="0.4">
      <c r="B101" s="14">
        <v>3</v>
      </c>
      <c r="C101" s="29">
        <v>248</v>
      </c>
      <c r="D101" s="30">
        <v>2228</v>
      </c>
      <c r="E101" s="29">
        <v>2.0519037276716459</v>
      </c>
      <c r="F101" s="9">
        <v>18.459199503568104</v>
      </c>
      <c r="G101" s="35"/>
      <c r="H101" s="35"/>
      <c r="I101" s="35"/>
      <c r="J101" s="35"/>
      <c r="K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57"/>
      <c r="AD101" s="34"/>
      <c r="AE101" s="34"/>
      <c r="AF101" s="34"/>
      <c r="AG101" s="34"/>
      <c r="AH101" s="34"/>
      <c r="AI101" s="60"/>
      <c r="AJ101" s="34"/>
    </row>
    <row r="102" spans="2:36" ht="18" customHeight="1" x14ac:dyDescent="0.4">
      <c r="B102" s="14">
        <v>4</v>
      </c>
      <c r="C102" s="29">
        <v>290</v>
      </c>
      <c r="D102" s="30">
        <v>2608</v>
      </c>
      <c r="E102" s="29">
        <v>2.1179025752404592</v>
      </c>
      <c r="F102" s="9">
        <v>19.05615885820664</v>
      </c>
      <c r="G102" s="35"/>
      <c r="H102" s="35"/>
      <c r="I102" s="34"/>
      <c r="J102" s="34"/>
      <c r="K102" s="34"/>
      <c r="R102" s="34"/>
      <c r="S102" s="34"/>
      <c r="T102" s="34"/>
      <c r="U102" s="34"/>
      <c r="V102" s="34"/>
      <c r="W102" s="34"/>
      <c r="X102" s="34"/>
      <c r="Y102" s="61"/>
      <c r="Z102" s="34"/>
      <c r="AA102" s="34"/>
      <c r="AB102" s="34"/>
      <c r="AC102" s="34"/>
      <c r="AD102" s="34"/>
      <c r="AE102" s="34"/>
      <c r="AF102" s="34"/>
      <c r="AG102" s="34"/>
      <c r="AH102" s="61"/>
      <c r="AI102" s="60"/>
      <c r="AJ102" s="34"/>
    </row>
    <row r="103" spans="2:36" ht="18" customHeight="1" x14ac:dyDescent="0.4">
      <c r="B103" s="14">
        <v>5</v>
      </c>
      <c r="C103" s="29">
        <v>323</v>
      </c>
      <c r="D103" s="30">
        <v>2910</v>
      </c>
      <c r="E103" s="29">
        <v>2.1689198173839812</v>
      </c>
      <c r="F103" s="9">
        <v>19.517131332830992</v>
      </c>
      <c r="G103" s="35"/>
      <c r="H103" s="35"/>
      <c r="I103" s="34"/>
      <c r="J103" s="34"/>
      <c r="K103" s="34"/>
      <c r="R103" s="34"/>
      <c r="S103" s="34"/>
      <c r="T103" s="34"/>
      <c r="U103" s="34"/>
      <c r="V103" s="34"/>
      <c r="W103" s="34"/>
      <c r="X103" s="34"/>
      <c r="Y103" s="61"/>
      <c r="Z103" s="34"/>
      <c r="AA103" s="34"/>
      <c r="AB103" s="34"/>
      <c r="AC103" s="34"/>
      <c r="AD103" s="55"/>
      <c r="AE103" s="34"/>
      <c r="AF103" s="34"/>
      <c r="AG103" s="34"/>
      <c r="AH103" s="34"/>
      <c r="AI103" s="34"/>
      <c r="AJ103" s="34"/>
    </row>
    <row r="104" spans="2:36" ht="18" customHeight="1" x14ac:dyDescent="0.4">
      <c r="B104" s="14">
        <v>6</v>
      </c>
      <c r="C104" s="29">
        <v>351</v>
      </c>
      <c r="D104" s="30">
        <v>3163</v>
      </c>
      <c r="E104" s="29">
        <v>2.2099197730597049</v>
      </c>
      <c r="F104" s="9">
        <v>23.877310402907671</v>
      </c>
      <c r="G104" s="35"/>
      <c r="H104" s="35"/>
      <c r="I104" s="35"/>
      <c r="J104" s="35"/>
      <c r="K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60"/>
      <c r="AI104" s="60"/>
      <c r="AJ104" s="34"/>
    </row>
    <row r="105" spans="2:36" ht="18" customHeight="1" x14ac:dyDescent="0.4">
      <c r="B105" s="14">
        <v>7</v>
      </c>
      <c r="C105" s="29">
        <v>374</v>
      </c>
      <c r="D105" s="30">
        <v>3375</v>
      </c>
      <c r="E105" s="29">
        <v>2.2439164930632507</v>
      </c>
      <c r="F105" s="9">
        <v>20.195071140463632</v>
      </c>
      <c r="G105" s="35"/>
      <c r="H105" s="35"/>
      <c r="I105" s="34"/>
      <c r="J105" s="34"/>
      <c r="K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</row>
    <row r="106" spans="2:36" ht="18" customHeight="1" x14ac:dyDescent="0.4">
      <c r="B106" s="14">
        <v>8</v>
      </c>
      <c r="C106" s="29">
        <v>394</v>
      </c>
      <c r="D106" s="30">
        <v>3556</v>
      </c>
      <c r="E106" s="29">
        <v>2.2729045698328973</v>
      </c>
      <c r="F106" s="9">
        <v>20.453082753424049</v>
      </c>
      <c r="G106" s="35"/>
      <c r="H106" s="35"/>
      <c r="I106" s="34"/>
      <c r="J106" s="34"/>
      <c r="K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</row>
    <row r="107" spans="2:36" ht="18" customHeight="1" x14ac:dyDescent="0.4">
      <c r="B107" s="14">
        <v>9</v>
      </c>
      <c r="C107" s="29">
        <v>411</v>
      </c>
      <c r="D107" s="30">
        <v>3707</v>
      </c>
      <c r="E107" s="29">
        <v>2.2979034617259875</v>
      </c>
      <c r="F107" s="9">
        <v>20.675103053942646</v>
      </c>
      <c r="G107" s="35"/>
      <c r="H107" s="35"/>
      <c r="I107" s="34"/>
      <c r="J107" s="34"/>
      <c r="K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</row>
    <row r="108" spans="2:36" ht="18" customHeight="1" x14ac:dyDescent="0.4">
      <c r="B108" s="14">
        <v>10</v>
      </c>
      <c r="C108" s="29">
        <v>427</v>
      </c>
      <c r="D108" s="30">
        <v>3846</v>
      </c>
      <c r="E108" s="29">
        <v>2.3188688444661141</v>
      </c>
      <c r="F108" s="9">
        <v>20.868090953415187</v>
      </c>
      <c r="G108" s="35"/>
      <c r="H108" s="35"/>
      <c r="I108" s="35"/>
      <c r="J108" s="35"/>
      <c r="K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</row>
    <row r="109" spans="2:36" ht="18" customHeight="1" x14ac:dyDescent="0.4">
      <c r="B109" s="14">
        <v>11</v>
      </c>
      <c r="C109" s="29">
        <v>427</v>
      </c>
      <c r="D109" s="30">
        <v>3848</v>
      </c>
      <c r="E109" s="29">
        <v>2.5228934887637959</v>
      </c>
      <c r="F109" s="9">
        <v>22.700988431363857</v>
      </c>
      <c r="G109" s="35"/>
      <c r="H109" s="35"/>
      <c r="I109" s="34"/>
      <c r="J109" s="34"/>
      <c r="K109" s="34"/>
    </row>
    <row r="110" spans="2:36" ht="18" customHeight="1" thickBot="1" x14ac:dyDescent="0.45">
      <c r="B110" s="15">
        <v>12</v>
      </c>
      <c r="C110" s="31">
        <v>427</v>
      </c>
      <c r="D110" s="32">
        <v>3849</v>
      </c>
      <c r="E110" s="31">
        <v>2.6489074065865874</v>
      </c>
      <c r="F110" s="10">
        <v>23.8309472097868</v>
      </c>
      <c r="G110" s="35"/>
      <c r="H110" s="35"/>
      <c r="I110" s="34"/>
      <c r="J110" s="34"/>
      <c r="K110" s="34"/>
    </row>
    <row r="111" spans="2:36" ht="4.95" customHeight="1" thickBot="1" x14ac:dyDescent="0.45"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</row>
    <row r="112" spans="2:36" ht="18" customHeight="1" x14ac:dyDescent="0.4">
      <c r="B112" s="47" t="s">
        <v>66</v>
      </c>
      <c r="C112" s="48"/>
      <c r="D112" s="48"/>
      <c r="E112" s="48"/>
      <c r="F112" s="48"/>
      <c r="G112" s="48"/>
      <c r="H112" s="48"/>
      <c r="I112" s="48"/>
      <c r="J112" s="48"/>
      <c r="K112" s="48"/>
      <c r="L112" s="49"/>
    </row>
    <row r="113" spans="2:12" ht="18" customHeight="1" x14ac:dyDescent="0.4">
      <c r="B113" s="50" t="s">
        <v>64</v>
      </c>
      <c r="C113" s="33"/>
      <c r="D113" s="33"/>
      <c r="E113" s="33"/>
      <c r="F113" s="33"/>
      <c r="G113" s="33"/>
      <c r="H113" s="33"/>
      <c r="I113" s="33"/>
      <c r="J113" s="33"/>
      <c r="K113" s="33"/>
      <c r="L113" s="51"/>
    </row>
    <row r="114" spans="2:12" ht="18" customHeight="1" x14ac:dyDescent="0.4">
      <c r="B114" s="50" t="s">
        <v>65</v>
      </c>
      <c r="C114" s="33"/>
      <c r="D114" s="33"/>
      <c r="E114" s="33"/>
      <c r="F114" s="33"/>
      <c r="G114" s="33"/>
      <c r="H114" s="33"/>
      <c r="I114" s="33"/>
      <c r="J114" s="33"/>
      <c r="K114" s="33"/>
      <c r="L114" s="51"/>
    </row>
    <row r="115" spans="2:12" ht="18" customHeight="1" x14ac:dyDescent="0.4">
      <c r="B115" s="50" t="s">
        <v>67</v>
      </c>
      <c r="C115" s="33"/>
      <c r="D115" s="33"/>
      <c r="E115" s="33"/>
      <c r="F115" s="33"/>
      <c r="G115" s="33"/>
      <c r="H115" s="33"/>
      <c r="I115" s="33"/>
      <c r="J115" s="33"/>
      <c r="K115" s="33"/>
      <c r="L115" s="51"/>
    </row>
    <row r="116" spans="2:12" ht="18" customHeight="1" thickBot="1" x14ac:dyDescent="0.45">
      <c r="B116" s="52" t="s">
        <v>68</v>
      </c>
      <c r="C116" s="53"/>
      <c r="D116" s="53"/>
      <c r="E116" s="53"/>
      <c r="F116" s="53"/>
      <c r="G116" s="53"/>
      <c r="H116" s="53"/>
      <c r="I116" s="53"/>
      <c r="J116" s="53"/>
      <c r="K116" s="53"/>
      <c r="L116" s="54"/>
    </row>
    <row r="117" spans="2:12" ht="18" customHeight="1" thickBot="1" x14ac:dyDescent="0.45"/>
    <row r="118" spans="2:12" ht="18" customHeight="1" x14ac:dyDescent="0.4">
      <c r="B118" s="265" t="s">
        <v>69</v>
      </c>
      <c r="C118" s="266"/>
      <c r="D118" s="266"/>
      <c r="E118" s="266"/>
      <c r="F118" s="266"/>
      <c r="G118" s="266"/>
      <c r="H118" s="267"/>
    </row>
    <row r="119" spans="2:12" ht="18" customHeight="1" x14ac:dyDescent="0.4">
      <c r="B119" s="260" t="s">
        <v>2</v>
      </c>
      <c r="C119" s="263" t="s">
        <v>3</v>
      </c>
      <c r="D119" s="268"/>
      <c r="E119" s="269"/>
      <c r="F119" s="270" t="s">
        <v>1</v>
      </c>
      <c r="G119" s="268"/>
      <c r="H119" s="264"/>
    </row>
    <row r="120" spans="2:12" ht="18" customHeight="1" x14ac:dyDescent="0.4">
      <c r="B120" s="260"/>
      <c r="C120" s="40" t="s">
        <v>70</v>
      </c>
      <c r="D120" s="42" t="s">
        <v>71</v>
      </c>
      <c r="E120" s="43" t="s">
        <v>6</v>
      </c>
      <c r="F120" s="44" t="s">
        <v>70</v>
      </c>
      <c r="G120" s="42" t="s">
        <v>71</v>
      </c>
      <c r="H120" s="45" t="s">
        <v>6</v>
      </c>
    </row>
    <row r="121" spans="2:12" ht="18" customHeight="1" x14ac:dyDescent="0.4">
      <c r="B121" s="13">
        <v>1</v>
      </c>
      <c r="C121" s="27">
        <v>29</v>
      </c>
      <c r="D121" s="36">
        <v>265</v>
      </c>
      <c r="E121" s="28">
        <v>298</v>
      </c>
      <c r="F121" s="22">
        <v>0.48607125513222377</v>
      </c>
      <c r="G121" s="39">
        <v>4.3743764072226394</v>
      </c>
      <c r="H121" s="8">
        <v>4.8634055891572112</v>
      </c>
    </row>
    <row r="122" spans="2:12" ht="18" customHeight="1" x14ac:dyDescent="0.4">
      <c r="B122" s="14">
        <v>2</v>
      </c>
      <c r="C122" s="29">
        <v>52</v>
      </c>
      <c r="D122" s="37">
        <v>464</v>
      </c>
      <c r="E122" s="30">
        <v>530</v>
      </c>
      <c r="F122" s="23">
        <v>0.53383956558209356</v>
      </c>
      <c r="G122" s="37">
        <v>4.804600238400071</v>
      </c>
      <c r="H122" s="9">
        <v>5.3404706193987019</v>
      </c>
    </row>
    <row r="123" spans="2:12" ht="18" customHeight="1" x14ac:dyDescent="0.4">
      <c r="B123" s="14">
        <v>3</v>
      </c>
      <c r="C123" s="29">
        <v>66</v>
      </c>
      <c r="D123" s="37">
        <v>595</v>
      </c>
      <c r="E123" s="30">
        <v>679</v>
      </c>
      <c r="F123" s="23">
        <v>0.55873912851529739</v>
      </c>
      <c r="G123" s="37">
        <v>5.0286963047989053</v>
      </c>
      <c r="H123" s="9">
        <v>5.5934395832413584</v>
      </c>
    </row>
    <row r="124" spans="2:12" ht="18" customHeight="1" x14ac:dyDescent="0.4">
      <c r="B124" s="14">
        <v>4</v>
      </c>
      <c r="C124" s="29">
        <v>77</v>
      </c>
      <c r="D124" s="37">
        <v>694</v>
      </c>
      <c r="E124" s="30">
        <v>795</v>
      </c>
      <c r="F124" s="23">
        <v>0.57666328197430572</v>
      </c>
      <c r="G124" s="37">
        <v>5.1900578340912098</v>
      </c>
      <c r="H124" s="9">
        <v>5.7747119332479802</v>
      </c>
    </row>
    <row r="125" spans="2:12" ht="18" customHeight="1" x14ac:dyDescent="0.4">
      <c r="B125" s="14">
        <v>5</v>
      </c>
      <c r="C125" s="29">
        <v>86</v>
      </c>
      <c r="D125" s="37">
        <v>775</v>
      </c>
      <c r="E125" s="30">
        <v>887</v>
      </c>
      <c r="F125" s="23">
        <v>0.59061410092269662</v>
      </c>
      <c r="G125" s="37">
        <v>5.3155710564654983</v>
      </c>
      <c r="H125" s="9">
        <v>5.91413182640943</v>
      </c>
    </row>
    <row r="126" spans="2:12" ht="18" customHeight="1" x14ac:dyDescent="0.4">
      <c r="B126" s="14">
        <v>6</v>
      </c>
      <c r="C126" s="29">
        <v>94</v>
      </c>
      <c r="D126" s="37">
        <v>847</v>
      </c>
      <c r="E126" s="30">
        <v>964</v>
      </c>
      <c r="F126" s="23">
        <v>0.60156284490750955</v>
      </c>
      <c r="G126" s="37">
        <v>5.414153900490045</v>
      </c>
      <c r="H126" s="9">
        <v>6.026709637543596</v>
      </c>
    </row>
    <row r="127" spans="2:12" ht="18" customHeight="1" x14ac:dyDescent="0.4">
      <c r="B127" s="14">
        <v>7</v>
      </c>
      <c r="C127" s="29">
        <v>101</v>
      </c>
      <c r="D127" s="37">
        <v>906</v>
      </c>
      <c r="E127" s="30">
        <v>1028</v>
      </c>
      <c r="F127" s="23">
        <v>0.61052492163701377</v>
      </c>
      <c r="G127" s="37">
        <v>5.4948125910555827</v>
      </c>
      <c r="H127" s="9">
        <v>6.1193324798022166</v>
      </c>
    </row>
    <row r="128" spans="2:12" ht="18" customHeight="1" x14ac:dyDescent="0.4">
      <c r="B128" s="14">
        <v>8</v>
      </c>
      <c r="C128" s="29">
        <v>106</v>
      </c>
      <c r="D128" s="37">
        <v>955</v>
      </c>
      <c r="E128" s="30">
        <v>1084</v>
      </c>
      <c r="F128" s="23">
        <v>0.61851573881947819</v>
      </c>
      <c r="G128" s="37">
        <v>5.5665533530528455</v>
      </c>
      <c r="H128" s="9">
        <v>6.1980045031124451</v>
      </c>
    </row>
    <row r="129" spans="2:36" ht="18" customHeight="1" x14ac:dyDescent="0.4">
      <c r="B129" s="14">
        <v>9</v>
      </c>
      <c r="C129" s="29">
        <v>111</v>
      </c>
      <c r="D129" s="37">
        <v>996</v>
      </c>
      <c r="E129" s="30">
        <v>1130</v>
      </c>
      <c r="F129" s="23">
        <v>0.62544700013244448</v>
      </c>
      <c r="G129" s="37">
        <v>5.6292878901593753</v>
      </c>
      <c r="H129" s="9">
        <v>6.2647123747295925</v>
      </c>
    </row>
    <row r="130" spans="2:36" ht="18" customHeight="1" x14ac:dyDescent="0.4">
      <c r="B130" s="14">
        <v>10</v>
      </c>
      <c r="C130" s="29">
        <v>115</v>
      </c>
      <c r="D130" s="37">
        <v>1036</v>
      </c>
      <c r="E130" s="30">
        <v>1172</v>
      </c>
      <c r="F130" s="23">
        <v>0.63145115005960006</v>
      </c>
      <c r="G130" s="37">
        <v>5.6831044986976291</v>
      </c>
      <c r="H130" s="9">
        <v>6.3234735773255046</v>
      </c>
    </row>
    <row r="131" spans="2:36" ht="18" customHeight="1" x14ac:dyDescent="0.4">
      <c r="B131" s="14">
        <v>11</v>
      </c>
      <c r="C131" s="29">
        <v>115</v>
      </c>
      <c r="D131" s="37">
        <v>1037</v>
      </c>
      <c r="E131" s="30">
        <v>1172</v>
      </c>
      <c r="F131" s="23">
        <v>0.68725442585316321</v>
      </c>
      <c r="G131" s="37">
        <v>6.1850249437110945</v>
      </c>
      <c r="H131" s="9">
        <v>6.8792547790384528</v>
      </c>
    </row>
    <row r="132" spans="2:36" ht="18" customHeight="1" thickBot="1" x14ac:dyDescent="0.45">
      <c r="B132" s="15">
        <v>12</v>
      </c>
      <c r="C132" s="31">
        <v>115</v>
      </c>
      <c r="D132" s="38">
        <v>1037</v>
      </c>
      <c r="E132" s="32">
        <v>1173</v>
      </c>
      <c r="F132" s="24">
        <v>0.72111606551587126</v>
      </c>
      <c r="G132" s="38">
        <v>6.4898238488366964</v>
      </c>
      <c r="H132" s="10">
        <v>7.221844510176151</v>
      </c>
    </row>
    <row r="133" spans="2:36" ht="4.95" customHeight="1" thickBot="1" x14ac:dyDescent="0.45"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</row>
    <row r="134" spans="2:36" ht="18" customHeight="1" x14ac:dyDescent="0.4">
      <c r="B134" s="47" t="s">
        <v>73</v>
      </c>
      <c r="C134" s="48"/>
      <c r="D134" s="48"/>
      <c r="E134" s="48"/>
      <c r="F134" s="48"/>
      <c r="G134" s="48"/>
      <c r="H134" s="48"/>
      <c r="I134" s="48"/>
      <c r="J134" s="48"/>
      <c r="K134" s="48"/>
      <c r="L134" s="49"/>
      <c r="R134" s="34"/>
      <c r="S134" s="34"/>
      <c r="T134" s="34"/>
      <c r="U134" s="34"/>
      <c r="V134" s="34"/>
      <c r="W134" s="34"/>
      <c r="X134" s="34"/>
      <c r="Y134" s="34"/>
      <c r="Z134" s="34"/>
    </row>
    <row r="135" spans="2:36" ht="18" customHeight="1" x14ac:dyDescent="0.4">
      <c r="B135" s="50" t="s">
        <v>72</v>
      </c>
      <c r="C135" s="33"/>
      <c r="D135" s="33"/>
      <c r="E135" s="33"/>
      <c r="F135" s="33"/>
      <c r="G135" s="33"/>
      <c r="H135" s="33"/>
      <c r="I135" s="33"/>
      <c r="J135" s="33"/>
      <c r="K135" s="33"/>
      <c r="L135" s="51"/>
      <c r="R135" s="34"/>
      <c r="S135" s="34"/>
      <c r="T135" s="34"/>
      <c r="U135" s="34"/>
      <c r="V135" s="34"/>
      <c r="W135" s="34"/>
      <c r="X135" s="34"/>
      <c r="Y135" s="34"/>
      <c r="Z135" s="34"/>
    </row>
    <row r="136" spans="2:36" ht="18" customHeight="1" x14ac:dyDescent="0.4">
      <c r="B136" s="50" t="s">
        <v>79</v>
      </c>
      <c r="C136" s="33"/>
      <c r="D136" s="33"/>
      <c r="E136" s="33"/>
      <c r="F136" s="33"/>
      <c r="G136" s="33"/>
      <c r="H136" s="33"/>
      <c r="I136" s="33"/>
      <c r="J136" s="33"/>
      <c r="K136" s="33"/>
      <c r="L136" s="51"/>
    </row>
    <row r="137" spans="2:36" ht="18" customHeight="1" x14ac:dyDescent="0.4">
      <c r="B137" s="50" t="s">
        <v>74</v>
      </c>
      <c r="C137" s="33"/>
      <c r="D137" s="33"/>
      <c r="E137" s="33"/>
      <c r="F137" s="33"/>
      <c r="G137" s="33"/>
      <c r="H137" s="33"/>
      <c r="I137" s="33"/>
      <c r="J137" s="33"/>
      <c r="K137" s="33"/>
      <c r="L137" s="51"/>
    </row>
    <row r="138" spans="2:36" ht="18" customHeight="1" thickBot="1" x14ac:dyDescent="0.45">
      <c r="B138" s="52" t="s">
        <v>75</v>
      </c>
      <c r="C138" s="53"/>
      <c r="D138" s="53"/>
      <c r="E138" s="53"/>
      <c r="F138" s="53"/>
      <c r="G138" s="53"/>
      <c r="H138" s="53"/>
      <c r="I138" s="53"/>
      <c r="J138" s="53"/>
      <c r="K138" s="53"/>
      <c r="L138" s="54"/>
    </row>
    <row r="139" spans="2:36" ht="18" customHeight="1" thickBot="1" x14ac:dyDescent="0.45"/>
    <row r="140" spans="2:36" ht="18" customHeight="1" x14ac:dyDescent="0.4">
      <c r="B140" s="265" t="s">
        <v>76</v>
      </c>
      <c r="C140" s="266"/>
      <c r="D140" s="266"/>
      <c r="E140" s="266"/>
      <c r="F140" s="267"/>
      <c r="G140" s="62"/>
      <c r="H140" s="62"/>
    </row>
    <row r="141" spans="2:36" ht="18" customHeight="1" x14ac:dyDescent="0.4">
      <c r="B141" s="260" t="s">
        <v>2</v>
      </c>
      <c r="C141" s="261" t="s">
        <v>3</v>
      </c>
      <c r="D141" s="262"/>
      <c r="E141" s="263" t="s">
        <v>1</v>
      </c>
      <c r="F141" s="264"/>
      <c r="G141" s="63"/>
      <c r="H141" s="63"/>
      <c r="I141" s="34"/>
      <c r="J141" s="34"/>
      <c r="K141" s="34"/>
      <c r="L141" s="34"/>
      <c r="M141" s="34"/>
    </row>
    <row r="142" spans="2:36" ht="18" customHeight="1" x14ac:dyDescent="0.4">
      <c r="B142" s="260"/>
      <c r="C142" s="40" t="s">
        <v>77</v>
      </c>
      <c r="D142" s="43" t="s">
        <v>78</v>
      </c>
      <c r="E142" s="40" t="s">
        <v>77</v>
      </c>
      <c r="F142" s="45" t="s">
        <v>78</v>
      </c>
      <c r="G142" s="64"/>
      <c r="H142" s="64"/>
      <c r="I142" s="34"/>
      <c r="J142" s="34"/>
      <c r="K142" s="34"/>
      <c r="L142" s="34"/>
      <c r="M142" s="34"/>
    </row>
    <row r="143" spans="2:36" ht="18" customHeight="1" x14ac:dyDescent="0.4">
      <c r="B143" s="13">
        <v>1</v>
      </c>
      <c r="C143" s="27">
        <v>101</v>
      </c>
      <c r="D143" s="28">
        <v>909</v>
      </c>
      <c r="E143" s="27">
        <v>1.6559106422587651</v>
      </c>
      <c r="F143" s="8">
        <v>14.903373077434511</v>
      </c>
      <c r="G143" s="35"/>
      <c r="H143" s="35"/>
      <c r="I143" s="35"/>
      <c r="J143" s="35"/>
      <c r="K143" s="34"/>
      <c r="L143" s="34"/>
      <c r="M143" s="34"/>
    </row>
    <row r="144" spans="2:36" ht="18" customHeight="1" x14ac:dyDescent="0.4">
      <c r="B144" s="14">
        <v>2</v>
      </c>
      <c r="C144" s="29">
        <v>178</v>
      </c>
      <c r="D144" s="30">
        <v>1615</v>
      </c>
      <c r="E144" s="29">
        <v>1.817915872523381</v>
      </c>
      <c r="F144" s="9">
        <v>16.364301227782455</v>
      </c>
      <c r="G144" s="35"/>
      <c r="H144" s="35"/>
      <c r="I144" s="34"/>
      <c r="J144" s="34"/>
      <c r="K144" s="34"/>
      <c r="L144" s="34"/>
      <c r="M144" s="34"/>
    </row>
    <row r="145" spans="2:36" ht="18" customHeight="1" x14ac:dyDescent="0.4">
      <c r="B145" s="14">
        <v>3</v>
      </c>
      <c r="C145" s="29">
        <v>228</v>
      </c>
      <c r="D145" s="30">
        <v>2069</v>
      </c>
      <c r="E145" s="29">
        <v>1.5050308053721022</v>
      </c>
      <c r="F145" s="9">
        <v>17.139266876468241</v>
      </c>
      <c r="G145" s="35"/>
      <c r="H145" s="34"/>
      <c r="I145" s="34"/>
      <c r="J145" s="34"/>
      <c r="K145" s="34"/>
      <c r="L145" s="34"/>
      <c r="M145" s="34"/>
    </row>
    <row r="146" spans="2:36" ht="18" customHeight="1" x14ac:dyDescent="0.4">
      <c r="B146" s="14">
        <v>4</v>
      </c>
      <c r="C146" s="29">
        <v>267</v>
      </c>
      <c r="D146" s="30">
        <v>2422</v>
      </c>
      <c r="E146" s="29">
        <v>1.9659146314436418</v>
      </c>
      <c r="F146" s="9">
        <v>17.693231682992774</v>
      </c>
      <c r="G146" s="35"/>
      <c r="H146" s="35"/>
      <c r="I146" s="35"/>
      <c r="J146" s="35"/>
      <c r="K146" s="34"/>
      <c r="L146" s="34"/>
      <c r="M146" s="34"/>
    </row>
    <row r="147" spans="2:36" ht="18" customHeight="1" x14ac:dyDescent="0.4">
      <c r="B147" s="14">
        <v>5</v>
      </c>
      <c r="C147" s="29">
        <v>299</v>
      </c>
      <c r="D147" s="30">
        <v>2703</v>
      </c>
      <c r="E147" s="29">
        <v>2.0138734985151365</v>
      </c>
      <c r="F147" s="9">
        <v>18.121182571694519</v>
      </c>
      <c r="G147" s="35"/>
      <c r="H147" s="35"/>
      <c r="I147" s="35"/>
      <c r="J147" s="35"/>
      <c r="K147" s="34"/>
      <c r="L147" s="34"/>
      <c r="M147" s="34"/>
    </row>
    <row r="148" spans="2:36" ht="18" customHeight="1" x14ac:dyDescent="0.4">
      <c r="B148" s="14">
        <v>6</v>
      </c>
      <c r="C148" s="29">
        <v>324</v>
      </c>
      <c r="D148" s="30">
        <v>2937</v>
      </c>
      <c r="E148" s="29">
        <v>2.0519037276716459</v>
      </c>
      <c r="F148" s="9">
        <v>18.46518328088294</v>
      </c>
      <c r="G148" s="35"/>
      <c r="H148" s="35"/>
      <c r="I148" s="35"/>
      <c r="J148" s="35"/>
      <c r="K148" s="34"/>
      <c r="L148" s="34"/>
      <c r="M148" s="34"/>
    </row>
    <row r="149" spans="2:36" ht="18" customHeight="1" x14ac:dyDescent="0.4">
      <c r="B149" s="14">
        <v>7</v>
      </c>
      <c r="C149" s="29">
        <v>346</v>
      </c>
      <c r="D149" s="30">
        <v>3133</v>
      </c>
      <c r="E149" s="29">
        <v>2.0839058552369134</v>
      </c>
      <c r="F149" s="9">
        <v>18.750188378174727</v>
      </c>
      <c r="G149" s="35"/>
      <c r="H149" s="35"/>
      <c r="I149" s="35"/>
      <c r="J149" s="34"/>
      <c r="K149" s="34"/>
      <c r="L149" s="34"/>
      <c r="M149" s="34"/>
    </row>
    <row r="150" spans="2:36" ht="18" customHeight="1" x14ac:dyDescent="0.4">
      <c r="B150" s="14">
        <v>8</v>
      </c>
      <c r="C150" s="29">
        <v>364</v>
      </c>
      <c r="D150" s="30">
        <v>3301</v>
      </c>
      <c r="E150" s="29">
        <v>2.1108993395682814</v>
      </c>
      <c r="F150" s="9">
        <v>18.990160010637826</v>
      </c>
      <c r="G150" s="35"/>
      <c r="H150" s="35"/>
      <c r="I150" s="35"/>
      <c r="J150" s="35"/>
      <c r="K150" s="34"/>
      <c r="L150" s="34"/>
      <c r="M150" s="34"/>
    </row>
    <row r="151" spans="2:36" ht="18" customHeight="1" x14ac:dyDescent="0.4">
      <c r="B151" s="14">
        <v>9</v>
      </c>
      <c r="C151" s="29">
        <v>380</v>
      </c>
      <c r="D151" s="30">
        <v>3441</v>
      </c>
      <c r="E151" s="29">
        <v>2.1339036390230928</v>
      </c>
      <c r="F151" s="9">
        <v>19.196179247373788</v>
      </c>
      <c r="G151" s="35"/>
      <c r="H151" s="35"/>
      <c r="I151" s="35"/>
      <c r="J151" s="35"/>
      <c r="K151" s="34"/>
      <c r="L151" s="34"/>
      <c r="M151" s="34"/>
    </row>
    <row r="152" spans="2:36" ht="18" customHeight="1" x14ac:dyDescent="0.4">
      <c r="B152" s="14">
        <v>10</v>
      </c>
      <c r="C152" s="29">
        <v>394</v>
      </c>
      <c r="D152" s="30">
        <v>3570</v>
      </c>
      <c r="E152" s="29">
        <v>2.1538938876822837</v>
      </c>
      <c r="F152" s="9">
        <v>19.375160675501974</v>
      </c>
      <c r="G152" s="35"/>
      <c r="H152" s="35"/>
      <c r="I152" s="35"/>
      <c r="J152" s="35"/>
      <c r="K152" s="34"/>
      <c r="L152" s="34"/>
      <c r="M152" s="34"/>
    </row>
    <row r="153" spans="2:36" ht="18" customHeight="1" x14ac:dyDescent="0.4">
      <c r="B153" s="14">
        <v>11</v>
      </c>
      <c r="C153" s="29">
        <v>394</v>
      </c>
      <c r="D153" s="30">
        <v>3572</v>
      </c>
      <c r="E153" s="29">
        <v>2.3428926022782677</v>
      </c>
      <c r="F153" s="9">
        <v>21.07707991667036</v>
      </c>
      <c r="G153" s="35"/>
      <c r="H153" s="35"/>
      <c r="I153" s="35"/>
      <c r="J153" s="34"/>
      <c r="K153" s="34"/>
      <c r="L153" s="34"/>
      <c r="M153" s="34"/>
    </row>
    <row r="154" spans="2:36" ht="18" customHeight="1" thickBot="1" x14ac:dyDescent="0.45">
      <c r="B154" s="15">
        <v>12</v>
      </c>
      <c r="C154" s="31">
        <v>394</v>
      </c>
      <c r="D154" s="32">
        <v>3573</v>
      </c>
      <c r="E154" s="31">
        <v>2.4599086919906035</v>
      </c>
      <c r="F154" s="10">
        <v>22.126013917822792</v>
      </c>
      <c r="G154" s="35"/>
      <c r="H154" s="35"/>
      <c r="I154" s="35"/>
      <c r="J154" s="34"/>
      <c r="K154" s="34"/>
    </row>
    <row r="155" spans="2:36" ht="4.95" customHeight="1" thickBot="1" x14ac:dyDescent="0.45"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</row>
    <row r="156" spans="2:36" ht="18" customHeight="1" x14ac:dyDescent="0.4">
      <c r="B156" s="47" t="s">
        <v>80</v>
      </c>
      <c r="C156" s="48"/>
      <c r="D156" s="48"/>
      <c r="E156" s="48"/>
      <c r="F156" s="48"/>
      <c r="G156" s="48"/>
      <c r="H156" s="48"/>
      <c r="I156" s="48"/>
      <c r="J156" s="48"/>
      <c r="K156" s="48"/>
      <c r="L156" s="49"/>
    </row>
    <row r="157" spans="2:36" ht="18" customHeight="1" x14ac:dyDescent="0.4">
      <c r="B157" s="50" t="s">
        <v>81</v>
      </c>
      <c r="C157" s="33"/>
      <c r="D157" s="33"/>
      <c r="E157" s="33"/>
      <c r="F157" s="33"/>
      <c r="G157" s="33"/>
      <c r="H157" s="33"/>
      <c r="I157" s="33"/>
      <c r="J157" s="33"/>
      <c r="K157" s="33"/>
      <c r="L157" s="51"/>
    </row>
    <row r="158" spans="2:36" ht="18" customHeight="1" thickBot="1" x14ac:dyDescent="0.45">
      <c r="B158" s="52" t="s">
        <v>82</v>
      </c>
      <c r="C158" s="53"/>
      <c r="D158" s="53"/>
      <c r="E158" s="53"/>
      <c r="F158" s="53"/>
      <c r="G158" s="53"/>
      <c r="H158" s="53"/>
      <c r="I158" s="53"/>
      <c r="J158" s="53"/>
      <c r="K158" s="53"/>
      <c r="L158" s="54"/>
    </row>
  </sheetData>
  <mergeCells count="29">
    <mergeCell ref="B27:B28"/>
    <mergeCell ref="C27:E27"/>
    <mergeCell ref="F27:H27"/>
    <mergeCell ref="B47:J47"/>
    <mergeCell ref="B2:L2"/>
    <mergeCell ref="B3:B4"/>
    <mergeCell ref="C3:G3"/>
    <mergeCell ref="H3:L3"/>
    <mergeCell ref="B26:H26"/>
    <mergeCell ref="B72:N72"/>
    <mergeCell ref="B73:B74"/>
    <mergeCell ref="C73:H73"/>
    <mergeCell ref="I73:N73"/>
    <mergeCell ref="B48:B49"/>
    <mergeCell ref="C48:F48"/>
    <mergeCell ref="G48:J48"/>
    <mergeCell ref="P84:T84"/>
    <mergeCell ref="B141:B142"/>
    <mergeCell ref="C141:D141"/>
    <mergeCell ref="E141:F141"/>
    <mergeCell ref="B118:H118"/>
    <mergeCell ref="B119:B120"/>
    <mergeCell ref="C119:E119"/>
    <mergeCell ref="F119:H119"/>
    <mergeCell ref="B140:F140"/>
    <mergeCell ref="B97:B98"/>
    <mergeCell ref="B96:F96"/>
    <mergeCell ref="E97:F97"/>
    <mergeCell ref="C97:D9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6337C-6898-47C8-8F38-6E73899F0632}">
  <dimension ref="A1:R64"/>
  <sheetViews>
    <sheetView zoomScale="85" zoomScaleNormal="85" workbookViewId="0"/>
  </sheetViews>
  <sheetFormatPr defaultRowHeight="17.399999999999999" x14ac:dyDescent="0.4"/>
  <cols>
    <col min="1" max="1" width="1.59765625" customWidth="1"/>
    <col min="2" max="2" width="5.19921875" bestFit="1" customWidth="1"/>
    <col min="3" max="3" width="11.59765625" bestFit="1" customWidth="1"/>
    <col min="4" max="4" width="11.59765625" customWidth="1"/>
    <col min="5" max="5" width="1.59765625" customWidth="1"/>
    <col min="6" max="6" width="5.19921875" bestFit="1" customWidth="1"/>
    <col min="7" max="10" width="11.59765625" customWidth="1"/>
    <col min="11" max="11" width="1.59765625" customWidth="1"/>
    <col min="12" max="12" width="5.19921875" bestFit="1" customWidth="1"/>
    <col min="13" max="18" width="11.59765625" customWidth="1"/>
    <col min="19" max="19" width="1.59765625" customWidth="1"/>
  </cols>
  <sheetData>
    <row r="1" spans="2:18" ht="9.9" customHeight="1" thickBot="1" x14ac:dyDescent="0.45"/>
    <row r="2" spans="2:18" ht="24" x14ac:dyDescent="0.4">
      <c r="B2" s="283" t="s">
        <v>0</v>
      </c>
      <c r="C2" s="284"/>
      <c r="D2" s="285"/>
      <c r="F2" s="275" t="s">
        <v>9</v>
      </c>
      <c r="G2" s="276"/>
      <c r="H2" s="276"/>
      <c r="I2" s="276"/>
      <c r="J2" s="277"/>
      <c r="L2" s="275" t="s">
        <v>4</v>
      </c>
      <c r="M2" s="276"/>
      <c r="N2" s="276"/>
      <c r="O2" s="276"/>
      <c r="P2" s="276"/>
      <c r="Q2" s="276"/>
      <c r="R2" s="277"/>
    </row>
    <row r="3" spans="2:18" x14ac:dyDescent="0.4">
      <c r="B3" s="278" t="s">
        <v>2</v>
      </c>
      <c r="C3" s="17" t="s">
        <v>3</v>
      </c>
      <c r="D3" s="16" t="s">
        <v>1</v>
      </c>
      <c r="F3" s="278" t="s">
        <v>2</v>
      </c>
      <c r="G3" s="279" t="s">
        <v>3</v>
      </c>
      <c r="H3" s="280"/>
      <c r="I3" s="281" t="s">
        <v>1</v>
      </c>
      <c r="J3" s="282"/>
      <c r="L3" s="278" t="s">
        <v>2</v>
      </c>
      <c r="M3" s="279" t="s">
        <v>3</v>
      </c>
      <c r="N3" s="286"/>
      <c r="O3" s="280"/>
      <c r="P3" s="281" t="s">
        <v>1</v>
      </c>
      <c r="Q3" s="286"/>
      <c r="R3" s="282"/>
    </row>
    <row r="4" spans="2:18" x14ac:dyDescent="0.4">
      <c r="B4" s="278"/>
      <c r="C4" s="17" t="s">
        <v>5</v>
      </c>
      <c r="D4" s="16" t="s">
        <v>5</v>
      </c>
      <c r="F4" s="278"/>
      <c r="G4" s="25" t="s">
        <v>5</v>
      </c>
      <c r="H4" s="26" t="s">
        <v>10</v>
      </c>
      <c r="I4" s="21" t="s">
        <v>5</v>
      </c>
      <c r="J4" s="12" t="s">
        <v>10</v>
      </c>
      <c r="L4" s="278"/>
      <c r="M4" s="25" t="s">
        <v>7</v>
      </c>
      <c r="N4" s="11" t="s">
        <v>8</v>
      </c>
      <c r="O4" s="26" t="s">
        <v>6</v>
      </c>
      <c r="P4" s="21" t="s">
        <v>7</v>
      </c>
      <c r="Q4" s="11" t="s">
        <v>8</v>
      </c>
      <c r="R4" s="12" t="s">
        <v>6</v>
      </c>
    </row>
    <row r="5" spans="2:18" x14ac:dyDescent="0.4">
      <c r="B5" s="13">
        <v>1</v>
      </c>
      <c r="C5" s="18">
        <v>213</v>
      </c>
      <c r="D5" s="2">
        <v>3.4948680718970611</v>
      </c>
      <c r="F5" s="13">
        <v>1</v>
      </c>
      <c r="G5" s="27">
        <v>126</v>
      </c>
      <c r="H5" s="28">
        <v>159</v>
      </c>
      <c r="I5" s="22">
        <v>2.0528713763580835</v>
      </c>
      <c r="J5" s="8">
        <v>2.6118760326440693</v>
      </c>
      <c r="L5" s="13">
        <v>1</v>
      </c>
      <c r="M5" s="27">
        <v>65</v>
      </c>
      <c r="N5" s="1">
        <v>195</v>
      </c>
      <c r="O5" s="28">
        <v>65</v>
      </c>
      <c r="P5" s="22">
        <v>1.064937665848896</v>
      </c>
      <c r="Q5" s="7">
        <v>3.1958644169629</v>
      </c>
      <c r="R5" s="8">
        <v>1.1540579782706655</v>
      </c>
    </row>
    <row r="6" spans="2:18" x14ac:dyDescent="0.4">
      <c r="B6" s="14">
        <v>2</v>
      </c>
      <c r="C6" s="19">
        <v>379</v>
      </c>
      <c r="D6" s="4">
        <v>3.8378310719471287</v>
      </c>
      <c r="F6" s="14">
        <v>2</v>
      </c>
      <c r="G6" s="29">
        <v>222</v>
      </c>
      <c r="H6" s="30">
        <v>283</v>
      </c>
      <c r="I6" s="23">
        <v>2.2538927552195465</v>
      </c>
      <c r="J6" s="9">
        <v>2.8678716266960396</v>
      </c>
      <c r="L6" s="14">
        <v>2</v>
      </c>
      <c r="M6" s="29">
        <v>115</v>
      </c>
      <c r="N6" s="3">
        <v>346</v>
      </c>
      <c r="O6" s="30">
        <v>115</v>
      </c>
      <c r="P6" s="23">
        <v>1.1689280528713764</v>
      </c>
      <c r="Q6" s="3">
        <v>3.5077855104390929</v>
      </c>
      <c r="R6" s="9">
        <v>1.1689280528713764</v>
      </c>
    </row>
    <row r="7" spans="2:18" x14ac:dyDescent="0.4">
      <c r="B7" s="14">
        <v>3</v>
      </c>
      <c r="C7" s="19">
        <v>486</v>
      </c>
      <c r="D7" s="4">
        <v>4.0197766985430334</v>
      </c>
      <c r="F7" s="14">
        <v>3</v>
      </c>
      <c r="G7" s="29">
        <v>284</v>
      </c>
      <c r="H7" s="30">
        <v>362</v>
      </c>
      <c r="I7" s="23">
        <v>2.3608871977169179</v>
      </c>
      <c r="J7" s="9">
        <v>3.0038552045261104</v>
      </c>
      <c r="L7" s="14">
        <v>3</v>
      </c>
      <c r="M7" s="29">
        <v>147</v>
      </c>
      <c r="N7" s="3">
        <v>444</v>
      </c>
      <c r="O7" s="30">
        <v>147</v>
      </c>
      <c r="P7" s="23">
        <v>1.2239022680618836</v>
      </c>
      <c r="Q7" s="3">
        <v>3.6758123466680019</v>
      </c>
      <c r="R7" s="9">
        <v>1.2239022680618836</v>
      </c>
    </row>
    <row r="8" spans="2:18" x14ac:dyDescent="0.4">
      <c r="B8" s="14">
        <v>4</v>
      </c>
      <c r="C8" s="19">
        <v>570</v>
      </c>
      <c r="D8" s="4">
        <v>4.1488509487808543</v>
      </c>
      <c r="F8" s="14">
        <v>4</v>
      </c>
      <c r="G8" s="29">
        <v>333</v>
      </c>
      <c r="H8" s="30">
        <v>423</v>
      </c>
      <c r="I8" s="23">
        <v>2.4368898012316627</v>
      </c>
      <c r="J8" s="9">
        <v>3.1008361287738446</v>
      </c>
      <c r="L8" s="14">
        <v>4</v>
      </c>
      <c r="M8" s="29">
        <v>171</v>
      </c>
      <c r="N8" s="3">
        <v>520</v>
      </c>
      <c r="O8" s="30">
        <v>171</v>
      </c>
      <c r="P8" s="23">
        <v>1.2639563410604315</v>
      </c>
      <c r="Q8" s="3">
        <v>3.7958243628899013</v>
      </c>
      <c r="R8" s="9">
        <v>1.2639563410604315</v>
      </c>
    </row>
    <row r="9" spans="2:18" x14ac:dyDescent="0.4">
      <c r="B9" s="14">
        <v>5</v>
      </c>
      <c r="C9" s="19">
        <v>635</v>
      </c>
      <c r="D9" s="4">
        <v>4.2497872127371954</v>
      </c>
      <c r="F9" s="14">
        <v>5</v>
      </c>
      <c r="G9" s="29">
        <v>372</v>
      </c>
      <c r="H9" s="30">
        <v>472</v>
      </c>
      <c r="I9" s="23">
        <v>2.495919491313273</v>
      </c>
      <c r="J9" s="9">
        <v>3.175837380463626</v>
      </c>
      <c r="L9" s="14">
        <v>5</v>
      </c>
      <c r="M9" s="29">
        <v>191</v>
      </c>
      <c r="N9" s="3">
        <v>578</v>
      </c>
      <c r="O9" s="30">
        <v>191</v>
      </c>
      <c r="P9" s="23">
        <v>1.2949481800430582</v>
      </c>
      <c r="Q9" s="3">
        <v>3.8877985280128171</v>
      </c>
      <c r="R9" s="9">
        <v>1.2949481800430582</v>
      </c>
    </row>
    <row r="10" spans="2:18" x14ac:dyDescent="0.4">
      <c r="B10" s="14">
        <v>6</v>
      </c>
      <c r="C10" s="19">
        <v>691</v>
      </c>
      <c r="D10" s="4">
        <v>4.330796575376759</v>
      </c>
      <c r="F10" s="14">
        <v>6</v>
      </c>
      <c r="G10" s="29">
        <v>405</v>
      </c>
      <c r="H10" s="30">
        <v>513</v>
      </c>
      <c r="I10" s="23">
        <v>2.5428328243128222</v>
      </c>
      <c r="J10" s="9">
        <v>3.2358684223701997</v>
      </c>
      <c r="L10" s="14">
        <v>6</v>
      </c>
      <c r="M10" s="29">
        <v>208</v>
      </c>
      <c r="N10" s="3">
        <v>626</v>
      </c>
      <c r="O10" s="30">
        <v>208</v>
      </c>
      <c r="P10" s="23">
        <v>1.3199319080759024</v>
      </c>
      <c r="Q10" s="3">
        <v>3.9597957242277073</v>
      </c>
      <c r="R10" s="9">
        <v>1.3199319080759024</v>
      </c>
    </row>
    <row r="11" spans="2:18" x14ac:dyDescent="0.4">
      <c r="B11" s="14">
        <v>7</v>
      </c>
      <c r="C11" s="19">
        <v>736</v>
      </c>
      <c r="D11" s="4">
        <v>4.3977870124668303</v>
      </c>
      <c r="F11" s="14">
        <v>7</v>
      </c>
      <c r="G11" s="29">
        <v>432</v>
      </c>
      <c r="H11" s="30">
        <v>548</v>
      </c>
      <c r="I11" s="23">
        <v>2.5818354778951584</v>
      </c>
      <c r="J11" s="9">
        <v>3.2858358784358885</v>
      </c>
      <c r="L11" s="14">
        <v>7</v>
      </c>
      <c r="M11" s="29">
        <v>221</v>
      </c>
      <c r="N11" s="3">
        <v>666</v>
      </c>
      <c r="O11" s="30">
        <v>221</v>
      </c>
      <c r="P11" s="23">
        <v>1.3399589445751765</v>
      </c>
      <c r="Q11" s="3">
        <v>4.0197766985430334</v>
      </c>
      <c r="R11" s="9">
        <v>1.3399589445751765</v>
      </c>
    </row>
    <row r="12" spans="2:18" x14ac:dyDescent="0.4">
      <c r="B12" s="14">
        <v>8</v>
      </c>
      <c r="C12" s="19">
        <v>775</v>
      </c>
      <c r="D12" s="4">
        <v>4.4538126470735495</v>
      </c>
      <c r="F12" s="14">
        <v>8</v>
      </c>
      <c r="G12" s="29">
        <v>455</v>
      </c>
      <c r="H12" s="30">
        <v>577</v>
      </c>
      <c r="I12" s="23">
        <v>2.6148300205277124</v>
      </c>
      <c r="J12" s="9">
        <v>3.3278425874931159</v>
      </c>
      <c r="L12" s="14">
        <v>8</v>
      </c>
      <c r="M12" s="29">
        <v>233</v>
      </c>
      <c r="N12" s="3">
        <v>702</v>
      </c>
      <c r="O12" s="30">
        <v>233</v>
      </c>
      <c r="P12" s="23">
        <v>1.3569318580083112</v>
      </c>
      <c r="Q12" s="3">
        <v>4.0717969258498972</v>
      </c>
      <c r="R12" s="9">
        <v>1.3569318580083112</v>
      </c>
    </row>
    <row r="13" spans="2:18" x14ac:dyDescent="0.4">
      <c r="B13" s="14">
        <v>9</v>
      </c>
      <c r="C13" s="19">
        <v>809</v>
      </c>
      <c r="D13" s="4">
        <v>4.5017773994893107</v>
      </c>
      <c r="F13" s="14">
        <v>9</v>
      </c>
      <c r="G13" s="29">
        <v>474</v>
      </c>
      <c r="H13" s="30">
        <v>601</v>
      </c>
      <c r="I13" s="23">
        <v>2.642867871626696</v>
      </c>
      <c r="J13" s="9">
        <v>3.3638411856005606</v>
      </c>
      <c r="L13" s="14">
        <v>9</v>
      </c>
      <c r="M13" s="29">
        <v>243</v>
      </c>
      <c r="N13" s="3">
        <v>732</v>
      </c>
      <c r="O13" s="30">
        <v>243</v>
      </c>
      <c r="P13" s="23">
        <v>1.3719521353827668</v>
      </c>
      <c r="Q13" s="3">
        <v>4.1158063385570518</v>
      </c>
      <c r="R13" s="9">
        <v>1.3719521353827668</v>
      </c>
    </row>
    <row r="14" spans="2:18" x14ac:dyDescent="0.4">
      <c r="B14" s="14">
        <v>10</v>
      </c>
      <c r="C14" s="19">
        <v>839</v>
      </c>
      <c r="D14" s="4">
        <v>4.5437841085465402</v>
      </c>
      <c r="F14" s="14">
        <v>10</v>
      </c>
      <c r="G14" s="29">
        <v>492</v>
      </c>
      <c r="H14" s="30">
        <v>623</v>
      </c>
      <c r="I14" s="23">
        <v>2.6678515996595404</v>
      </c>
      <c r="J14" s="9">
        <v>3.3948330245831873</v>
      </c>
      <c r="L14" s="14">
        <v>10</v>
      </c>
      <c r="M14" s="29">
        <v>252</v>
      </c>
      <c r="N14" s="3">
        <v>760</v>
      </c>
      <c r="O14" s="30">
        <v>252</v>
      </c>
      <c r="P14" s="23">
        <v>1.3849697091072948</v>
      </c>
      <c r="Q14" s="3">
        <v>4.1558103439643519</v>
      </c>
      <c r="R14" s="9">
        <v>1.3849697091072948</v>
      </c>
    </row>
    <row r="15" spans="2:18" x14ac:dyDescent="0.4">
      <c r="B15" s="14">
        <v>11</v>
      </c>
      <c r="C15" s="19">
        <v>839</v>
      </c>
      <c r="D15" s="4">
        <v>4.9427727432033244</v>
      </c>
      <c r="F15" s="14">
        <v>11</v>
      </c>
      <c r="G15" s="29">
        <v>492</v>
      </c>
      <c r="H15" s="30">
        <v>624</v>
      </c>
      <c r="I15" s="23">
        <v>2.9018675211535574</v>
      </c>
      <c r="J15" s="9">
        <v>3.6927852601011364</v>
      </c>
      <c r="L15" s="14">
        <v>11</v>
      </c>
      <c r="M15" s="29">
        <v>253</v>
      </c>
      <c r="N15" s="3">
        <v>761</v>
      </c>
      <c r="O15" s="30">
        <v>253</v>
      </c>
      <c r="P15" s="23">
        <v>1.5068842937966254</v>
      </c>
      <c r="Q15" s="3">
        <v>4.5197516647474094</v>
      </c>
      <c r="R15" s="9">
        <v>1.5068842937966254</v>
      </c>
    </row>
    <row r="16" spans="2:18" ht="18" thickBot="1" x14ac:dyDescent="0.45">
      <c r="B16" s="15">
        <v>12</v>
      </c>
      <c r="C16" s="20">
        <v>840</v>
      </c>
      <c r="D16" s="6">
        <v>5.1887047514144093</v>
      </c>
      <c r="F16" s="15">
        <v>12</v>
      </c>
      <c r="G16" s="31">
        <v>492</v>
      </c>
      <c r="H16" s="32">
        <v>624</v>
      </c>
      <c r="I16" s="24">
        <v>3.0458619135833374</v>
      </c>
      <c r="J16" s="10">
        <v>3.8767836579382164</v>
      </c>
      <c r="L16" s="15">
        <v>12</v>
      </c>
      <c r="M16" s="31">
        <v>253</v>
      </c>
      <c r="N16" s="5">
        <v>761</v>
      </c>
      <c r="O16" s="32">
        <v>253</v>
      </c>
      <c r="P16" s="24">
        <v>1.5818855454864067</v>
      </c>
      <c r="Q16" s="5">
        <v>4.7437540679917891</v>
      </c>
      <c r="R16" s="10">
        <v>1.5818855454864067</v>
      </c>
    </row>
    <row r="17" spans="2:18" ht="9.9" customHeight="1" thickBot="1" x14ac:dyDescent="0.45"/>
    <row r="18" spans="2:18" ht="24" x14ac:dyDescent="0.4">
      <c r="B18" s="283" t="s">
        <v>16</v>
      </c>
      <c r="C18" s="284"/>
      <c r="D18" s="285"/>
      <c r="F18" s="275" t="s">
        <v>17</v>
      </c>
      <c r="G18" s="276"/>
      <c r="H18" s="276"/>
      <c r="I18" s="276"/>
      <c r="J18" s="277"/>
      <c r="L18" s="275" t="s">
        <v>11</v>
      </c>
      <c r="M18" s="276"/>
      <c r="N18" s="276"/>
      <c r="O18" s="276"/>
      <c r="P18" s="276"/>
      <c r="Q18" s="276"/>
      <c r="R18" s="277"/>
    </row>
    <row r="19" spans="2:18" x14ac:dyDescent="0.4">
      <c r="B19" s="278" t="s">
        <v>2</v>
      </c>
      <c r="C19" s="17" t="s">
        <v>3</v>
      </c>
      <c r="D19" s="16" t="s">
        <v>1</v>
      </c>
      <c r="F19" s="278" t="s">
        <v>2</v>
      </c>
      <c r="G19" s="279" t="s">
        <v>3</v>
      </c>
      <c r="H19" s="280"/>
      <c r="I19" s="281" t="s">
        <v>1</v>
      </c>
      <c r="J19" s="282"/>
      <c r="L19" s="278" t="s">
        <v>2</v>
      </c>
      <c r="M19" s="279" t="s">
        <v>3</v>
      </c>
      <c r="N19" s="286"/>
      <c r="O19" s="280"/>
      <c r="P19" s="281" t="s">
        <v>1</v>
      </c>
      <c r="Q19" s="286"/>
      <c r="R19" s="282"/>
    </row>
    <row r="20" spans="2:18" x14ac:dyDescent="0.4">
      <c r="B20" s="278"/>
      <c r="C20" s="17" t="s">
        <v>5</v>
      </c>
      <c r="D20" s="16" t="s">
        <v>5</v>
      </c>
      <c r="F20" s="278"/>
      <c r="G20" s="25" t="s">
        <v>18</v>
      </c>
      <c r="H20" s="26" t="s">
        <v>19</v>
      </c>
      <c r="I20" s="21" t="s">
        <v>18</v>
      </c>
      <c r="J20" s="12" t="s">
        <v>19</v>
      </c>
      <c r="L20" s="278"/>
      <c r="M20" s="25" t="s">
        <v>5</v>
      </c>
      <c r="N20" s="11" t="s">
        <v>10</v>
      </c>
      <c r="O20" s="26" t="s">
        <v>15</v>
      </c>
      <c r="P20" s="21" t="s">
        <v>5</v>
      </c>
      <c r="Q20" s="11" t="s">
        <v>10</v>
      </c>
      <c r="R20" s="12" t="s">
        <v>15</v>
      </c>
    </row>
    <row r="21" spans="2:18" x14ac:dyDescent="0.4">
      <c r="B21" s="13">
        <v>1</v>
      </c>
      <c r="C21" s="18">
        <v>321</v>
      </c>
      <c r="D21" s="2">
        <v>5.2647848368990484</v>
      </c>
      <c r="F21" s="13">
        <v>1</v>
      </c>
      <c r="G21" s="27">
        <v>81</v>
      </c>
      <c r="H21" s="28">
        <v>239</v>
      </c>
      <c r="I21" s="22">
        <v>1.3079394777515658</v>
      </c>
      <c r="J21" s="8">
        <v>3.9238591068087532</v>
      </c>
      <c r="L21" s="13">
        <v>1</v>
      </c>
      <c r="M21" s="27">
        <v>90</v>
      </c>
      <c r="N21" s="1">
        <v>127</v>
      </c>
      <c r="O21" s="28">
        <v>144</v>
      </c>
      <c r="P21" s="22">
        <v>1.4849507849995933</v>
      </c>
      <c r="Q21" s="7">
        <v>2.0789066948669976</v>
      </c>
      <c r="R21" s="8">
        <v>2.3759049865777273</v>
      </c>
    </row>
    <row r="22" spans="2:18" x14ac:dyDescent="0.4">
      <c r="B22" s="14">
        <v>2</v>
      </c>
      <c r="C22" s="19">
        <v>570</v>
      </c>
      <c r="D22" s="4">
        <v>5.7807695436427231</v>
      </c>
      <c r="F22" s="14">
        <v>2</v>
      </c>
      <c r="G22" s="29">
        <v>143</v>
      </c>
      <c r="H22" s="30">
        <v>425</v>
      </c>
      <c r="I22" s="23">
        <v>1.4359391523631335</v>
      </c>
      <c r="J22" s="9">
        <v>4.3088342959407795</v>
      </c>
      <c r="L22" s="14">
        <v>2</v>
      </c>
      <c r="M22" s="29">
        <v>161</v>
      </c>
      <c r="N22" s="3">
        <v>224</v>
      </c>
      <c r="O22" s="30">
        <v>257</v>
      </c>
      <c r="P22" s="23">
        <v>1.6309281705035386</v>
      </c>
      <c r="Q22" s="3">
        <v>2.2829252420076465</v>
      </c>
      <c r="R22" s="9">
        <v>2.6088831042056455</v>
      </c>
    </row>
    <row r="23" spans="2:18" x14ac:dyDescent="0.4">
      <c r="B23" s="14">
        <v>3</v>
      </c>
      <c r="C23" s="19">
        <v>731</v>
      </c>
      <c r="D23" s="4">
        <v>6.054746603758236</v>
      </c>
      <c r="F23" s="14">
        <v>3</v>
      </c>
      <c r="G23" s="29">
        <v>184</v>
      </c>
      <c r="H23" s="30">
        <v>545</v>
      </c>
      <c r="I23" s="23">
        <v>1.5039046611892948</v>
      </c>
      <c r="J23" s="9">
        <v>4.5128121695273737</v>
      </c>
      <c r="L23" s="14">
        <v>3</v>
      </c>
      <c r="M23" s="29">
        <v>206</v>
      </c>
      <c r="N23" s="3">
        <v>288</v>
      </c>
      <c r="O23" s="30">
        <v>329</v>
      </c>
      <c r="P23" s="23">
        <v>1.7079232083299438</v>
      </c>
      <c r="Q23" s="3">
        <v>2.3909135280240785</v>
      </c>
      <c r="R23" s="9">
        <v>2.7328967705198082</v>
      </c>
    </row>
    <row r="24" spans="2:18" x14ac:dyDescent="0.4">
      <c r="B24" s="14">
        <v>4</v>
      </c>
      <c r="C24" s="19">
        <v>855</v>
      </c>
      <c r="D24" s="4">
        <v>6.2507524607500207</v>
      </c>
      <c r="F24" s="14">
        <v>4</v>
      </c>
      <c r="G24" s="29">
        <v>216</v>
      </c>
      <c r="H24" s="30">
        <v>637</v>
      </c>
      <c r="I24" s="23">
        <v>1.5518994549743756</v>
      </c>
      <c r="J24" s="9">
        <v>4.6587895550313183</v>
      </c>
      <c r="L24" s="14">
        <v>4</v>
      </c>
      <c r="M24" s="29">
        <v>242</v>
      </c>
      <c r="N24" s="3">
        <v>337</v>
      </c>
      <c r="O24" s="30">
        <v>385</v>
      </c>
      <c r="P24" s="23">
        <v>1.7629138534125113</v>
      </c>
      <c r="Q24" s="3">
        <v>2.4679085658504842</v>
      </c>
      <c r="R24" s="9">
        <v>2.8208736679411048</v>
      </c>
    </row>
    <row r="25" spans="2:18" x14ac:dyDescent="0.4">
      <c r="B25" s="14">
        <v>5</v>
      </c>
      <c r="C25" s="19">
        <v>954</v>
      </c>
      <c r="D25" s="4">
        <v>6.4017733669568049</v>
      </c>
      <c r="F25" s="14">
        <v>5</v>
      </c>
      <c r="G25" s="29">
        <v>242</v>
      </c>
      <c r="H25" s="30">
        <v>710</v>
      </c>
      <c r="I25" s="23">
        <v>1.5879362238672414</v>
      </c>
      <c r="J25" s="9">
        <v>4.7718213617505896</v>
      </c>
      <c r="L25" s="14">
        <v>5</v>
      </c>
      <c r="M25" s="29">
        <v>270</v>
      </c>
      <c r="N25" s="3">
        <v>376</v>
      </c>
      <c r="O25" s="30">
        <v>429</v>
      </c>
      <c r="P25" s="23">
        <v>1.8059058000488082</v>
      </c>
      <c r="Q25" s="3">
        <v>2.527902058081835</v>
      </c>
      <c r="R25" s="9">
        <v>2.8888798503213211</v>
      </c>
    </row>
    <row r="26" spans="2:18" x14ac:dyDescent="0.4">
      <c r="B26" s="14">
        <v>6</v>
      </c>
      <c r="C26" s="19">
        <v>1038</v>
      </c>
      <c r="D26" s="4">
        <v>6.5237126820141542</v>
      </c>
      <c r="F26" s="14">
        <v>6</v>
      </c>
      <c r="G26" s="29">
        <v>264</v>
      </c>
      <c r="H26" s="30">
        <v>773</v>
      </c>
      <c r="I26" s="23">
        <v>1.6199056373545921</v>
      </c>
      <c r="J26" s="9">
        <v>4.862808102171968</v>
      </c>
      <c r="L26" s="14">
        <v>6</v>
      </c>
      <c r="M26" s="29">
        <v>293</v>
      </c>
      <c r="N26" s="3">
        <v>408</v>
      </c>
      <c r="O26" s="30">
        <v>467</v>
      </c>
      <c r="P26" s="23">
        <v>1.8399088912389165</v>
      </c>
      <c r="Q26" s="3">
        <v>2.5758968518669163</v>
      </c>
      <c r="R26" s="9">
        <v>2.9439111689579436</v>
      </c>
    </row>
    <row r="27" spans="2:18" x14ac:dyDescent="0.4">
      <c r="B27" s="14">
        <v>7</v>
      </c>
      <c r="C27" s="19">
        <v>1107</v>
      </c>
      <c r="D27" s="4">
        <v>6.6247051167331001</v>
      </c>
      <c r="F27" s="14">
        <v>7</v>
      </c>
      <c r="G27" s="29">
        <v>282</v>
      </c>
      <c r="H27" s="30">
        <v>824</v>
      </c>
      <c r="I27" s="23">
        <v>1.6439030342471326</v>
      </c>
      <c r="J27" s="9">
        <v>4.9378101358496709</v>
      </c>
      <c r="L27" s="14">
        <v>7</v>
      </c>
      <c r="M27" s="29">
        <v>313</v>
      </c>
      <c r="N27" s="3">
        <v>435</v>
      </c>
      <c r="O27" s="30">
        <v>498</v>
      </c>
      <c r="P27" s="23">
        <v>1.867932969982917</v>
      </c>
      <c r="Q27" s="3">
        <v>2.6158789555031317</v>
      </c>
      <c r="R27" s="9">
        <v>2.9888961197429431</v>
      </c>
    </row>
    <row r="28" spans="2:18" x14ac:dyDescent="0.4">
      <c r="B28" s="14">
        <v>8</v>
      </c>
      <c r="C28" s="19">
        <v>1166</v>
      </c>
      <c r="D28" s="4">
        <v>6.7097128447083705</v>
      </c>
      <c r="F28" s="14">
        <v>8</v>
      </c>
      <c r="G28" s="29">
        <v>296</v>
      </c>
      <c r="H28" s="30">
        <v>869</v>
      </c>
      <c r="I28" s="23">
        <v>1.663914422842268</v>
      </c>
      <c r="J28" s="9">
        <v>5.0007727975270475</v>
      </c>
      <c r="L28" s="14">
        <v>8</v>
      </c>
      <c r="M28" s="29">
        <v>330</v>
      </c>
      <c r="N28" s="3">
        <v>458</v>
      </c>
      <c r="O28" s="30">
        <v>525</v>
      </c>
      <c r="P28" s="23">
        <v>1.8919303668754577</v>
      </c>
      <c r="Q28" s="3">
        <v>2.6489058813959163</v>
      </c>
      <c r="R28" s="9">
        <v>3.0268852192304565</v>
      </c>
    </row>
    <row r="29" spans="2:18" x14ac:dyDescent="0.4">
      <c r="B29" s="14">
        <v>9</v>
      </c>
      <c r="C29" s="19">
        <v>1215</v>
      </c>
      <c r="D29" s="4">
        <v>6.7827218742373709</v>
      </c>
      <c r="F29" s="14">
        <v>9</v>
      </c>
      <c r="G29" s="29">
        <v>308</v>
      </c>
      <c r="H29" s="30">
        <v>905</v>
      </c>
      <c r="I29" s="23">
        <v>1.6839258114374034</v>
      </c>
      <c r="J29" s="9">
        <v>5.0547872773122915</v>
      </c>
      <c r="L29" s="14">
        <v>9</v>
      </c>
      <c r="M29" s="29">
        <v>344</v>
      </c>
      <c r="N29" s="3">
        <v>477</v>
      </c>
      <c r="O29" s="30">
        <v>548</v>
      </c>
      <c r="P29" s="23">
        <v>1.9119010819165378</v>
      </c>
      <c r="Q29" s="3">
        <v>2.6779061254372407</v>
      </c>
      <c r="R29" s="9">
        <v>3.0598714715691857</v>
      </c>
    </row>
    <row r="30" spans="2:18" x14ac:dyDescent="0.4">
      <c r="B30" s="14">
        <v>10</v>
      </c>
      <c r="C30" s="19">
        <v>1260</v>
      </c>
      <c r="D30" s="4">
        <v>6.845725209468803</v>
      </c>
      <c r="F30" s="14">
        <v>10</v>
      </c>
      <c r="G30" s="29">
        <v>322</v>
      </c>
      <c r="H30" s="30">
        <v>939</v>
      </c>
      <c r="I30" s="23">
        <v>1.6999105181810787</v>
      </c>
      <c r="J30" s="9">
        <v>5.1017652322459934</v>
      </c>
      <c r="L30" s="14">
        <v>10</v>
      </c>
      <c r="M30" s="29">
        <v>357</v>
      </c>
      <c r="N30" s="3">
        <v>495</v>
      </c>
      <c r="O30" s="30">
        <v>568</v>
      </c>
      <c r="P30" s="23">
        <v>1.9299194663629708</v>
      </c>
      <c r="Q30" s="3">
        <v>2.7028796876271048</v>
      </c>
      <c r="R30" s="9">
        <v>3.0888717156105101</v>
      </c>
    </row>
    <row r="31" spans="2:18" x14ac:dyDescent="0.4">
      <c r="B31" s="14">
        <v>11</v>
      </c>
      <c r="C31" s="19">
        <v>1261</v>
      </c>
      <c r="D31" s="4">
        <v>7.4466769706336944</v>
      </c>
      <c r="F31" s="14">
        <v>11</v>
      </c>
      <c r="G31" s="29">
        <v>322</v>
      </c>
      <c r="H31" s="30">
        <v>939</v>
      </c>
      <c r="I31" s="23">
        <v>1.8479215813877816</v>
      </c>
      <c r="J31" s="9">
        <v>5.5497844301635073</v>
      </c>
      <c r="L31" s="14">
        <v>11</v>
      </c>
      <c r="M31" s="29">
        <v>358</v>
      </c>
      <c r="N31" s="3">
        <v>495</v>
      </c>
      <c r="O31" s="30">
        <v>568</v>
      </c>
      <c r="P31" s="23">
        <v>2.0998942487594565</v>
      </c>
      <c r="Q31" s="3">
        <v>2.9398844871064833</v>
      </c>
      <c r="R31" s="9">
        <v>3.3598389327259417</v>
      </c>
    </row>
    <row r="32" spans="2:18" ht="18" thickBot="1" x14ac:dyDescent="0.45">
      <c r="B32" s="15">
        <v>12</v>
      </c>
      <c r="C32" s="20">
        <v>1261</v>
      </c>
      <c r="D32" s="6">
        <v>7.817701130724803</v>
      </c>
      <c r="F32" s="15">
        <v>12</v>
      </c>
      <c r="G32" s="31">
        <v>322</v>
      </c>
      <c r="H32" s="32">
        <v>939</v>
      </c>
      <c r="I32" s="24">
        <v>1.9399251606605386</v>
      </c>
      <c r="J32" s="10">
        <v>5.8257951679817781</v>
      </c>
      <c r="L32" s="15">
        <v>12</v>
      </c>
      <c r="M32" s="31">
        <v>358</v>
      </c>
      <c r="N32" s="5">
        <v>495</v>
      </c>
      <c r="O32" s="32">
        <v>568</v>
      </c>
      <c r="P32" s="24">
        <v>2.2049133653298627</v>
      </c>
      <c r="Q32" s="5">
        <v>3.0858618726104288</v>
      </c>
      <c r="R32" s="10">
        <v>3.526844545676401</v>
      </c>
    </row>
    <row r="33" spans="2:18" ht="9.9" customHeight="1" thickBot="1" x14ac:dyDescent="0.45"/>
    <row r="34" spans="2:18" ht="24" x14ac:dyDescent="0.4">
      <c r="B34" s="283" t="s">
        <v>23</v>
      </c>
      <c r="C34" s="284"/>
      <c r="D34" s="285"/>
      <c r="F34" s="275" t="s">
        <v>20</v>
      </c>
      <c r="G34" s="276"/>
      <c r="H34" s="276"/>
      <c r="I34" s="276"/>
      <c r="J34" s="277"/>
      <c r="L34" s="275" t="s">
        <v>22</v>
      </c>
      <c r="M34" s="276"/>
      <c r="N34" s="276"/>
      <c r="O34" s="276"/>
      <c r="P34" s="276"/>
      <c r="Q34" s="276"/>
      <c r="R34" s="277"/>
    </row>
    <row r="35" spans="2:18" x14ac:dyDescent="0.4">
      <c r="B35" s="278" t="s">
        <v>2</v>
      </c>
      <c r="C35" s="17" t="s">
        <v>3</v>
      </c>
      <c r="D35" s="16" t="s">
        <v>1</v>
      </c>
      <c r="F35" s="278" t="s">
        <v>2</v>
      </c>
      <c r="G35" s="279" t="s">
        <v>3</v>
      </c>
      <c r="H35" s="280"/>
      <c r="I35" s="281" t="s">
        <v>1</v>
      </c>
      <c r="J35" s="282"/>
      <c r="L35" s="278" t="s">
        <v>2</v>
      </c>
      <c r="M35" s="279" t="s">
        <v>3</v>
      </c>
      <c r="N35" s="286"/>
      <c r="O35" s="280"/>
      <c r="P35" s="281" t="s">
        <v>1</v>
      </c>
      <c r="Q35" s="286"/>
      <c r="R35" s="282"/>
    </row>
    <row r="36" spans="2:18" x14ac:dyDescent="0.4">
      <c r="B36" s="278"/>
      <c r="C36" s="17" t="s">
        <v>5</v>
      </c>
      <c r="D36" s="16" t="s">
        <v>5</v>
      </c>
      <c r="F36" s="278"/>
      <c r="G36" s="25" t="s">
        <v>5</v>
      </c>
      <c r="H36" s="26" t="s">
        <v>10</v>
      </c>
      <c r="I36" s="21" t="s">
        <v>5</v>
      </c>
      <c r="J36" s="12" t="s">
        <v>10</v>
      </c>
      <c r="L36" s="278"/>
      <c r="M36" s="25" t="s">
        <v>24</v>
      </c>
      <c r="N36" s="11" t="s">
        <v>25</v>
      </c>
      <c r="O36" s="26" t="s">
        <v>26</v>
      </c>
      <c r="P36" s="21" t="s">
        <v>24</v>
      </c>
      <c r="Q36" s="11" t="s">
        <v>25</v>
      </c>
      <c r="R36" s="12" t="s">
        <v>26</v>
      </c>
    </row>
    <row r="37" spans="2:18" x14ac:dyDescent="0.4">
      <c r="B37" s="13">
        <v>1</v>
      </c>
      <c r="C37" s="18">
        <v>494</v>
      </c>
      <c r="D37" s="2">
        <v>8.0846416659887748</v>
      </c>
      <c r="F37" s="13">
        <v>1</v>
      </c>
      <c r="G37" s="27">
        <v>199</v>
      </c>
      <c r="H37" s="28">
        <v>538</v>
      </c>
      <c r="I37" s="22">
        <v>3.2558773285609695</v>
      </c>
      <c r="J37" s="8">
        <v>8.8036280810217189</v>
      </c>
      <c r="L37" s="13">
        <v>1</v>
      </c>
      <c r="M37" s="27">
        <v>36</v>
      </c>
      <c r="N37" s="1">
        <v>208</v>
      </c>
      <c r="O37" s="28">
        <v>86</v>
      </c>
      <c r="P37" s="22">
        <v>0.59399658342145933</v>
      </c>
      <c r="Q37" s="7">
        <v>1.5511673310013829</v>
      </c>
      <c r="R37" s="8">
        <v>1.4039290653217278</v>
      </c>
    </row>
    <row r="38" spans="2:18" x14ac:dyDescent="0.4">
      <c r="B38" s="14">
        <v>2</v>
      </c>
      <c r="C38" s="19">
        <v>877</v>
      </c>
      <c r="D38" s="4">
        <v>8.8766371105507194</v>
      </c>
      <c r="F38" s="14">
        <v>2</v>
      </c>
      <c r="G38" s="29">
        <v>354</v>
      </c>
      <c r="H38" s="30">
        <v>955</v>
      </c>
      <c r="I38" s="23">
        <v>3.5748393394614824</v>
      </c>
      <c r="J38" s="9">
        <v>9.6665988774099088</v>
      </c>
      <c r="L38" s="14">
        <v>2</v>
      </c>
      <c r="M38" s="29">
        <v>64</v>
      </c>
      <c r="N38" s="3">
        <v>361</v>
      </c>
      <c r="O38" s="30">
        <v>153</v>
      </c>
      <c r="P38" s="23">
        <v>0.65199707150410802</v>
      </c>
      <c r="Q38" s="3">
        <v>3.7378182705604814</v>
      </c>
      <c r="R38" s="9">
        <v>1.5419344342308632</v>
      </c>
    </row>
    <row r="39" spans="2:18" x14ac:dyDescent="0.4">
      <c r="B39" s="14">
        <v>3</v>
      </c>
      <c r="C39" s="19">
        <v>1123</v>
      </c>
      <c r="D39" s="4">
        <v>9.2966322297242332</v>
      </c>
      <c r="F39" s="14">
        <v>3</v>
      </c>
      <c r="G39" s="29">
        <v>453</v>
      </c>
      <c r="H39" s="30">
        <v>1224</v>
      </c>
      <c r="I39" s="23">
        <v>3.7438379565606441</v>
      </c>
      <c r="J39" s="9">
        <v>10.124583096070936</v>
      </c>
      <c r="L39" s="14">
        <v>3</v>
      </c>
      <c r="M39" s="29">
        <v>82</v>
      </c>
      <c r="N39" s="3">
        <v>462</v>
      </c>
      <c r="O39" s="30">
        <v>196</v>
      </c>
      <c r="P39" s="23">
        <v>0.68294964614007969</v>
      </c>
      <c r="Q39" s="3">
        <v>3.9128772472138618</v>
      </c>
      <c r="R39" s="9">
        <v>1.6149434637598634</v>
      </c>
    </row>
    <row r="40" spans="2:18" x14ac:dyDescent="0.4">
      <c r="B40" s="14">
        <v>4</v>
      </c>
      <c r="C40" s="19">
        <v>1314</v>
      </c>
      <c r="D40" s="4">
        <v>9.5976165297323686</v>
      </c>
      <c r="F40" s="14">
        <v>4</v>
      </c>
      <c r="G40" s="29">
        <v>529</v>
      </c>
      <c r="H40" s="30">
        <v>1431</v>
      </c>
      <c r="I40" s="23">
        <v>3.8648417798747254</v>
      </c>
      <c r="J40" s="9">
        <v>10.452574635971692</v>
      </c>
      <c r="L40" s="14">
        <v>4</v>
      </c>
      <c r="M40" s="29">
        <v>96</v>
      </c>
      <c r="N40" s="3">
        <v>540</v>
      </c>
      <c r="O40" s="30">
        <v>230</v>
      </c>
      <c r="P40" s="23">
        <v>0.70499471243797285</v>
      </c>
      <c r="Q40" s="3">
        <v>3.9981290165134631</v>
      </c>
      <c r="R40" s="9">
        <v>1.6669242658423493</v>
      </c>
    </row>
    <row r="41" spans="2:18" x14ac:dyDescent="0.4">
      <c r="B41" s="14">
        <v>5</v>
      </c>
      <c r="C41" s="19">
        <v>1466</v>
      </c>
      <c r="D41" s="4">
        <v>9.829618482062962</v>
      </c>
      <c r="F41" s="14">
        <v>5</v>
      </c>
      <c r="G41" s="29">
        <v>590</v>
      </c>
      <c r="H41" s="30">
        <v>1597</v>
      </c>
      <c r="I41" s="23">
        <v>3.9578621979988613</v>
      </c>
      <c r="J41" s="9">
        <v>10.705564142194746</v>
      </c>
      <c r="L41" s="14">
        <v>5</v>
      </c>
      <c r="M41" s="29">
        <v>107</v>
      </c>
      <c r="N41" s="3">
        <v>603</v>
      </c>
      <c r="O41" s="30">
        <v>256</v>
      </c>
      <c r="P41" s="23">
        <v>0.72199625803302692</v>
      </c>
      <c r="Q41" s="3">
        <v>4.1368258358415355</v>
      </c>
      <c r="R41" s="9">
        <v>1.7069470430326201</v>
      </c>
    </row>
    <row r="42" spans="2:18" x14ac:dyDescent="0.4">
      <c r="B42" s="14">
        <v>6</v>
      </c>
      <c r="C42" s="19">
        <v>1595</v>
      </c>
      <c r="D42" s="4">
        <v>10.016554136500448</v>
      </c>
      <c r="F42" s="14">
        <v>6</v>
      </c>
      <c r="G42" s="29">
        <v>642</v>
      </c>
      <c r="H42" s="30">
        <v>1736</v>
      </c>
      <c r="I42" s="23">
        <v>4.0328235581225087</v>
      </c>
      <c r="J42" s="9">
        <v>10.908565850484015</v>
      </c>
      <c r="L42" s="14">
        <v>6</v>
      </c>
      <c r="M42" s="29">
        <v>116</v>
      </c>
      <c r="N42" s="3">
        <v>659</v>
      </c>
      <c r="O42" s="30">
        <v>278</v>
      </c>
      <c r="P42" s="23">
        <v>0.73598796062799965</v>
      </c>
      <c r="Q42" s="3">
        <v>4.2138208736679408</v>
      </c>
      <c r="R42" s="9">
        <v>1.7389571300740259</v>
      </c>
    </row>
    <row r="43" spans="2:18" x14ac:dyDescent="0.4">
      <c r="B43" s="14">
        <v>7</v>
      </c>
      <c r="C43" s="19">
        <v>1701</v>
      </c>
      <c r="D43" s="4">
        <v>10.170584885707314</v>
      </c>
      <c r="F43" s="14">
        <v>7</v>
      </c>
      <c r="G43" s="29">
        <v>684</v>
      </c>
      <c r="H43" s="30">
        <v>1852</v>
      </c>
      <c r="I43" s="23">
        <v>4.0948507280566178</v>
      </c>
      <c r="J43" s="9">
        <v>11.076547628731799</v>
      </c>
      <c r="L43" s="14">
        <v>7</v>
      </c>
      <c r="M43" s="29">
        <v>124</v>
      </c>
      <c r="N43" s="3">
        <v>704</v>
      </c>
      <c r="O43" s="30">
        <v>297</v>
      </c>
      <c r="P43" s="23">
        <v>0.74696982022289105</v>
      </c>
      <c r="Q43" s="3">
        <v>4.2768242088993738</v>
      </c>
      <c r="R43" s="9">
        <v>1.7659236964125926</v>
      </c>
    </row>
    <row r="44" spans="2:18" x14ac:dyDescent="0.4">
      <c r="B44" s="14">
        <v>8</v>
      </c>
      <c r="C44" s="19">
        <v>1792</v>
      </c>
      <c r="D44" s="4">
        <v>10.300577564467583</v>
      </c>
      <c r="F44" s="14">
        <v>8</v>
      </c>
      <c r="G44" s="29">
        <v>721</v>
      </c>
      <c r="H44" s="30">
        <v>1951</v>
      </c>
      <c r="I44" s="23">
        <v>4.1468315301391039</v>
      </c>
      <c r="J44" s="9">
        <v>11.218539005938339</v>
      </c>
      <c r="L44" s="14">
        <v>8</v>
      </c>
      <c r="M44" s="29">
        <v>131</v>
      </c>
      <c r="N44" s="3">
        <v>743</v>
      </c>
      <c r="O44" s="30">
        <v>313</v>
      </c>
      <c r="P44" s="23">
        <v>0.75697551452045875</v>
      </c>
      <c r="Q44" s="3">
        <v>4.3328316928333201</v>
      </c>
      <c r="R44" s="9">
        <v>1.7889042544537541</v>
      </c>
    </row>
    <row r="45" spans="2:18" x14ac:dyDescent="0.4">
      <c r="B45" s="14">
        <v>9</v>
      </c>
      <c r="C45" s="19">
        <v>1868</v>
      </c>
      <c r="D45" s="4">
        <v>10.412592532335475</v>
      </c>
      <c r="F45" s="14">
        <v>9</v>
      </c>
      <c r="G45" s="29">
        <v>751</v>
      </c>
      <c r="H45" s="30">
        <v>2033</v>
      </c>
      <c r="I45" s="23">
        <v>4.1918164809241034</v>
      </c>
      <c r="J45" s="9">
        <v>11.340559668103799</v>
      </c>
      <c r="L45" s="14">
        <v>9</v>
      </c>
      <c r="M45" s="29">
        <v>136</v>
      </c>
      <c r="N45" s="3">
        <v>774</v>
      </c>
      <c r="O45" s="30">
        <v>326</v>
      </c>
      <c r="P45" s="23">
        <v>0.76498820466932405</v>
      </c>
      <c r="Q45" s="3">
        <v>4.3818433254697799</v>
      </c>
      <c r="R45" s="9">
        <v>1.8079394777515658</v>
      </c>
    </row>
    <row r="46" spans="2:18" x14ac:dyDescent="0.4">
      <c r="B46" s="14">
        <v>10</v>
      </c>
      <c r="C46" s="19">
        <v>1939</v>
      </c>
      <c r="D46" s="4">
        <v>10.509558285202962</v>
      </c>
      <c r="F46" s="14">
        <v>10</v>
      </c>
      <c r="G46" s="29">
        <v>779</v>
      </c>
      <c r="H46" s="30">
        <v>2109</v>
      </c>
      <c r="I46" s="23">
        <v>4.2308224192629948</v>
      </c>
      <c r="J46" s="9">
        <v>11.446554949971528</v>
      </c>
      <c r="L46" s="14">
        <v>10</v>
      </c>
      <c r="M46" s="29">
        <v>142</v>
      </c>
      <c r="N46" s="3">
        <v>806</v>
      </c>
      <c r="O46" s="30">
        <v>338</v>
      </c>
      <c r="P46" s="23">
        <v>0.77194338241275517</v>
      </c>
      <c r="Q46" s="3">
        <v>4.4238184332546977</v>
      </c>
      <c r="R46" s="9">
        <v>1.8249410233466201</v>
      </c>
    </row>
    <row r="47" spans="2:18" x14ac:dyDescent="0.4">
      <c r="B47" s="14">
        <v>11</v>
      </c>
      <c r="C47" s="19">
        <v>1939</v>
      </c>
      <c r="D47" s="4">
        <v>11.432563247376557</v>
      </c>
      <c r="F47" s="14">
        <v>11</v>
      </c>
      <c r="G47" s="29">
        <v>779</v>
      </c>
      <c r="H47" s="30">
        <v>2110</v>
      </c>
      <c r="I47" s="23">
        <v>4.6028227446514274</v>
      </c>
      <c r="J47" s="9">
        <v>12.452493288863581</v>
      </c>
      <c r="L47" s="14">
        <v>11</v>
      </c>
      <c r="M47" s="29">
        <v>142</v>
      </c>
      <c r="N47" s="3">
        <v>806</v>
      </c>
      <c r="O47" s="30">
        <v>338</v>
      </c>
      <c r="P47" s="23">
        <v>0.83994956479297156</v>
      </c>
      <c r="Q47" s="3">
        <v>4.8158301472382661</v>
      </c>
      <c r="R47" s="9">
        <v>1.9849507849995933</v>
      </c>
    </row>
    <row r="48" spans="2:18" ht="18" thickBot="1" x14ac:dyDescent="0.45">
      <c r="B48" s="15">
        <v>12</v>
      </c>
      <c r="C48" s="20">
        <v>1940</v>
      </c>
      <c r="D48" s="6">
        <v>12.001504921500041</v>
      </c>
      <c r="F48" s="15">
        <v>12</v>
      </c>
      <c r="G48" s="31">
        <v>779</v>
      </c>
      <c r="H48" s="32">
        <v>2110</v>
      </c>
      <c r="I48" s="24">
        <v>4.8318148539819408</v>
      </c>
      <c r="J48" s="10">
        <v>13.072520946880338</v>
      </c>
      <c r="L48" s="15">
        <v>12</v>
      </c>
      <c r="M48" s="31">
        <v>142</v>
      </c>
      <c r="N48" s="5">
        <v>807</v>
      </c>
      <c r="O48" s="32">
        <v>339</v>
      </c>
      <c r="P48" s="24">
        <v>0.88196534613194499</v>
      </c>
      <c r="Q48" s="5">
        <v>5.053770438460913</v>
      </c>
      <c r="R48" s="10">
        <v>2.0839095420157814</v>
      </c>
    </row>
    <row r="49" spans="1:10" ht="9.9" customHeight="1" thickBot="1" x14ac:dyDescent="0.45"/>
    <row r="50" spans="1:10" ht="24" x14ac:dyDescent="0.4">
      <c r="A50" s="34"/>
      <c r="B50" s="34"/>
      <c r="C50" s="35"/>
      <c r="D50" s="34"/>
      <c r="F50" s="275" t="s">
        <v>21</v>
      </c>
      <c r="G50" s="276"/>
      <c r="H50" s="276"/>
      <c r="I50" s="276"/>
      <c r="J50" s="277"/>
    </row>
    <row r="51" spans="1:10" x14ac:dyDescent="0.4">
      <c r="A51" s="34"/>
      <c r="B51" s="34"/>
      <c r="C51" s="34"/>
      <c r="D51" s="34"/>
      <c r="F51" s="278" t="s">
        <v>2</v>
      </c>
      <c r="G51" s="279" t="s">
        <v>3</v>
      </c>
      <c r="H51" s="280"/>
      <c r="I51" s="281" t="s">
        <v>1</v>
      </c>
      <c r="J51" s="282"/>
    </row>
    <row r="52" spans="1:10" x14ac:dyDescent="0.4">
      <c r="A52" s="34"/>
      <c r="B52" s="34"/>
      <c r="C52" s="34"/>
      <c r="D52" s="34"/>
      <c r="F52" s="278"/>
      <c r="G52" s="25" t="s">
        <v>25</v>
      </c>
      <c r="H52" s="26" t="s">
        <v>6</v>
      </c>
      <c r="I52" s="21" t="s">
        <v>25</v>
      </c>
      <c r="J52" s="12" t="s">
        <v>6</v>
      </c>
    </row>
    <row r="53" spans="1:10" x14ac:dyDescent="0.4">
      <c r="A53" s="34"/>
      <c r="B53" s="34"/>
      <c r="C53" s="34"/>
      <c r="D53" s="34"/>
      <c r="F53" s="13">
        <v>1</v>
      </c>
      <c r="G53" s="27">
        <v>401</v>
      </c>
      <c r="H53" s="28">
        <v>134</v>
      </c>
      <c r="I53" s="22">
        <v>6.6177092654356136</v>
      </c>
      <c r="J53" s="8">
        <v>2.2049133653298627</v>
      </c>
    </row>
    <row r="54" spans="1:10" x14ac:dyDescent="0.4">
      <c r="A54" s="34"/>
      <c r="B54" s="34"/>
      <c r="C54" s="34"/>
      <c r="D54" s="34"/>
      <c r="F54" s="14">
        <v>2</v>
      </c>
      <c r="G54" s="29">
        <v>714</v>
      </c>
      <c r="H54" s="30">
        <v>239</v>
      </c>
      <c r="I54" s="23">
        <v>7.2647034897909375</v>
      </c>
      <c r="J54" s="9">
        <v>2.4208899373627268</v>
      </c>
    </row>
    <row r="55" spans="1:10" x14ac:dyDescent="0.4">
      <c r="A55" s="34"/>
      <c r="B55" s="34"/>
      <c r="C55" s="34"/>
      <c r="D55" s="34"/>
      <c r="F55" s="14">
        <v>3</v>
      </c>
      <c r="G55" s="29">
        <v>912</v>
      </c>
      <c r="H55" s="30">
        <v>306</v>
      </c>
      <c r="I55" s="23">
        <v>7.6096965752867485</v>
      </c>
      <c r="J55" s="9">
        <v>2.5359147482307005</v>
      </c>
    </row>
    <row r="56" spans="1:10" x14ac:dyDescent="0.4">
      <c r="A56" s="34"/>
      <c r="B56" s="34"/>
      <c r="C56" s="34"/>
      <c r="D56" s="34"/>
      <c r="F56" s="14">
        <v>4</v>
      </c>
      <c r="G56" s="29">
        <v>1071</v>
      </c>
      <c r="H56" s="30">
        <v>358</v>
      </c>
      <c r="I56" s="23">
        <v>7.8536972260636135</v>
      </c>
      <c r="J56" s="9">
        <v>2.6179126332058895</v>
      </c>
    </row>
    <row r="57" spans="1:10" x14ac:dyDescent="0.4">
      <c r="A57" s="34"/>
      <c r="B57" s="34"/>
      <c r="C57" s="34"/>
      <c r="D57" s="34"/>
      <c r="F57" s="14">
        <v>5</v>
      </c>
      <c r="G57" s="29">
        <v>1194</v>
      </c>
      <c r="H57" s="30">
        <v>399</v>
      </c>
      <c r="I57" s="23">
        <v>8.0416497193524776</v>
      </c>
      <c r="J57" s="9">
        <v>2.6809159684373221</v>
      </c>
    </row>
    <row r="58" spans="1:10" x14ac:dyDescent="0.4">
      <c r="A58" s="34"/>
      <c r="B58" s="34"/>
      <c r="C58" s="34"/>
      <c r="D58" s="34"/>
      <c r="F58" s="14">
        <v>6</v>
      </c>
      <c r="G58" s="29">
        <v>1300</v>
      </c>
      <c r="H58" s="30">
        <v>434</v>
      </c>
      <c r="I58" s="23">
        <v>8.1936874644106403</v>
      </c>
      <c r="J58" s="9">
        <v>2.7318799316684292</v>
      </c>
    </row>
    <row r="59" spans="1:10" x14ac:dyDescent="0.4">
      <c r="A59" s="34"/>
      <c r="B59" s="34"/>
      <c r="C59" s="34"/>
      <c r="D59" s="34"/>
      <c r="F59" s="14">
        <v>7</v>
      </c>
      <c r="G59" s="29">
        <v>1383</v>
      </c>
      <c r="H59" s="30">
        <v>463</v>
      </c>
      <c r="I59" s="23">
        <v>8.3166436183193682</v>
      </c>
      <c r="J59" s="9">
        <v>2.7738957130074025</v>
      </c>
    </row>
    <row r="60" spans="1:10" x14ac:dyDescent="0.4">
      <c r="A60" s="34"/>
      <c r="B60" s="34"/>
      <c r="C60" s="34"/>
      <c r="D60" s="34"/>
      <c r="F60" s="14">
        <v>8</v>
      </c>
      <c r="G60" s="29">
        <v>1459</v>
      </c>
      <c r="H60" s="30">
        <v>487</v>
      </c>
      <c r="I60" s="23">
        <v>8.4216627348897752</v>
      </c>
      <c r="J60" s="9">
        <v>2.8089156430488895</v>
      </c>
    </row>
    <row r="61" spans="1:10" x14ac:dyDescent="0.4">
      <c r="A61" s="34"/>
      <c r="B61" s="34"/>
      <c r="C61" s="34"/>
      <c r="D61" s="34"/>
      <c r="F61" s="14">
        <v>9</v>
      </c>
      <c r="G61" s="29">
        <v>1521</v>
      </c>
      <c r="H61" s="30">
        <v>508</v>
      </c>
      <c r="I61" s="23">
        <v>8.5136256406084758</v>
      </c>
      <c r="J61" s="9">
        <v>2.8388920523875378</v>
      </c>
    </row>
    <row r="62" spans="1:10" x14ac:dyDescent="0.4">
      <c r="A62" s="34"/>
      <c r="B62" s="34"/>
      <c r="C62" s="34"/>
      <c r="D62" s="34"/>
      <c r="F62" s="14">
        <v>10</v>
      </c>
      <c r="G62" s="29">
        <v>1574</v>
      </c>
      <c r="H62" s="30">
        <v>527</v>
      </c>
      <c r="I62" s="23">
        <v>8.5916375172862605</v>
      </c>
      <c r="J62" s="9">
        <v>2.8648824534287805</v>
      </c>
    </row>
    <row r="63" spans="1:10" x14ac:dyDescent="0.4">
      <c r="A63" s="34"/>
      <c r="B63" s="34"/>
      <c r="C63" s="34"/>
      <c r="D63" s="34"/>
      <c r="F63" s="14">
        <v>11</v>
      </c>
      <c r="G63" s="29">
        <v>1575</v>
      </c>
      <c r="H63" s="30">
        <v>528</v>
      </c>
      <c r="I63" s="23">
        <v>9.3436101846579351</v>
      </c>
      <c r="J63" s="9">
        <v>3.1168551208004556</v>
      </c>
    </row>
    <row r="64" spans="1:10" ht="18" thickBot="1" x14ac:dyDescent="0.45">
      <c r="A64" s="34"/>
      <c r="B64" s="34"/>
      <c r="C64" s="34"/>
      <c r="D64" s="34"/>
      <c r="F64" s="15">
        <v>12</v>
      </c>
      <c r="G64" s="31">
        <v>1575</v>
      </c>
      <c r="H64" s="32">
        <v>528</v>
      </c>
      <c r="I64" s="24">
        <v>9.8116000976165303</v>
      </c>
      <c r="J64" s="10">
        <v>3.271862035304645</v>
      </c>
    </row>
  </sheetData>
  <mergeCells count="34">
    <mergeCell ref="B34:D34"/>
    <mergeCell ref="B35:B36"/>
    <mergeCell ref="F51:F52"/>
    <mergeCell ref="G51:H51"/>
    <mergeCell ref="I51:J51"/>
    <mergeCell ref="F50:J50"/>
    <mergeCell ref="L35:L36"/>
    <mergeCell ref="M35:O35"/>
    <mergeCell ref="P35:R35"/>
    <mergeCell ref="F34:J34"/>
    <mergeCell ref="F35:F36"/>
    <mergeCell ref="G35:H35"/>
    <mergeCell ref="I35:J35"/>
    <mergeCell ref="L3:L4"/>
    <mergeCell ref="M3:O3"/>
    <mergeCell ref="P3:R3"/>
    <mergeCell ref="L2:R2"/>
    <mergeCell ref="L34:R34"/>
    <mergeCell ref="L18:R18"/>
    <mergeCell ref="L19:L20"/>
    <mergeCell ref="M19:O19"/>
    <mergeCell ref="P19:R19"/>
    <mergeCell ref="B18:D18"/>
    <mergeCell ref="B19:B20"/>
    <mergeCell ref="F18:J18"/>
    <mergeCell ref="F19:F20"/>
    <mergeCell ref="G19:H19"/>
    <mergeCell ref="I19:J19"/>
    <mergeCell ref="F2:J2"/>
    <mergeCell ref="F3:F4"/>
    <mergeCell ref="G3:H3"/>
    <mergeCell ref="I3:J3"/>
    <mergeCell ref="B3:B4"/>
    <mergeCell ref="B2:D2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실제 사용하는 트라이포드 조합</vt:lpstr>
      <vt:lpstr>피해량이 높은 트라이포드 조합</vt:lpstr>
      <vt:lpstr>해방스킬 트라이포드별 피해량</vt:lpstr>
      <vt:lpstr>집속스킬 트라이포드별 피해량</vt:lpstr>
      <vt:lpstr>해방스킬 계수</vt:lpstr>
      <vt:lpstr>집속스킬 계수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userpc</dc:creator>
  <cp:lastModifiedBy>userpc</cp:lastModifiedBy>
  <dcterms:created xsi:type="dcterms:W3CDTF">2021-09-27T06:30:44Z</dcterms:created>
  <dcterms:modified xsi:type="dcterms:W3CDTF">2021-11-12T04:55:16Z</dcterms:modified>
</cp:coreProperties>
</file>