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eJin\Documents\"/>
    </mc:Choice>
  </mc:AlternateContent>
  <bookViews>
    <workbookView xWindow="0" yWindow="0" windowWidth="16305" windowHeight="3585" activeTab="1"/>
  </bookViews>
  <sheets>
    <sheet name="보스" sheetId="1" r:id="rId1"/>
    <sheet name="무릉" sheetId="7" r:id="rId2"/>
  </sheets>
  <definedNames>
    <definedName name="데미지" localSheetId="1">무릉!$C$10</definedName>
    <definedName name="데미지">보스!$C$10</definedName>
    <definedName name="도핑" localSheetId="1">무릉!$P$17</definedName>
    <definedName name="도핑">보스!$P$17</definedName>
    <definedName name="도핑_공격력" localSheetId="1">무릉!$K$31</definedName>
    <definedName name="도핑_공격력">보스!$K$31</definedName>
    <definedName name="도핑_공퍼" localSheetId="1">무릉!$J$31</definedName>
    <definedName name="도핑_공퍼">보스!$J$31</definedName>
    <definedName name="도핑_깡스탯" localSheetId="1">무릉!$H$31</definedName>
    <definedName name="도핑_깡스탯">보스!$H$31</definedName>
    <definedName name="도핑_데미지" localSheetId="1">무릉!$I$31</definedName>
    <definedName name="도핑_데미지">보스!$I$31</definedName>
    <definedName name="도핑_방무" localSheetId="1">무릉!$J$32</definedName>
    <definedName name="도핑_방무">보스!$J$32</definedName>
    <definedName name="도핑_보뎀" localSheetId="1">무릉!$I$32</definedName>
    <definedName name="도핑_보뎀">보스!$I$32</definedName>
    <definedName name="도핑_크뎀" localSheetId="1">무릉!$H$32</definedName>
    <definedName name="도핑_크뎀">보스!$H$32</definedName>
    <definedName name="도핑2" localSheetId="1">무릉!$V$2</definedName>
    <definedName name="도핑2">보스!$V$2</definedName>
    <definedName name="도핑3" localSheetId="1">무릉!$V$17</definedName>
    <definedName name="도핑3">보스!$V$17</definedName>
    <definedName name="뒷스공" localSheetId="1">무릉!$C$5</definedName>
    <definedName name="뒷스공">보스!$C$5</definedName>
    <definedName name="레벨" localSheetId="1">무릉!$C$4</definedName>
    <definedName name="레벨">보스!$C$4</definedName>
    <definedName name="메용전주스탯" localSheetId="1">무릉!$C$20</definedName>
    <definedName name="메용전주스탯">보스!$C$20</definedName>
    <definedName name="메용후부스탯" localSheetId="1">무릉!$C$6</definedName>
    <definedName name="메용후부스탯">보스!$C$6</definedName>
    <definedName name="메용후주스탯" localSheetId="1">무릉!$C$7</definedName>
    <definedName name="메용후주스탯">보스!$C$7</definedName>
    <definedName name="무기상수" localSheetId="1">무릉!$C$1</definedName>
    <definedName name="무기상수">보스!$C$1</definedName>
    <definedName name="방어율" localSheetId="1">무릉!$O$25</definedName>
    <definedName name="방어율">보스!$O$25</definedName>
    <definedName name="부깡스탯" localSheetId="1">무릉!$R$11</definedName>
    <definedName name="부깡스탯">보스!$R$11</definedName>
    <definedName name="부스탯퍼" localSheetId="1">무릉!$Q$11</definedName>
    <definedName name="부스탯퍼">보스!$Q$11</definedName>
    <definedName name="쁘띠루미" localSheetId="1">무릉!$F$30</definedName>
    <definedName name="쁘띠루미">보스!$F$30</definedName>
    <definedName name="상승_고정스탯" localSheetId="1">무릉!$O$6</definedName>
    <definedName name="상승_고정스탯">보스!$O$6</definedName>
    <definedName name="상승_공격력" localSheetId="1">무릉!$O$10</definedName>
    <definedName name="상승_공격력">보스!$O$10</definedName>
    <definedName name="상승_깡스탯" localSheetId="1">무릉!$O$4</definedName>
    <definedName name="상승_깡스탯">보스!$O$4</definedName>
    <definedName name="상승_데미지" localSheetId="1">무릉!$O$11</definedName>
    <definedName name="상승_데미지">보스!$O$11</definedName>
    <definedName name="상승_무기공퍼" localSheetId="1">무릉!$O$7</definedName>
    <definedName name="상승_무기공퍼">보스!$O$7</definedName>
    <definedName name="상승_방무" localSheetId="1">무릉!$O$13</definedName>
    <definedName name="상승_방무">보스!$O$13</definedName>
    <definedName name="상승_보뎀" localSheetId="1">무릉!$O$12</definedName>
    <definedName name="상승_보뎀">보스!$O$12</definedName>
    <definedName name="상승_보조공퍼" localSheetId="1">무릉!$O$8</definedName>
    <definedName name="상승_보조공퍼">보스!$O$8</definedName>
    <definedName name="상승_스탯퍼" localSheetId="1">무릉!$O$5</definedName>
    <definedName name="상승_스탯퍼">보스!$O$5</definedName>
    <definedName name="상승_엠블공퍼" localSheetId="1">무릉!$O$9</definedName>
    <definedName name="상승_엠블공퍼">보스!$O$9</definedName>
    <definedName name="상승_크뎀" localSheetId="1">무릉!$O$14</definedName>
    <definedName name="상승_크뎀">보스!$O$14</definedName>
    <definedName name="상승_크확" localSheetId="1">무릉!$O$15</definedName>
    <definedName name="상승_크확">보스!$O$15</definedName>
    <definedName name="스킬공퍼" localSheetId="1">무릉!$B$1</definedName>
    <definedName name="스킬공퍼">보스!$B$1</definedName>
    <definedName name="심볼" localSheetId="1">무릉!$C$29:$C$30</definedName>
    <definedName name="심볼">보스!$C$29:$C$30</definedName>
    <definedName name="어빌DEX" localSheetId="1">무릉!$C$16</definedName>
    <definedName name="어빌DEX">보스!$C$16</definedName>
    <definedName name="유니온공격대원" localSheetId="1">무릉!$G$23:$G$27</definedName>
    <definedName name="유니온공격대원">보스!$G$23:$G$27</definedName>
    <definedName name="주스탯" localSheetId="1">무릉!$C$7</definedName>
    <definedName name="주스탯">보스!$C$7</definedName>
    <definedName name="최종데미지" localSheetId="1">무릉!$C$12</definedName>
    <definedName name="최종데미지">보스!$C$12</definedName>
    <definedName name="하이퍼스탯DEX" localSheetId="1">무릉!$C$17</definedName>
    <definedName name="하이퍼스탯DEX">보스!$C$17</definedName>
    <definedName name="현재_고정스탯" localSheetId="1">무릉!$N$6</definedName>
    <definedName name="현재_고정스탯">보스!$N$6</definedName>
    <definedName name="현재_공격력" localSheetId="1">무릉!$N$10</definedName>
    <definedName name="현재_공격력">보스!$N$10</definedName>
    <definedName name="현재_깡스탯" localSheetId="1">무릉!$N$4</definedName>
    <definedName name="현재_깡스탯">보스!$N$4</definedName>
    <definedName name="현재_데미지" localSheetId="1">무릉!$N$11</definedName>
    <definedName name="현재_데미지">보스!$N$11</definedName>
    <definedName name="현재_무기공퍼" localSheetId="1">무릉!$N$7</definedName>
    <definedName name="현재_무기공퍼">보스!$N$7</definedName>
    <definedName name="현재_방무" localSheetId="1">무릉!$N$13</definedName>
    <definedName name="현재_방무">보스!$N$13</definedName>
    <definedName name="현재_보뎀" localSheetId="1">무릉!$N$12</definedName>
    <definedName name="현재_보뎀">보스!$N$12</definedName>
    <definedName name="현재_보조공퍼" localSheetId="1">무릉!$N$8</definedName>
    <definedName name="현재_보조공퍼">보스!$N$8</definedName>
    <definedName name="현재_스탯퍼" localSheetId="1">무릉!$N$5</definedName>
    <definedName name="현재_스탯퍼">보스!$N$5</definedName>
    <definedName name="현재_엠블공퍼" localSheetId="1">무릉!$N$9</definedName>
    <definedName name="현재_엠블공퍼">보스!$N$9</definedName>
    <definedName name="현재_크뎀" localSheetId="1">무릉!$N$14</definedName>
    <definedName name="현재_크뎀">보스!$N$14</definedName>
    <definedName name="현재_크확" localSheetId="1">무릉!$N$15</definedName>
    <definedName name="현재_크확">보스!$N$15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7" l="1"/>
  <c r="I32" i="7"/>
  <c r="H32" i="7"/>
  <c r="K31" i="7"/>
  <c r="J31" i="7"/>
  <c r="I31" i="7"/>
  <c r="H31" i="7"/>
  <c r="G27" i="7"/>
  <c r="G26" i="7"/>
  <c r="N6" i="7" s="1"/>
  <c r="N4" i="7" s="1"/>
  <c r="G25" i="7"/>
  <c r="O24" i="7"/>
  <c r="N24" i="7"/>
  <c r="G24" i="7"/>
  <c r="G23" i="7"/>
  <c r="O20" i="7"/>
  <c r="N20" i="7"/>
  <c r="V17" i="7"/>
  <c r="P17" i="7"/>
  <c r="N15" i="7"/>
  <c r="N14" i="7"/>
  <c r="N13" i="7"/>
  <c r="N27" i="7" s="1"/>
  <c r="N12" i="7"/>
  <c r="O26" i="7" s="1"/>
  <c r="R11" i="7"/>
  <c r="S11" i="7" s="1"/>
  <c r="Q11" i="7"/>
  <c r="N11" i="7"/>
  <c r="N9" i="7"/>
  <c r="N21" i="7" s="1"/>
  <c r="N8" i="7"/>
  <c r="N7" i="7"/>
  <c r="O21" i="7" s="1"/>
  <c r="N5" i="7"/>
  <c r="T4" i="7"/>
  <c r="V2" i="7"/>
  <c r="O19" i="7" l="1"/>
  <c r="N19" i="7"/>
  <c r="N10" i="7"/>
  <c r="N26" i="7"/>
  <c r="O27" i="7"/>
  <c r="T4" i="1"/>
  <c r="O22" i="7" l="1"/>
  <c r="O23" i="7" s="1"/>
  <c r="N22" i="7"/>
  <c r="N23" i="7" s="1"/>
  <c r="U21" i="7"/>
  <c r="J29" i="7"/>
  <c r="S1" i="7"/>
  <c r="J1" i="7"/>
  <c r="J14" i="7" s="1"/>
  <c r="J9" i="7"/>
  <c r="S15" i="7"/>
  <c r="U20" i="7"/>
  <c r="J4" i="7"/>
  <c r="J12" i="7"/>
  <c r="J13" i="7"/>
  <c r="J7" i="7"/>
  <c r="R1" i="7"/>
  <c r="S4" i="7" s="1"/>
  <c r="U4" i="7" s="1"/>
  <c r="T20" i="7"/>
  <c r="J25" i="7"/>
  <c r="S16" i="7"/>
  <c r="T23" i="7" s="1"/>
  <c r="J19" i="7"/>
  <c r="U23" i="7"/>
  <c r="S6" i="7"/>
  <c r="S20" i="7"/>
  <c r="J6" i="7"/>
  <c r="T21" i="7"/>
  <c r="S9" i="7"/>
  <c r="J5" i="7"/>
  <c r="J16" i="7"/>
  <c r="S21" i="7"/>
  <c r="V17" i="1"/>
  <c r="Q11" i="1"/>
  <c r="R11" i="1" s="1"/>
  <c r="S11" i="1" s="1"/>
  <c r="V2" i="1"/>
  <c r="K31" i="1"/>
  <c r="J32" i="1"/>
  <c r="I32" i="1"/>
  <c r="H32" i="1"/>
  <c r="H31" i="1"/>
  <c r="I31" i="1"/>
  <c r="J31" i="1"/>
  <c r="P17" i="1"/>
  <c r="N15" i="1"/>
  <c r="N14" i="1"/>
  <c r="N13" i="1"/>
  <c r="N12" i="1"/>
  <c r="N11" i="1"/>
  <c r="N5" i="1"/>
  <c r="N9" i="1"/>
  <c r="N8" i="1"/>
  <c r="N7" i="1"/>
  <c r="N10" i="1" s="1"/>
  <c r="U15" i="7" l="1"/>
  <c r="T15" i="7"/>
  <c r="J30" i="7"/>
  <c r="U9" i="7"/>
  <c r="T9" i="7"/>
  <c r="S13" i="7"/>
  <c r="S22" i="7"/>
  <c r="S14" i="7"/>
  <c r="T22" i="7"/>
  <c r="J24" i="7"/>
  <c r="N28" i="7"/>
  <c r="O28" i="7"/>
  <c r="O29" i="7" s="1"/>
  <c r="O30" i="7" s="1"/>
  <c r="J11" i="7"/>
  <c r="J23" i="7"/>
  <c r="J15" i="7"/>
  <c r="J8" i="7"/>
  <c r="J26" i="7"/>
  <c r="J18" i="7"/>
  <c r="T6" i="7"/>
  <c r="U6" i="7"/>
  <c r="S23" i="7"/>
  <c r="U22" i="7"/>
  <c r="T19" i="7"/>
  <c r="S7" i="7"/>
  <c r="S8" i="7"/>
  <c r="S5" i="7"/>
  <c r="U19" i="7"/>
  <c r="J17" i="7"/>
  <c r="J20" i="7"/>
  <c r="J10" i="7"/>
  <c r="S10" i="7"/>
  <c r="S19" i="7"/>
  <c r="O27" i="1"/>
  <c r="O26" i="1"/>
  <c r="N27" i="1"/>
  <c r="N26" i="1"/>
  <c r="O24" i="1"/>
  <c r="N22" i="1"/>
  <c r="N20" i="1"/>
  <c r="N24" i="1"/>
  <c r="O21" i="1"/>
  <c r="O22" i="1"/>
  <c r="N21" i="1"/>
  <c r="O20" i="1"/>
  <c r="G27" i="1"/>
  <c r="G24" i="1"/>
  <c r="G25" i="1"/>
  <c r="G26" i="1"/>
  <c r="G23" i="1"/>
  <c r="N6" i="1" s="1"/>
  <c r="N4" i="1" s="1"/>
  <c r="U7" i="7" l="1"/>
  <c r="T7" i="7"/>
  <c r="T10" i="7"/>
  <c r="U10" i="7"/>
  <c r="T14" i="7"/>
  <c r="U14" i="7"/>
  <c r="U5" i="7"/>
  <c r="T5" i="7"/>
  <c r="T13" i="7"/>
  <c r="U13" i="7"/>
  <c r="J26" i="1"/>
  <c r="T8" i="7"/>
  <c r="U8" i="7"/>
  <c r="J1" i="1"/>
  <c r="J6" i="1" s="1"/>
  <c r="R1" i="1"/>
  <c r="S7" i="1" s="1"/>
  <c r="U7" i="1" s="1"/>
  <c r="S16" i="1"/>
  <c r="T21" i="1" s="1"/>
  <c r="N19" i="1"/>
  <c r="N28" i="1" s="1"/>
  <c r="O19" i="1"/>
  <c r="U21" i="1" l="1"/>
  <c r="U19" i="1"/>
  <c r="U22" i="1"/>
  <c r="T22" i="1"/>
  <c r="J10" i="1"/>
  <c r="J30" i="1"/>
  <c r="S19" i="1"/>
  <c r="U23" i="1"/>
  <c r="T23" i="1"/>
  <c r="T20" i="1"/>
  <c r="S20" i="1"/>
  <c r="T19" i="1"/>
  <c r="S23" i="1"/>
  <c r="S21" i="1"/>
  <c r="S22" i="1"/>
  <c r="J9" i="1"/>
  <c r="J15" i="1"/>
  <c r="U20" i="1"/>
  <c r="J20" i="1"/>
  <c r="J23" i="1"/>
  <c r="J5" i="1"/>
  <c r="J11" i="1"/>
  <c r="J4" i="1"/>
  <c r="J24" i="1"/>
  <c r="S9" i="1"/>
  <c r="U9" i="1" s="1"/>
  <c r="J12" i="1"/>
  <c r="J13" i="1"/>
  <c r="J16" i="1"/>
  <c r="J19" i="1"/>
  <c r="J25" i="1"/>
  <c r="J29" i="1"/>
  <c r="J7" i="1"/>
  <c r="J17" i="1"/>
  <c r="J14" i="1"/>
  <c r="J18" i="1"/>
  <c r="J8" i="1"/>
  <c r="S1" i="1"/>
  <c r="T7" i="1" s="1"/>
  <c r="S8" i="1"/>
  <c r="U8" i="1" s="1"/>
  <c r="S5" i="1"/>
  <c r="S4" i="1"/>
  <c r="S15" i="1"/>
  <c r="S6" i="1"/>
  <c r="U6" i="1" s="1"/>
  <c r="S10" i="1"/>
  <c r="U10" i="1" s="1"/>
  <c r="S13" i="1"/>
  <c r="S14" i="1"/>
  <c r="N23" i="1"/>
  <c r="O23" i="1"/>
  <c r="O28" i="1"/>
  <c r="O29" i="1" s="1"/>
  <c r="O30" i="1" s="1"/>
  <c r="U4" i="1" l="1"/>
  <c r="U5" i="1"/>
  <c r="T5" i="1"/>
  <c r="T9" i="1"/>
  <c r="T13" i="1"/>
  <c r="T6" i="1"/>
  <c r="T15" i="1"/>
  <c r="T10" i="1"/>
  <c r="U15" i="1"/>
  <c r="T8" i="1"/>
  <c r="U13" i="1"/>
  <c r="T14" i="1"/>
  <c r="U14" i="1"/>
</calcChain>
</file>

<file path=xl/comments1.xml><?xml version="1.0" encoding="utf-8"?>
<comments xmlns="http://schemas.openxmlformats.org/spreadsheetml/2006/main">
  <authors>
    <author>TaeJin</author>
  </authors>
  <commentList>
    <comment ref="O17" authorId="0" shapeId="0">
      <text>
        <r>
          <rPr>
            <sz val="9"/>
            <color indexed="81"/>
            <rFont val="KoPub돋움체 Medium"/>
            <family val="1"/>
            <charset val="129"/>
          </rPr>
          <t>도핑 전후 효율이 다르므로 
도핑 전, 후를 선택하여 
효율을 볼 수 있음</t>
        </r>
      </text>
    </comment>
    <comment ref="B19" authorId="0" shapeId="0">
      <text>
        <r>
          <rPr>
            <sz val="9"/>
            <color indexed="81"/>
            <rFont val="KoPub돋움체 Medium"/>
            <family val="1"/>
            <charset val="129"/>
          </rPr>
          <t>부스탯 효율이 궁금한 경우 사용.
향상된 10단계 힘의 물약을 먹고, 메용을 쓴 상태의 STR 입력
도핑 값이 아까우면 그냥 STR 입력.</t>
        </r>
      </text>
    </comment>
    <comment ref="B20" authorId="0" shapeId="0">
      <text>
        <r>
          <rPr>
            <sz val="9"/>
            <color indexed="81"/>
            <rFont val="KoPub돋움체 Medium"/>
            <family val="1"/>
            <charset val="129"/>
          </rPr>
          <t>(필수) 메용 버프 해제한 주스탯 입력</t>
        </r>
      </text>
    </comment>
  </commentList>
</comments>
</file>

<file path=xl/comments2.xml><?xml version="1.0" encoding="utf-8"?>
<comments xmlns="http://schemas.openxmlformats.org/spreadsheetml/2006/main">
  <authors>
    <author>TaeJin</author>
  </authors>
  <commentList>
    <comment ref="O17" authorId="0" shapeId="0">
      <text>
        <r>
          <rPr>
            <sz val="9"/>
            <color indexed="81"/>
            <rFont val="KoPub돋움체 Medium"/>
            <family val="1"/>
            <charset val="129"/>
          </rPr>
          <t>도핑 전후 효율이 다르므로 
도핑 전, 후를 선택하여 
효율을 볼 수 있음</t>
        </r>
      </text>
    </comment>
    <comment ref="B19" authorId="0" shapeId="0">
      <text>
        <r>
          <rPr>
            <sz val="9"/>
            <color indexed="81"/>
            <rFont val="KoPub돋움체 Medium"/>
            <family val="1"/>
            <charset val="129"/>
          </rPr>
          <t>부스탯 효율이 궁금한 경우 사용.
향상된 10단계 힘의 물약을 먹고, 메용을 쓴 상태의 STR 입력
도핑 값이 아까우면 그냥 STR 입력.</t>
        </r>
      </text>
    </comment>
    <comment ref="B20" authorId="0" shapeId="0">
      <text>
        <r>
          <rPr>
            <sz val="9"/>
            <color indexed="81"/>
            <rFont val="KoPub돋움체 Medium"/>
            <family val="1"/>
            <charset val="129"/>
          </rPr>
          <t>(필수) 메용 버프 해제한 주스탯 입력</t>
        </r>
      </text>
    </comment>
  </commentList>
</comments>
</file>

<file path=xl/sharedStrings.xml><?xml version="1.0" encoding="utf-8"?>
<sst xmlns="http://schemas.openxmlformats.org/spreadsheetml/2006/main" count="406" uniqueCount="186">
  <si>
    <t xml:space="preserve"> 스탯창</t>
    <phoneticPr fontId="3" type="noConversion"/>
  </si>
  <si>
    <t>STR</t>
    <phoneticPr fontId="3" type="noConversion"/>
  </si>
  <si>
    <t>DEX</t>
    <phoneticPr fontId="3" type="noConversion"/>
  </si>
  <si>
    <t>INT</t>
    <phoneticPr fontId="3" type="noConversion"/>
  </si>
  <si>
    <t>LUK</t>
    <phoneticPr fontId="3" type="noConversion"/>
  </si>
  <si>
    <t>레벨</t>
    <phoneticPr fontId="3" type="noConversion"/>
  </si>
  <si>
    <t>뒷스공</t>
    <phoneticPr fontId="3" type="noConversion"/>
  </si>
  <si>
    <t>데미지</t>
    <phoneticPr fontId="3" type="noConversion"/>
  </si>
  <si>
    <t>보스데미지</t>
    <phoneticPr fontId="3" type="noConversion"/>
  </si>
  <si>
    <t>최종데미지</t>
    <phoneticPr fontId="3" type="noConversion"/>
  </si>
  <si>
    <t>방어율무시</t>
    <phoneticPr fontId="3" type="noConversion"/>
  </si>
  <si>
    <t>크리티컬확률</t>
    <phoneticPr fontId="3" type="noConversion"/>
  </si>
  <si>
    <t>크리 데미지</t>
    <phoneticPr fontId="3" type="noConversion"/>
  </si>
  <si>
    <t>메용X_DEX</t>
    <phoneticPr fontId="3" type="noConversion"/>
  </si>
  <si>
    <t>어빌_DEX</t>
    <phoneticPr fontId="3" type="noConversion"/>
  </si>
  <si>
    <t>하이퍼스탯_DEX</t>
    <phoneticPr fontId="3" type="noConversion"/>
  </si>
  <si>
    <t>상추뎀</t>
    <phoneticPr fontId="3" type="noConversion"/>
  </si>
  <si>
    <t>힘물약_STR</t>
    <phoneticPr fontId="3" type="noConversion"/>
  </si>
  <si>
    <t>모자_쿨감</t>
    <phoneticPr fontId="3" type="noConversion"/>
  </si>
  <si>
    <t>무기_공%</t>
    <phoneticPr fontId="3" type="noConversion"/>
  </si>
  <si>
    <t>무기_공격력</t>
    <phoneticPr fontId="3" type="noConversion"/>
  </si>
  <si>
    <t>무기_공%</t>
    <phoneticPr fontId="3" type="noConversion"/>
  </si>
  <si>
    <t>보조_공%</t>
    <phoneticPr fontId="3" type="noConversion"/>
  </si>
  <si>
    <t>엠블_공%</t>
    <phoneticPr fontId="3" type="noConversion"/>
  </si>
  <si>
    <t>해방여부</t>
    <phoneticPr fontId="3" type="noConversion"/>
  </si>
  <si>
    <t>X</t>
    <phoneticPr fontId="3" type="noConversion"/>
  </si>
  <si>
    <t>아케인포스_DEX</t>
    <phoneticPr fontId="3" type="noConversion"/>
  </si>
  <si>
    <t>제논</t>
    <phoneticPr fontId="3" type="noConversion"/>
  </si>
  <si>
    <t>카인</t>
    <phoneticPr fontId="3" type="noConversion"/>
  </si>
  <si>
    <t>보우마스터</t>
    <phoneticPr fontId="3" type="noConversion"/>
  </si>
  <si>
    <t>패스파인더</t>
    <phoneticPr fontId="3" type="noConversion"/>
  </si>
  <si>
    <t>엔젤릭버스터</t>
    <phoneticPr fontId="3" type="noConversion"/>
  </si>
  <si>
    <t>리스트레인트</t>
    <phoneticPr fontId="3" type="noConversion"/>
  </si>
  <si>
    <t>리스크테이커</t>
    <phoneticPr fontId="3" type="noConversion"/>
  </si>
  <si>
    <t>크라이시스HM</t>
    <phoneticPr fontId="3" type="noConversion"/>
  </si>
  <si>
    <t>웨폰퍼프D</t>
    <phoneticPr fontId="3" type="noConversion"/>
  </si>
  <si>
    <t>크리데미지</t>
    <phoneticPr fontId="3" type="noConversion"/>
  </si>
  <si>
    <t>링오브썸</t>
    <phoneticPr fontId="3" type="noConversion"/>
  </si>
  <si>
    <t>아이들윔</t>
    <phoneticPr fontId="3" type="noConversion"/>
  </si>
  <si>
    <t>윈드월</t>
    <phoneticPr fontId="3" type="noConversion"/>
  </si>
  <si>
    <t>초시축</t>
    <phoneticPr fontId="3" type="noConversion"/>
  </si>
  <si>
    <t>가이디드</t>
    <phoneticPr fontId="3" type="noConversion"/>
  </si>
  <si>
    <t>크리인</t>
    <phoneticPr fontId="3" type="noConversion"/>
  </si>
  <si>
    <t>볼텍스</t>
    <phoneticPr fontId="3" type="noConversion"/>
  </si>
  <si>
    <t>게일</t>
    <phoneticPr fontId="3" type="noConversion"/>
  </si>
  <si>
    <t>팔랑크스</t>
    <phoneticPr fontId="3" type="noConversion"/>
  </si>
  <si>
    <t>크오솔</t>
    <phoneticPr fontId="3" type="noConversion"/>
  </si>
  <si>
    <t xml:space="preserve"> 몬스터라이프</t>
    <phoneticPr fontId="3" type="noConversion"/>
  </si>
  <si>
    <t>쁘띠루미(이퀄)</t>
    <phoneticPr fontId="3" type="noConversion"/>
  </si>
  <si>
    <t>어센틱포스_DEX</t>
    <phoneticPr fontId="3" type="noConversion"/>
  </si>
  <si>
    <t xml:space="preserve"> 스펙업 할 수치 입력하기</t>
    <phoneticPr fontId="3" type="noConversion"/>
  </si>
  <si>
    <t xml:space="preserve"> 구분</t>
    <phoneticPr fontId="3" type="noConversion"/>
  </si>
  <si>
    <t xml:space="preserve"> 현재</t>
    <phoneticPr fontId="3" type="noConversion"/>
  </si>
  <si>
    <t xml:space="preserve"> 상승치</t>
    <phoneticPr fontId="3" type="noConversion"/>
  </si>
  <si>
    <t>깡스탯</t>
    <phoneticPr fontId="3" type="noConversion"/>
  </si>
  <si>
    <t>스탯퍼</t>
    <phoneticPr fontId="3" type="noConversion"/>
  </si>
  <si>
    <t>고정스탯</t>
    <phoneticPr fontId="3" type="noConversion"/>
  </si>
  <si>
    <t>보조_공%</t>
    <phoneticPr fontId="3" type="noConversion"/>
  </si>
  <si>
    <t>엠블_공%</t>
    <phoneticPr fontId="3" type="noConversion"/>
  </si>
  <si>
    <t>공격력</t>
    <phoneticPr fontId="3" type="noConversion"/>
  </si>
  <si>
    <t>데미지</t>
    <phoneticPr fontId="3" type="noConversion"/>
  </si>
  <si>
    <t>보스데미지</t>
    <phoneticPr fontId="3" type="noConversion"/>
  </si>
  <si>
    <t>방어율무시</t>
    <phoneticPr fontId="3" type="noConversion"/>
  </si>
  <si>
    <t>크리데미지</t>
    <phoneticPr fontId="3" type="noConversion"/>
  </si>
  <si>
    <t>크리티컬확률</t>
    <phoneticPr fontId="3" type="noConversion"/>
  </si>
  <si>
    <t>명장 스킬</t>
    <phoneticPr fontId="3" type="noConversion"/>
  </si>
  <si>
    <t>포인트</t>
    <phoneticPr fontId="3" type="noConversion"/>
  </si>
  <si>
    <t>보스킬링머신</t>
    <phoneticPr fontId="3" type="noConversion"/>
  </si>
  <si>
    <t>크게한방</t>
    <phoneticPr fontId="3" type="noConversion"/>
  </si>
  <si>
    <t>선택(1)</t>
    <phoneticPr fontId="3" type="noConversion"/>
  </si>
  <si>
    <t>우르스 뿌리기</t>
    <phoneticPr fontId="3" type="noConversion"/>
  </si>
  <si>
    <t>유니온의 힘</t>
    <phoneticPr fontId="3" type="noConversion"/>
  </si>
  <si>
    <t xml:space="preserve"> 노블레스 스킬</t>
    <phoneticPr fontId="3" type="noConversion"/>
  </si>
  <si>
    <t>길드의 축복</t>
    <phoneticPr fontId="3" type="noConversion"/>
  </si>
  <si>
    <t>붕어빵 뿌리기</t>
    <phoneticPr fontId="3" type="noConversion"/>
  </si>
  <si>
    <t>영웅의 메아리</t>
    <phoneticPr fontId="3" type="noConversion"/>
  </si>
  <si>
    <t>익스트림 레드</t>
    <phoneticPr fontId="3" type="noConversion"/>
  </si>
  <si>
    <t>250 인기도</t>
    <phoneticPr fontId="3" type="noConversion"/>
  </si>
  <si>
    <t>275 인기도</t>
    <phoneticPr fontId="3" type="noConversion"/>
  </si>
  <si>
    <t>주스탯</t>
    <phoneticPr fontId="3" type="noConversion"/>
  </si>
  <si>
    <t>데미지</t>
    <phoneticPr fontId="3" type="noConversion"/>
  </si>
  <si>
    <t>공격력%</t>
    <phoneticPr fontId="3" type="noConversion"/>
  </si>
  <si>
    <t>공격력</t>
    <phoneticPr fontId="3" type="noConversion"/>
  </si>
  <si>
    <t>스탯공격력</t>
    <phoneticPr fontId="3" type="noConversion"/>
  </si>
  <si>
    <t>방어율무시</t>
    <phoneticPr fontId="3" type="noConversion"/>
  </si>
  <si>
    <t>보스환산스공</t>
    <phoneticPr fontId="3" type="noConversion"/>
  </si>
  <si>
    <t>스공증가량</t>
    <phoneticPr fontId="3" type="noConversion"/>
  </si>
  <si>
    <t>최종딜상승량</t>
    <phoneticPr fontId="3" type="noConversion"/>
  </si>
  <si>
    <t>효과</t>
    <phoneticPr fontId="3" type="noConversion"/>
  </si>
  <si>
    <t>방어력은숫자일뿐</t>
    <phoneticPr fontId="3" type="noConversion"/>
  </si>
  <si>
    <t>길드의이름으로</t>
    <phoneticPr fontId="3" type="noConversion"/>
  </si>
  <si>
    <t xml:space="preserve"> 기타 도핑</t>
    <phoneticPr fontId="3" type="noConversion"/>
  </si>
  <si>
    <t>와헌_하울링</t>
    <phoneticPr fontId="3" type="noConversion"/>
  </si>
  <si>
    <t>비숍_어블</t>
    <phoneticPr fontId="3" type="noConversion"/>
  </si>
  <si>
    <t>공10%</t>
    <phoneticPr fontId="3" type="noConversion"/>
  </si>
  <si>
    <t>선택(1)</t>
    <phoneticPr fontId="3" type="noConversion"/>
  </si>
  <si>
    <t>MVP 버프</t>
    <phoneticPr fontId="3" type="noConversion"/>
  </si>
  <si>
    <t>공30+보공10%</t>
    <phoneticPr fontId="3" type="noConversion"/>
  </si>
  <si>
    <t>SS(200)</t>
  </si>
  <si>
    <t>SS(200)</t>
    <phoneticPr fontId="3" type="noConversion"/>
  </si>
  <si>
    <t>Y</t>
    <phoneticPr fontId="3" type="noConversion"/>
  </si>
  <si>
    <t>스펙업 전</t>
    <phoneticPr fontId="3" type="noConversion"/>
  </si>
  <si>
    <t>스펙업 후</t>
    <phoneticPr fontId="3" type="noConversion"/>
  </si>
  <si>
    <t>공격력</t>
    <phoneticPr fontId="3" type="noConversion"/>
  </si>
  <si>
    <t>주스탯%</t>
    <phoneticPr fontId="3" type="noConversion"/>
  </si>
  <si>
    <t>공격력%</t>
    <phoneticPr fontId="3" type="noConversion"/>
  </si>
  <si>
    <t>(보스)데미지</t>
    <phoneticPr fontId="3" type="noConversion"/>
  </si>
  <si>
    <t>크리티컬데미지</t>
    <phoneticPr fontId="3" type="noConversion"/>
  </si>
  <si>
    <t>방어율무시</t>
    <phoneticPr fontId="3" type="noConversion"/>
  </si>
  <si>
    <t xml:space="preserve"> 구분</t>
    <phoneticPr fontId="3" type="noConversion"/>
  </si>
  <si>
    <t>보스스공증가량</t>
    <phoneticPr fontId="3" type="noConversion"/>
  </si>
  <si>
    <t>주스탯 1 환산</t>
    <phoneticPr fontId="3" type="noConversion"/>
  </si>
  <si>
    <t>최종딜 환산</t>
    <phoneticPr fontId="3" type="noConversion"/>
  </si>
  <si>
    <t xml:space="preserve"> 시드링 효율</t>
    <phoneticPr fontId="3" type="noConversion"/>
  </si>
  <si>
    <t>4렙 딜 상승량</t>
    <phoneticPr fontId="3" type="noConversion"/>
  </si>
  <si>
    <t>3렙 딜 상승량</t>
    <phoneticPr fontId="3" type="noConversion"/>
  </si>
  <si>
    <t>2렙 딜 상승량</t>
    <phoneticPr fontId="3" type="noConversion"/>
  </si>
  <si>
    <t xml:space="preserve"> 리스트레인트(15/13/11초)</t>
    <phoneticPr fontId="3" type="noConversion"/>
  </si>
  <si>
    <t xml:space="preserve"> 리스크테이커(30/24/18초)</t>
    <phoneticPr fontId="3" type="noConversion"/>
  </si>
  <si>
    <t xml:space="preserve"> 웨폰퍼프D(15/13/11초)</t>
    <phoneticPr fontId="3" type="noConversion"/>
  </si>
  <si>
    <t xml:space="preserve"> 크리데미지(15/13/11초)</t>
    <phoneticPr fontId="3" type="noConversion"/>
  </si>
  <si>
    <t xml:space="preserve"> 링오브썸(15/13/11초)</t>
    <phoneticPr fontId="3" type="noConversion"/>
  </si>
  <si>
    <t xml:space="preserve"> 스펙업 결과</t>
    <phoneticPr fontId="3" type="noConversion"/>
  </si>
  <si>
    <t xml:space="preserve"> 무릉 층수 예상하기</t>
    <phoneticPr fontId="3" type="noConversion"/>
  </si>
  <si>
    <t xml:space="preserve"> 스펙업 전 무릉 예상</t>
    <phoneticPr fontId="3" type="noConversion"/>
  </si>
  <si>
    <t xml:space="preserve"> 스펙업 후 무릉 예상</t>
    <phoneticPr fontId="3" type="noConversion"/>
  </si>
  <si>
    <t>상위 유저 평균 층수</t>
    <phoneticPr fontId="3" type="noConversion"/>
  </si>
  <si>
    <t>극 최소컷 층수 예상</t>
    <phoneticPr fontId="3" type="noConversion"/>
  </si>
  <si>
    <t>노도핑 천노 줄당뎀</t>
    <phoneticPr fontId="3" type="noConversion"/>
  </si>
  <si>
    <t>보통 유저 평균 층수</t>
    <phoneticPr fontId="3" type="noConversion"/>
  </si>
  <si>
    <t>극 최소컷 층수 예상</t>
    <phoneticPr fontId="3" type="noConversion"/>
  </si>
  <si>
    <t>노도핑 천노 줄당뎀</t>
    <phoneticPr fontId="3" type="noConversion"/>
  </si>
  <si>
    <t>딜상승량</t>
    <phoneticPr fontId="3" type="noConversion"/>
  </si>
  <si>
    <t>딜상승량</t>
    <phoneticPr fontId="3" type="noConversion"/>
  </si>
  <si>
    <t>딜상승량</t>
    <phoneticPr fontId="3" type="noConversion"/>
  </si>
  <si>
    <t>부스탯</t>
    <phoneticPr fontId="3" type="noConversion"/>
  </si>
  <si>
    <t>부스탯%</t>
    <phoneticPr fontId="3" type="noConversion"/>
  </si>
  <si>
    <t>올스탯%</t>
    <phoneticPr fontId="3" type="noConversion"/>
  </si>
  <si>
    <t xml:space="preserve"> 스펙업 효율 확인하기</t>
    <phoneticPr fontId="3" type="noConversion"/>
  </si>
  <si>
    <t>Y</t>
    <phoneticPr fontId="3" type="noConversion"/>
  </si>
  <si>
    <t>N</t>
    <phoneticPr fontId="3" type="noConversion"/>
  </si>
  <si>
    <t>도핑 적용 O</t>
    <phoneticPr fontId="3" type="noConversion"/>
  </si>
  <si>
    <t>도핑 적용 X</t>
    <phoneticPr fontId="3" type="noConversion"/>
  </si>
  <si>
    <t>O</t>
    <phoneticPr fontId="3" type="noConversion"/>
  </si>
  <si>
    <t>X</t>
    <phoneticPr fontId="3" type="noConversion"/>
  </si>
  <si>
    <t>SSS(250)</t>
    <phoneticPr fontId="3" type="noConversion"/>
  </si>
  <si>
    <t>SS(200)</t>
    <phoneticPr fontId="3" type="noConversion"/>
  </si>
  <si>
    <t>S(140)</t>
    <phoneticPr fontId="3" type="noConversion"/>
  </si>
  <si>
    <t>A(100)</t>
    <phoneticPr fontId="3" type="noConversion"/>
  </si>
  <si>
    <t>B(60)</t>
    <phoneticPr fontId="3" type="noConversion"/>
  </si>
  <si>
    <t>고급 보스 킬러의 비약</t>
    <phoneticPr fontId="3" type="noConversion"/>
  </si>
  <si>
    <t>고급 관통의 비약</t>
    <phoneticPr fontId="3" type="noConversion"/>
  </si>
  <si>
    <t>고급 대영웅의 비약</t>
    <phoneticPr fontId="3" type="noConversion"/>
  </si>
  <si>
    <t>전설의 영웅 비약</t>
    <phoneticPr fontId="3" type="noConversion"/>
  </si>
  <si>
    <t>반짝이는 빨간 별 물약</t>
    <phoneticPr fontId="3" type="noConversion"/>
  </si>
  <si>
    <t>반짝이는 파란 별 물약</t>
    <phoneticPr fontId="3" type="noConversion"/>
  </si>
  <si>
    <t>향상된 10단계 민첩</t>
    <phoneticPr fontId="3" type="noConversion"/>
  </si>
  <si>
    <t>보공 20%</t>
    <phoneticPr fontId="3" type="noConversion"/>
  </si>
  <si>
    <t>방무 20%</t>
    <phoneticPr fontId="3" type="noConversion"/>
  </si>
  <si>
    <t>데미지 10%</t>
    <phoneticPr fontId="3" type="noConversion"/>
  </si>
  <si>
    <t>공 30</t>
    <phoneticPr fontId="3" type="noConversion"/>
  </si>
  <si>
    <t>방무 20%</t>
    <phoneticPr fontId="3" type="noConversion"/>
  </si>
  <si>
    <t>크뎀 5%</t>
    <phoneticPr fontId="3" type="noConversion"/>
  </si>
  <si>
    <t>DEX 30</t>
    <phoneticPr fontId="3" type="noConversion"/>
  </si>
  <si>
    <t>공 30</t>
    <phoneticPr fontId="3" type="noConversion"/>
  </si>
  <si>
    <t>공 30</t>
    <phoneticPr fontId="3" type="noConversion"/>
  </si>
  <si>
    <t>공 30</t>
    <phoneticPr fontId="3" type="noConversion"/>
  </si>
  <si>
    <t>공 30</t>
    <phoneticPr fontId="3" type="noConversion"/>
  </si>
  <si>
    <t>공 4%</t>
    <phoneticPr fontId="3" type="noConversion"/>
  </si>
  <si>
    <t>공 40</t>
    <phoneticPr fontId="3" type="noConversion"/>
  </si>
  <si>
    <t>공 50</t>
    <phoneticPr fontId="3" type="noConversion"/>
  </si>
  <si>
    <t xml:space="preserve"> 보스전 환산</t>
    <phoneticPr fontId="3" type="noConversion"/>
  </si>
  <si>
    <t>도핑 적용 O</t>
  </si>
  <si>
    <t>보공 2n%</t>
    <phoneticPr fontId="3" type="noConversion"/>
  </si>
  <si>
    <t>방무 2n%</t>
    <phoneticPr fontId="3" type="noConversion"/>
  </si>
  <si>
    <t>데미지 2n%</t>
    <phoneticPr fontId="3" type="noConversion"/>
  </si>
  <si>
    <t>크뎀 2n%</t>
    <phoneticPr fontId="3" type="noConversion"/>
  </si>
  <si>
    <t xml:space="preserve"> 도핑 선택하기 (도핑하는 물약에 숫자 1 입력, 노블은 스킬포인트 입력)</t>
    <phoneticPr fontId="3" type="noConversion"/>
  </si>
  <si>
    <t xml:space="preserve"> 장비창 (공%, 공격력은 잠재, 소울 합산)</t>
    <phoneticPr fontId="3" type="noConversion"/>
  </si>
  <si>
    <t xml:space="preserve"> 시드링 효율 확인하기 (리스트레인트=크라이시스)</t>
    <phoneticPr fontId="3" type="noConversion"/>
  </si>
  <si>
    <t xml:space="preserve"> 현재 스펙 입력하기 (쓸컴뱃, 쓸어블, 메용 사용, 시드링 1개 착용)</t>
    <phoneticPr fontId="3" type="noConversion"/>
  </si>
  <si>
    <t>Copyright. (루나) 연단씨</t>
    <phoneticPr fontId="3" type="noConversion"/>
  </si>
  <si>
    <t xml:space="preserve"> (참고용) 부스탯 효율 확인하기, 조금 부정확할 수 있어요!</t>
    <phoneticPr fontId="3" type="noConversion"/>
  </si>
  <si>
    <t xml:space="preserve"> 스킬 코어 레벨</t>
    <phoneticPr fontId="3" type="noConversion"/>
  </si>
  <si>
    <t xml:space="preserve"> 보유 시드링</t>
    <phoneticPr fontId="3" type="noConversion"/>
  </si>
  <si>
    <t xml:space="preserve"> 유니온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</si>
</sst>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00%"/>
    <numFmt numFmtId="177" formatCode="0.0000%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KoPub돋움체 Medium"/>
      <family val="1"/>
      <charset val="129"/>
    </font>
    <font>
      <sz val="10"/>
      <color theme="1"/>
      <name val="KoPub돋움체 Bold"/>
      <family val="1"/>
      <charset val="129"/>
    </font>
    <font>
      <sz val="10"/>
      <color theme="0"/>
      <name val="KoPub돋움체 Bold"/>
      <family val="1"/>
      <charset val="129"/>
    </font>
    <font>
      <sz val="10"/>
      <color theme="0" tint="-4.9989318521683403E-2"/>
      <name val="맑은 고딕"/>
      <family val="2"/>
      <charset val="129"/>
      <scheme val="minor"/>
    </font>
    <font>
      <sz val="10"/>
      <name val="맑은 고딕"/>
      <family val="2"/>
      <charset val="129"/>
      <scheme val="minor"/>
    </font>
    <font>
      <sz val="10"/>
      <color theme="0" tint="-4.9989318521683403E-2"/>
      <name val="맑은 고딕"/>
      <family val="3"/>
      <charset val="129"/>
      <scheme val="minor"/>
    </font>
    <font>
      <sz val="10"/>
      <color theme="0" tint="-0.14999847407452621"/>
      <name val="KoPub돋움체 Medium"/>
      <family val="1"/>
      <charset val="129"/>
    </font>
    <font>
      <sz val="10"/>
      <name val="KoPub돋움체 Bold"/>
      <family val="1"/>
      <charset val="129"/>
    </font>
    <font>
      <sz val="9"/>
      <color indexed="81"/>
      <name val="KoPub돋움체 Medium"/>
      <family val="1"/>
      <charset val="129"/>
    </font>
  </fonts>
  <fills count="11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DDEECC"/>
        <bgColor indexed="64"/>
      </patternFill>
    </fill>
    <fill>
      <patternFill patternType="solid">
        <fgColor rgb="FFB2DF44"/>
        <bgColor indexed="64"/>
      </patternFill>
    </fill>
    <fill>
      <patternFill patternType="solid">
        <fgColor rgb="FF5BA900"/>
        <bgColor indexed="64"/>
      </patternFill>
    </fill>
    <fill>
      <patternFill patternType="lightDown">
        <fgColor rgb="FFEEE1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lightDown">
        <fgColor rgb="FFEEE1FF"/>
        <bgColor theme="0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hair">
        <color rgb="FF6600EE"/>
      </left>
      <right style="hair">
        <color rgb="FF6600EE"/>
      </right>
      <top style="hair">
        <color rgb="FF6600EE"/>
      </top>
      <bottom style="hair">
        <color rgb="FF6600EE"/>
      </bottom>
      <diagonal/>
    </border>
    <border>
      <left style="hair">
        <color rgb="FF6600EE"/>
      </left>
      <right style="hair">
        <color rgb="FF6600EE"/>
      </right>
      <top/>
      <bottom style="hair">
        <color rgb="FF6600EE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/>
      <top/>
      <bottom style="thin">
        <color auto="1"/>
      </bottom>
      <diagonal/>
    </border>
    <border>
      <left style="hair">
        <color auto="1"/>
      </left>
      <right style="hair">
        <color rgb="FF6600EE"/>
      </right>
      <top style="thin">
        <color auto="1"/>
      </top>
      <bottom style="hair">
        <color theme="1"/>
      </bottom>
      <diagonal/>
    </border>
    <border>
      <left style="hair">
        <color auto="1"/>
      </left>
      <right style="hair">
        <color rgb="FF6600EE"/>
      </right>
      <top style="thin">
        <color auto="1"/>
      </top>
      <bottom/>
      <diagonal/>
    </border>
    <border>
      <left style="hair">
        <color auto="1"/>
      </left>
      <right style="hair">
        <color rgb="FF6600EE"/>
      </right>
      <top style="hair">
        <color theme="1"/>
      </top>
      <bottom style="hair">
        <color theme="1"/>
      </bottom>
      <diagonal/>
    </border>
    <border>
      <left style="hair">
        <color auto="1"/>
      </left>
      <right style="hair">
        <color rgb="FF6600EE"/>
      </right>
      <top style="hair">
        <color theme="1"/>
      </top>
      <bottom/>
      <diagonal/>
    </border>
    <border>
      <left style="hair">
        <color rgb="FF6600EE"/>
      </left>
      <right style="hair">
        <color rgb="FF6600EE"/>
      </right>
      <top style="thin">
        <color auto="1"/>
      </top>
      <bottom style="hair">
        <color rgb="FF6600EE"/>
      </bottom>
      <diagonal/>
    </border>
    <border>
      <left style="thin">
        <color theme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rgb="FF6600EE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rgb="FF6600EE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rgb="FF6600EE"/>
      </right>
      <top style="hair">
        <color auto="1"/>
      </top>
      <bottom style="hair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indexed="64"/>
      </bottom>
      <diagonal/>
    </border>
    <border>
      <left style="hair">
        <color rgb="FF5BA900"/>
      </left>
      <right style="hair">
        <color rgb="FF5BA900"/>
      </right>
      <top style="hair">
        <color rgb="FF5BA900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3" borderId="7" xfId="0" applyFont="1" applyFill="1" applyBorder="1" applyAlignment="1">
      <alignment horizontal="left" vertical="center" indent="1"/>
    </xf>
    <xf numFmtId="0" fontId="4" fillId="3" borderId="8" xfId="0" applyFont="1" applyFill="1" applyBorder="1" applyAlignment="1">
      <alignment horizontal="left" vertical="center" indent="1"/>
    </xf>
    <xf numFmtId="0" fontId="4" fillId="3" borderId="6" xfId="0" applyFont="1" applyFill="1" applyBorder="1" applyAlignment="1">
      <alignment horizontal="left" vertical="center" indent="1"/>
    </xf>
    <xf numFmtId="0" fontId="4" fillId="3" borderId="9" xfId="0" applyFont="1" applyFill="1" applyBorder="1" applyAlignment="1">
      <alignment horizontal="left" vertical="center" indent="1"/>
    </xf>
    <xf numFmtId="0" fontId="4" fillId="7" borderId="10" xfId="0" applyFont="1" applyFill="1" applyBorder="1">
      <alignment vertical="center"/>
    </xf>
    <xf numFmtId="0" fontId="4" fillId="7" borderId="1" xfId="0" applyFont="1" applyFill="1" applyBorder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left" vertical="center" indent="1"/>
    </xf>
    <xf numFmtId="0" fontId="4" fillId="3" borderId="12" xfId="0" applyFont="1" applyFill="1" applyBorder="1" applyAlignment="1">
      <alignment horizontal="left" vertical="center" indent="1"/>
    </xf>
    <xf numFmtId="0" fontId="5" fillId="4" borderId="11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3" fontId="4" fillId="8" borderId="1" xfId="1" applyNumberFormat="1" applyFont="1" applyFill="1" applyBorder="1" applyAlignment="1">
      <alignment horizontal="right" vertical="center" indent="1"/>
    </xf>
    <xf numFmtId="0" fontId="4" fillId="7" borderId="10" xfId="0" applyFont="1" applyFill="1" applyBorder="1" applyAlignment="1">
      <alignment horizontal="left" vertical="center" indent="1"/>
    </xf>
    <xf numFmtId="0" fontId="4" fillId="7" borderId="1" xfId="0" applyFont="1" applyFill="1" applyBorder="1" applyAlignment="1">
      <alignment horizontal="left" vertical="center" indent="1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9" fontId="7" fillId="2" borderId="0" xfId="0" applyNumberFormat="1" applyFont="1" applyFill="1">
      <alignment vertical="center"/>
    </xf>
    <xf numFmtId="9" fontId="4" fillId="7" borderId="1" xfId="2" applyNumberFormat="1" applyFont="1" applyFill="1" applyBorder="1" applyAlignment="1">
      <alignment horizontal="right" vertical="center" indent="1"/>
    </xf>
    <xf numFmtId="9" fontId="4" fillId="7" borderId="1" xfId="0" applyNumberFormat="1" applyFont="1" applyFill="1" applyBorder="1" applyAlignment="1">
      <alignment horizontal="right" vertical="center" indent="1"/>
    </xf>
    <xf numFmtId="3" fontId="4" fillId="7" borderId="1" xfId="0" applyNumberFormat="1" applyFont="1" applyFill="1" applyBorder="1" applyAlignment="1">
      <alignment horizontal="right" vertical="center" indent="1"/>
    </xf>
    <xf numFmtId="10" fontId="4" fillId="7" borderId="1" xfId="0" applyNumberFormat="1" applyFont="1" applyFill="1" applyBorder="1" applyAlignment="1">
      <alignment horizontal="right" vertical="center" indent="1"/>
    </xf>
    <xf numFmtId="3" fontId="8" fillId="2" borderId="0" xfId="0" applyNumberFormat="1" applyFont="1" applyFill="1">
      <alignment vertical="center"/>
    </xf>
    <xf numFmtId="0" fontId="5" fillId="4" borderId="3" xfId="0" applyFont="1" applyFill="1" applyBorder="1" applyAlignment="1">
      <alignment horizontal="right" vertical="center"/>
    </xf>
    <xf numFmtId="0" fontId="10" fillId="10" borderId="1" xfId="0" applyFont="1" applyFill="1" applyBorder="1">
      <alignment vertical="center"/>
    </xf>
    <xf numFmtId="176" fontId="5" fillId="7" borderId="1" xfId="0" applyNumberFormat="1" applyFont="1" applyFill="1" applyBorder="1" applyAlignment="1">
      <alignment horizontal="right" vertical="center" indent="1"/>
    </xf>
    <xf numFmtId="4" fontId="4" fillId="7" borderId="1" xfId="0" applyNumberFormat="1" applyFont="1" applyFill="1" applyBorder="1" applyAlignment="1">
      <alignment horizontal="right" vertical="center" indent="1"/>
    </xf>
    <xf numFmtId="177" fontId="4" fillId="7" borderId="10" xfId="2" applyNumberFormat="1" applyFont="1" applyFill="1" applyBorder="1" applyAlignment="1">
      <alignment horizontal="right" vertical="center" indent="1"/>
    </xf>
    <xf numFmtId="177" fontId="4" fillId="7" borderId="1" xfId="2" applyNumberFormat="1" applyFont="1" applyFill="1" applyBorder="1" applyAlignment="1">
      <alignment horizontal="right" vertical="center" indent="1"/>
    </xf>
    <xf numFmtId="4" fontId="7" fillId="10" borderId="0" xfId="0" applyNumberFormat="1" applyFont="1" applyFill="1">
      <alignment vertical="center"/>
    </xf>
    <xf numFmtId="0" fontId="7" fillId="10" borderId="0" xfId="0" applyFont="1" applyFill="1">
      <alignment vertical="center"/>
    </xf>
    <xf numFmtId="10" fontId="4" fillId="7" borderId="2" xfId="0" applyNumberFormat="1" applyFont="1" applyFill="1" applyBorder="1" applyAlignment="1">
      <alignment horizontal="center" vertical="center"/>
    </xf>
    <xf numFmtId="10" fontId="4" fillId="7" borderId="1" xfId="2" applyNumberFormat="1" applyFont="1" applyFill="1" applyBorder="1" applyAlignment="1">
      <alignment horizontal="center" vertical="center"/>
    </xf>
    <xf numFmtId="3" fontId="4" fillId="6" borderId="2" xfId="1" applyNumberFormat="1" applyFont="1" applyFill="1" applyBorder="1" applyAlignment="1" applyProtection="1">
      <alignment horizontal="right" vertical="center" indent="1"/>
      <protection locked="0"/>
    </xf>
    <xf numFmtId="3" fontId="4" fillId="6" borderId="1" xfId="1" applyNumberFormat="1" applyFont="1" applyFill="1" applyBorder="1" applyAlignment="1" applyProtection="1">
      <alignment horizontal="right" vertical="center" indent="1"/>
      <protection locked="0"/>
    </xf>
    <xf numFmtId="9" fontId="4" fillId="6" borderId="1" xfId="2" applyNumberFormat="1" applyFont="1" applyFill="1" applyBorder="1" applyAlignment="1" applyProtection="1">
      <alignment horizontal="right" vertical="center" indent="1"/>
      <protection locked="0"/>
    </xf>
    <xf numFmtId="10" fontId="4" fillId="6" borderId="1" xfId="2" applyNumberFormat="1" applyFont="1" applyFill="1" applyBorder="1" applyAlignment="1" applyProtection="1">
      <alignment horizontal="right" vertical="center" indent="1"/>
      <protection locked="0"/>
    </xf>
    <xf numFmtId="9" fontId="4" fillId="6" borderId="1" xfId="1" applyNumberFormat="1" applyFont="1" applyFill="1" applyBorder="1" applyAlignment="1" applyProtection="1">
      <alignment horizontal="right" vertical="center" indent="1"/>
      <protection locked="0"/>
    </xf>
    <xf numFmtId="0" fontId="4" fillId="6" borderId="1" xfId="2" applyNumberFormat="1" applyFont="1" applyFill="1" applyBorder="1" applyAlignment="1" applyProtection="1">
      <alignment horizontal="right" vertical="center" indent="1"/>
      <protection locked="0"/>
    </xf>
    <xf numFmtId="0" fontId="4" fillId="6" borderId="1" xfId="1" applyNumberFormat="1" applyFont="1" applyFill="1" applyBorder="1" applyAlignment="1" applyProtection="1">
      <alignment horizontal="right" vertical="center" indent="1"/>
      <protection locked="0"/>
    </xf>
    <xf numFmtId="3" fontId="4" fillId="6" borderId="2" xfId="1" applyNumberFormat="1" applyFont="1" applyFill="1" applyBorder="1" applyAlignment="1" applyProtection="1">
      <alignment horizontal="center" vertical="center"/>
      <protection locked="0"/>
    </xf>
    <xf numFmtId="3" fontId="4" fillId="6" borderId="1" xfId="1" applyNumberFormat="1" applyFont="1" applyFill="1" applyBorder="1" applyAlignment="1" applyProtection="1">
      <alignment horizontal="center" vertical="center"/>
      <protection locked="0"/>
    </xf>
    <xf numFmtId="3" fontId="4" fillId="9" borderId="1" xfId="0" applyNumberFormat="1" applyFont="1" applyFill="1" applyBorder="1" applyAlignment="1" applyProtection="1">
      <alignment horizontal="right" vertical="center" indent="1"/>
      <protection locked="0"/>
    </xf>
    <xf numFmtId="9" fontId="4" fillId="9" borderId="1" xfId="2" applyNumberFormat="1" applyFont="1" applyFill="1" applyBorder="1" applyAlignment="1" applyProtection="1">
      <alignment horizontal="right" vertical="center" indent="1"/>
      <protection locked="0"/>
    </xf>
    <xf numFmtId="9" fontId="4" fillId="9" borderId="1" xfId="0" applyNumberFormat="1" applyFont="1" applyFill="1" applyBorder="1" applyAlignment="1" applyProtection="1">
      <alignment horizontal="right" vertical="center" indent="1"/>
      <protection locked="0"/>
    </xf>
    <xf numFmtId="10" fontId="4" fillId="9" borderId="1" xfId="0" applyNumberFormat="1" applyFont="1" applyFill="1" applyBorder="1" applyAlignment="1" applyProtection="1">
      <alignment horizontal="right" vertical="center" indent="1"/>
      <protection locked="0"/>
    </xf>
    <xf numFmtId="9" fontId="5" fillId="6" borderId="19" xfId="1" applyNumberFormat="1" applyFont="1" applyFill="1" applyBorder="1" applyAlignment="1" applyProtection="1">
      <alignment horizontal="center" vertical="center"/>
      <protection locked="0"/>
    </xf>
    <xf numFmtId="9" fontId="4" fillId="6" borderId="2" xfId="1" applyNumberFormat="1" applyFont="1" applyFill="1" applyBorder="1" applyAlignment="1" applyProtection="1">
      <alignment horizontal="center" vertical="center"/>
      <protection locked="0"/>
    </xf>
    <xf numFmtId="9" fontId="4" fillId="6" borderId="1" xfId="1" applyNumberFormat="1" applyFont="1" applyFill="1" applyBorder="1" applyAlignment="1" applyProtection="1">
      <alignment horizontal="center" vertical="center"/>
      <protection locked="0"/>
    </xf>
    <xf numFmtId="3" fontId="5" fillId="6" borderId="19" xfId="1" applyNumberFormat="1" applyFont="1" applyFill="1" applyBorder="1" applyAlignment="1" applyProtection="1">
      <alignment horizontal="center" vertical="center"/>
      <protection locked="0"/>
    </xf>
    <xf numFmtId="0" fontId="0" fillId="10" borderId="0" xfId="0" applyFill="1">
      <alignment vertical="center"/>
    </xf>
    <xf numFmtId="0" fontId="4" fillId="2" borderId="0" xfId="0" applyFont="1" applyFill="1" applyAlignment="1">
      <alignment horizontal="right" vertical="center"/>
    </xf>
    <xf numFmtId="177" fontId="5" fillId="7" borderId="10" xfId="2" applyNumberFormat="1" applyFont="1" applyFill="1" applyBorder="1" applyAlignment="1">
      <alignment horizontal="right" vertical="center" indent="1"/>
    </xf>
    <xf numFmtId="177" fontId="5" fillId="7" borderId="1" xfId="2" applyNumberFormat="1" applyFont="1" applyFill="1" applyBorder="1" applyAlignment="1">
      <alignment horizontal="right" vertical="center" indent="1"/>
    </xf>
    <xf numFmtId="0" fontId="5" fillId="4" borderId="5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 indent="1"/>
    </xf>
    <xf numFmtId="0" fontId="4" fillId="3" borderId="17" xfId="0" applyFont="1" applyFill="1" applyBorder="1" applyAlignment="1">
      <alignment horizontal="left" vertical="center" indent="1"/>
    </xf>
    <xf numFmtId="0" fontId="4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 indent="1"/>
    </xf>
    <xf numFmtId="0" fontId="4" fillId="3" borderId="15" xfId="0" applyFont="1" applyFill="1" applyBorder="1" applyAlignment="1">
      <alignment horizontal="left" vertical="center" indent="1"/>
    </xf>
  </cellXfs>
  <cellStyles count="3">
    <cellStyle name="백분율" xfId="2" builtinId="5"/>
    <cellStyle name="쉼표 [0]" xfId="1" builtinId="6"/>
    <cellStyle name="표준" xfId="0" builtinId="0"/>
  </cellStyles>
  <dxfs count="12">
    <dxf>
      <font>
        <color rgb="FF0070C0"/>
      </font>
      <fill>
        <patternFill>
          <bgColor rgb="FFE6EBF6"/>
        </patternFill>
      </fill>
    </dxf>
    <dxf>
      <font>
        <color rgb="FFFF0000"/>
      </font>
      <fill>
        <patternFill>
          <bgColor rgb="FFFFEBEB"/>
        </patternFill>
      </fill>
    </dxf>
    <dxf>
      <font>
        <color theme="0" tint="-0.14996795556505021"/>
      </font>
    </dxf>
    <dxf>
      <font>
        <color theme="0" tint="-0.34998626667073579"/>
      </font>
    </dxf>
    <dxf>
      <font>
        <b val="0"/>
        <i val="0"/>
        <color rgb="FFFF0000"/>
      </font>
      <fill>
        <patternFill>
          <bgColor rgb="FFFFDDDD"/>
        </patternFill>
      </fill>
    </dxf>
    <dxf>
      <font>
        <color rgb="FF0070C0"/>
      </font>
      <fill>
        <patternFill>
          <bgColor rgb="FFCDEAFF"/>
        </patternFill>
      </fill>
    </dxf>
    <dxf>
      <font>
        <color rgb="FF0070C0"/>
      </font>
      <fill>
        <patternFill>
          <bgColor rgb="FFE6EBF6"/>
        </patternFill>
      </fill>
    </dxf>
    <dxf>
      <font>
        <color rgb="FFFF0000"/>
      </font>
      <fill>
        <patternFill>
          <bgColor rgb="FFFFEBEB"/>
        </patternFill>
      </fill>
    </dxf>
    <dxf>
      <font>
        <color theme="0" tint="-0.14996795556505021"/>
      </font>
    </dxf>
    <dxf>
      <font>
        <color theme="0" tint="-0.34998626667073579"/>
      </font>
    </dxf>
    <dxf>
      <font>
        <b val="0"/>
        <i val="0"/>
        <color rgb="FFFF0000"/>
      </font>
      <fill>
        <patternFill>
          <bgColor rgb="FFFFDDDD"/>
        </patternFill>
      </fill>
    </dxf>
    <dxf>
      <font>
        <color rgb="FF0070C0"/>
      </font>
      <fill>
        <patternFill>
          <bgColor rgb="FFCDEAFF"/>
        </patternFill>
      </fill>
    </dxf>
  </dxfs>
  <tableStyles count="0" defaultTableStyle="TableStyleMedium2" defaultPivotStyle="PivotStyleLight16"/>
  <colors>
    <mruColors>
      <color rgb="FFFFEBEB"/>
      <color rgb="FFE6EBF6"/>
      <color rgb="FFB2DF44"/>
      <color rgb="FFCDEAFF"/>
      <color rgb="FFE5F4FF"/>
      <color rgb="FFFFDDDD"/>
      <color rgb="FFEEE1FF"/>
      <color rgb="FFF5F5F5"/>
      <color rgb="FF5BA900"/>
      <color rgb="FFDDEE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24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2" name="직사각형 1"/>
        <xdr:cNvSpPr/>
      </xdr:nvSpPr>
      <xdr:spPr>
        <a:xfrm>
          <a:off x="11534775" y="5029200"/>
          <a:ext cx="5257800" cy="1257300"/>
        </a:xfrm>
        <a:prstGeom prst="rect">
          <a:avLst/>
        </a:prstGeom>
        <a:solidFill>
          <a:schemeClr val="tx1">
            <a:alpha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3000">
              <a:solidFill>
                <a:schemeClr val="bg1"/>
              </a:solidFill>
              <a:latin typeface="KoPub돋움체 Bold" panose="02020603020101020101" pitchFamily="18" charset="-127"/>
              <a:ea typeface="KoPub돋움체 Bold" panose="02020603020101020101" pitchFamily="18" charset="-127"/>
            </a:rPr>
            <a:t>TO</a:t>
          </a:r>
          <a:r>
            <a:rPr lang="en-US" altLang="ko-KR" sz="3000" baseline="0">
              <a:solidFill>
                <a:schemeClr val="bg1"/>
              </a:solidFill>
              <a:latin typeface="KoPub돋움체 Bold" panose="02020603020101020101" pitchFamily="18" charset="-127"/>
              <a:ea typeface="KoPub돋움체 Bold" panose="02020603020101020101" pitchFamily="18" charset="-127"/>
            </a:rPr>
            <a:t> BE CONTINUED</a:t>
          </a:r>
          <a:endParaRPr lang="ko-KR" altLang="en-US" sz="3000">
            <a:solidFill>
              <a:schemeClr val="bg1"/>
            </a:solidFill>
            <a:latin typeface="KoPub돋움체 Bold" panose="02020603020101020101" pitchFamily="18" charset="-127"/>
            <a:ea typeface="KoPub돋움체 Bold" panose="02020603020101020101" pitchFamily="18" charset="-127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24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2" name="직사각형 1"/>
        <xdr:cNvSpPr/>
      </xdr:nvSpPr>
      <xdr:spPr>
        <a:xfrm>
          <a:off x="11534775" y="5057775"/>
          <a:ext cx="5257800" cy="1257300"/>
        </a:xfrm>
        <a:prstGeom prst="rect">
          <a:avLst/>
        </a:prstGeom>
        <a:solidFill>
          <a:schemeClr val="tx1">
            <a:alpha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3000">
              <a:solidFill>
                <a:schemeClr val="bg1"/>
              </a:solidFill>
              <a:latin typeface="KoPub돋움체 Bold" panose="02020603020101020101" pitchFamily="18" charset="-127"/>
              <a:ea typeface="KoPub돋움체 Bold" panose="02020603020101020101" pitchFamily="18" charset="-127"/>
            </a:rPr>
            <a:t>TO</a:t>
          </a:r>
          <a:r>
            <a:rPr lang="en-US" altLang="ko-KR" sz="3000" baseline="0">
              <a:solidFill>
                <a:schemeClr val="bg1"/>
              </a:solidFill>
              <a:latin typeface="KoPub돋움체 Bold" panose="02020603020101020101" pitchFamily="18" charset="-127"/>
              <a:ea typeface="KoPub돋움체 Bold" panose="02020603020101020101" pitchFamily="18" charset="-127"/>
            </a:rPr>
            <a:t> BE CONTINUED</a:t>
          </a:r>
          <a:endParaRPr lang="ko-KR" altLang="en-US" sz="3000">
            <a:solidFill>
              <a:schemeClr val="bg1"/>
            </a:solidFill>
            <a:latin typeface="KoPub돋움체 Bold" panose="02020603020101020101" pitchFamily="18" charset="-127"/>
            <a:ea typeface="KoPub돋움체 Bold" panose="02020603020101020101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WindBreaker">
      <a:dk1>
        <a:sysClr val="windowText" lastClr="000000"/>
      </a:dk1>
      <a:lt1>
        <a:sysClr val="window" lastClr="FFFFFF"/>
      </a:lt1>
      <a:dk2>
        <a:srgbClr val="44546A"/>
      </a:dk2>
      <a:lt2>
        <a:srgbClr val="F5F5F5"/>
      </a:lt2>
      <a:accent1>
        <a:srgbClr val="DDEECC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70"/>
  <sheetViews>
    <sheetView zoomScaleNormal="100" workbookViewId="0">
      <selection activeCell="K25" sqref="K25"/>
    </sheetView>
  </sheetViews>
  <sheetFormatPr defaultRowHeight="16.5" x14ac:dyDescent="0.3"/>
  <cols>
    <col min="1" max="1" width="2.625" customWidth="1"/>
    <col min="2" max="2" width="15.125" customWidth="1"/>
    <col min="3" max="3" width="13.25" customWidth="1"/>
    <col min="4" max="4" width="2.625" customWidth="1"/>
    <col min="5" max="5" width="15.125" customWidth="1"/>
    <col min="6" max="6" width="8.125" customWidth="1"/>
    <col min="7" max="7" width="2.625" customWidth="1"/>
    <col min="8" max="8" width="18.125" customWidth="1"/>
    <col min="9" max="9" width="13.375" customWidth="1"/>
    <col min="10" max="10" width="8.375" customWidth="1"/>
    <col min="11" max="11" width="6.75" customWidth="1"/>
    <col min="12" max="12" width="2.625" customWidth="1"/>
    <col min="13" max="13" width="12.125" customWidth="1"/>
    <col min="14" max="14" width="13.5" customWidth="1"/>
    <col min="15" max="15" width="14.375" customWidth="1"/>
    <col min="16" max="16" width="2.625" customWidth="1"/>
    <col min="17" max="17" width="13.625" customWidth="1"/>
    <col min="18" max="18" width="5.5" customWidth="1"/>
    <col min="19" max="21" width="16.625" customWidth="1"/>
  </cols>
  <sheetData>
    <row r="1" spans="1:42" ht="18.75" customHeight="1" x14ac:dyDescent="0.3">
      <c r="A1" s="2"/>
      <c r="B1" s="28">
        <v>0.21</v>
      </c>
      <c r="C1" s="27">
        <v>1.3</v>
      </c>
      <c r="D1" s="2"/>
      <c r="E1" s="2"/>
      <c r="F1" s="2"/>
      <c r="G1" s="2"/>
      <c r="H1" s="2"/>
      <c r="I1" s="2"/>
      <c r="J1" s="25">
        <f>ROUND((4*ROUNDDOWN((현재_깡스탯)*(1+현재_스탯퍼)+(현재_고정스탯),0)+메용후부스탯)/100*(1+현재_데미지+현재_보뎀)*(ROUNDDOWN((현재_공격력)*(1+현재_무기공퍼+현재_보조공퍼+현재_엠블공퍼+스킬공퍼),0)+IF(쁘띠루미="Y",INT(레벨/20),0))*무기상수*(1+최종데미지)*(1.35+현재_크뎀)*(1-(방어율*((1-현재_방무)))),0)</f>
        <v>230071471</v>
      </c>
      <c r="K1" s="2"/>
      <c r="L1" s="2"/>
      <c r="M1" s="2"/>
      <c r="N1" s="2"/>
      <c r="O1" s="2"/>
      <c r="P1" s="2"/>
      <c r="Q1" s="2"/>
      <c r="R1" s="25">
        <f>ROUND((4*ROUNDDOWN((현재_깡스탯+IF(도핑2,도핑_깡스탯,0))*(1+현재_스탯퍼)+(현재_고정스탯),0)+메용후부스탯)/100*(1+현재_데미지+IF(도핑2,도핑_데미지,0)+현재_보뎀+IF(도핑2,도핑_보뎀,0))*(ROUNDDOWN((현재_공격력+IF(도핑2,도핑_공격력,0))*(1+현재_무기공퍼+현재_보조공퍼+현재_엠블공퍼+스킬공퍼+IF(도핑2,도핑_공퍼,0)),0)+IF(쁘띠루미="Y",INT(레벨/20),0))*무기상수*(1+최종데미지)*(1.35+현재_크뎀+IF(도핑2,도핑_크뎀,0))*(1-(방어율*((1-현재_방무)*IF(도핑2,1-도핑_방무,1)))),0)</f>
        <v>354793710</v>
      </c>
      <c r="S1" s="25">
        <f>ROUND((4*ROUNDDOWN((현재_깡스탯+1+IF(도핑2,도핑_깡스탯,0))*(1+현재_스탯퍼)+(현재_고정스탯),0)+메용후부스탯)/100*(1+현재_데미지+IF(도핑2,도핑_데미지,0)+현재_보뎀+IF(도핑2,도핑_보뎀,0))*(ROUNDDOWN((현재_공격력+IF(도핑2,도핑_공격력,0))*(1+현재_무기공퍼+현재_보조공퍼+현재_엠블공퍼+스킬공퍼+IF(도핑2,도핑_공퍼,0)),0)+IF(쁘띠루미="Y",INT(레벨/20),0))*무기상수*(1+최종데미지)*(1.35+현재_크뎀+IF(도핑2,도핑_크뎀,0))*(1-(방어율*((1-현재_방무)*IF(도핑2,1-도핑_방무,1)))),0)-R1</f>
        <v>40944</v>
      </c>
      <c r="T1" s="61"/>
      <c r="U1" s="62" t="s">
        <v>181</v>
      </c>
      <c r="V1" s="2"/>
      <c r="W1" s="2"/>
      <c r="X1" s="2"/>
      <c r="Y1" s="2"/>
      <c r="Z1" s="2"/>
      <c r="AA1" s="2"/>
      <c r="AB1" s="2"/>
      <c r="AC1" s="2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6.5" customHeight="1" x14ac:dyDescent="0.3">
      <c r="A2" s="2"/>
      <c r="B2" s="67" t="s">
        <v>180</v>
      </c>
      <c r="C2" s="68"/>
      <c r="D2" s="68"/>
      <c r="E2" s="68"/>
      <c r="F2" s="68"/>
      <c r="G2" s="2"/>
      <c r="H2" s="67" t="s">
        <v>177</v>
      </c>
      <c r="I2" s="68"/>
      <c r="J2" s="68"/>
      <c r="K2" s="68"/>
      <c r="L2" s="2"/>
      <c r="M2" s="67" t="s">
        <v>50</v>
      </c>
      <c r="N2" s="68"/>
      <c r="O2" s="68"/>
      <c r="P2" s="2"/>
      <c r="Q2" s="14" t="s">
        <v>138</v>
      </c>
      <c r="R2" s="15"/>
      <c r="S2" s="15"/>
      <c r="T2" s="15"/>
      <c r="U2" s="60" t="s">
        <v>172</v>
      </c>
      <c r="V2" s="25" t="b">
        <f>U2="도핑 적용 O"</f>
        <v>1</v>
      </c>
      <c r="W2" s="25">
        <v>0</v>
      </c>
      <c r="X2" s="25" t="s">
        <v>139</v>
      </c>
      <c r="Y2" s="25" t="s">
        <v>141</v>
      </c>
      <c r="Z2" s="2"/>
      <c r="AA2" s="2"/>
      <c r="AB2" s="2"/>
      <c r="AC2" s="2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6.5" customHeight="1" x14ac:dyDescent="0.3">
      <c r="A3" s="2"/>
      <c r="B3" s="65" t="s">
        <v>0</v>
      </c>
      <c r="C3" s="66"/>
      <c r="D3" s="4"/>
      <c r="E3" s="65" t="s">
        <v>183</v>
      </c>
      <c r="F3" s="66"/>
      <c r="G3" s="2"/>
      <c r="H3" s="11" t="s">
        <v>51</v>
      </c>
      <c r="I3" s="12" t="s">
        <v>88</v>
      </c>
      <c r="J3" s="12" t="s">
        <v>132</v>
      </c>
      <c r="K3" s="12" t="s">
        <v>69</v>
      </c>
      <c r="L3" s="2"/>
      <c r="M3" s="11" t="s">
        <v>51</v>
      </c>
      <c r="N3" s="12" t="s">
        <v>52</v>
      </c>
      <c r="O3" s="12" t="s">
        <v>53</v>
      </c>
      <c r="P3" s="2"/>
      <c r="Q3" s="18" t="s">
        <v>109</v>
      </c>
      <c r="R3" s="19"/>
      <c r="S3" s="20" t="s">
        <v>110</v>
      </c>
      <c r="T3" s="20" t="s">
        <v>111</v>
      </c>
      <c r="U3" s="20" t="s">
        <v>112</v>
      </c>
      <c r="V3" s="2"/>
      <c r="W3" s="25">
        <v>1</v>
      </c>
      <c r="X3" s="25" t="s">
        <v>140</v>
      </c>
      <c r="Y3" s="25" t="s">
        <v>142</v>
      </c>
      <c r="Z3" s="2"/>
      <c r="AA3" s="2"/>
      <c r="AB3" s="2"/>
      <c r="AC3" s="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6.5" customHeight="1" x14ac:dyDescent="0.3">
      <c r="A4" s="2"/>
      <c r="B4" s="5" t="s">
        <v>5</v>
      </c>
      <c r="C4" s="44">
        <v>265</v>
      </c>
      <c r="D4" s="2"/>
      <c r="E4" s="5" t="s">
        <v>44</v>
      </c>
      <c r="F4" s="44">
        <v>30</v>
      </c>
      <c r="G4" s="2"/>
      <c r="H4" s="5" t="s">
        <v>150</v>
      </c>
      <c r="I4" s="23" t="s">
        <v>157</v>
      </c>
      <c r="J4" s="42">
        <f>ROUND((4*ROUNDDOWN((현재_깡스탯)*(1+현재_스탯퍼)+(현재_고정스탯),0)+메용후부스탯)/100*(1+현재_데미지+현재_보뎀+20%)*(ROUNDDOWN((현재_공격력)*(1+현재_무기공퍼+현재_보조공퍼+현재_엠블공퍼+스킬공퍼),0)+IF(쁘띠루미="Y",INT(레벨/20),0))*무기상수*(1+최종데미지)*(1.35+현재_크뎀)*(1-(방어율*((1-현재_방무)))),0)/$J$1-1</f>
        <v>3.3388981113612326E-2</v>
      </c>
      <c r="K4" s="44"/>
      <c r="L4" s="2"/>
      <c r="M4" s="5" t="s">
        <v>54</v>
      </c>
      <c r="N4" s="31">
        <f>ROUNDUP((메용후주스탯-현재_고정스탯)/(1+현재_스탯퍼),0)</f>
        <v>5373</v>
      </c>
      <c r="O4" s="53">
        <v>200</v>
      </c>
      <c r="P4" s="2"/>
      <c r="Q4" s="17" t="s">
        <v>79</v>
      </c>
      <c r="R4" s="51">
        <v>1</v>
      </c>
      <c r="S4" s="31">
        <f>ROUND((4*ROUNDDOWN((현재_깡스탯+R4+IF(도핑2,도핑_깡스탯,0))*(1+현재_스탯퍼)+(현재_고정스탯),0)+메용후부스탯)/100*(1+현재_데미지+IF(도핑2,도핑_데미지,0)+현재_보뎀+IF(도핑2,도핑_보뎀,0))*(ROUNDDOWN((현재_공격력+IF(도핑2,도핑_공격력,0))*(1+현재_무기공퍼+현재_보조공퍼+현재_엠블공퍼+스킬공퍼+IF(도핑2,도핑_공퍼,0)),0)+IF(쁘띠루미="Y",INT(레벨/20),0))*무기상수*(1+최종데미지)*(1.35+현재_크뎀+IF(도핑2,도핑_크뎀,0))*(1-(방어율*((1-현재_방무)*IF(도핑2,1-도핑_방무,1)))),0)-R1</f>
        <v>40944</v>
      </c>
      <c r="T4" s="37">
        <f>R4</f>
        <v>1</v>
      </c>
      <c r="U4" s="63">
        <f t="shared" ref="U4:U10" si="0">S4/$R$1</f>
        <v>1.1540227136495741E-4</v>
      </c>
      <c r="V4" s="2"/>
      <c r="W4" s="25">
        <v>2</v>
      </c>
      <c r="X4" s="25" t="s">
        <v>143</v>
      </c>
      <c r="Y4" s="25"/>
      <c r="Z4" s="2"/>
      <c r="AA4" s="2"/>
      <c r="AB4" s="2"/>
      <c r="AC4" s="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6.5" customHeight="1" x14ac:dyDescent="0.3">
      <c r="A5" s="2"/>
      <c r="B5" s="6" t="s">
        <v>6</v>
      </c>
      <c r="C5" s="45">
        <v>40686185</v>
      </c>
      <c r="D5" s="2"/>
      <c r="E5" s="6" t="s">
        <v>43</v>
      </c>
      <c r="F5" s="45">
        <v>30</v>
      </c>
      <c r="G5" s="2"/>
      <c r="H5" s="6" t="s">
        <v>151</v>
      </c>
      <c r="I5" s="24" t="s">
        <v>158</v>
      </c>
      <c r="J5" s="43">
        <f>ROUND((4*ROUNDDOWN((현재_깡스탯)*(1+현재_스탯퍼)+(현재_고정스탯),0)+메용후부스탯)/100*(1+현재_데미지+현재_보뎀)*(ROUNDDOWN((현재_공격력)*(1+현재_무기공퍼+현재_보조공퍼+현재_엠블공퍼+스킬공퍼),0)+IF(쁘띠루미="Y",INT(레벨/20),0))*무기상수*(1+최종데미지)*(1.35+현재_크뎀)*(1-(방어율*((1-현재_방무))*(0.8))),0)/$J$1-1</f>
        <v>4.7708692226338556E-2</v>
      </c>
      <c r="K5" s="45"/>
      <c r="L5" s="2"/>
      <c r="M5" s="6" t="s">
        <v>55</v>
      </c>
      <c r="N5" s="29">
        <f>ROUNDUP((메용후주스탯 - 메용전주스탯)/ROUNDDOWN((레벨 * 5 + 18) * (최종데미지 - 0.1),0),2) -1</f>
        <v>5.45</v>
      </c>
      <c r="O5" s="54"/>
      <c r="P5" s="2"/>
      <c r="Q5" s="6" t="s">
        <v>104</v>
      </c>
      <c r="R5" s="58">
        <v>0.01</v>
      </c>
      <c r="S5" s="31">
        <f>ROUND((4*ROUNDDOWN((현재_깡스탯+IF(도핑2,도핑_깡스탯,0))*(1+현재_스탯퍼+R5)+(현재_고정스탯),0)+메용후부스탯)/100*(1+현재_데미지+IF(도핑2,도핑_데미지,0)+현재_보뎀+IF(도핑2,도핑_보뎀,0))*(ROUNDDOWN((현재_공격력+IF(도핑2,도핑_공격력,0))*(1+현재_무기공퍼+현재_보조공퍼+현재_엠블공퍼+스킬공퍼+IF(도핑2,도핑_공퍼,0)),0)+IF(쁘띠루미="Y",INT(레벨/20),0))*무기상수*(1+최종데미지)*(1.35+현재_크뎀+IF(도핑2,도핑_크뎀,0))*(1-(방어율*((1-현재_방무)*IF(도핑2,1-도핑_방무,1)))),0)-R1</f>
        <v>368503</v>
      </c>
      <c r="T5" s="37">
        <f>S5/$S$1</f>
        <v>9.0001709652207893</v>
      </c>
      <c r="U5" s="64">
        <f t="shared" si="0"/>
        <v>1.0386401720594201E-3</v>
      </c>
      <c r="V5" s="2"/>
      <c r="W5" s="25">
        <v>3</v>
      </c>
      <c r="X5" s="25" t="s">
        <v>144</v>
      </c>
      <c r="Y5" s="25"/>
      <c r="Z5" s="2"/>
      <c r="AA5" s="2"/>
      <c r="AB5" s="2"/>
      <c r="AC5" s="2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6.5" customHeight="1" x14ac:dyDescent="0.3">
      <c r="A6" s="2"/>
      <c r="B6" s="6" t="s">
        <v>1</v>
      </c>
      <c r="C6" s="45">
        <v>7328</v>
      </c>
      <c r="D6" s="2"/>
      <c r="E6" s="6" t="s">
        <v>42</v>
      </c>
      <c r="F6" s="45">
        <v>30</v>
      </c>
      <c r="G6" s="2"/>
      <c r="H6" s="6" t="s">
        <v>152</v>
      </c>
      <c r="I6" s="24" t="s">
        <v>159</v>
      </c>
      <c r="J6" s="43">
        <f>ROUND((4*ROUNDDOWN((현재_깡스탯)*(1+현재_스탯퍼)+(현재_고정스탯),0)+메용후부스탯)/100*(1+현재_데미지+현재_보뎀+0.1)*(ROUNDDOWN((현재_공격력)*(1+현재_무기공퍼+현재_보조공퍼+현재_엠블공퍼+스킬공퍼),0)+IF(쁘띠루미="Y",INT(레벨/20),0))*무기상수*(1+최종데미지)*(1.35+현재_크뎀)*(1-(방어율*((1-현재_방무)))),0)/$J$1-1</f>
        <v>1.6694490556806052E-2</v>
      </c>
      <c r="K6" s="45">
        <v>1</v>
      </c>
      <c r="L6" s="2"/>
      <c r="M6" s="6" t="s">
        <v>56</v>
      </c>
      <c r="N6" s="31">
        <f>SUM(어빌DEX,하이퍼스탯DEX,심볼,유니온공격대원)+IF(레벨&gt;=250,100,80)</f>
        <v>15310</v>
      </c>
      <c r="O6" s="53"/>
      <c r="P6" s="2"/>
      <c r="Q6" s="6" t="s">
        <v>103</v>
      </c>
      <c r="R6" s="52">
        <v>1</v>
      </c>
      <c r="S6" s="31">
        <f>ROUND((4*ROUNDDOWN((현재_깡스탯+IF(도핑2,도핑_깡스탯,0))*(1+현재_스탯퍼)+(현재_고정스탯),0)+메용후부스탯)/100*(1+현재_데미지+IF(도핑2,도핑_데미지,0)+현재_보뎀+IF(도핑2,도핑_보뎀,0))*(ROUNDDOWN((현재_공격력+R6+IF(도핑2,도핑_공격력,0))*(1+현재_무기공퍼+현재_보조공퍼+현재_엠블공퍼+스킬공퍼+IF(도핑2,도핑_공퍼,0)),0)+IF(쁘띠루미="Y",INT(레벨/20),0))*무기상수*(1+최종데미지)*(1.35+현재_크뎀+IF(도핑2,도핑_크뎀,0))*(1-(방어율*((1-현재_방무)*IF(도핑2,1-도핑_방무,1)))),0)-R1</f>
        <v>99201</v>
      </c>
      <c r="T6" s="37">
        <f t="shared" ref="T6:T10" si="1">S6/$S$1</f>
        <v>2.4228458382180538</v>
      </c>
      <c r="U6" s="64">
        <f t="shared" si="0"/>
        <v>2.7960191289749754E-4</v>
      </c>
      <c r="V6" s="2"/>
      <c r="W6" s="25">
        <v>4</v>
      </c>
      <c r="X6" s="25"/>
      <c r="Y6" s="25"/>
      <c r="Z6" s="2"/>
      <c r="AA6" s="2"/>
      <c r="AB6" s="2"/>
      <c r="AC6" s="2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6.5" customHeight="1" x14ac:dyDescent="0.3">
      <c r="A7" s="2"/>
      <c r="B7" s="6" t="s">
        <v>2</v>
      </c>
      <c r="C7" s="45">
        <v>49965</v>
      </c>
      <c r="D7" s="2"/>
      <c r="E7" s="6" t="s">
        <v>38</v>
      </c>
      <c r="F7" s="45">
        <v>30</v>
      </c>
      <c r="G7" s="2"/>
      <c r="H7" s="6" t="s">
        <v>153</v>
      </c>
      <c r="I7" s="24" t="s">
        <v>160</v>
      </c>
      <c r="J7" s="43">
        <f>ROUND((4*ROUNDDOWN((현재_깡스탯)*(1+현재_스탯퍼)+(현재_고정스탯),0)+메용후부스탯)/100*(1+현재_데미지+현재_보뎀)*(ROUNDDOWN((현재_공격력+30)*(1+현재_무기공퍼+현재_보조공퍼+현재_엠블공퍼+스킬공퍼),0)+IF(쁘띠루미="Y",INT(레벨/20),0))*무기상수*(1+최종데미지)*(1.35+현재_크뎀)*(1-(방어율*((1-현재_방무)))),0)/$J$1-1</f>
        <v>1.1060506498000278E-2</v>
      </c>
      <c r="K7" s="45"/>
      <c r="L7" s="2"/>
      <c r="M7" s="6" t="s">
        <v>19</v>
      </c>
      <c r="N7" s="30">
        <f>C24</f>
        <v>0.33</v>
      </c>
      <c r="O7" s="55"/>
      <c r="P7" s="2"/>
      <c r="Q7" s="6" t="s">
        <v>105</v>
      </c>
      <c r="R7" s="58">
        <v>0.01</v>
      </c>
      <c r="S7" s="31">
        <f>ROUND((4*ROUNDDOWN((현재_깡스탯+IF(도핑2,도핑_깡스탯,0))*(1+현재_스탯퍼)+(현재_고정스탯),0)+메용후부스탯)/100*(1+현재_데미지+IF(도핑2,도핑_데미지,0)+현재_보뎀+IF(도핑2,도핑_보뎀,0))*(ROUNDDOWN((현재_공격력+IF(도핑2,도핑_공격력,0))*(1+현재_무기공퍼+현재_보조공퍼+현재_엠블공퍼+스킬공퍼+R7+IF(도핑2,도핑_공퍼,0)),0)+IF(쁘띠루미="Y",INT(레벨/20),0))*무기상수*(1+최종데미지)*(1.35+현재_크뎀+IF(도핑2,도핑_크뎀,0))*(1-(방어율*((1-현재_방무)*IF(도핑2,1-도핑_방무,1)))),0)-R1</f>
        <v>1438420</v>
      </c>
      <c r="T7" s="37">
        <f t="shared" si="1"/>
        <v>35.131398983978116</v>
      </c>
      <c r="U7" s="64">
        <f t="shared" si="0"/>
        <v>4.0542432389796311E-3</v>
      </c>
      <c r="V7" s="2"/>
      <c r="W7" s="25" t="s">
        <v>145</v>
      </c>
      <c r="X7" s="25">
        <v>100</v>
      </c>
      <c r="Y7" s="25">
        <v>50</v>
      </c>
      <c r="Z7" s="2"/>
      <c r="AA7" s="2"/>
      <c r="AB7" s="2"/>
      <c r="AC7" s="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6.5" customHeight="1" x14ac:dyDescent="0.3">
      <c r="A8" s="2"/>
      <c r="B8" s="6" t="s">
        <v>3</v>
      </c>
      <c r="C8" s="45">
        <v>4031</v>
      </c>
      <c r="D8" s="2"/>
      <c r="E8" s="6" t="s">
        <v>41</v>
      </c>
      <c r="F8" s="45">
        <v>30</v>
      </c>
      <c r="G8" s="2"/>
      <c r="H8" s="6" t="s">
        <v>154</v>
      </c>
      <c r="I8" s="24" t="s">
        <v>157</v>
      </c>
      <c r="J8" s="43">
        <f>ROUND((4*ROUNDDOWN((현재_깡스탯)*(1+현재_스탯퍼)+(현재_고정스탯),0)+메용후부스탯)/100*(1+현재_데미지+현재_보뎀+20%)*(ROUNDDOWN((현재_공격력)*(1+현재_무기공퍼+현재_보조공퍼+현재_엠블공퍼+스킬공퍼),0)+IF(쁘띠루미="Y",INT(레벨/20),0))*무기상수*(1+최종데미지)*(1.35+현재_크뎀)*(1-(방어율*((1-현재_방무)))),0)/$J$1-1</f>
        <v>3.3388981113612326E-2</v>
      </c>
      <c r="K8" s="45">
        <v>1</v>
      </c>
      <c r="L8" s="2"/>
      <c r="M8" s="6" t="s">
        <v>57</v>
      </c>
      <c r="N8" s="30">
        <f>C26</f>
        <v>0.33</v>
      </c>
      <c r="O8" s="55"/>
      <c r="P8" s="2"/>
      <c r="Q8" s="6" t="s">
        <v>106</v>
      </c>
      <c r="R8" s="58">
        <v>0.01</v>
      </c>
      <c r="S8" s="31">
        <f>ROUND((4*ROUNDDOWN((현재_깡스탯+IF(도핑2,도핑_깡스탯,0))*(1+현재_스탯퍼)+(현재_고정스탯),0)+메용후부스탯)/100*(1+R8+현재_데미지+IF(도핑2,도핑_데미지,0)+현재_보뎀+IF(도핑2,도핑_보뎀,0))*(ROUNDDOWN((현재_공격력+IF(도핑2,도핑_공격력,0))*(1+현재_무기공퍼+현재_보조공퍼+현재_엠블공퍼+스킬공퍼+IF(도핑2,도핑_공퍼,0)),0)+IF(쁘띠루미="Y",INT(레벨/20),0))*무기상수*(1+최종데미지)*(1.35+현재_크뎀+IF(도핑2,도핑_크뎀,0))*(1-(방어율*((1-현재_방무)*IF(도핑2,1-도핑_방무,1)))),0)-R1</f>
        <v>507573</v>
      </c>
      <c r="T8" s="37">
        <f t="shared" si="1"/>
        <v>12.39676143024619</v>
      </c>
      <c r="U8" s="64">
        <f t="shared" si="0"/>
        <v>1.4306144266199082E-3</v>
      </c>
      <c r="V8" s="2"/>
      <c r="W8" s="25" t="s">
        <v>146</v>
      </c>
      <c r="X8" s="25">
        <v>80</v>
      </c>
      <c r="Y8" s="25">
        <v>40</v>
      </c>
      <c r="Z8" s="2"/>
      <c r="AA8" s="2"/>
      <c r="AB8" s="2"/>
      <c r="AC8" s="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6.5" customHeight="1" x14ac:dyDescent="0.3">
      <c r="A9" s="2"/>
      <c r="B9" s="6" t="s">
        <v>4</v>
      </c>
      <c r="C9" s="45">
        <v>3866</v>
      </c>
      <c r="D9" s="2"/>
      <c r="E9" s="6" t="s">
        <v>39</v>
      </c>
      <c r="F9" s="45">
        <v>30</v>
      </c>
      <c r="G9" s="2"/>
      <c r="H9" s="6" t="s">
        <v>155</v>
      </c>
      <c r="I9" s="24" t="s">
        <v>161</v>
      </c>
      <c r="J9" s="43">
        <f>ROUND((4*ROUNDDOWN((현재_깡스탯)*(1+현재_스탯퍼)+(현재_고정스탯),0)+메용후부스탯)/100*(1+현재_데미지+현재_보뎀)*(ROUNDDOWN((현재_공격력)*(1+현재_무기공퍼+현재_보조공퍼+현재_엠블공퍼+스킬공퍼),0)+IF(쁘띠루미="Y",INT(레벨/20),0))*무기상수*(1+최종데미지)*(1.35+현재_크뎀)*(1-(방어율*((1-현재_방무))*(0.8))),0)/$J$1-1</f>
        <v>4.7708692226338556E-2</v>
      </c>
      <c r="K9" s="45"/>
      <c r="L9" s="2"/>
      <c r="M9" s="6" t="s">
        <v>58</v>
      </c>
      <c r="N9" s="30">
        <f>C27</f>
        <v>0.39</v>
      </c>
      <c r="O9" s="55"/>
      <c r="P9" s="2"/>
      <c r="Q9" s="6" t="s">
        <v>107</v>
      </c>
      <c r="R9" s="58">
        <v>0.01</v>
      </c>
      <c r="S9" s="31">
        <f>ROUND((4*ROUNDDOWN((현재_깡스탯+IF(도핑2,도핑_깡스탯,0))*(1+현재_스탯퍼)+(현재_고정스탯),0)+메용후부스탯)/100*(1+현재_데미지+IF(도핑2,도핑_데미지,0)+현재_보뎀+IF(도핑2,도핑_보뎀,0))*(ROUNDDOWN((현재_공격력+IF(도핑2,도핑_공격력,0))*(1+현재_무기공퍼+현재_보조공퍼+현재_엠블공퍼+스킬공퍼+IF(도핑2,도핑_공퍼,0)),0)+IF(쁘띠루미="Y",INT(레벨/20),0))*무기상수*(1+최종데미지)*(1.35+R9+현재_크뎀+IF(도핑2,도핑_크뎀,0))*(1-(방어율*((1-현재_방무)*IF(도핑2,1-도핑_방무,1)))),0)-R1</f>
        <v>1375169</v>
      </c>
      <c r="T9" s="37">
        <f t="shared" si="1"/>
        <v>33.586581672528332</v>
      </c>
      <c r="U9" s="64">
        <f t="shared" si="0"/>
        <v>3.8759678123944192E-3</v>
      </c>
      <c r="V9" s="2"/>
      <c r="W9" s="25" t="s">
        <v>147</v>
      </c>
      <c r="X9" s="25">
        <v>40</v>
      </c>
      <c r="Y9" s="25">
        <v>20</v>
      </c>
      <c r="Z9" s="2"/>
      <c r="AA9" s="2"/>
      <c r="AB9" s="2"/>
      <c r="AC9" s="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6.5" customHeight="1" x14ac:dyDescent="0.3">
      <c r="A10" s="2"/>
      <c r="B10" s="6" t="s">
        <v>7</v>
      </c>
      <c r="C10" s="46">
        <v>0.95</v>
      </c>
      <c r="D10" s="2"/>
      <c r="E10" s="6" t="s">
        <v>40</v>
      </c>
      <c r="F10" s="45">
        <v>30</v>
      </c>
      <c r="G10" s="2"/>
      <c r="H10" s="6" t="s">
        <v>65</v>
      </c>
      <c r="I10" s="24" t="s">
        <v>162</v>
      </c>
      <c r="J10" s="43">
        <f>ROUND((4*ROUNDDOWN((현재_깡스탯)*(1+현재_스탯퍼)+(현재_고정스탯),0)+메용후부스탯)/100*(1+현재_데미지+현재_보뎀)*(ROUNDDOWN((현재_공격력)*(1+현재_무기공퍼+현재_보조공퍼+현재_엠블공퍼+스킬공퍼),0)+IF(쁘띠루미="Y",INT(레벨/20),0))*무기상수*(1+최종데미지)*(1.35+현재_크뎀+5%)*(1-(방어율*((1-현재_방무)))),0)/$J$1-1</f>
        <v>2.1929824580467105E-2</v>
      </c>
      <c r="K10" s="45"/>
      <c r="L10" s="2"/>
      <c r="M10" s="6" t="s">
        <v>59</v>
      </c>
      <c r="N10" s="31">
        <f>ROUNDUP((뒷스공/((4*메용후주스탯+메용후부스탯)/100*(1+데미지)*(1+최종데미지)*무기상수)-IF(쁘띠루미="Y",INT(레벨/20),0))/(1+현재_무기공퍼+현재_보조공퍼+현재_엠블공퍼+스킬공퍼),0)</f>
        <v>2715</v>
      </c>
      <c r="O10" s="53"/>
      <c r="P10" s="2"/>
      <c r="Q10" s="6" t="s">
        <v>108</v>
      </c>
      <c r="R10" s="58">
        <v>0.01</v>
      </c>
      <c r="S10" s="31">
        <f>ROUND((4*ROUNDDOWN((현재_깡스탯+IF(도핑2,도핑_깡스탯,0))*(1+현재_스탯퍼)+(현재_고정스탯),0)+메용후부스탯)/100*(1+현재_데미지+IF(도핑2,도핑_데미지,0)+현재_보뎀+IF(도핑2,도핑_보뎀,0))*(ROUNDDOWN((현재_공격력+IF(도핑2,도핑_공격력,0))*(1+현재_무기공퍼+현재_보조공퍼+현재_엠블공퍼+스킬공퍼+IF(도핑2,도핑_공퍼,0)),0)+IF(쁘띠루미="Y",INT(레벨/20),0))*무기상수*(1+최종데미지)*(1.35+R9+현재_크뎀+IF(도핑2,도핑_크뎀,0))*(1-(방어율*((1-현재_방무)*(1-R10)*IF(도핑2,1-도핑_방무,1)))),0)-R1</f>
        <v>2224787</v>
      </c>
      <c r="T10" s="37">
        <f t="shared" si="1"/>
        <v>54.337314380617428</v>
      </c>
      <c r="U10" s="64">
        <f t="shared" si="0"/>
        <v>6.2706494993950146E-3</v>
      </c>
      <c r="V10" s="2"/>
      <c r="W10" s="25" t="s">
        <v>148</v>
      </c>
      <c r="X10" s="25">
        <v>20</v>
      </c>
      <c r="Y10" s="25">
        <v>10</v>
      </c>
      <c r="Z10" s="2"/>
      <c r="AA10" s="2"/>
      <c r="AB10" s="2"/>
      <c r="AC10" s="2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6.5" customHeight="1" x14ac:dyDescent="0.3">
      <c r="A11" s="2"/>
      <c r="B11" s="6" t="s">
        <v>8</v>
      </c>
      <c r="C11" s="46">
        <v>4.04</v>
      </c>
      <c r="D11" s="2"/>
      <c r="E11" s="6" t="s">
        <v>45</v>
      </c>
      <c r="F11" s="45">
        <v>30</v>
      </c>
      <c r="G11" s="2"/>
      <c r="H11" s="6" t="s">
        <v>156</v>
      </c>
      <c r="I11" s="24" t="s">
        <v>163</v>
      </c>
      <c r="J11" s="43">
        <f>ROUND((4*ROUNDDOWN((현재_깡스탯+30)*(1+현재_스탯퍼)+(현재_고정스탯),0)+메용후부스탯)/100*(1+현재_데미지+현재_보뎀)*(ROUNDDOWN((현재_공격력)*(1+현재_무기공퍼+현재_보조공퍼+현재_엠블공퍼+스킬공퍼),0)+IF(쁘띠루미="Y",INT(레벨/20),0))*무기상수*(1+최종데미지)*(1.35+현재_크뎀)*(1-(방어율*((1-현재_방무)))),0)/$J$1-1</f>
        <v>3.7453883189193515E-3</v>
      </c>
      <c r="K11" s="45">
        <v>1</v>
      </c>
      <c r="L11" s="2"/>
      <c r="M11" s="6" t="s">
        <v>60</v>
      </c>
      <c r="N11" s="30">
        <f>데미지</f>
        <v>0.95</v>
      </c>
      <c r="O11" s="55"/>
      <c r="P11" s="2"/>
      <c r="Q11" s="40">
        <f>ROUNDDOWN((C19-메용후부스탯)/30-1,2)</f>
        <v>1.53</v>
      </c>
      <c r="R11" s="41">
        <f>(메용후부스탯-700)/(1+Q11)</f>
        <v>2619.762845849802</v>
      </c>
      <c r="S11" s="41">
        <f>부깡스탯*(1+부스탯퍼)+700</f>
        <v>7328</v>
      </c>
      <c r="T11" s="2"/>
      <c r="U11" s="2"/>
      <c r="V11" s="2"/>
      <c r="W11" s="25" t="s">
        <v>149</v>
      </c>
      <c r="X11" s="25">
        <v>10</v>
      </c>
      <c r="Y11" s="25">
        <v>5</v>
      </c>
      <c r="Z11" s="2"/>
      <c r="AA11" s="2"/>
      <c r="AB11" s="2"/>
      <c r="AC11" s="2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6.5" customHeight="1" x14ac:dyDescent="0.3">
      <c r="A12" s="2"/>
      <c r="B12" s="6" t="s">
        <v>9</v>
      </c>
      <c r="C12" s="46">
        <v>0.26</v>
      </c>
      <c r="D12" s="2"/>
      <c r="E12" s="6" t="s">
        <v>46</v>
      </c>
      <c r="F12" s="45">
        <v>0</v>
      </c>
      <c r="G12" s="2"/>
      <c r="H12" s="6" t="s">
        <v>76</v>
      </c>
      <c r="I12" s="24" t="s">
        <v>164</v>
      </c>
      <c r="J12" s="43">
        <f t="shared" ref="J12:J17" si="2">ROUND((4*ROUNDDOWN((현재_깡스탯)*(1+현재_스탯퍼)+(현재_고정스탯),0)+메용후부스탯)/100*(1+현재_데미지+현재_보뎀)*(ROUNDDOWN((현재_공격력+30)*(1+현재_무기공퍼+현재_보조공퍼+현재_엠블공퍼+스킬공퍼),0)+IF(쁘띠루미="Y",INT(레벨/20),0))*무기상수*(1+최종데미지)*(1.35+현재_크뎀)*(1-(방어율*((1-현재_방무)))),0)/$J$1-1</f>
        <v>1.1060506498000278E-2</v>
      </c>
      <c r="K12" s="45">
        <v>1</v>
      </c>
      <c r="L12" s="2"/>
      <c r="M12" s="6" t="s">
        <v>61</v>
      </c>
      <c r="N12" s="30">
        <f>C11</f>
        <v>4.04</v>
      </c>
      <c r="O12" s="55"/>
      <c r="P12" s="2"/>
      <c r="Q12" s="70" t="s">
        <v>182</v>
      </c>
      <c r="R12" s="71"/>
      <c r="S12" s="71"/>
      <c r="T12" s="71"/>
      <c r="U12" s="71"/>
      <c r="V12" s="2"/>
      <c r="W12" s="2"/>
      <c r="X12" s="2"/>
      <c r="Y12" s="2"/>
      <c r="Z12" s="2"/>
      <c r="AA12" s="2"/>
      <c r="AB12" s="2"/>
      <c r="AC12" s="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6.5" customHeight="1" x14ac:dyDescent="0.3">
      <c r="A13" s="2"/>
      <c r="B13" s="6" t="s">
        <v>10</v>
      </c>
      <c r="C13" s="47">
        <v>0.93579999999999997</v>
      </c>
      <c r="D13" s="2"/>
      <c r="E13" s="2"/>
      <c r="F13" s="2"/>
      <c r="G13" s="2"/>
      <c r="H13" s="6" t="s">
        <v>70</v>
      </c>
      <c r="I13" s="24" t="s">
        <v>160</v>
      </c>
      <c r="J13" s="43">
        <f t="shared" si="2"/>
        <v>1.1060506498000278E-2</v>
      </c>
      <c r="K13" s="45">
        <v>1</v>
      </c>
      <c r="L13" s="2"/>
      <c r="M13" s="6" t="s">
        <v>62</v>
      </c>
      <c r="N13" s="32">
        <f>C13</f>
        <v>0.93579999999999997</v>
      </c>
      <c r="O13" s="56"/>
      <c r="P13" s="2"/>
      <c r="Q13" s="17" t="s">
        <v>135</v>
      </c>
      <c r="R13" s="51">
        <v>1</v>
      </c>
      <c r="S13" s="31">
        <f>ROUND((4*ROUNDDOWN((현재_깡스탯+IF(도핑2,도핑_깡스탯,0))*(1+현재_스탯퍼)+(현재_고정스탯),0)+(부깡스탯+R13)*(1+부스탯퍼)+700)/100*(1+현재_데미지+IF(도핑2,도핑_데미지,0)+현재_보뎀+IF(도핑2,도핑_보뎀,0))*(ROUNDDOWN((현재_공격력+IF(도핑2,도핑_공격력,0))*(1+현재_무기공퍼+현재_보조공퍼+현재_엠블공퍼+스킬공퍼+IF(도핑2,도핑_공퍼,0)),0)+IF(쁘띠루미="Y",INT(레벨/20),0))*무기상수*(1+최종데미지)*(1.35+현재_크뎀+IF(도핑2,도핑_크뎀,0))*(1-(방어율*((1-현재_방무)*IF(도핑2,1-도핑_방무,1)))),0)-R1</f>
        <v>4316</v>
      </c>
      <c r="T13" s="37">
        <f>S13/$S$1</f>
        <v>0.10541227041813209</v>
      </c>
      <c r="U13" s="63">
        <f>S13/$R$1</f>
        <v>1.2164815435989551E-5</v>
      </c>
      <c r="V13" s="2"/>
      <c r="W13" s="2"/>
      <c r="X13" s="2"/>
      <c r="Y13" s="2"/>
      <c r="Z13" s="2"/>
      <c r="AA13" s="2"/>
      <c r="AB13" s="2"/>
      <c r="AC13" s="2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6.5" customHeight="1" x14ac:dyDescent="0.3">
      <c r="A14" s="2"/>
      <c r="B14" s="6" t="s">
        <v>11</v>
      </c>
      <c r="C14" s="46">
        <v>1.1299999999999999</v>
      </c>
      <c r="D14" s="2"/>
      <c r="E14" s="65" t="s">
        <v>184</v>
      </c>
      <c r="F14" s="66"/>
      <c r="G14" s="2"/>
      <c r="H14" s="6" t="s">
        <v>71</v>
      </c>
      <c r="I14" s="24" t="s">
        <v>165</v>
      </c>
      <c r="J14" s="43">
        <f t="shared" si="2"/>
        <v>1.1060506498000278E-2</v>
      </c>
      <c r="K14" s="45">
        <v>1</v>
      </c>
      <c r="L14" s="2"/>
      <c r="M14" s="6" t="s">
        <v>63</v>
      </c>
      <c r="N14" s="30">
        <f>C15</f>
        <v>0.93</v>
      </c>
      <c r="O14" s="55"/>
      <c r="P14" s="2"/>
      <c r="Q14" s="6" t="s">
        <v>136</v>
      </c>
      <c r="R14" s="58">
        <v>0.01</v>
      </c>
      <c r="S14" s="31">
        <f>ROUND((4*ROUNDDOWN((현재_깡스탯+IF(도핑2,도핑_깡스탯,0))*(1+현재_스탯퍼)+(현재_고정스탯),0)+(부깡스탯)*(1+부스탯퍼+R14)+700)/100*(1+현재_데미지+IF(도핑2,도핑_데미지,0)+현재_보뎀+IF(도핑2,도핑_보뎀,0))*(ROUNDDOWN((현재_공격력+IF(도핑2,도핑_공격력,0))*(1+현재_무기공퍼+현재_보조공퍼+현재_엠블공퍼+스킬공퍼+IF(도핑2,도핑_공퍼,0)),0)+IF(쁘띠루미="Y",INT(레벨/20),0))*무기상수*(1+최종데미지)*(1.35+현재_크뎀+IF(도핑2,도핑_크뎀,0))*(1-(방어율*((1-현재_방무)*IF(도핑2,1-도핑_방무,1)))),0)-R1</f>
        <v>44694</v>
      </c>
      <c r="T14" s="37">
        <f>S14/$S$1</f>
        <v>1.091588511137163</v>
      </c>
      <c r="U14" s="64">
        <f>S14/$R$1</f>
        <v>1.2597179358112072E-4</v>
      </c>
      <c r="V14" s="2"/>
      <c r="W14" s="2"/>
      <c r="X14" s="2"/>
      <c r="Y14" s="2"/>
      <c r="Z14" s="2"/>
      <c r="AA14" s="2"/>
      <c r="AB14" s="2"/>
      <c r="AC14" s="2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6.5" customHeight="1" x14ac:dyDescent="0.3">
      <c r="A15" s="2"/>
      <c r="B15" s="6" t="s">
        <v>12</v>
      </c>
      <c r="C15" s="46">
        <v>0.93</v>
      </c>
      <c r="D15" s="2"/>
      <c r="E15" s="5" t="s">
        <v>32</v>
      </c>
      <c r="F15" s="44">
        <v>4</v>
      </c>
      <c r="G15" s="2"/>
      <c r="H15" s="6" t="s">
        <v>96</v>
      </c>
      <c r="I15" s="24" t="s">
        <v>166</v>
      </c>
      <c r="J15" s="43">
        <f t="shared" si="2"/>
        <v>1.1060506498000278E-2</v>
      </c>
      <c r="K15" s="45">
        <v>1</v>
      </c>
      <c r="L15" s="2"/>
      <c r="M15" s="6" t="s">
        <v>64</v>
      </c>
      <c r="N15" s="30">
        <f>C14</f>
        <v>1.1299999999999999</v>
      </c>
      <c r="O15" s="55"/>
      <c r="P15" s="2"/>
      <c r="Q15" s="6" t="s">
        <v>137</v>
      </c>
      <c r="R15" s="59">
        <v>0.01</v>
      </c>
      <c r="S15" s="31">
        <f>ROUND((4*ROUNDDOWN((현재_깡스탯+IF(도핑2,도핑_깡스탯,0))*(1+현재_스탯퍼+R15)+(현재_고정스탯),0)+(부깡스탯)*(1+부스탯퍼+R15)+700)/100*(1+현재_데미지+IF(도핑2,도핑_데미지,0)+현재_보뎀+IF(도핑2,도핑_보뎀,0))*(ROUNDDOWN((현재_공격력+IF(도핑2,도핑_공격력,0))*(1+현재_무기공퍼+현재_보조공퍼+현재_엠블공퍼+스킬공퍼+IF(도핑2,도핑_공퍼,0)),0)+IF(쁘띠루미="Y",INT(레벨/20),0))*무기상수*(1+최종데미지)*(1.35+현재_크뎀+IF(도핑2,도핑_크뎀,0))*(1-(방어율*((1-현재_방무)*IF(도핑2,1-도핑_방무,1)))),0)-R1</f>
        <v>413197</v>
      </c>
      <c r="T15" s="37">
        <f>S15/$S$1</f>
        <v>10.091759476357952</v>
      </c>
      <c r="U15" s="64">
        <f>S15/$R$1</f>
        <v>1.1646119656405409E-3</v>
      </c>
      <c r="V15" s="2"/>
      <c r="W15" s="2"/>
      <c r="X15" s="2"/>
      <c r="Y15" s="2"/>
      <c r="Z15" s="2"/>
      <c r="AA15" s="2"/>
      <c r="AB15" s="2"/>
      <c r="AC15" s="2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6.5" customHeight="1" x14ac:dyDescent="0.3">
      <c r="A16" s="2"/>
      <c r="B16" s="6" t="s">
        <v>14</v>
      </c>
      <c r="C16" s="45">
        <v>0</v>
      </c>
      <c r="D16" s="2"/>
      <c r="E16" s="6" t="s">
        <v>33</v>
      </c>
      <c r="F16" s="45">
        <v>4</v>
      </c>
      <c r="G16" s="2"/>
      <c r="H16" s="6" t="s">
        <v>73</v>
      </c>
      <c r="I16" s="24" t="s">
        <v>167</v>
      </c>
      <c r="J16" s="43">
        <f t="shared" si="2"/>
        <v>1.1060506498000278E-2</v>
      </c>
      <c r="K16" s="45">
        <v>1</v>
      </c>
      <c r="L16" s="2"/>
      <c r="M16" s="2"/>
      <c r="N16" s="2"/>
      <c r="O16" s="2"/>
      <c r="P16" s="2"/>
      <c r="Q16" s="2"/>
      <c r="R16" s="2"/>
      <c r="S16" s="25">
        <f>ROUND((4*ROUNDDOWN((현재_깡스탯+IF(도핑3,도핑_깡스탯,0))*(1+현재_스탯퍼)+(현재_고정스탯),0)+메용후부스탯)/100*(1+현재_데미지+IF(도핑3,도핑_데미지,0)+현재_보뎀+IF(도핑3,도핑_보뎀,0))*(ROUNDDOWN((현재_공격력+IF(도핑3,도핑_공격력,0))*(1+현재_무기공퍼+현재_보조공퍼+현재_엠블공퍼+스킬공퍼+IF(도핑3,도핑_공퍼,0)),0)+IF(쁘띠루미="Y",INT(레벨/20),0))*무기상수*(1+최종데미지)*(1.35+현재_크뎀+IF(도핑3,도핑_크뎀,0))*(1-(방어율*((1-현재_방무)*IF(도핑3,1-도핑_방무,1)))),0)</f>
        <v>354793710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6.5" customHeight="1" x14ac:dyDescent="0.3">
      <c r="A17" s="2"/>
      <c r="B17" s="6" t="s">
        <v>15</v>
      </c>
      <c r="C17" s="45">
        <v>150</v>
      </c>
      <c r="D17" s="2"/>
      <c r="E17" s="6" t="s">
        <v>34</v>
      </c>
      <c r="F17" s="45">
        <v>4</v>
      </c>
      <c r="G17" s="2"/>
      <c r="H17" s="6" t="s">
        <v>74</v>
      </c>
      <c r="I17" s="24" t="s">
        <v>166</v>
      </c>
      <c r="J17" s="43">
        <f t="shared" si="2"/>
        <v>1.1060506498000278E-2</v>
      </c>
      <c r="K17" s="45">
        <v>1</v>
      </c>
      <c r="L17" s="2"/>
      <c r="M17" s="14" t="s">
        <v>122</v>
      </c>
      <c r="N17" s="15"/>
      <c r="O17" s="60" t="s">
        <v>172</v>
      </c>
      <c r="P17" s="25" t="b">
        <f>O17="도핑 적용 O"</f>
        <v>1</v>
      </c>
      <c r="Q17" s="14" t="s">
        <v>179</v>
      </c>
      <c r="R17" s="15"/>
      <c r="S17" s="15"/>
      <c r="T17" s="15"/>
      <c r="U17" s="60" t="s">
        <v>172</v>
      </c>
      <c r="V17" s="25" t="b">
        <f>U17="도핑 적용 O"</f>
        <v>1</v>
      </c>
      <c r="W17" s="2"/>
      <c r="X17" s="2"/>
      <c r="Y17" s="2"/>
      <c r="Z17" s="2"/>
      <c r="AA17" s="2"/>
      <c r="AB17" s="2"/>
      <c r="AC17" s="2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6.5" customHeight="1" x14ac:dyDescent="0.3">
      <c r="A18" s="2"/>
      <c r="B18" s="6" t="s">
        <v>16</v>
      </c>
      <c r="C18" s="48">
        <v>0.05</v>
      </c>
      <c r="D18" s="2"/>
      <c r="E18" s="6" t="s">
        <v>35</v>
      </c>
      <c r="F18" s="45">
        <v>4</v>
      </c>
      <c r="G18" s="2"/>
      <c r="H18" s="6" t="s">
        <v>75</v>
      </c>
      <c r="I18" s="24" t="s">
        <v>168</v>
      </c>
      <c r="J18" s="43">
        <f>ROUND((4*ROUNDDOWN((현재_깡스탯)*(1+현재_스탯퍼)+(현재_고정스탯),0)+메용후부스탯)/100*(1+현재_데미지+현재_보뎀)*(ROUNDDOWN((현재_공격력)*(1+4%+현재_무기공퍼+현재_보조공퍼+현재_엠블공퍼+스킬공퍼),0)+IF(쁘띠루미="Y",INT(레벨/20),0))*무기상수*(1+최종데미지)*(1.35+현재_크뎀)*(1-(방어율*((1-현재_방무)))),0)/$J$1-1</f>
        <v>1.7729342896234179E-2</v>
      </c>
      <c r="K18" s="45">
        <v>1</v>
      </c>
      <c r="L18" s="2"/>
      <c r="M18" s="11" t="s">
        <v>51</v>
      </c>
      <c r="N18" s="12" t="s">
        <v>101</v>
      </c>
      <c r="O18" s="12" t="s">
        <v>102</v>
      </c>
      <c r="P18" s="2"/>
      <c r="Q18" s="21" t="s">
        <v>113</v>
      </c>
      <c r="R18" s="13"/>
      <c r="S18" s="12" t="s">
        <v>114</v>
      </c>
      <c r="T18" s="12" t="s">
        <v>115</v>
      </c>
      <c r="U18" s="12" t="s">
        <v>116</v>
      </c>
      <c r="V18" s="2"/>
      <c r="W18" s="2"/>
      <c r="X18" s="2"/>
      <c r="Y18" s="2"/>
      <c r="Z18" s="2"/>
      <c r="AA18" s="2"/>
      <c r="AB18" s="2"/>
      <c r="AC18" s="2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6.5" customHeight="1" x14ac:dyDescent="0.3">
      <c r="A19" s="2"/>
      <c r="B19" s="16" t="s">
        <v>17</v>
      </c>
      <c r="C19" s="45">
        <v>7404</v>
      </c>
      <c r="D19" s="2"/>
      <c r="E19" s="6" t="s">
        <v>36</v>
      </c>
      <c r="F19" s="45">
        <v>3</v>
      </c>
      <c r="G19" s="2"/>
      <c r="H19" s="6" t="s">
        <v>77</v>
      </c>
      <c r="I19" s="24" t="s">
        <v>169</v>
      </c>
      <c r="J19" s="43">
        <f>ROUND((4*ROUNDDOWN((현재_깡스탯)*(1+현재_스탯퍼)+(현재_고정스탯),0)+메용후부스탯)/100*(1+현재_데미지+현재_보뎀)*(ROUNDDOWN((현재_공격력+40)*(1+현재_무기공퍼+현재_보조공퍼+현재_엠블공퍼+스킬공퍼),0)+IF(쁘띠루미="Y",INT(레벨/20),0))*무기상수*(1+최종데미지)*(1.35+현재_크뎀)*(1-(방어율*((1-현재_방무)))),0)/$J$1-1</f>
        <v>1.4801561380898054E-2</v>
      </c>
      <c r="K19" s="45"/>
      <c r="L19" s="2"/>
      <c r="M19" s="5" t="s">
        <v>79</v>
      </c>
      <c r="N19" s="31">
        <f>ROUNDDOWN((현재_깡스탯+IF(도핑,도핑_깡스탯,0))*(1+현재_스탯퍼)+(현재_고정스탯),0)</f>
        <v>50159</v>
      </c>
      <c r="O19" s="31">
        <f>ROUNDDOWN((현재_깡스탯+상승_깡스탯+IF(도핑,도핑_깡스탯,0))*(1+현재_스탯퍼+상승_스탯퍼)+(현재_고정스탯+상승_고정스탯),0)</f>
        <v>51449</v>
      </c>
      <c r="P19" s="2"/>
      <c r="Q19" s="74" t="s">
        <v>117</v>
      </c>
      <c r="R19" s="75"/>
      <c r="S19" s="38">
        <f>ROUND((4*ROUNDDOWN((현재_깡스탯+IF(도핑3,도핑_깡스탯,0))*(1+현재_스탯퍼)+(현재_고정스탯),0)+메용후부스탯)/100*(1+현재_데미지+IF(도핑3,도핑_데미지,0)+현재_보뎀+IF(도핑3,도핑_보뎀,0))*(ROUNDDOWN((현재_공격력+IF(도핑3,도핑_공격력,0))*(1+1+현재_무기공퍼+현재_보조공퍼+현재_엠블공퍼+스킬공퍼+IF(도핑3,도핑_공퍼,0)),0)+IF(쁘띠루미="Y",INT(레벨/20),0))*무기상수*(1+최종데미지)*(1.35+현재_크뎀+IF(도핑3,도핑_크뎀,0))*(1-(방어율*((1-현재_방무)*IF(도핑3,1-도핑_방무,1)))),0)/S16-1</f>
        <v>0.41590940831504586</v>
      </c>
      <c r="T19" s="38">
        <f>ROUND((4*ROUNDDOWN((현재_깡스탯+IF(도핑3,도핑_깡스탯,0))*(1+현재_스탯퍼)+(현재_고정스탯),0)+메용후부스탯)/100*(1+현재_데미지+IF(도핑3,도핑_데미지,0)+현재_보뎀+IF(도핑3,도핑_보뎀,0))*(ROUNDDOWN((현재_공격력+IF(도핑3,도핑_공격력,0))*(1+0.75+현재_무기공퍼+현재_보조공퍼+현재_엠블공퍼+스킬공퍼+IF(도핑3,도핑_공퍼,0)),0)+IF(쁘띠루미="Y",INT(레벨/20),0))*무기상수*(1+최종데미지)*(1.35+현재_크뎀+IF(도핑3,도핑_크뎀,0))*(1-(방어율*((1-현재_방무)*IF(도핑3,1-도핑_방무,1)))),0)/S16-1</f>
        <v>0.31189710494022016</v>
      </c>
      <c r="U19" s="38">
        <f>ROUND((4*ROUNDDOWN((현재_깡스탯+IF(도핑3,도핑_깡스탯,0))*(1+현재_스탯퍼)+(현재_고정스탯),0)+메용후부스탯)/100*(1+현재_데미지+IF(도핑3,도핑_데미지,0)+현재_보뎀+IF(도핑3,도핑_보뎀,0))*(ROUNDDOWN((현재_공격력+IF(도핑3,도핑_공격력,0))*(1+0.5+현재_무기공퍼+현재_보조공퍼+현재_엠블공퍼+스킬공퍼+IF(도핑3,도핑_공퍼,0)),0)+IF(쁘띠루미="Y",INT(레벨/20),0))*무기상수*(1+최종데미지)*(1.35+현재_크뎀+IF(도핑3,도핑_크뎀,0))*(1-(방어율*((1-현재_방무)*IF(도핑3,1-도핑_방무,1)))),0)/S16-1</f>
        <v>0.20788480156539424</v>
      </c>
      <c r="V19" s="2"/>
      <c r="W19" s="2"/>
      <c r="X19" s="2"/>
      <c r="Y19" s="2"/>
      <c r="Z19" s="2"/>
      <c r="AA19" s="2"/>
      <c r="AB19" s="2"/>
      <c r="AC19" s="2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6.5" customHeight="1" x14ac:dyDescent="0.3">
      <c r="A20" s="2"/>
      <c r="B20" s="16" t="s">
        <v>13</v>
      </c>
      <c r="C20" s="45">
        <v>48585</v>
      </c>
      <c r="D20" s="2"/>
      <c r="E20" s="6" t="s">
        <v>37</v>
      </c>
      <c r="F20" s="45">
        <v>3</v>
      </c>
      <c r="G20" s="2"/>
      <c r="H20" s="6" t="s">
        <v>78</v>
      </c>
      <c r="I20" s="24" t="s">
        <v>170</v>
      </c>
      <c r="J20" s="43">
        <f>ROUND((4*ROUNDDOWN((현재_깡스탯)*(1+현재_스탯퍼)+(현재_고정스탯),0)+메용후부스탯)/100*(1+현재_데미지+현재_보뎀)*(ROUNDDOWN((현재_공격력+50)*(1+현재_무기공퍼+현재_보조공퍼+현재_엠블공퍼+스킬공퍼),0)+IF(쁘띠루미="Y",INT(레벨/20),0))*무기상수*(1+최종데미지)*(1.35+현재_크뎀)*(1-(방어율*((1-현재_방무)))),0)/$J$1-1</f>
        <v>1.8379958113103001E-2</v>
      </c>
      <c r="K20" s="45">
        <v>1</v>
      </c>
      <c r="L20" s="2"/>
      <c r="M20" s="6" t="s">
        <v>80</v>
      </c>
      <c r="N20" s="30">
        <f>현재_데미지+IF(도핑,도핑_데미지,0)</f>
        <v>1.35</v>
      </c>
      <c r="O20" s="30">
        <f>현재_데미지+IF(도핑,도핑_데미지,0)+상승_데미지</f>
        <v>1.35</v>
      </c>
      <c r="P20" s="2"/>
      <c r="Q20" s="76" t="s">
        <v>118</v>
      </c>
      <c r="R20" s="77"/>
      <c r="S20" s="39">
        <f>ROUND((4*ROUNDDOWN((현재_깡스탯+IF(도핑3,도핑_깡스탯,0))*(1+현재_스탯퍼)+(현재_고정스탯),0)+메용후부스탯)/100*(1+현재_데미지+IF(도핑3,도핑_데미지,0)+현재_보뎀+IF(도핑3,도핑_보뎀,0))*(ROUNDDOWN((현재_공격력+IF(도핑3,도핑_공격력,0))*(1+0.5+현재_무기공퍼+현재_보조공퍼+현재_엠블공퍼+스킬공퍼+IF(도핑3,도핑_공퍼,0)),0)+IF(쁘띠루미="Y",INT(레벨/20),0))*무기상수*(1+최종데미지)*(1.35+현재_크뎀+IF(도핑3,도핑_크뎀,0))*(1-(방어율*((1-현재_방무)*IF(도핑3,1-도핑_방무,1)))),0)/S16-1</f>
        <v>0.20788480156539424</v>
      </c>
      <c r="T20" s="39">
        <f>ROUND((4*ROUNDDOWN((현재_깡스탯+IF(도핑3,도핑_깡스탯,0))*(1+현재_스탯퍼)+(현재_고정스탯),0)+메용후부스탯)/100*(1+현재_데미지+IF(도핑3,도핑_데미지,0)+현재_보뎀+IF(도핑3,도핑_보뎀,0))*(ROUNDDOWN((현재_공격력+IF(도핑3,도핑_공격력,0))*(1+0.4+현재_무기공퍼+현재_보조공퍼+현재_엠블공퍼+스킬공퍼+IF(도핑3,도핑_공퍼,0)),0)+IF(쁘띠루미="Y",INT(레벨/20),0))*무기상수*(1+최종데미지)*(1.35+현재_크뎀+IF(도핑3,도핑_크뎀,0))*(1-(방어율*((1-현재_방무)*IF(도핑3,1-도핑_방무,1)))),0)/S16-1</f>
        <v>0.166363761071187</v>
      </c>
      <c r="U20" s="39">
        <f>ROUND((4*ROUNDDOWN((현재_깡스탯+IF(도핑3,도핑_깡스탯,0))*(1+현재_스탯퍼)+(현재_고정스탯),0)+메용후부스탯)/100*(1+현재_데미지+IF(도핑3,도핑_데미지,0)+현재_보뎀+IF(도핑3,도핑_보뎀,0))*(ROUNDDOWN((현재_공격력+IF(도핑3,도핑_공격력,0))*(1+0.3+현재_무기공퍼+현재_보조공퍼+현재_엠블공퍼+스킬공퍼+IF(도핑3,도핑_공퍼,0)),0)+IF(쁘띠루미="Y",INT(레벨/20),0))*무기상수*(1+최종데미지)*(1.35+현재_크뎀+IF(도핑3,도핑_크뎀,0))*(1-(방어율*((1-현재_방무)*IF(도핑3,1-도핑_방무,1)))),0)/S16-1</f>
        <v>0.12470292102980074</v>
      </c>
      <c r="V20" s="2"/>
      <c r="W20" s="2"/>
      <c r="X20" s="2"/>
      <c r="Y20" s="2"/>
      <c r="Z20" s="2"/>
      <c r="AA20" s="2"/>
      <c r="AB20" s="2"/>
      <c r="AC20" s="2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6.5" customHeight="1" x14ac:dyDescent="0.3">
      <c r="A21" s="2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6" t="s">
        <v>81</v>
      </c>
      <c r="N21" s="30">
        <f>현재_무기공퍼+현재_보조공퍼+현재_엠블공퍼+스킬공퍼+IF(도핑,도핑_공퍼,0)</f>
        <v>1.4</v>
      </c>
      <c r="O21" s="30">
        <f>현재_무기공퍼+현재_보조공퍼+현재_엠블공퍼+스킬공퍼+상승_무기공퍼+상승_보조공퍼+상승_엠블공퍼+IF(도핑,도핑_공퍼,0)</f>
        <v>1.4</v>
      </c>
      <c r="P21" s="2"/>
      <c r="Q21" s="76" t="s">
        <v>119</v>
      </c>
      <c r="R21" s="77"/>
      <c r="S21" s="39">
        <f>ROUND((4*ROUNDDOWN((현재_깡스탯+4*C25+IF(도핑3,도핑_깡스탯,0))*(1+현재_스탯퍼)+(현재_고정스탯),0)+메용후부스탯)/100*(1+현재_데미지+IF(도핑3,도핑_데미지,0)+현재_보뎀+IF(도핑3,도핑_보뎀,0))*(ROUNDDOWN((현재_공격력+IF(도핑3,도핑_공격력,0))*(1+현재_무기공퍼+현재_보조공퍼+현재_엠블공퍼+스킬공퍼+IF(도핑3,도핑_공퍼,0)),0)+IF(쁘띠루미="Y",INT(레벨/20),0))*무기상수*(1+최종데미지)*(1.35+현재_크뎀+IF(도핑3,도핑_크뎀,0))*(1-(방어율*((1-현재_방무)*IF(도핑3,1-도핑_방무,1)))),0)/S16-1</f>
        <v>0.32899924860561924</v>
      </c>
      <c r="T21" s="39">
        <f>ROUND((4*ROUNDDOWN((현재_깡스탯+3*C25+IF(도핑3,도핑_깡스탯,0))*(1+현재_스탯퍼)+(현재_고정스탯),0)+메용후부스탯)/100*(1+현재_데미지+IF(도핑3,도핑_데미지,0)+현재_보뎀+IF(도핑3,도핑_보뎀,0))*(ROUNDDOWN((현재_공격력+IF(도핑3,도핑_공격력,0))*(1+현재_무기공퍼+현재_보조공퍼+현재_엠블공퍼+스킬공퍼+IF(도핑3,도핑_공퍼,0)),0)+IF(쁘띠루미="Y",INT(레벨/20),0))*무기상수*(1+최종데미지)*(1.35+현재_크뎀+IF(도핑3,도핑_크뎀,0))*(1-(방어율*((1-현재_방무)*IF(도핑3,1-도핑_방무,1)))),0)/S16-1</f>
        <v>0.246754244882188</v>
      </c>
      <c r="U21" s="39">
        <f>ROUND((4*ROUNDDOWN((현재_깡스탯+2*C25+IF(도핑3,도핑_깡스탯,0))*(1+현재_스탯퍼)+(현재_고정스탯),0)+메용후부스탯)/100*(1+현재_데미지+IF(도핑3,도핑_데미지,0)+현재_보뎀+IF(도핑3,도핑_보뎀,0))*(ROUNDDOWN((현재_공격력+IF(도핑3,도핑_공격력,0))*(1+현재_무기공퍼+현재_보조공퍼+현재_엠블공퍼+스킬공퍼+IF(도핑3,도핑_공퍼,0)),0)+IF(쁘띠루미="Y",INT(레벨/20),0))*무기상수*(1+최종데미지)*(1.35+현재_크뎀+IF(도핑3,도핑_크뎀,0))*(1-(방어율*((1-현재_방무)*IF(도핑3,1-도핑_방무,1)))),0)/S16-1</f>
        <v>0.16450924115875676</v>
      </c>
      <c r="V21" s="2"/>
      <c r="W21" s="2"/>
      <c r="X21" s="2"/>
      <c r="Y21" s="2"/>
      <c r="Z21" s="2"/>
      <c r="AA21" s="2"/>
      <c r="AB21" s="2"/>
      <c r="AC21" s="2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6.5" customHeight="1" x14ac:dyDescent="0.3">
      <c r="A22" s="2"/>
      <c r="B22" s="69" t="s">
        <v>178</v>
      </c>
      <c r="C22" s="66"/>
      <c r="D22" s="2"/>
      <c r="E22" s="65" t="s">
        <v>185</v>
      </c>
      <c r="F22" s="66"/>
      <c r="G22" s="2"/>
      <c r="H22" s="11" t="s">
        <v>72</v>
      </c>
      <c r="I22" s="12" t="s">
        <v>88</v>
      </c>
      <c r="J22" s="12" t="s">
        <v>133</v>
      </c>
      <c r="K22" s="12" t="s">
        <v>66</v>
      </c>
      <c r="L22" s="2"/>
      <c r="M22" s="6" t="s">
        <v>82</v>
      </c>
      <c r="N22" s="31">
        <f>현재_공격력+IF(도핑,도핑_공격력,0)</f>
        <v>2975</v>
      </c>
      <c r="O22" s="31">
        <f>현재_공격력+IF(도핑,도핑_공격력,0)+상승_공격력</f>
        <v>2975</v>
      </c>
      <c r="P22" s="2"/>
      <c r="Q22" s="76" t="s">
        <v>120</v>
      </c>
      <c r="R22" s="77"/>
      <c r="S22" s="39">
        <f>ROUND((4*ROUNDDOWN((현재_깡스탯+IF(도핑3,도핑_깡스탯,0))*(1+현재_스탯퍼)+(현재_고정스탯),0)+메용후부스탯)/100*(1+현재_데미지+IF(도핑3,도핑_데미지,0)+현재_보뎀+IF(도핑3,도핑_보뎀,0))*(ROUNDDOWN((현재_공격력+IF(도핑3,도핑_공격력,0))*(1+현재_무기공퍼+현재_보조공퍼+현재_엠블공퍼+스킬공퍼+IF(도핑3,도핑_공퍼,0)),0)+IF(쁘띠루미="Y",INT(레벨/20),0))*무기상수*(1+최종데미지)*(1.35+현재_크뎀+28%+IF(도핑3,도핑_크뎀,0))*(1-(방어율*((1-현재_방무)*IF(도핑3,1-도핑_방무,1)))),0)/S16-1</f>
        <v>0.10852712975097556</v>
      </c>
      <c r="T22" s="39">
        <f>ROUND((4*ROUNDDOWN((현재_깡스탯+IF(도핑3,도핑_깡스탯,0))*(1+현재_스탯퍼)+(현재_고정스탯),0)+메용후부스탯)/100*(1+현재_데미지+IF(도핑3,도핑_데미지,0)+현재_보뎀+IF(도핑3,도핑_보뎀,0))*(ROUNDDOWN((현재_공격력+IF(도핑3,도핑_공격력,0))*(1+현재_무기공퍼+현재_보조공퍼+현재_엠블공퍼+스킬공퍼+IF(도핑3,도핑_공퍼,0)),0)+IF(쁘띠루미="Y",INT(레벨/20),0))*무기상수*(1+최종데미지)*(1.35+현재_크뎀+21%+IF(도핑3,도핑_크뎀,0))*(1-(방어율*((1-현재_방무)*IF(도핑3,1-도핑_방무,1)))),0)/S16-1</f>
        <v>8.1395346608596819E-2</v>
      </c>
      <c r="U22" s="39">
        <f>ROUND((4*ROUNDDOWN((현재_깡스탯+IF(도핑3,도핑_깡스탯,0))*(1+현재_스탯퍼)+(현재_고정스탯),0)+메용후부스탯)/100*(1+현재_데미지+IF(도핑3,도핑_데미지,0)+현재_보뎀+IF(도핑3,도핑_보뎀,0))*(ROUNDDOWN((현재_공격력+IF(도핑3,도핑_공격력,0))*(1+현재_무기공퍼+현재_보조공퍼+현재_엠블공퍼+스킬공퍼+IF(도핑3,도핑_공퍼,0)),0)+IF(쁘띠루미="Y",INT(레벨/20),0))*무기상수*(1+최종데미지)*(1.35+현재_크뎀+14%+IF(도핑3,도핑_크뎀,0))*(1-(방어율*((1-현재_방무)*IF(도핑3,1-도핑_방무,1)))),0)/S16-1</f>
        <v>5.4263563466218079E-2</v>
      </c>
      <c r="V22" s="2"/>
      <c r="W22" s="2"/>
      <c r="X22" s="2"/>
      <c r="Y22" s="2"/>
      <c r="Z22" s="2"/>
      <c r="AA22" s="2"/>
      <c r="AB22" s="2"/>
      <c r="AC22" s="2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6.5" customHeight="1" x14ac:dyDescent="0.3">
      <c r="A23" s="2"/>
      <c r="B23" s="7" t="s">
        <v>18</v>
      </c>
      <c r="C23" s="49">
        <v>2</v>
      </c>
      <c r="D23" s="2"/>
      <c r="E23" s="5" t="s">
        <v>28</v>
      </c>
      <c r="F23" s="51" t="s">
        <v>99</v>
      </c>
      <c r="G23" s="25">
        <f>VLOOKUP(F23,$W$7:$Y$11,2,0)</f>
        <v>80</v>
      </c>
      <c r="H23" s="6" t="s">
        <v>67</v>
      </c>
      <c r="I23" s="23" t="s">
        <v>173</v>
      </c>
      <c r="J23" s="42">
        <f>ROUND((4*ROUNDDOWN((현재_깡스탯)*(1+현재_스탯퍼)+(현재_고정스탯),0)+메용후부스탯)/100*(1+현재_데미지+현재_보뎀+K23*2%)*(ROUNDDOWN((현재_공격력)*(1+현재_무기공퍼+현재_보조공퍼+현재_엠블공퍼+스킬공퍼),0)+IF(쁘띠루미="Y",INT(레벨/20),0))*무기상수*(1+최종데미지)*(1.35+현재_크뎀)*(1-(방어율*((1-현재_방무)))),0)/$J$1-1</f>
        <v>5.0083471670418378E-2</v>
      </c>
      <c r="K23" s="44">
        <v>15</v>
      </c>
      <c r="L23" s="2"/>
      <c r="M23" s="6" t="s">
        <v>83</v>
      </c>
      <c r="N23" s="31">
        <f>ROUND((4*N19+메용후부스탯)/100*(1+N20)*(ROUNDDOWN(N22*(1+N21),0)+IF(쁘띠루미="Y",INT(레벨/20),0))*무기상수*(1+최종데미지),0)</f>
        <v>57260897</v>
      </c>
      <c r="O23" s="31">
        <f>ROUND((4*O19+메용후부스탯)/100*(1+O20)*(ROUNDDOWN(O22*(1+O21),0)+IF(쁘띠루미="Y",INT(레벨/20),0))*무기상수*(1+최종데미지),0)</f>
        <v>58681654</v>
      </c>
      <c r="P23" s="2"/>
      <c r="Q23" s="76" t="s">
        <v>121</v>
      </c>
      <c r="R23" s="77"/>
      <c r="S23" s="39">
        <f>ROUND((4*ROUNDDOWN((현재_깡스탯+0.02*(메용후부스탯+C8+C9+(현재_깡스탯+IF(도핑3,도핑_깡스탯,0))*(1+현재_스탯퍼)+현재_고정스탯)+IF(도핑3,도핑_깡스탯,0))*(1+현재_스탯퍼)+(현재_고정스탯),0)+메용후부스탯)/100*(1+현재_데미지+IF(도핑3,도핑_데미지,0)+현재_보뎀+IF(도핑3,도핑_보뎀,0))*(ROUNDDOWN((현재_공격력+IF(도핑3,도핑_공격력,0))*(1+현재_무기공퍼+현재_보조공퍼+현재_엠블공퍼+스킬공퍼+IF(도핑3,도핑_공퍼,0)),0)+IF(쁘띠루미="Y",INT(레벨/20),0))*무기상수*(1+최종데미지)*(1.35+현재_크뎀+IF(도핑3,도핑_크뎀,0))*(1-(방어율*((1-현재_방무)*IF(도핑3,1-도핑_방무,1)))),0)/S16-1</f>
        <v>0.16222038434672359</v>
      </c>
      <c r="T23" s="39">
        <f>ROUND((4*ROUNDDOWN((현재_깡스탯+0.02*(메용후부스탯+C8+C9+(현재_깡스탯+IF(도핑3,도핑_깡스탯,0))*(1+현재_스탯퍼)+현재_고정스탯)+IF(도핑3,도핑_깡스탯,0))*(1+현재_스탯퍼)+(현재_고정스탯),0)+메용후부스탯)/100*(1+현재_데미지+IF(도핑3,도핑_데미지,0)+현재_보뎀+IF(도핑3,도핑_보뎀,0))*(ROUNDDOWN((현재_공격력+IF(도핑3,도핑_공격력,0))*(1+현재_무기공퍼+현재_보조공퍼+현재_엠블공퍼+스킬공퍼+IF(도핑3,도핑_공퍼,0)),0)+IF(쁘띠루미="Y",INT(레벨/20),0))*무기상수*(1+최종데미지)*(1.35+현재_크뎀+IF(도핑3,도핑_크뎀,0))*(1-(방어율*((1-현재_방무)*IF(도핑3,1-도핑_방무,1)))),0)/S16-1</f>
        <v>0.16222038434672359</v>
      </c>
      <c r="U23" s="39">
        <f>ROUND((4*ROUNDDOWN((현재_깡스탯+0.01*(메용후부스탯+C8+C9+(현재_깡스탯+IF(도핑3,도핑_깡스탯,0))*(1+현재_스탯퍼)+현재_고정스탯)+IF(도핑3,도핑_깡스탯,0))*(1+현재_스탯퍼)+(현재_고정스탯),0)+메용후부스탯)/100*(1+현재_데미지+IF(도핑3,도핑_데미지,0)+현재_보뎀+IF(도핑3,도핑_보뎀,0))*(ROUNDDOWN((현재_공격력+IF(도핑3,도핑_공격력,0))*(1+현재_무기공퍼+현재_보조공퍼+현재_엠블공퍼+스킬공퍼+IF(도핑3,도핑_공퍼,0)),0)+IF(쁘띠루미="Y",INT(레벨/20),0))*무기상수*(1+최종데미지)*(1.35+현재_크뎀+IF(도핑3,도핑_크뎀,0))*(1-(방어율*((1-현재_방무)*IF(도핑3,1-도핑_방무,1)))),0)/S16-1</f>
        <v>8.1110192173361906E-2</v>
      </c>
      <c r="V23" s="2"/>
      <c r="W23" s="2"/>
      <c r="X23" s="2"/>
      <c r="Y23" s="2"/>
      <c r="Z23" s="2"/>
      <c r="AA23" s="2"/>
      <c r="AB23" s="2"/>
      <c r="AC23" s="2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6.5" customHeight="1" x14ac:dyDescent="0.3">
      <c r="A24" s="2"/>
      <c r="B24" s="6" t="s">
        <v>21</v>
      </c>
      <c r="C24" s="46">
        <v>0.33</v>
      </c>
      <c r="D24" s="2"/>
      <c r="E24" s="6" t="s">
        <v>29</v>
      </c>
      <c r="F24" s="52" t="s">
        <v>98</v>
      </c>
      <c r="G24" s="25">
        <f t="shared" ref="G24:G26" si="3">VLOOKUP(F24,$W$7:$Y$11,2,0)</f>
        <v>80</v>
      </c>
      <c r="H24" s="6" t="s">
        <v>89</v>
      </c>
      <c r="I24" s="24" t="s">
        <v>174</v>
      </c>
      <c r="J24" s="43">
        <f>ROUND((4*ROUNDDOWN((현재_깡스탯)*(1+현재_스탯퍼)+(현재_고정스탯),0)+메용후부스탯)/100*(1+현재_데미지+현재_보뎀)*(ROUNDDOWN((현재_공격력)*(1+현재_무기공퍼+현재_보조공퍼+현재_엠블공퍼+스킬공퍼),0)+IF(쁘띠루미="Y",INT(레벨/20),0))*무기상수*(1+최종데미지)*(1.35+현재_크뎀)*(1-(방어율*((1-현재_방무)*(1-K24*2%)))),0)/$J$1-1</f>
        <v>0</v>
      </c>
      <c r="K24" s="45">
        <v>0</v>
      </c>
      <c r="L24" s="2"/>
      <c r="M24" s="6" t="s">
        <v>36</v>
      </c>
      <c r="N24" s="30">
        <f>현재_크뎀+IF(도핑,도핑_크뎀,0)</f>
        <v>1.23</v>
      </c>
      <c r="O24" s="30">
        <f>현재_크뎀+IF(도핑,도핑_크뎀,0)+상승_크뎀</f>
        <v>1.23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6.5" customHeight="1" x14ac:dyDescent="0.3">
      <c r="A25" s="2"/>
      <c r="B25" s="6" t="s">
        <v>20</v>
      </c>
      <c r="C25" s="49">
        <v>663</v>
      </c>
      <c r="D25" s="2"/>
      <c r="E25" s="6" t="s">
        <v>30</v>
      </c>
      <c r="F25" s="52" t="s">
        <v>98</v>
      </c>
      <c r="G25" s="25">
        <f t="shared" si="3"/>
        <v>80</v>
      </c>
      <c r="H25" s="6" t="s">
        <v>90</v>
      </c>
      <c r="I25" s="24" t="s">
        <v>175</v>
      </c>
      <c r="J25" s="43">
        <f>ROUND((4*ROUNDDOWN((현재_깡스탯)*(1+현재_스탯퍼)+(현재_고정스탯),0)+메용후부스탯)/100*(1+현재_데미지+현재_보뎀+K25*2%)*(ROUNDDOWN((현재_공격력)*(1+현재_무기공퍼+현재_보조공퍼+현재_엠블공퍼+스킬공퍼),0)+IF(쁘띠루미="Y",INT(레벨/20),0))*무기상수*(1+최종데미지)*(1.35+현재_크뎀)*(1-(방어율*((1-현재_방무)))),0)/$J$1-1</f>
        <v>5.0083471670418378E-2</v>
      </c>
      <c r="K25" s="45">
        <v>15</v>
      </c>
      <c r="L25" s="2"/>
      <c r="M25" s="11" t="s">
        <v>171</v>
      </c>
      <c r="N25" s="34"/>
      <c r="O25" s="57">
        <v>3</v>
      </c>
      <c r="P25" s="2"/>
      <c r="Q25" s="67" t="s">
        <v>123</v>
      </c>
      <c r="R25" s="68"/>
      <c r="S25" s="68"/>
      <c r="T25" s="68"/>
      <c r="U25" s="68"/>
      <c r="V25" s="2"/>
      <c r="W25" s="2"/>
      <c r="X25" s="2"/>
      <c r="Y25" s="2"/>
      <c r="Z25" s="2"/>
      <c r="AA25" s="2"/>
      <c r="AB25" s="2"/>
      <c r="AC25" s="2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6.5" customHeight="1" x14ac:dyDescent="0.3">
      <c r="A26" s="2"/>
      <c r="B26" s="6" t="s">
        <v>22</v>
      </c>
      <c r="C26" s="48">
        <v>0.33</v>
      </c>
      <c r="D26" s="2"/>
      <c r="E26" s="6" t="s">
        <v>31</v>
      </c>
      <c r="F26" s="52" t="s">
        <v>98</v>
      </c>
      <c r="G26" s="25">
        <f t="shared" si="3"/>
        <v>80</v>
      </c>
      <c r="H26" s="6" t="s">
        <v>68</v>
      </c>
      <c r="I26" s="24" t="s">
        <v>176</v>
      </c>
      <c r="J26" s="43">
        <f>ROUND((4*ROUNDDOWN((현재_깡스탯)*(1+현재_스탯퍼)+(현재_고정스탯),0)+메용후부스탯)/100*(1+현재_데미지+현재_보뎀)*(ROUNDDOWN((현재_공격력)*(1+현재_무기공퍼+현재_보조공퍼+현재_엠블공퍼+스킬공퍼),0)+IF(쁘띠루미="Y",INT(레벨/20),0))*무기상수*(1+최종데미지)*(1.35+현재_크뎀+K26*2%)*(1-(방어율*((1-현재_방무)))),0)/$J$1-1</f>
        <v>0.13157894748280197</v>
      </c>
      <c r="K26" s="45">
        <v>15</v>
      </c>
      <c r="L26" s="2"/>
      <c r="M26" s="6" t="s">
        <v>61</v>
      </c>
      <c r="N26" s="30">
        <f>현재_보뎀+IF(도핑,도핑_보뎀,0)</f>
        <v>4.6399999999999997</v>
      </c>
      <c r="O26" s="30">
        <f>현재_보뎀+IF(도핑,도핑_보뎀,0)+상승_보뎀</f>
        <v>4.6399999999999997</v>
      </c>
      <c r="P26" s="2"/>
      <c r="Q26" s="78" t="s">
        <v>124</v>
      </c>
      <c r="R26" s="79"/>
      <c r="S26" s="80"/>
      <c r="T26" s="65" t="s">
        <v>125</v>
      </c>
      <c r="U26" s="66"/>
      <c r="V26" s="2"/>
      <c r="W26" s="2"/>
      <c r="X26" s="2"/>
      <c r="Y26" s="2"/>
      <c r="Z26" s="2"/>
      <c r="AA26" s="2"/>
      <c r="AB26" s="2"/>
      <c r="AC26" s="2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6.5" customHeight="1" x14ac:dyDescent="0.3">
      <c r="A27" s="2"/>
      <c r="B27" s="8" t="s">
        <v>23</v>
      </c>
      <c r="C27" s="48">
        <v>0.39</v>
      </c>
      <c r="D27" s="2"/>
      <c r="E27" s="6" t="s">
        <v>27</v>
      </c>
      <c r="F27" s="52" t="s">
        <v>98</v>
      </c>
      <c r="G27" s="25">
        <f>VLOOKUP(F27,$W$7:$Y$11,3,0)</f>
        <v>40</v>
      </c>
      <c r="H27" s="2"/>
      <c r="I27" s="4"/>
      <c r="J27" s="4"/>
      <c r="K27" s="2"/>
      <c r="L27" s="2"/>
      <c r="M27" s="6" t="s">
        <v>84</v>
      </c>
      <c r="N27" s="32">
        <f>1-(1-현재_방무)*IF(도핑,1-도핑_방무,1)</f>
        <v>0.93579999999999997</v>
      </c>
      <c r="O27" s="32">
        <f>1-(1-현재_방무)*IF(도핑,1-도핑_방무,1)*(1-상승_방무)</f>
        <v>0.93579999999999997</v>
      </c>
      <c r="P27" s="2"/>
      <c r="Q27" s="81" t="s">
        <v>131</v>
      </c>
      <c r="R27" s="82"/>
      <c r="S27" s="9"/>
      <c r="T27" s="5" t="s">
        <v>128</v>
      </c>
      <c r="U27" s="9"/>
      <c r="V27" s="2"/>
      <c r="W27" s="2"/>
      <c r="X27" s="2"/>
      <c r="Y27" s="2"/>
      <c r="Z27" s="2"/>
      <c r="AA27" s="2"/>
      <c r="AB27" s="2"/>
      <c r="AC27" s="2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6.5" customHeight="1" x14ac:dyDescent="0.3">
      <c r="A28" s="2"/>
      <c r="B28" s="8" t="s">
        <v>24</v>
      </c>
      <c r="C28" s="50" t="s">
        <v>25</v>
      </c>
      <c r="D28" s="2"/>
      <c r="E28" s="2"/>
      <c r="F28" s="2"/>
      <c r="G28" s="2"/>
      <c r="H28" s="11" t="s">
        <v>91</v>
      </c>
      <c r="I28" s="12" t="s">
        <v>88</v>
      </c>
      <c r="J28" s="12" t="s">
        <v>134</v>
      </c>
      <c r="K28" s="12" t="s">
        <v>95</v>
      </c>
      <c r="L28" s="2"/>
      <c r="M28" s="6" t="s">
        <v>85</v>
      </c>
      <c r="N28" s="31">
        <f>ROUND((4*N19+메용후부스탯)/100*(1+N20+N26)*(ROUNDDOWN(N22*(1+N21),0)+IF(쁘띠루미="Y",INT(레벨/20),0))*무기상수*(1+최종데미지)*(1.35+N24)*(1-(방어율*(1-N27))),0)</f>
        <v>354793710</v>
      </c>
      <c r="O28" s="31">
        <f>ROUND((4*O19+메용후부스탯)/100*(1+O20+O26)*(ROUNDDOWN(O22*(1+O21),0)+IF(쁘띠루미="Y",INT(레벨/20),0))*무기상수*(1+최종데미지)*(1.35+O24)*(1-(방어율*(1-O27))),0)</f>
        <v>363596846</v>
      </c>
      <c r="P28" s="2"/>
      <c r="Q28" s="72" t="s">
        <v>129</v>
      </c>
      <c r="R28" s="73"/>
      <c r="S28" s="10"/>
      <c r="T28" s="6" t="s">
        <v>129</v>
      </c>
      <c r="U28" s="10"/>
      <c r="V28" s="2"/>
      <c r="W28" s="2"/>
      <c r="X28" s="2"/>
      <c r="Y28" s="2"/>
      <c r="Z28" s="2"/>
      <c r="AA28" s="2"/>
      <c r="AB28" s="2"/>
      <c r="AC28" s="2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6.5" customHeight="1" x14ac:dyDescent="0.3">
      <c r="A29" s="2"/>
      <c r="B29" s="8" t="s">
        <v>26</v>
      </c>
      <c r="C29" s="45">
        <v>13200</v>
      </c>
      <c r="D29" s="2"/>
      <c r="E29" s="65" t="s">
        <v>47</v>
      </c>
      <c r="F29" s="66"/>
      <c r="G29" s="2"/>
      <c r="H29" s="6" t="s">
        <v>92</v>
      </c>
      <c r="I29" s="23" t="s">
        <v>94</v>
      </c>
      <c r="J29" s="42">
        <f>ROUND((4*ROUNDDOWN((현재_깡스탯)*(1+현재_스탯퍼)+(현재_고정스탯),0)+메용후부스탯)/100*(1+현재_데미지+현재_보뎀)*(ROUNDDOWN((현재_공격력)*(1+현재_무기공퍼+현재_보조공퍼+현재_엠블공퍼+스킬공퍼+10%),0)+IF(쁘띠루미="Y",INT(레벨/20),0))*무기상수*(1+최종데미지)*(1.35+현재_크뎀)*(1-(방어율*((1-현재_방무)))),0)/$J$1-1</f>
        <v>4.4242030338476956E-2</v>
      </c>
      <c r="K29" s="44">
        <v>1</v>
      </c>
      <c r="L29" s="2"/>
      <c r="M29" s="6" t="s">
        <v>86</v>
      </c>
      <c r="N29" s="35"/>
      <c r="O29" s="22">
        <f>O28-N28</f>
        <v>8803136</v>
      </c>
      <c r="P29" s="2"/>
      <c r="Q29" s="72" t="s">
        <v>126</v>
      </c>
      <c r="R29" s="73"/>
      <c r="S29" s="10"/>
      <c r="T29" s="6" t="s">
        <v>126</v>
      </c>
      <c r="U29" s="10"/>
      <c r="V29" s="2"/>
      <c r="W29" s="2"/>
      <c r="X29" s="2"/>
      <c r="Y29" s="2"/>
      <c r="Z29" s="2"/>
      <c r="AA29" s="2"/>
      <c r="AB29" s="2"/>
      <c r="AC29" s="2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6.5" customHeight="1" x14ac:dyDescent="0.3">
      <c r="A30" s="2"/>
      <c r="B30" s="6" t="s">
        <v>49</v>
      </c>
      <c r="C30" s="45">
        <v>1500</v>
      </c>
      <c r="D30" s="2"/>
      <c r="E30" s="6" t="s">
        <v>48</v>
      </c>
      <c r="F30" s="52" t="s">
        <v>100</v>
      </c>
      <c r="G30" s="2"/>
      <c r="H30" s="6" t="s">
        <v>93</v>
      </c>
      <c r="I30" s="24" t="s">
        <v>97</v>
      </c>
      <c r="J30" s="43">
        <f>ROUND((4*ROUNDDOWN((현재_깡스탯)*(1+현재_스탯퍼)+(현재_고정스탯),0)+메용후부스탯)/100*(1+현재_데미지+현재_보뎀+10%)*(ROUNDDOWN((현재_공격력+30)*(1+현재_무기공퍼+현재_보조공퍼+현재_엠블공퍼+스킬공퍼),0)+IF(쁘띠루미="Y",INT(레벨/20),0))*무기상수*(1+최종데미지)*(1.35+현재_크뎀)*(1-(방어율*((1-현재_방무)))),0)/$J$1-1</f>
        <v>2.793964837126639E-2</v>
      </c>
      <c r="K30" s="45">
        <v>1</v>
      </c>
      <c r="L30" s="2"/>
      <c r="M30" s="6" t="s">
        <v>87</v>
      </c>
      <c r="N30" s="35"/>
      <c r="O30" s="36">
        <f>O29/N28</f>
        <v>2.4811984406375186E-2</v>
      </c>
      <c r="P30" s="2"/>
      <c r="Q30" s="72" t="s">
        <v>127</v>
      </c>
      <c r="R30" s="73"/>
      <c r="S30" s="10"/>
      <c r="T30" s="6" t="s">
        <v>130</v>
      </c>
      <c r="U30" s="10"/>
      <c r="V30" s="2"/>
      <c r="W30" s="2"/>
      <c r="X30" s="2"/>
      <c r="Y30" s="2"/>
      <c r="Z30" s="2"/>
      <c r="AA30" s="2"/>
      <c r="AB30" s="2"/>
      <c r="AC30" s="2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6.5" customHeight="1" x14ac:dyDescent="0.3">
      <c r="A31" s="26"/>
      <c r="B31" s="26"/>
      <c r="C31" s="26"/>
      <c r="D31" s="26"/>
      <c r="E31" s="26"/>
      <c r="F31" s="26"/>
      <c r="G31" s="26"/>
      <c r="H31" s="25">
        <f>K11*30</f>
        <v>30</v>
      </c>
      <c r="I31" s="25">
        <f>K6*10%+K25*2%</f>
        <v>0.4</v>
      </c>
      <c r="J31" s="25">
        <f>K29*10%+K18*4%</f>
        <v>0.14000000000000001</v>
      </c>
      <c r="K31" s="25">
        <f>SUM(K7,K12,K13,K14,K15,K16,K17,K30)*30+K19*40+K20*50</f>
        <v>260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6.5" customHeight="1" x14ac:dyDescent="0.3">
      <c r="A32" s="26"/>
      <c r="B32" s="26"/>
      <c r="C32" s="33"/>
      <c r="D32" s="26"/>
      <c r="E32" s="26"/>
      <c r="F32" s="26"/>
      <c r="G32" s="26"/>
      <c r="H32" s="25">
        <f>K10*5%+K26*2%</f>
        <v>0.3</v>
      </c>
      <c r="I32" s="25">
        <f>K4*20%+K8*20%+K23*2%+K30*10%</f>
        <v>0.6</v>
      </c>
      <c r="J32" s="25">
        <f>1-(1-K9*0.2)*(1-K24*0.02)</f>
        <v>0</v>
      </c>
      <c r="K32" s="25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"/>
      <c r="X32" s="2"/>
      <c r="Y32" s="2"/>
      <c r="Z32" s="2"/>
      <c r="AA32" s="2"/>
      <c r="AB32" s="2"/>
      <c r="AC32" s="2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6.5" customHeight="1" x14ac:dyDescent="0.3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"/>
      <c r="X33" s="2"/>
      <c r="Y33" s="2"/>
      <c r="Z33" s="2"/>
      <c r="AA33" s="2"/>
      <c r="AB33" s="2"/>
      <c r="AC33" s="2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6.5" customHeight="1" x14ac:dyDescent="0.3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"/>
      <c r="X34" s="2"/>
      <c r="Y34" s="2"/>
      <c r="Z34" s="2"/>
      <c r="AA34" s="2"/>
      <c r="AB34" s="2"/>
      <c r="AC34" s="2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6.5" customHeight="1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"/>
      <c r="X35" s="2"/>
      <c r="Y35" s="2"/>
      <c r="Z35" s="2"/>
      <c r="AA35" s="2"/>
      <c r="AB35" s="2"/>
      <c r="AC35" s="2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6.5" customHeight="1" x14ac:dyDescent="0.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"/>
      <c r="X36" s="2"/>
      <c r="Y36" s="2"/>
      <c r="Z36" s="2"/>
      <c r="AA36" s="2"/>
      <c r="AB36" s="2"/>
      <c r="AC36" s="2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6.5" customHeight="1" x14ac:dyDescent="0.3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"/>
      <c r="X37" s="2"/>
      <c r="Y37" s="2"/>
      <c r="Z37" s="2"/>
      <c r="AA37" s="2"/>
      <c r="AB37" s="2"/>
      <c r="AC37" s="2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6.5" customHeight="1" x14ac:dyDescent="0.3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"/>
      <c r="X38" s="2"/>
      <c r="Y38" s="2"/>
      <c r="Z38" s="2"/>
      <c r="AA38" s="2"/>
      <c r="AB38" s="2"/>
      <c r="AC38" s="2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6.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6.5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</sheetData>
  <sheetProtection sheet="1" objects="1" scenarios="1" selectLockedCells="1"/>
  <mergeCells count="22">
    <mergeCell ref="Q20:R20"/>
    <mergeCell ref="Q30:R30"/>
    <mergeCell ref="Q25:U25"/>
    <mergeCell ref="T26:U26"/>
    <mergeCell ref="Q26:S26"/>
    <mergeCell ref="Q27:R27"/>
    <mergeCell ref="E29:F29"/>
    <mergeCell ref="H2:K2"/>
    <mergeCell ref="B22:C22"/>
    <mergeCell ref="B3:C3"/>
    <mergeCell ref="Q12:U12"/>
    <mergeCell ref="M2:O2"/>
    <mergeCell ref="E14:F14"/>
    <mergeCell ref="E22:F22"/>
    <mergeCell ref="E3:F3"/>
    <mergeCell ref="B2:F2"/>
    <mergeCell ref="Q28:R28"/>
    <mergeCell ref="Q29:R29"/>
    <mergeCell ref="Q19:R19"/>
    <mergeCell ref="Q21:R21"/>
    <mergeCell ref="Q22:R22"/>
    <mergeCell ref="Q23:R23"/>
  </mergeCells>
  <phoneticPr fontId="3" type="noConversion"/>
  <conditionalFormatting sqref="O19:O24 O26:O30">
    <cfRule type="expression" dxfId="11" priority="5">
      <formula>$N19&gt;$O19</formula>
    </cfRule>
    <cfRule type="expression" dxfId="10" priority="6">
      <formula>$N19&lt;$O19</formula>
    </cfRule>
  </conditionalFormatting>
  <conditionalFormatting sqref="H4:K20">
    <cfRule type="expression" dxfId="9" priority="4">
      <formula>$K4&lt;&gt;1</formula>
    </cfRule>
  </conditionalFormatting>
  <conditionalFormatting sqref="H29:K30">
    <cfRule type="expression" dxfId="8" priority="3">
      <formula>$K29&lt;&gt;1</formula>
    </cfRule>
  </conditionalFormatting>
  <conditionalFormatting sqref="O4:O15">
    <cfRule type="cellIs" dxfId="7" priority="2" operator="greaterThan">
      <formula>0</formula>
    </cfRule>
    <cfRule type="cellIs" dxfId="6" priority="1" operator="lessThan">
      <formula>0</formula>
    </cfRule>
  </conditionalFormatting>
  <dataValidations count="21">
    <dataValidation type="whole" allowBlank="1" showInputMessage="1" showErrorMessage="1" sqref="C4">
      <formula1>1</formula1>
      <formula2>300</formula2>
    </dataValidation>
    <dataValidation type="whole" allowBlank="1" showInputMessage="1" showErrorMessage="1" sqref="C5">
      <formula1>1</formula1>
      <formula2>500000000</formula2>
    </dataValidation>
    <dataValidation type="decimal" allowBlank="1" showInputMessage="1" showErrorMessage="1" sqref="C15 C10">
      <formula1>0</formula1>
      <formula2>2</formula2>
    </dataValidation>
    <dataValidation type="decimal" allowBlank="1" showInputMessage="1" showErrorMessage="1" sqref="C12">
      <formula1>0.25</formula1>
      <formula2>3</formula2>
    </dataValidation>
    <dataValidation type="decimal" allowBlank="1" showInputMessage="1" showErrorMessage="1" sqref="C11">
      <formula1>0</formula1>
      <formula2>6</formula2>
    </dataValidation>
    <dataValidation type="whole" allowBlank="1" showInputMessage="1" showErrorMessage="1" sqref="K29:K30 K4:K20">
      <formula1>0</formula1>
      <formula2>1</formula2>
    </dataValidation>
    <dataValidation type="decimal" allowBlank="1" showInputMessage="1" showErrorMessage="1" sqref="C14">
      <formula1>0</formula1>
      <formula2>3</formula2>
    </dataValidation>
    <dataValidation type="whole" allowBlank="1" showInputMessage="1" showErrorMessage="1" sqref="C16">
      <formula1>0</formula1>
      <formula2>100</formula2>
    </dataValidation>
    <dataValidation type="whole" allowBlank="1" showInputMessage="1" showErrorMessage="1" sqref="C17">
      <formula1>0</formula1>
      <formula2>500</formula2>
    </dataValidation>
    <dataValidation type="decimal" allowBlank="1" showInputMessage="1" showErrorMessage="1" sqref="C18">
      <formula1>0</formula1>
      <formula2>0.08</formula2>
    </dataValidation>
    <dataValidation type="whole" allowBlank="1" showInputMessage="1" showErrorMessage="1" sqref="F4:F12">
      <formula1>0</formula1>
      <formula2>30</formula2>
    </dataValidation>
    <dataValidation type="list" allowBlank="1" showInputMessage="1" showErrorMessage="1" sqref="F15:F20">
      <formula1>$W$2:$W$6</formula1>
    </dataValidation>
    <dataValidation type="whole" allowBlank="1" showInputMessage="1" showErrorMessage="1" sqref="K23:K26">
      <formula1>0</formula1>
      <formula2>15</formula2>
    </dataValidation>
    <dataValidation type="whole" allowBlank="1" showInputMessage="1" showErrorMessage="1" sqref="C23">
      <formula1>0</formula1>
      <formula2>10</formula2>
    </dataValidation>
    <dataValidation type="list" allowBlank="1" showInputMessage="1" showErrorMessage="1" sqref="C28">
      <formula1>$X$4:$X$5</formula1>
    </dataValidation>
    <dataValidation type="whole" allowBlank="1" showInputMessage="1" showErrorMessage="1" sqref="C29">
      <formula1>0</formula1>
      <formula2>13200</formula2>
    </dataValidation>
    <dataValidation type="whole" allowBlank="1" showInputMessage="1" showErrorMessage="1" sqref="C30">
      <formula1>0</formula1>
      <formula2>10000</formula2>
    </dataValidation>
    <dataValidation type="list" allowBlank="1" showInputMessage="1" showErrorMessage="1" sqref="F23:F27">
      <formula1>$W$7:$W$11</formula1>
    </dataValidation>
    <dataValidation type="list" allowBlank="1" showInputMessage="1" showErrorMessage="1" sqref="F30">
      <formula1>$X$2:$X$3</formula1>
    </dataValidation>
    <dataValidation type="decimal" allowBlank="1" showInputMessage="1" showErrorMessage="1" sqref="C13 C24 C26:C27">
      <formula1>0</formula1>
      <formula2>1</formula2>
    </dataValidation>
    <dataValidation type="list" allowBlank="1" showInputMessage="1" showErrorMessage="1" sqref="O17 U2 U17">
      <formula1>$Y$2:$Y$3</formula1>
    </dataValidation>
  </dataValidations>
  <pageMargins left="0.7" right="0.7" top="0.75" bottom="0.75" header="0.3" footer="0.3"/>
  <pageSetup paperSize="9" orientation="portrait" horizontalDpi="1200" verticalDpi="1200" r:id="rId1"/>
  <ignoredErrors>
    <ignoredError sqref="J24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70"/>
  <sheetViews>
    <sheetView tabSelected="1" zoomScaleNormal="100" workbookViewId="0">
      <selection activeCell="K25" sqref="K25"/>
    </sheetView>
  </sheetViews>
  <sheetFormatPr defaultRowHeight="16.5" x14ac:dyDescent="0.3"/>
  <cols>
    <col min="1" max="1" width="2.625" customWidth="1"/>
    <col min="2" max="2" width="15.125" customWidth="1"/>
    <col min="3" max="3" width="13.25" customWidth="1"/>
    <col min="4" max="4" width="2.625" customWidth="1"/>
    <col min="5" max="5" width="15.125" customWidth="1"/>
    <col min="6" max="6" width="8.125" customWidth="1"/>
    <col min="7" max="7" width="2.625" customWidth="1"/>
    <col min="8" max="8" width="18.125" customWidth="1"/>
    <col min="9" max="9" width="13.375" customWidth="1"/>
    <col min="10" max="10" width="8.375" customWidth="1"/>
    <col min="11" max="11" width="6.75" customWidth="1"/>
    <col min="12" max="12" width="2.625" customWidth="1"/>
    <col min="13" max="13" width="12.125" customWidth="1"/>
    <col min="14" max="14" width="13.5" customWidth="1"/>
    <col min="15" max="15" width="14.375" customWidth="1"/>
    <col min="16" max="16" width="2.625" customWidth="1"/>
    <col min="17" max="17" width="13.625" customWidth="1"/>
    <col min="18" max="18" width="5.5" customWidth="1"/>
    <col min="19" max="21" width="16.625" customWidth="1"/>
  </cols>
  <sheetData>
    <row r="1" spans="1:42" ht="18.75" customHeight="1" x14ac:dyDescent="0.3">
      <c r="A1" s="2"/>
      <c r="B1" s="28">
        <v>0.21</v>
      </c>
      <c r="C1" s="27">
        <v>1.3</v>
      </c>
      <c r="D1" s="2"/>
      <c r="E1" s="2"/>
      <c r="F1" s="2"/>
      <c r="G1" s="2"/>
      <c r="H1" s="2"/>
      <c r="I1" s="2"/>
      <c r="J1" s="25">
        <f>ROUND((4*ROUNDDOWN((현재_깡스탯)*(1+현재_스탯퍼)+(현재_고정스탯),0)+메용후부스탯)/100*(1+현재_데미지+현재_보뎀)*(ROUNDDOWN((현재_공격력)*(1+현재_무기공퍼+현재_보조공퍼+현재_엠블공퍼+스킬공퍼),0)+IF(쁘띠루미="Y",INT(레벨/20),0))*무기상수*(1+최종데미지)*(1.35+현재_크뎀)*(1-(방어율*((1-현재_방무)))),0)</f>
        <v>230071471</v>
      </c>
      <c r="K1" s="2"/>
      <c r="L1" s="2"/>
      <c r="M1" s="2"/>
      <c r="N1" s="2"/>
      <c r="O1" s="2"/>
      <c r="P1" s="2"/>
      <c r="Q1" s="2"/>
      <c r="R1" s="25">
        <f>ROUND((4*ROUNDDOWN((현재_깡스탯+IF(도핑2,도핑_깡스탯,0))*(1+현재_스탯퍼)+(현재_고정스탯),0)+메용후부스탯)/100*(1+현재_데미지+IF(도핑2,도핑_데미지,0)+현재_보뎀+IF(도핑2,도핑_보뎀,0))*(ROUNDDOWN((현재_공격력+IF(도핑2,도핑_공격력,0))*(1+현재_무기공퍼+현재_보조공퍼+현재_엠블공퍼+스킬공퍼+IF(도핑2,도핑_공퍼,0)),0)+IF(쁘띠루미="Y",INT(레벨/20),0))*무기상수*(1+최종데미지)*(1.35+현재_크뎀+IF(도핑2,도핑_크뎀,0))*(1-(방어율*((1-현재_방무)*IF(도핑2,1-도핑_방무,1)))),0)</f>
        <v>354793710</v>
      </c>
      <c r="S1" s="25">
        <f>ROUND((4*ROUNDDOWN((현재_깡스탯+1+IF(도핑2,도핑_깡스탯,0))*(1+현재_스탯퍼)+(현재_고정스탯),0)+메용후부스탯)/100*(1+현재_데미지+IF(도핑2,도핑_데미지,0)+현재_보뎀+IF(도핑2,도핑_보뎀,0))*(ROUNDDOWN((현재_공격력+IF(도핑2,도핑_공격력,0))*(1+현재_무기공퍼+현재_보조공퍼+현재_엠블공퍼+스킬공퍼+IF(도핑2,도핑_공퍼,0)),0)+IF(쁘띠루미="Y",INT(레벨/20),0))*무기상수*(1+최종데미지)*(1.35+현재_크뎀+IF(도핑2,도핑_크뎀,0))*(1-(방어율*((1-현재_방무)*IF(도핑2,1-도핑_방무,1)))),0)-R1</f>
        <v>40944</v>
      </c>
      <c r="T1" s="61"/>
      <c r="U1" s="62" t="s">
        <v>181</v>
      </c>
      <c r="V1" s="2"/>
      <c r="W1" s="2"/>
      <c r="X1" s="2"/>
      <c r="Y1" s="2"/>
      <c r="Z1" s="2"/>
      <c r="AA1" s="2"/>
      <c r="AB1" s="2"/>
      <c r="AC1" s="2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6.5" customHeight="1" x14ac:dyDescent="0.3">
      <c r="A2" s="2"/>
      <c r="B2" s="67" t="s">
        <v>180</v>
      </c>
      <c r="C2" s="68"/>
      <c r="D2" s="68"/>
      <c r="E2" s="68"/>
      <c r="F2" s="68"/>
      <c r="G2" s="2"/>
      <c r="H2" s="67" t="s">
        <v>177</v>
      </c>
      <c r="I2" s="68"/>
      <c r="J2" s="68"/>
      <c r="K2" s="68"/>
      <c r="L2" s="2"/>
      <c r="M2" s="67" t="s">
        <v>50</v>
      </c>
      <c r="N2" s="68"/>
      <c r="O2" s="68"/>
      <c r="P2" s="2"/>
      <c r="Q2" s="14" t="s">
        <v>138</v>
      </c>
      <c r="R2" s="15"/>
      <c r="S2" s="15"/>
      <c r="T2" s="15"/>
      <c r="U2" s="60" t="s">
        <v>172</v>
      </c>
      <c r="V2" s="25" t="b">
        <f>U2="도핑 적용 O"</f>
        <v>1</v>
      </c>
      <c r="W2" s="25">
        <v>0</v>
      </c>
      <c r="X2" s="25" t="s">
        <v>139</v>
      </c>
      <c r="Y2" s="25" t="s">
        <v>141</v>
      </c>
      <c r="Z2" s="2"/>
      <c r="AA2" s="2"/>
      <c r="AB2" s="2"/>
      <c r="AC2" s="2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6.5" customHeight="1" x14ac:dyDescent="0.3">
      <c r="A3" s="2"/>
      <c r="B3" s="65" t="s">
        <v>0</v>
      </c>
      <c r="C3" s="66"/>
      <c r="D3" s="4"/>
      <c r="E3" s="65" t="s">
        <v>183</v>
      </c>
      <c r="F3" s="66"/>
      <c r="G3" s="2"/>
      <c r="H3" s="11" t="s">
        <v>51</v>
      </c>
      <c r="I3" s="12" t="s">
        <v>88</v>
      </c>
      <c r="J3" s="12" t="s">
        <v>132</v>
      </c>
      <c r="K3" s="12" t="s">
        <v>69</v>
      </c>
      <c r="L3" s="2"/>
      <c r="M3" s="11" t="s">
        <v>51</v>
      </c>
      <c r="N3" s="12" t="s">
        <v>52</v>
      </c>
      <c r="O3" s="12" t="s">
        <v>53</v>
      </c>
      <c r="P3" s="2"/>
      <c r="Q3" s="18" t="s">
        <v>109</v>
      </c>
      <c r="R3" s="19"/>
      <c r="S3" s="20" t="s">
        <v>110</v>
      </c>
      <c r="T3" s="20" t="s">
        <v>111</v>
      </c>
      <c r="U3" s="20" t="s">
        <v>112</v>
      </c>
      <c r="V3" s="2"/>
      <c r="W3" s="25">
        <v>1</v>
      </c>
      <c r="X3" s="25" t="s">
        <v>140</v>
      </c>
      <c r="Y3" s="25" t="s">
        <v>142</v>
      </c>
      <c r="Z3" s="2"/>
      <c r="AA3" s="2"/>
      <c r="AB3" s="2"/>
      <c r="AC3" s="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6.5" customHeight="1" x14ac:dyDescent="0.3">
      <c r="A4" s="2"/>
      <c r="B4" s="5" t="s">
        <v>5</v>
      </c>
      <c r="C4" s="44">
        <v>265</v>
      </c>
      <c r="D4" s="2"/>
      <c r="E4" s="5" t="s">
        <v>44</v>
      </c>
      <c r="F4" s="44">
        <v>30</v>
      </c>
      <c r="G4" s="2"/>
      <c r="H4" s="5" t="s">
        <v>150</v>
      </c>
      <c r="I4" s="23" t="s">
        <v>157</v>
      </c>
      <c r="J4" s="42">
        <f>ROUND((4*ROUNDDOWN((현재_깡스탯)*(1+현재_스탯퍼)+(현재_고정스탯),0)+메용후부스탯)/100*(1+현재_데미지+현재_보뎀+20%)*(ROUNDDOWN((현재_공격력)*(1+현재_무기공퍼+현재_보조공퍼+현재_엠블공퍼+스킬공퍼),0)+IF(쁘띠루미="Y",INT(레벨/20),0))*무기상수*(1+최종데미지)*(1.35+현재_크뎀)*(1-(방어율*((1-현재_방무)))),0)/$J$1-1</f>
        <v>3.3388981113612326E-2</v>
      </c>
      <c r="K4" s="44"/>
      <c r="L4" s="2"/>
      <c r="M4" s="5" t="s">
        <v>54</v>
      </c>
      <c r="N4" s="31">
        <f>ROUNDUP((메용후주스탯-현재_고정스탯)/(1+현재_스탯퍼),0)</f>
        <v>5373</v>
      </c>
      <c r="O4" s="53">
        <v>200</v>
      </c>
      <c r="P4" s="2"/>
      <c r="Q4" s="17" t="s">
        <v>79</v>
      </c>
      <c r="R4" s="51">
        <v>1</v>
      </c>
      <c r="S4" s="31">
        <f>ROUND((4*ROUNDDOWN((현재_깡스탯+R4+IF(도핑2,도핑_깡스탯,0))*(1+현재_스탯퍼)+(현재_고정스탯),0)+메용후부스탯)/100*(1+현재_데미지+IF(도핑2,도핑_데미지,0)+현재_보뎀+IF(도핑2,도핑_보뎀,0))*(ROUNDDOWN((현재_공격력+IF(도핑2,도핑_공격력,0))*(1+현재_무기공퍼+현재_보조공퍼+현재_엠블공퍼+스킬공퍼+IF(도핑2,도핑_공퍼,0)),0)+IF(쁘띠루미="Y",INT(레벨/20),0))*무기상수*(1+최종데미지)*(1.35+현재_크뎀+IF(도핑2,도핑_크뎀,0))*(1-(방어율*((1-현재_방무)*IF(도핑2,1-도핑_방무,1)))),0)-R1</f>
        <v>40944</v>
      </c>
      <c r="T4" s="37">
        <f>R4</f>
        <v>1</v>
      </c>
      <c r="U4" s="63">
        <f t="shared" ref="U4:U10" si="0">S4/$R$1</f>
        <v>1.1540227136495741E-4</v>
      </c>
      <c r="V4" s="2"/>
      <c r="W4" s="25">
        <v>2</v>
      </c>
      <c r="X4" s="25" t="s">
        <v>143</v>
      </c>
      <c r="Y4" s="25"/>
      <c r="Z4" s="2"/>
      <c r="AA4" s="2"/>
      <c r="AB4" s="2"/>
      <c r="AC4" s="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6.5" customHeight="1" x14ac:dyDescent="0.3">
      <c r="A5" s="2"/>
      <c r="B5" s="6" t="s">
        <v>6</v>
      </c>
      <c r="C5" s="45">
        <v>40686185</v>
      </c>
      <c r="D5" s="2"/>
      <c r="E5" s="6" t="s">
        <v>43</v>
      </c>
      <c r="F5" s="45">
        <v>30</v>
      </c>
      <c r="G5" s="2"/>
      <c r="H5" s="6" t="s">
        <v>151</v>
      </c>
      <c r="I5" s="24" t="s">
        <v>158</v>
      </c>
      <c r="J5" s="43">
        <f>ROUND((4*ROUNDDOWN((현재_깡스탯)*(1+현재_스탯퍼)+(현재_고정스탯),0)+메용후부스탯)/100*(1+현재_데미지+현재_보뎀)*(ROUNDDOWN((현재_공격력)*(1+현재_무기공퍼+현재_보조공퍼+현재_엠블공퍼+스킬공퍼),0)+IF(쁘띠루미="Y",INT(레벨/20),0))*무기상수*(1+최종데미지)*(1.35+현재_크뎀)*(1-(방어율*((1-현재_방무))*(0.8))),0)/$J$1-1</f>
        <v>4.7708692226338556E-2</v>
      </c>
      <c r="K5" s="45"/>
      <c r="L5" s="2"/>
      <c r="M5" s="6" t="s">
        <v>55</v>
      </c>
      <c r="N5" s="29">
        <f>ROUNDUP((메용후주스탯 - 메용전주스탯)/ROUNDDOWN((레벨 * 5 + 18) * (최종데미지 - 0.1),0),2) -1</f>
        <v>5.45</v>
      </c>
      <c r="O5" s="54"/>
      <c r="P5" s="2"/>
      <c r="Q5" s="6" t="s">
        <v>104</v>
      </c>
      <c r="R5" s="58">
        <v>0.01</v>
      </c>
      <c r="S5" s="31">
        <f>ROUND((4*ROUNDDOWN((현재_깡스탯+IF(도핑2,도핑_깡스탯,0))*(1+현재_스탯퍼+R5)+(현재_고정스탯),0)+메용후부스탯)/100*(1+현재_데미지+IF(도핑2,도핑_데미지,0)+현재_보뎀+IF(도핑2,도핑_보뎀,0))*(ROUNDDOWN((현재_공격력+IF(도핑2,도핑_공격력,0))*(1+현재_무기공퍼+현재_보조공퍼+현재_엠블공퍼+스킬공퍼+IF(도핑2,도핑_공퍼,0)),0)+IF(쁘띠루미="Y",INT(레벨/20),0))*무기상수*(1+최종데미지)*(1.35+현재_크뎀+IF(도핑2,도핑_크뎀,0))*(1-(방어율*((1-현재_방무)*IF(도핑2,1-도핑_방무,1)))),0)-R1</f>
        <v>368503</v>
      </c>
      <c r="T5" s="37">
        <f>S5/$S$1</f>
        <v>9.0001709652207893</v>
      </c>
      <c r="U5" s="64">
        <f t="shared" si="0"/>
        <v>1.0386401720594201E-3</v>
      </c>
      <c r="V5" s="2"/>
      <c r="W5" s="25">
        <v>3</v>
      </c>
      <c r="X5" s="25" t="s">
        <v>144</v>
      </c>
      <c r="Y5" s="25"/>
      <c r="Z5" s="2"/>
      <c r="AA5" s="2"/>
      <c r="AB5" s="2"/>
      <c r="AC5" s="2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6.5" customHeight="1" x14ac:dyDescent="0.3">
      <c r="A6" s="2"/>
      <c r="B6" s="6" t="s">
        <v>1</v>
      </c>
      <c r="C6" s="45">
        <v>7328</v>
      </c>
      <c r="D6" s="2"/>
      <c r="E6" s="6" t="s">
        <v>42</v>
      </c>
      <c r="F6" s="45">
        <v>30</v>
      </c>
      <c r="G6" s="2"/>
      <c r="H6" s="6" t="s">
        <v>152</v>
      </c>
      <c r="I6" s="24" t="s">
        <v>159</v>
      </c>
      <c r="J6" s="43">
        <f>ROUND((4*ROUNDDOWN((현재_깡스탯)*(1+현재_스탯퍼)+(현재_고정스탯),0)+메용후부스탯)/100*(1+현재_데미지+현재_보뎀+0.1)*(ROUNDDOWN((현재_공격력)*(1+현재_무기공퍼+현재_보조공퍼+현재_엠블공퍼+스킬공퍼),0)+IF(쁘띠루미="Y",INT(레벨/20),0))*무기상수*(1+최종데미지)*(1.35+현재_크뎀)*(1-(방어율*((1-현재_방무)))),0)/$J$1-1</f>
        <v>1.6694490556806052E-2</v>
      </c>
      <c r="K6" s="45">
        <v>1</v>
      </c>
      <c r="L6" s="2"/>
      <c r="M6" s="6" t="s">
        <v>56</v>
      </c>
      <c r="N6" s="31">
        <f>SUM(어빌DEX,하이퍼스탯DEX,심볼,유니온공격대원)+IF(레벨&gt;=250,100,80)</f>
        <v>15310</v>
      </c>
      <c r="O6" s="53"/>
      <c r="P6" s="2"/>
      <c r="Q6" s="6" t="s">
        <v>103</v>
      </c>
      <c r="R6" s="52">
        <v>1</v>
      </c>
      <c r="S6" s="31">
        <f>ROUND((4*ROUNDDOWN((현재_깡스탯+IF(도핑2,도핑_깡스탯,0))*(1+현재_스탯퍼)+(현재_고정스탯),0)+메용후부스탯)/100*(1+현재_데미지+IF(도핑2,도핑_데미지,0)+현재_보뎀+IF(도핑2,도핑_보뎀,0))*(ROUNDDOWN((현재_공격력+R6+IF(도핑2,도핑_공격력,0))*(1+현재_무기공퍼+현재_보조공퍼+현재_엠블공퍼+스킬공퍼+IF(도핑2,도핑_공퍼,0)),0)+IF(쁘띠루미="Y",INT(레벨/20),0))*무기상수*(1+최종데미지)*(1.35+현재_크뎀+IF(도핑2,도핑_크뎀,0))*(1-(방어율*((1-현재_방무)*IF(도핑2,1-도핑_방무,1)))),0)-R1</f>
        <v>99201</v>
      </c>
      <c r="T6" s="37">
        <f t="shared" ref="T6:T10" si="1">S6/$S$1</f>
        <v>2.4228458382180538</v>
      </c>
      <c r="U6" s="64">
        <f t="shared" si="0"/>
        <v>2.7960191289749754E-4</v>
      </c>
      <c r="V6" s="2"/>
      <c r="W6" s="25">
        <v>4</v>
      </c>
      <c r="X6" s="25"/>
      <c r="Y6" s="25"/>
      <c r="Z6" s="2"/>
      <c r="AA6" s="2"/>
      <c r="AB6" s="2"/>
      <c r="AC6" s="2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6.5" customHeight="1" x14ac:dyDescent="0.3">
      <c r="A7" s="2"/>
      <c r="B7" s="6" t="s">
        <v>2</v>
      </c>
      <c r="C7" s="45">
        <v>49965</v>
      </c>
      <c r="D7" s="2"/>
      <c r="E7" s="6" t="s">
        <v>38</v>
      </c>
      <c r="F7" s="45">
        <v>30</v>
      </c>
      <c r="G7" s="2"/>
      <c r="H7" s="6" t="s">
        <v>153</v>
      </c>
      <c r="I7" s="24" t="s">
        <v>160</v>
      </c>
      <c r="J7" s="43">
        <f>ROUND((4*ROUNDDOWN((현재_깡스탯)*(1+현재_스탯퍼)+(현재_고정스탯),0)+메용후부스탯)/100*(1+현재_데미지+현재_보뎀)*(ROUNDDOWN((현재_공격력+30)*(1+현재_무기공퍼+현재_보조공퍼+현재_엠블공퍼+스킬공퍼),0)+IF(쁘띠루미="Y",INT(레벨/20),0))*무기상수*(1+최종데미지)*(1.35+현재_크뎀)*(1-(방어율*((1-현재_방무)))),0)/$J$1-1</f>
        <v>1.1060506498000278E-2</v>
      </c>
      <c r="K7" s="45"/>
      <c r="L7" s="2"/>
      <c r="M7" s="6" t="s">
        <v>19</v>
      </c>
      <c r="N7" s="30">
        <f>C24</f>
        <v>0.33</v>
      </c>
      <c r="O7" s="55"/>
      <c r="P7" s="2"/>
      <c r="Q7" s="6" t="s">
        <v>105</v>
      </c>
      <c r="R7" s="58">
        <v>0.01</v>
      </c>
      <c r="S7" s="31">
        <f>ROUND((4*ROUNDDOWN((현재_깡스탯+IF(도핑2,도핑_깡스탯,0))*(1+현재_스탯퍼)+(현재_고정스탯),0)+메용후부스탯)/100*(1+현재_데미지+IF(도핑2,도핑_데미지,0)+현재_보뎀+IF(도핑2,도핑_보뎀,0))*(ROUNDDOWN((현재_공격력+IF(도핑2,도핑_공격력,0))*(1+현재_무기공퍼+현재_보조공퍼+현재_엠블공퍼+스킬공퍼+R7+IF(도핑2,도핑_공퍼,0)),0)+IF(쁘띠루미="Y",INT(레벨/20),0))*무기상수*(1+최종데미지)*(1.35+현재_크뎀+IF(도핑2,도핑_크뎀,0))*(1-(방어율*((1-현재_방무)*IF(도핑2,1-도핑_방무,1)))),0)-R1</f>
        <v>1438420</v>
      </c>
      <c r="T7" s="37">
        <f t="shared" si="1"/>
        <v>35.131398983978116</v>
      </c>
      <c r="U7" s="64">
        <f t="shared" si="0"/>
        <v>4.0542432389796311E-3</v>
      </c>
      <c r="V7" s="2"/>
      <c r="W7" s="25" t="s">
        <v>145</v>
      </c>
      <c r="X7" s="25">
        <v>100</v>
      </c>
      <c r="Y7" s="25">
        <v>50</v>
      </c>
      <c r="Z7" s="2"/>
      <c r="AA7" s="2"/>
      <c r="AB7" s="2"/>
      <c r="AC7" s="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6.5" customHeight="1" x14ac:dyDescent="0.3">
      <c r="A8" s="2"/>
      <c r="B8" s="6" t="s">
        <v>3</v>
      </c>
      <c r="C8" s="45">
        <v>4031</v>
      </c>
      <c r="D8" s="2"/>
      <c r="E8" s="6" t="s">
        <v>41</v>
      </c>
      <c r="F8" s="45">
        <v>30</v>
      </c>
      <c r="G8" s="2"/>
      <c r="H8" s="6" t="s">
        <v>154</v>
      </c>
      <c r="I8" s="24" t="s">
        <v>157</v>
      </c>
      <c r="J8" s="43">
        <f>ROUND((4*ROUNDDOWN((현재_깡스탯)*(1+현재_스탯퍼)+(현재_고정스탯),0)+메용후부스탯)/100*(1+현재_데미지+현재_보뎀+20%)*(ROUNDDOWN((현재_공격력)*(1+현재_무기공퍼+현재_보조공퍼+현재_엠블공퍼+스킬공퍼),0)+IF(쁘띠루미="Y",INT(레벨/20),0))*무기상수*(1+최종데미지)*(1.35+현재_크뎀)*(1-(방어율*((1-현재_방무)))),0)/$J$1-1</f>
        <v>3.3388981113612326E-2</v>
      </c>
      <c r="K8" s="45">
        <v>1</v>
      </c>
      <c r="L8" s="2"/>
      <c r="M8" s="6" t="s">
        <v>22</v>
      </c>
      <c r="N8" s="30">
        <f>C26</f>
        <v>0.33</v>
      </c>
      <c r="O8" s="55"/>
      <c r="P8" s="2"/>
      <c r="Q8" s="6" t="s">
        <v>106</v>
      </c>
      <c r="R8" s="58">
        <v>0.01</v>
      </c>
      <c r="S8" s="31">
        <f>ROUND((4*ROUNDDOWN((현재_깡스탯+IF(도핑2,도핑_깡스탯,0))*(1+현재_스탯퍼)+(현재_고정스탯),0)+메용후부스탯)/100*(1+R8+현재_데미지+IF(도핑2,도핑_데미지,0)+현재_보뎀+IF(도핑2,도핑_보뎀,0))*(ROUNDDOWN((현재_공격력+IF(도핑2,도핑_공격력,0))*(1+현재_무기공퍼+현재_보조공퍼+현재_엠블공퍼+스킬공퍼+IF(도핑2,도핑_공퍼,0)),0)+IF(쁘띠루미="Y",INT(레벨/20),0))*무기상수*(1+최종데미지)*(1.35+현재_크뎀+IF(도핑2,도핑_크뎀,0))*(1-(방어율*((1-현재_방무)*IF(도핑2,1-도핑_방무,1)))),0)-R1</f>
        <v>507573</v>
      </c>
      <c r="T8" s="37">
        <f t="shared" si="1"/>
        <v>12.39676143024619</v>
      </c>
      <c r="U8" s="64">
        <f t="shared" si="0"/>
        <v>1.4306144266199082E-3</v>
      </c>
      <c r="V8" s="2"/>
      <c r="W8" s="25" t="s">
        <v>146</v>
      </c>
      <c r="X8" s="25">
        <v>80</v>
      </c>
      <c r="Y8" s="25">
        <v>40</v>
      </c>
      <c r="Z8" s="2"/>
      <c r="AA8" s="2"/>
      <c r="AB8" s="2"/>
      <c r="AC8" s="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6.5" customHeight="1" x14ac:dyDescent="0.3">
      <c r="A9" s="2"/>
      <c r="B9" s="6" t="s">
        <v>4</v>
      </c>
      <c r="C9" s="45">
        <v>3866</v>
      </c>
      <c r="D9" s="2"/>
      <c r="E9" s="6" t="s">
        <v>39</v>
      </c>
      <c r="F9" s="45">
        <v>30</v>
      </c>
      <c r="G9" s="2"/>
      <c r="H9" s="6" t="s">
        <v>155</v>
      </c>
      <c r="I9" s="24" t="s">
        <v>161</v>
      </c>
      <c r="J9" s="43">
        <f>ROUND((4*ROUNDDOWN((현재_깡스탯)*(1+현재_스탯퍼)+(현재_고정스탯),0)+메용후부스탯)/100*(1+현재_데미지+현재_보뎀)*(ROUNDDOWN((현재_공격력)*(1+현재_무기공퍼+현재_보조공퍼+현재_엠블공퍼+스킬공퍼),0)+IF(쁘띠루미="Y",INT(레벨/20),0))*무기상수*(1+최종데미지)*(1.35+현재_크뎀)*(1-(방어율*((1-현재_방무))*(0.8))),0)/$J$1-1</f>
        <v>4.7708692226338556E-2</v>
      </c>
      <c r="K9" s="45"/>
      <c r="L9" s="2"/>
      <c r="M9" s="6" t="s">
        <v>58</v>
      </c>
      <c r="N9" s="30">
        <f>C27</f>
        <v>0.39</v>
      </c>
      <c r="O9" s="55"/>
      <c r="P9" s="2"/>
      <c r="Q9" s="6" t="s">
        <v>107</v>
      </c>
      <c r="R9" s="58">
        <v>0.01</v>
      </c>
      <c r="S9" s="31">
        <f>ROUND((4*ROUNDDOWN((현재_깡스탯+IF(도핑2,도핑_깡스탯,0))*(1+현재_스탯퍼)+(현재_고정스탯),0)+메용후부스탯)/100*(1+현재_데미지+IF(도핑2,도핑_데미지,0)+현재_보뎀+IF(도핑2,도핑_보뎀,0))*(ROUNDDOWN((현재_공격력+IF(도핑2,도핑_공격력,0))*(1+현재_무기공퍼+현재_보조공퍼+현재_엠블공퍼+스킬공퍼+IF(도핑2,도핑_공퍼,0)),0)+IF(쁘띠루미="Y",INT(레벨/20),0))*무기상수*(1+최종데미지)*(1.35+R9+현재_크뎀+IF(도핑2,도핑_크뎀,0))*(1-(방어율*((1-현재_방무)*IF(도핑2,1-도핑_방무,1)))),0)-R1</f>
        <v>1375169</v>
      </c>
      <c r="T9" s="37">
        <f t="shared" si="1"/>
        <v>33.586581672528332</v>
      </c>
      <c r="U9" s="64">
        <f t="shared" si="0"/>
        <v>3.8759678123944192E-3</v>
      </c>
      <c r="V9" s="2"/>
      <c r="W9" s="25" t="s">
        <v>147</v>
      </c>
      <c r="X9" s="25">
        <v>40</v>
      </c>
      <c r="Y9" s="25">
        <v>20</v>
      </c>
      <c r="Z9" s="2"/>
      <c r="AA9" s="2"/>
      <c r="AB9" s="2"/>
      <c r="AC9" s="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6.5" customHeight="1" x14ac:dyDescent="0.3">
      <c r="A10" s="2"/>
      <c r="B10" s="6" t="s">
        <v>7</v>
      </c>
      <c r="C10" s="46">
        <v>0.95</v>
      </c>
      <c r="D10" s="2"/>
      <c r="E10" s="6" t="s">
        <v>40</v>
      </c>
      <c r="F10" s="45">
        <v>30</v>
      </c>
      <c r="G10" s="2"/>
      <c r="H10" s="6" t="s">
        <v>65</v>
      </c>
      <c r="I10" s="24" t="s">
        <v>162</v>
      </c>
      <c r="J10" s="43">
        <f>ROUND((4*ROUNDDOWN((현재_깡스탯)*(1+현재_스탯퍼)+(현재_고정스탯),0)+메용후부스탯)/100*(1+현재_데미지+현재_보뎀)*(ROUNDDOWN((현재_공격력)*(1+현재_무기공퍼+현재_보조공퍼+현재_엠블공퍼+스킬공퍼),0)+IF(쁘띠루미="Y",INT(레벨/20),0))*무기상수*(1+최종데미지)*(1.35+현재_크뎀+5%)*(1-(방어율*((1-현재_방무)))),0)/$J$1-1</f>
        <v>2.1929824580467105E-2</v>
      </c>
      <c r="K10" s="45"/>
      <c r="L10" s="2"/>
      <c r="M10" s="6" t="s">
        <v>59</v>
      </c>
      <c r="N10" s="31">
        <f>ROUNDUP((뒷스공/((4*메용후주스탯+메용후부스탯)/100*(1+데미지)*(1+최종데미지)*무기상수)-IF(쁘띠루미="Y",INT(레벨/20),0))/(1+현재_무기공퍼+현재_보조공퍼+현재_엠블공퍼+스킬공퍼),0)</f>
        <v>2715</v>
      </c>
      <c r="O10" s="53"/>
      <c r="P10" s="2"/>
      <c r="Q10" s="6" t="s">
        <v>108</v>
      </c>
      <c r="R10" s="58">
        <v>0.01</v>
      </c>
      <c r="S10" s="31">
        <f>ROUND((4*ROUNDDOWN((현재_깡스탯+IF(도핑2,도핑_깡스탯,0))*(1+현재_스탯퍼)+(현재_고정스탯),0)+메용후부스탯)/100*(1+현재_데미지+IF(도핑2,도핑_데미지,0)+현재_보뎀+IF(도핑2,도핑_보뎀,0))*(ROUNDDOWN((현재_공격력+IF(도핑2,도핑_공격력,0))*(1+현재_무기공퍼+현재_보조공퍼+현재_엠블공퍼+스킬공퍼+IF(도핑2,도핑_공퍼,0)),0)+IF(쁘띠루미="Y",INT(레벨/20),0))*무기상수*(1+최종데미지)*(1.35+R9+현재_크뎀+IF(도핑2,도핑_크뎀,0))*(1-(방어율*((1-현재_방무)*(1-R10)*IF(도핑2,1-도핑_방무,1)))),0)-R1</f>
        <v>2224787</v>
      </c>
      <c r="T10" s="37">
        <f t="shared" si="1"/>
        <v>54.337314380617428</v>
      </c>
      <c r="U10" s="64">
        <f t="shared" si="0"/>
        <v>6.2706494993950146E-3</v>
      </c>
      <c r="V10" s="2"/>
      <c r="W10" s="25" t="s">
        <v>148</v>
      </c>
      <c r="X10" s="25">
        <v>20</v>
      </c>
      <c r="Y10" s="25">
        <v>10</v>
      </c>
      <c r="Z10" s="2"/>
      <c r="AA10" s="2"/>
      <c r="AB10" s="2"/>
      <c r="AC10" s="2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6.5" customHeight="1" x14ac:dyDescent="0.3">
      <c r="A11" s="2"/>
      <c r="B11" s="6" t="s">
        <v>8</v>
      </c>
      <c r="C11" s="46">
        <v>4.04</v>
      </c>
      <c r="D11" s="2"/>
      <c r="E11" s="6" t="s">
        <v>45</v>
      </c>
      <c r="F11" s="45">
        <v>30</v>
      </c>
      <c r="G11" s="2"/>
      <c r="H11" s="6" t="s">
        <v>156</v>
      </c>
      <c r="I11" s="24" t="s">
        <v>163</v>
      </c>
      <c r="J11" s="43">
        <f>ROUND((4*ROUNDDOWN((현재_깡스탯+30)*(1+현재_스탯퍼)+(현재_고정스탯),0)+메용후부스탯)/100*(1+현재_데미지+현재_보뎀)*(ROUNDDOWN((현재_공격력)*(1+현재_무기공퍼+현재_보조공퍼+현재_엠블공퍼+스킬공퍼),0)+IF(쁘띠루미="Y",INT(레벨/20),0))*무기상수*(1+최종데미지)*(1.35+현재_크뎀)*(1-(방어율*((1-현재_방무)))),0)/$J$1-1</f>
        <v>3.7453883189193515E-3</v>
      </c>
      <c r="K11" s="45">
        <v>1</v>
      </c>
      <c r="L11" s="2"/>
      <c r="M11" s="6" t="s">
        <v>7</v>
      </c>
      <c r="N11" s="30">
        <f>데미지</f>
        <v>0.95</v>
      </c>
      <c r="O11" s="55"/>
      <c r="P11" s="2"/>
      <c r="Q11" s="40">
        <f>ROUNDDOWN((C19-메용후부스탯)/30-1,2)</f>
        <v>1.53</v>
      </c>
      <c r="R11" s="41">
        <f>(메용후부스탯-700)/(1+Q11)</f>
        <v>2619.762845849802</v>
      </c>
      <c r="S11" s="41">
        <f>부깡스탯*(1+부스탯퍼)+700</f>
        <v>7328</v>
      </c>
      <c r="T11" s="2"/>
      <c r="U11" s="2"/>
      <c r="V11" s="2"/>
      <c r="W11" s="25" t="s">
        <v>149</v>
      </c>
      <c r="X11" s="25">
        <v>10</v>
      </c>
      <c r="Y11" s="25">
        <v>5</v>
      </c>
      <c r="Z11" s="2"/>
      <c r="AA11" s="2"/>
      <c r="AB11" s="2"/>
      <c r="AC11" s="2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6.5" customHeight="1" x14ac:dyDescent="0.3">
      <c r="A12" s="2"/>
      <c r="B12" s="6" t="s">
        <v>9</v>
      </c>
      <c r="C12" s="46">
        <v>0.26</v>
      </c>
      <c r="D12" s="2"/>
      <c r="E12" s="6" t="s">
        <v>46</v>
      </c>
      <c r="F12" s="45">
        <v>0</v>
      </c>
      <c r="G12" s="2"/>
      <c r="H12" s="6" t="s">
        <v>76</v>
      </c>
      <c r="I12" s="24" t="s">
        <v>164</v>
      </c>
      <c r="J12" s="43">
        <f t="shared" ref="J12:J17" si="2">ROUND((4*ROUNDDOWN((현재_깡스탯)*(1+현재_스탯퍼)+(현재_고정스탯),0)+메용후부스탯)/100*(1+현재_데미지+현재_보뎀)*(ROUNDDOWN((현재_공격력+30)*(1+현재_무기공퍼+현재_보조공퍼+현재_엠블공퍼+스킬공퍼),0)+IF(쁘띠루미="Y",INT(레벨/20),0))*무기상수*(1+최종데미지)*(1.35+현재_크뎀)*(1-(방어율*((1-현재_방무)))),0)/$J$1-1</f>
        <v>1.1060506498000278E-2</v>
      </c>
      <c r="K12" s="45">
        <v>1</v>
      </c>
      <c r="L12" s="2"/>
      <c r="M12" s="6" t="s">
        <v>61</v>
      </c>
      <c r="N12" s="30">
        <f>C11</f>
        <v>4.04</v>
      </c>
      <c r="O12" s="55"/>
      <c r="P12" s="2"/>
      <c r="Q12" s="70" t="s">
        <v>182</v>
      </c>
      <c r="R12" s="71"/>
      <c r="S12" s="71"/>
      <c r="T12" s="71"/>
      <c r="U12" s="71"/>
      <c r="V12" s="2"/>
      <c r="W12" s="2"/>
      <c r="X12" s="2"/>
      <c r="Y12" s="2"/>
      <c r="Z12" s="2"/>
      <c r="AA12" s="2"/>
      <c r="AB12" s="2"/>
      <c r="AC12" s="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6.5" customHeight="1" x14ac:dyDescent="0.3">
      <c r="A13" s="2"/>
      <c r="B13" s="6" t="s">
        <v>10</v>
      </c>
      <c r="C13" s="47">
        <v>0.93579999999999997</v>
      </c>
      <c r="D13" s="2"/>
      <c r="E13" s="2"/>
      <c r="F13" s="2"/>
      <c r="G13" s="2"/>
      <c r="H13" s="6" t="s">
        <v>70</v>
      </c>
      <c r="I13" s="24" t="s">
        <v>160</v>
      </c>
      <c r="J13" s="43">
        <f t="shared" si="2"/>
        <v>1.1060506498000278E-2</v>
      </c>
      <c r="K13" s="45">
        <v>1</v>
      </c>
      <c r="L13" s="2"/>
      <c r="M13" s="6" t="s">
        <v>10</v>
      </c>
      <c r="N13" s="32">
        <f>C13</f>
        <v>0.93579999999999997</v>
      </c>
      <c r="O13" s="56"/>
      <c r="P13" s="2"/>
      <c r="Q13" s="17" t="s">
        <v>135</v>
      </c>
      <c r="R13" s="51">
        <v>1</v>
      </c>
      <c r="S13" s="31">
        <f>ROUND((4*ROUNDDOWN((현재_깡스탯+IF(도핑2,도핑_깡스탯,0))*(1+현재_스탯퍼)+(현재_고정스탯),0)+(부깡스탯+R13)*(1+부스탯퍼)+700)/100*(1+현재_데미지+IF(도핑2,도핑_데미지,0)+현재_보뎀+IF(도핑2,도핑_보뎀,0))*(ROUNDDOWN((현재_공격력+IF(도핑2,도핑_공격력,0))*(1+현재_무기공퍼+현재_보조공퍼+현재_엠블공퍼+스킬공퍼+IF(도핑2,도핑_공퍼,0)),0)+IF(쁘띠루미="Y",INT(레벨/20),0))*무기상수*(1+최종데미지)*(1.35+현재_크뎀+IF(도핑2,도핑_크뎀,0))*(1-(방어율*((1-현재_방무)*IF(도핑2,1-도핑_방무,1)))),0)-R1</f>
        <v>4316</v>
      </c>
      <c r="T13" s="37">
        <f>S13/$S$1</f>
        <v>0.10541227041813209</v>
      </c>
      <c r="U13" s="63">
        <f>S13/$R$1</f>
        <v>1.2164815435989551E-5</v>
      </c>
      <c r="V13" s="2"/>
      <c r="W13" s="2"/>
      <c r="X13" s="2"/>
      <c r="Y13" s="2"/>
      <c r="Z13" s="2"/>
      <c r="AA13" s="2"/>
      <c r="AB13" s="2"/>
      <c r="AC13" s="2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6.5" customHeight="1" x14ac:dyDescent="0.3">
      <c r="A14" s="2"/>
      <c r="B14" s="6" t="s">
        <v>11</v>
      </c>
      <c r="C14" s="46">
        <v>1.1299999999999999</v>
      </c>
      <c r="D14" s="2"/>
      <c r="E14" s="65" t="s">
        <v>184</v>
      </c>
      <c r="F14" s="66"/>
      <c r="G14" s="2"/>
      <c r="H14" s="6" t="s">
        <v>71</v>
      </c>
      <c r="I14" s="24" t="s">
        <v>165</v>
      </c>
      <c r="J14" s="43">
        <f t="shared" si="2"/>
        <v>1.1060506498000278E-2</v>
      </c>
      <c r="K14" s="45">
        <v>1</v>
      </c>
      <c r="L14" s="2"/>
      <c r="M14" s="6" t="s">
        <v>36</v>
      </c>
      <c r="N14" s="30">
        <f>C15</f>
        <v>0.93</v>
      </c>
      <c r="O14" s="55"/>
      <c r="P14" s="2"/>
      <c r="Q14" s="6" t="s">
        <v>136</v>
      </c>
      <c r="R14" s="58">
        <v>0.01</v>
      </c>
      <c r="S14" s="31">
        <f>ROUND((4*ROUNDDOWN((현재_깡스탯+IF(도핑2,도핑_깡스탯,0))*(1+현재_스탯퍼)+(현재_고정스탯),0)+(부깡스탯)*(1+부스탯퍼+R14)+700)/100*(1+현재_데미지+IF(도핑2,도핑_데미지,0)+현재_보뎀+IF(도핑2,도핑_보뎀,0))*(ROUNDDOWN((현재_공격력+IF(도핑2,도핑_공격력,0))*(1+현재_무기공퍼+현재_보조공퍼+현재_엠블공퍼+스킬공퍼+IF(도핑2,도핑_공퍼,0)),0)+IF(쁘띠루미="Y",INT(레벨/20),0))*무기상수*(1+최종데미지)*(1.35+현재_크뎀+IF(도핑2,도핑_크뎀,0))*(1-(방어율*((1-현재_방무)*IF(도핑2,1-도핑_방무,1)))),0)-R1</f>
        <v>44694</v>
      </c>
      <c r="T14" s="37">
        <f>S14/$S$1</f>
        <v>1.091588511137163</v>
      </c>
      <c r="U14" s="64">
        <f>S14/$R$1</f>
        <v>1.2597179358112072E-4</v>
      </c>
      <c r="V14" s="2"/>
      <c r="W14" s="2"/>
      <c r="X14" s="2"/>
      <c r="Y14" s="2"/>
      <c r="Z14" s="2"/>
      <c r="AA14" s="2"/>
      <c r="AB14" s="2"/>
      <c r="AC14" s="2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6.5" customHeight="1" x14ac:dyDescent="0.3">
      <c r="A15" s="2"/>
      <c r="B15" s="6" t="s">
        <v>12</v>
      </c>
      <c r="C15" s="46">
        <v>0.93</v>
      </c>
      <c r="D15" s="2"/>
      <c r="E15" s="5" t="s">
        <v>32</v>
      </c>
      <c r="F15" s="44">
        <v>4</v>
      </c>
      <c r="G15" s="2"/>
      <c r="H15" s="6" t="s">
        <v>96</v>
      </c>
      <c r="I15" s="24" t="s">
        <v>166</v>
      </c>
      <c r="J15" s="43">
        <f t="shared" si="2"/>
        <v>1.1060506498000278E-2</v>
      </c>
      <c r="K15" s="45">
        <v>1</v>
      </c>
      <c r="L15" s="2"/>
      <c r="M15" s="6" t="s">
        <v>11</v>
      </c>
      <c r="N15" s="30">
        <f>C14</f>
        <v>1.1299999999999999</v>
      </c>
      <c r="O15" s="55"/>
      <c r="P15" s="2"/>
      <c r="Q15" s="6" t="s">
        <v>137</v>
      </c>
      <c r="R15" s="59">
        <v>0.01</v>
      </c>
      <c r="S15" s="31">
        <f>ROUND((4*ROUNDDOWN((현재_깡스탯+IF(도핑2,도핑_깡스탯,0))*(1+현재_스탯퍼+R15)+(현재_고정스탯),0)+(부깡스탯)*(1+부스탯퍼+R15)+700)/100*(1+현재_데미지+IF(도핑2,도핑_데미지,0)+현재_보뎀+IF(도핑2,도핑_보뎀,0))*(ROUNDDOWN((현재_공격력+IF(도핑2,도핑_공격력,0))*(1+현재_무기공퍼+현재_보조공퍼+현재_엠블공퍼+스킬공퍼+IF(도핑2,도핑_공퍼,0)),0)+IF(쁘띠루미="Y",INT(레벨/20),0))*무기상수*(1+최종데미지)*(1.35+현재_크뎀+IF(도핑2,도핑_크뎀,0))*(1-(방어율*((1-현재_방무)*IF(도핑2,1-도핑_방무,1)))),0)-R1</f>
        <v>413197</v>
      </c>
      <c r="T15" s="37">
        <f>S15/$S$1</f>
        <v>10.091759476357952</v>
      </c>
      <c r="U15" s="64">
        <f>S15/$R$1</f>
        <v>1.1646119656405409E-3</v>
      </c>
      <c r="V15" s="2"/>
      <c r="W15" s="2"/>
      <c r="X15" s="2"/>
      <c r="Y15" s="2"/>
      <c r="Z15" s="2"/>
      <c r="AA15" s="2"/>
      <c r="AB15" s="2"/>
      <c r="AC15" s="2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6.5" customHeight="1" x14ac:dyDescent="0.3">
      <c r="A16" s="2"/>
      <c r="B16" s="6" t="s">
        <v>14</v>
      </c>
      <c r="C16" s="45">
        <v>0</v>
      </c>
      <c r="D16" s="2"/>
      <c r="E16" s="6" t="s">
        <v>33</v>
      </c>
      <c r="F16" s="45">
        <v>4</v>
      </c>
      <c r="G16" s="2"/>
      <c r="H16" s="6" t="s">
        <v>73</v>
      </c>
      <c r="I16" s="24" t="s">
        <v>167</v>
      </c>
      <c r="J16" s="43">
        <f t="shared" si="2"/>
        <v>1.1060506498000278E-2</v>
      </c>
      <c r="K16" s="45">
        <v>1</v>
      </c>
      <c r="L16" s="2"/>
      <c r="M16" s="2"/>
      <c r="N16" s="2"/>
      <c r="O16" s="2"/>
      <c r="P16" s="2"/>
      <c r="Q16" s="2"/>
      <c r="R16" s="2"/>
      <c r="S16" s="25">
        <f>ROUND((4*ROUNDDOWN((현재_깡스탯+IF(도핑3,도핑_깡스탯,0))*(1+현재_스탯퍼)+(현재_고정스탯),0)+메용후부스탯)/100*(1+현재_데미지+IF(도핑3,도핑_데미지,0)+현재_보뎀+IF(도핑3,도핑_보뎀,0))*(ROUNDDOWN((현재_공격력+IF(도핑3,도핑_공격력,0))*(1+현재_무기공퍼+현재_보조공퍼+현재_엠블공퍼+스킬공퍼+IF(도핑3,도핑_공퍼,0)),0)+IF(쁘띠루미="Y",INT(레벨/20),0))*무기상수*(1+최종데미지)*(1.35+현재_크뎀+IF(도핑3,도핑_크뎀,0))*(1-(방어율*((1-현재_방무)*IF(도핑3,1-도핑_방무,1)))),0)</f>
        <v>354793710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6.5" customHeight="1" x14ac:dyDescent="0.3">
      <c r="A17" s="2"/>
      <c r="B17" s="6" t="s">
        <v>15</v>
      </c>
      <c r="C17" s="45">
        <v>150</v>
      </c>
      <c r="D17" s="2"/>
      <c r="E17" s="6" t="s">
        <v>34</v>
      </c>
      <c r="F17" s="45">
        <v>4</v>
      </c>
      <c r="G17" s="2"/>
      <c r="H17" s="6" t="s">
        <v>74</v>
      </c>
      <c r="I17" s="24" t="s">
        <v>166</v>
      </c>
      <c r="J17" s="43">
        <f t="shared" si="2"/>
        <v>1.1060506498000278E-2</v>
      </c>
      <c r="K17" s="45">
        <v>1</v>
      </c>
      <c r="L17" s="2"/>
      <c r="M17" s="14" t="s">
        <v>122</v>
      </c>
      <c r="N17" s="15"/>
      <c r="O17" s="60" t="s">
        <v>172</v>
      </c>
      <c r="P17" s="25" t="b">
        <f>O17="도핑 적용 O"</f>
        <v>1</v>
      </c>
      <c r="Q17" s="14" t="s">
        <v>179</v>
      </c>
      <c r="R17" s="15"/>
      <c r="S17" s="15"/>
      <c r="T17" s="15"/>
      <c r="U17" s="60" t="s">
        <v>172</v>
      </c>
      <c r="V17" s="25" t="b">
        <f>U17="도핑 적용 O"</f>
        <v>1</v>
      </c>
      <c r="W17" s="2"/>
      <c r="X17" s="2"/>
      <c r="Y17" s="2"/>
      <c r="Z17" s="2"/>
      <c r="AA17" s="2"/>
      <c r="AB17" s="2"/>
      <c r="AC17" s="2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6.5" customHeight="1" x14ac:dyDescent="0.3">
      <c r="A18" s="2"/>
      <c r="B18" s="6" t="s">
        <v>16</v>
      </c>
      <c r="C18" s="48">
        <v>0.05</v>
      </c>
      <c r="D18" s="2"/>
      <c r="E18" s="6" t="s">
        <v>35</v>
      </c>
      <c r="F18" s="45">
        <v>4</v>
      </c>
      <c r="G18" s="2"/>
      <c r="H18" s="6" t="s">
        <v>75</v>
      </c>
      <c r="I18" s="24" t="s">
        <v>168</v>
      </c>
      <c r="J18" s="43">
        <f>ROUND((4*ROUNDDOWN((현재_깡스탯)*(1+현재_스탯퍼)+(현재_고정스탯),0)+메용후부스탯)/100*(1+현재_데미지+현재_보뎀)*(ROUNDDOWN((현재_공격력)*(1+4%+현재_무기공퍼+현재_보조공퍼+현재_엠블공퍼+스킬공퍼),0)+IF(쁘띠루미="Y",INT(레벨/20),0))*무기상수*(1+최종데미지)*(1.35+현재_크뎀)*(1-(방어율*((1-현재_방무)))),0)/$J$1-1</f>
        <v>1.7729342896234179E-2</v>
      </c>
      <c r="K18" s="45">
        <v>1</v>
      </c>
      <c r="L18" s="2"/>
      <c r="M18" s="11" t="s">
        <v>51</v>
      </c>
      <c r="N18" s="12" t="s">
        <v>101</v>
      </c>
      <c r="O18" s="12" t="s">
        <v>102</v>
      </c>
      <c r="P18" s="2"/>
      <c r="Q18" s="21" t="s">
        <v>113</v>
      </c>
      <c r="R18" s="13"/>
      <c r="S18" s="12" t="s">
        <v>114</v>
      </c>
      <c r="T18" s="12" t="s">
        <v>115</v>
      </c>
      <c r="U18" s="12" t="s">
        <v>116</v>
      </c>
      <c r="V18" s="2"/>
      <c r="W18" s="2"/>
      <c r="X18" s="2"/>
      <c r="Y18" s="2"/>
      <c r="Z18" s="2"/>
      <c r="AA18" s="2"/>
      <c r="AB18" s="2"/>
      <c r="AC18" s="2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6.5" customHeight="1" x14ac:dyDescent="0.3">
      <c r="A19" s="2"/>
      <c r="B19" s="16" t="s">
        <v>17</v>
      </c>
      <c r="C19" s="45">
        <v>7404</v>
      </c>
      <c r="D19" s="2"/>
      <c r="E19" s="6" t="s">
        <v>36</v>
      </c>
      <c r="F19" s="45">
        <v>3</v>
      </c>
      <c r="G19" s="2"/>
      <c r="H19" s="6" t="s">
        <v>77</v>
      </c>
      <c r="I19" s="24" t="s">
        <v>169</v>
      </c>
      <c r="J19" s="43">
        <f>ROUND((4*ROUNDDOWN((현재_깡스탯)*(1+현재_스탯퍼)+(현재_고정스탯),0)+메용후부스탯)/100*(1+현재_데미지+현재_보뎀)*(ROUNDDOWN((현재_공격력+40)*(1+현재_무기공퍼+현재_보조공퍼+현재_엠블공퍼+스킬공퍼),0)+IF(쁘띠루미="Y",INT(레벨/20),0))*무기상수*(1+최종데미지)*(1.35+현재_크뎀)*(1-(방어율*((1-현재_방무)))),0)/$J$1-1</f>
        <v>1.4801561380898054E-2</v>
      </c>
      <c r="K19" s="45"/>
      <c r="L19" s="2"/>
      <c r="M19" s="5" t="s">
        <v>79</v>
      </c>
      <c r="N19" s="31">
        <f>ROUNDDOWN((현재_깡스탯+IF(도핑,도핑_깡스탯,0))*(1+현재_스탯퍼)+(현재_고정스탯),0)</f>
        <v>50159</v>
      </c>
      <c r="O19" s="31">
        <f>ROUNDDOWN((현재_깡스탯+상승_깡스탯+IF(도핑,도핑_깡스탯,0))*(1+현재_스탯퍼+상승_스탯퍼)+(현재_고정스탯+상승_고정스탯),0)</f>
        <v>51449</v>
      </c>
      <c r="P19" s="2"/>
      <c r="Q19" s="74" t="s">
        <v>117</v>
      </c>
      <c r="R19" s="75"/>
      <c r="S19" s="38">
        <f>ROUND((4*ROUNDDOWN((현재_깡스탯+IF(도핑3,도핑_깡스탯,0))*(1+현재_스탯퍼)+(현재_고정스탯),0)+메용후부스탯)/100*(1+현재_데미지+IF(도핑3,도핑_데미지,0)+현재_보뎀+IF(도핑3,도핑_보뎀,0))*(ROUNDDOWN((현재_공격력+IF(도핑3,도핑_공격력,0))*(1+1+현재_무기공퍼+현재_보조공퍼+현재_엠블공퍼+스킬공퍼+IF(도핑3,도핑_공퍼,0)),0)+IF(쁘띠루미="Y",INT(레벨/20),0))*무기상수*(1+최종데미지)*(1.35+현재_크뎀+IF(도핑3,도핑_크뎀,0))*(1-(방어율*((1-현재_방무)*IF(도핑3,1-도핑_방무,1)))),0)/S16-1</f>
        <v>0.41590940831504586</v>
      </c>
      <c r="T19" s="38">
        <f>ROUND((4*ROUNDDOWN((현재_깡스탯+IF(도핑3,도핑_깡스탯,0))*(1+현재_스탯퍼)+(현재_고정스탯),0)+메용후부스탯)/100*(1+현재_데미지+IF(도핑3,도핑_데미지,0)+현재_보뎀+IF(도핑3,도핑_보뎀,0))*(ROUNDDOWN((현재_공격력+IF(도핑3,도핑_공격력,0))*(1+0.75+현재_무기공퍼+현재_보조공퍼+현재_엠블공퍼+스킬공퍼+IF(도핑3,도핑_공퍼,0)),0)+IF(쁘띠루미="Y",INT(레벨/20),0))*무기상수*(1+최종데미지)*(1.35+현재_크뎀+IF(도핑3,도핑_크뎀,0))*(1-(방어율*((1-현재_방무)*IF(도핑3,1-도핑_방무,1)))),0)/S16-1</f>
        <v>0.31189710494022016</v>
      </c>
      <c r="U19" s="38">
        <f>ROUND((4*ROUNDDOWN((현재_깡스탯+IF(도핑3,도핑_깡스탯,0))*(1+현재_스탯퍼)+(현재_고정스탯),0)+메용후부스탯)/100*(1+현재_데미지+IF(도핑3,도핑_데미지,0)+현재_보뎀+IF(도핑3,도핑_보뎀,0))*(ROUNDDOWN((현재_공격력+IF(도핑3,도핑_공격력,0))*(1+0.5+현재_무기공퍼+현재_보조공퍼+현재_엠블공퍼+스킬공퍼+IF(도핑3,도핑_공퍼,0)),0)+IF(쁘띠루미="Y",INT(레벨/20),0))*무기상수*(1+최종데미지)*(1.35+현재_크뎀+IF(도핑3,도핑_크뎀,0))*(1-(방어율*((1-현재_방무)*IF(도핑3,1-도핑_방무,1)))),0)/S16-1</f>
        <v>0.20788480156539424</v>
      </c>
      <c r="V19" s="2"/>
      <c r="W19" s="2"/>
      <c r="X19" s="2"/>
      <c r="Y19" s="2"/>
      <c r="Z19" s="2"/>
      <c r="AA19" s="2"/>
      <c r="AB19" s="2"/>
      <c r="AC19" s="2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6.5" customHeight="1" x14ac:dyDescent="0.3">
      <c r="A20" s="2"/>
      <c r="B20" s="16" t="s">
        <v>13</v>
      </c>
      <c r="C20" s="45">
        <v>48585</v>
      </c>
      <c r="D20" s="2"/>
      <c r="E20" s="6" t="s">
        <v>37</v>
      </c>
      <c r="F20" s="45">
        <v>3</v>
      </c>
      <c r="G20" s="2"/>
      <c r="H20" s="6" t="s">
        <v>78</v>
      </c>
      <c r="I20" s="24" t="s">
        <v>170</v>
      </c>
      <c r="J20" s="43">
        <f>ROUND((4*ROUNDDOWN((현재_깡스탯)*(1+현재_스탯퍼)+(현재_고정스탯),0)+메용후부스탯)/100*(1+현재_데미지+현재_보뎀)*(ROUNDDOWN((현재_공격력+50)*(1+현재_무기공퍼+현재_보조공퍼+현재_엠블공퍼+스킬공퍼),0)+IF(쁘띠루미="Y",INT(레벨/20),0))*무기상수*(1+최종데미지)*(1.35+현재_크뎀)*(1-(방어율*((1-현재_방무)))),0)/$J$1-1</f>
        <v>1.8379958113103001E-2</v>
      </c>
      <c r="K20" s="45">
        <v>1</v>
      </c>
      <c r="L20" s="2"/>
      <c r="M20" s="6" t="s">
        <v>7</v>
      </c>
      <c r="N20" s="30">
        <f>현재_데미지+IF(도핑,도핑_데미지,0)</f>
        <v>1.35</v>
      </c>
      <c r="O20" s="30">
        <f>현재_데미지+IF(도핑,도핑_데미지,0)+상승_데미지</f>
        <v>1.35</v>
      </c>
      <c r="P20" s="2"/>
      <c r="Q20" s="76" t="s">
        <v>118</v>
      </c>
      <c r="R20" s="77"/>
      <c r="S20" s="39">
        <f>ROUND((4*ROUNDDOWN((현재_깡스탯+IF(도핑3,도핑_깡스탯,0))*(1+현재_스탯퍼)+(현재_고정스탯),0)+메용후부스탯)/100*(1+현재_데미지+IF(도핑3,도핑_데미지,0)+현재_보뎀+IF(도핑3,도핑_보뎀,0))*(ROUNDDOWN((현재_공격력+IF(도핑3,도핑_공격력,0))*(1+0.5+현재_무기공퍼+현재_보조공퍼+현재_엠블공퍼+스킬공퍼+IF(도핑3,도핑_공퍼,0)),0)+IF(쁘띠루미="Y",INT(레벨/20),0))*무기상수*(1+최종데미지)*(1.35+현재_크뎀+IF(도핑3,도핑_크뎀,0))*(1-(방어율*((1-현재_방무)*IF(도핑3,1-도핑_방무,1)))),0)/S16-1</f>
        <v>0.20788480156539424</v>
      </c>
      <c r="T20" s="39">
        <f>ROUND((4*ROUNDDOWN((현재_깡스탯+IF(도핑3,도핑_깡스탯,0))*(1+현재_스탯퍼)+(현재_고정스탯),0)+메용후부스탯)/100*(1+현재_데미지+IF(도핑3,도핑_데미지,0)+현재_보뎀+IF(도핑3,도핑_보뎀,0))*(ROUNDDOWN((현재_공격력+IF(도핑3,도핑_공격력,0))*(1+0.4+현재_무기공퍼+현재_보조공퍼+현재_엠블공퍼+스킬공퍼+IF(도핑3,도핑_공퍼,0)),0)+IF(쁘띠루미="Y",INT(레벨/20),0))*무기상수*(1+최종데미지)*(1.35+현재_크뎀+IF(도핑3,도핑_크뎀,0))*(1-(방어율*((1-현재_방무)*IF(도핑3,1-도핑_방무,1)))),0)/S16-1</f>
        <v>0.166363761071187</v>
      </c>
      <c r="U20" s="39">
        <f>ROUND((4*ROUNDDOWN((현재_깡스탯+IF(도핑3,도핑_깡스탯,0))*(1+현재_스탯퍼)+(현재_고정스탯),0)+메용후부스탯)/100*(1+현재_데미지+IF(도핑3,도핑_데미지,0)+현재_보뎀+IF(도핑3,도핑_보뎀,0))*(ROUNDDOWN((현재_공격력+IF(도핑3,도핑_공격력,0))*(1+0.3+현재_무기공퍼+현재_보조공퍼+현재_엠블공퍼+스킬공퍼+IF(도핑3,도핑_공퍼,0)),0)+IF(쁘띠루미="Y",INT(레벨/20),0))*무기상수*(1+최종데미지)*(1.35+현재_크뎀+IF(도핑3,도핑_크뎀,0))*(1-(방어율*((1-현재_방무)*IF(도핑3,1-도핑_방무,1)))),0)/S16-1</f>
        <v>0.12470292102980074</v>
      </c>
      <c r="V20" s="2"/>
      <c r="W20" s="2"/>
      <c r="X20" s="2"/>
      <c r="Y20" s="2"/>
      <c r="Z20" s="2"/>
      <c r="AA20" s="2"/>
      <c r="AB20" s="2"/>
      <c r="AC20" s="2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6.5" customHeight="1" x14ac:dyDescent="0.3">
      <c r="A21" s="2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6" t="s">
        <v>81</v>
      </c>
      <c r="N21" s="30">
        <f>현재_무기공퍼+현재_보조공퍼+현재_엠블공퍼+스킬공퍼+IF(도핑,도핑_공퍼,0)</f>
        <v>1.4</v>
      </c>
      <c r="O21" s="30">
        <f>현재_무기공퍼+현재_보조공퍼+현재_엠블공퍼+스킬공퍼+상승_무기공퍼+상승_보조공퍼+상승_엠블공퍼+IF(도핑,도핑_공퍼,0)</f>
        <v>1.4</v>
      </c>
      <c r="P21" s="2"/>
      <c r="Q21" s="76" t="s">
        <v>119</v>
      </c>
      <c r="R21" s="77"/>
      <c r="S21" s="39">
        <f>ROUND((4*ROUNDDOWN((현재_깡스탯+4*C25+IF(도핑3,도핑_깡스탯,0))*(1+현재_스탯퍼)+(현재_고정스탯),0)+메용후부스탯)/100*(1+현재_데미지+IF(도핑3,도핑_데미지,0)+현재_보뎀+IF(도핑3,도핑_보뎀,0))*(ROUNDDOWN((현재_공격력+IF(도핑3,도핑_공격력,0))*(1+현재_무기공퍼+현재_보조공퍼+현재_엠블공퍼+스킬공퍼+IF(도핑3,도핑_공퍼,0)),0)+IF(쁘띠루미="Y",INT(레벨/20),0))*무기상수*(1+최종데미지)*(1.35+현재_크뎀+IF(도핑3,도핑_크뎀,0))*(1-(방어율*((1-현재_방무)*IF(도핑3,1-도핑_방무,1)))),0)/S16-1</f>
        <v>0.32899924860561924</v>
      </c>
      <c r="T21" s="39">
        <f>ROUND((4*ROUNDDOWN((현재_깡스탯+3*C25+IF(도핑3,도핑_깡스탯,0))*(1+현재_스탯퍼)+(현재_고정스탯),0)+메용후부스탯)/100*(1+현재_데미지+IF(도핑3,도핑_데미지,0)+현재_보뎀+IF(도핑3,도핑_보뎀,0))*(ROUNDDOWN((현재_공격력+IF(도핑3,도핑_공격력,0))*(1+현재_무기공퍼+현재_보조공퍼+현재_엠블공퍼+스킬공퍼+IF(도핑3,도핑_공퍼,0)),0)+IF(쁘띠루미="Y",INT(레벨/20),0))*무기상수*(1+최종데미지)*(1.35+현재_크뎀+IF(도핑3,도핑_크뎀,0))*(1-(방어율*((1-현재_방무)*IF(도핑3,1-도핑_방무,1)))),0)/S16-1</f>
        <v>0.246754244882188</v>
      </c>
      <c r="U21" s="39">
        <f>ROUND((4*ROUNDDOWN((현재_깡스탯+2*C25+IF(도핑3,도핑_깡스탯,0))*(1+현재_스탯퍼)+(현재_고정스탯),0)+메용후부스탯)/100*(1+현재_데미지+IF(도핑3,도핑_데미지,0)+현재_보뎀+IF(도핑3,도핑_보뎀,0))*(ROUNDDOWN((현재_공격력+IF(도핑3,도핑_공격력,0))*(1+현재_무기공퍼+현재_보조공퍼+현재_엠블공퍼+스킬공퍼+IF(도핑3,도핑_공퍼,0)),0)+IF(쁘띠루미="Y",INT(레벨/20),0))*무기상수*(1+최종데미지)*(1.35+현재_크뎀+IF(도핑3,도핑_크뎀,0))*(1-(방어율*((1-현재_방무)*IF(도핑3,1-도핑_방무,1)))),0)/S16-1</f>
        <v>0.16450924115875676</v>
      </c>
      <c r="V21" s="2"/>
      <c r="W21" s="2"/>
      <c r="X21" s="2"/>
      <c r="Y21" s="2"/>
      <c r="Z21" s="2"/>
      <c r="AA21" s="2"/>
      <c r="AB21" s="2"/>
      <c r="AC21" s="2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6.5" customHeight="1" x14ac:dyDescent="0.3">
      <c r="A22" s="2"/>
      <c r="B22" s="69" t="s">
        <v>178</v>
      </c>
      <c r="C22" s="66"/>
      <c r="D22" s="2"/>
      <c r="E22" s="65" t="s">
        <v>185</v>
      </c>
      <c r="F22" s="66"/>
      <c r="G22" s="2"/>
      <c r="H22" s="11" t="s">
        <v>72</v>
      </c>
      <c r="I22" s="12" t="s">
        <v>88</v>
      </c>
      <c r="J22" s="12" t="s">
        <v>133</v>
      </c>
      <c r="K22" s="12" t="s">
        <v>66</v>
      </c>
      <c r="L22" s="2"/>
      <c r="M22" s="6" t="s">
        <v>59</v>
      </c>
      <c r="N22" s="31">
        <f>현재_공격력+IF(도핑,도핑_공격력,0)</f>
        <v>2975</v>
      </c>
      <c r="O22" s="31">
        <f>현재_공격력+IF(도핑,도핑_공격력,0)+상승_공격력</f>
        <v>2975</v>
      </c>
      <c r="P22" s="2"/>
      <c r="Q22" s="76" t="s">
        <v>120</v>
      </c>
      <c r="R22" s="77"/>
      <c r="S22" s="39">
        <f>ROUND((4*ROUNDDOWN((현재_깡스탯+IF(도핑3,도핑_깡스탯,0))*(1+현재_스탯퍼)+(현재_고정스탯),0)+메용후부스탯)/100*(1+현재_데미지+IF(도핑3,도핑_데미지,0)+현재_보뎀+IF(도핑3,도핑_보뎀,0))*(ROUNDDOWN((현재_공격력+IF(도핑3,도핑_공격력,0))*(1+현재_무기공퍼+현재_보조공퍼+현재_엠블공퍼+스킬공퍼+IF(도핑3,도핑_공퍼,0)),0)+IF(쁘띠루미="Y",INT(레벨/20),0))*무기상수*(1+최종데미지)*(1.35+현재_크뎀+28%+IF(도핑3,도핑_크뎀,0))*(1-(방어율*((1-현재_방무)*IF(도핑3,1-도핑_방무,1)))),0)/S16-1</f>
        <v>0.10852712975097556</v>
      </c>
      <c r="T22" s="39">
        <f>ROUND((4*ROUNDDOWN((현재_깡스탯+IF(도핑3,도핑_깡스탯,0))*(1+현재_스탯퍼)+(현재_고정스탯),0)+메용후부스탯)/100*(1+현재_데미지+IF(도핑3,도핑_데미지,0)+현재_보뎀+IF(도핑3,도핑_보뎀,0))*(ROUNDDOWN((현재_공격력+IF(도핑3,도핑_공격력,0))*(1+현재_무기공퍼+현재_보조공퍼+현재_엠블공퍼+스킬공퍼+IF(도핑3,도핑_공퍼,0)),0)+IF(쁘띠루미="Y",INT(레벨/20),0))*무기상수*(1+최종데미지)*(1.35+현재_크뎀+21%+IF(도핑3,도핑_크뎀,0))*(1-(방어율*((1-현재_방무)*IF(도핑3,1-도핑_방무,1)))),0)/S16-1</f>
        <v>8.1395346608596819E-2</v>
      </c>
      <c r="U22" s="39">
        <f>ROUND((4*ROUNDDOWN((현재_깡스탯+IF(도핑3,도핑_깡스탯,0))*(1+현재_스탯퍼)+(현재_고정스탯),0)+메용후부스탯)/100*(1+현재_데미지+IF(도핑3,도핑_데미지,0)+현재_보뎀+IF(도핑3,도핑_보뎀,0))*(ROUNDDOWN((현재_공격력+IF(도핑3,도핑_공격력,0))*(1+현재_무기공퍼+현재_보조공퍼+현재_엠블공퍼+스킬공퍼+IF(도핑3,도핑_공퍼,0)),0)+IF(쁘띠루미="Y",INT(레벨/20),0))*무기상수*(1+최종데미지)*(1.35+현재_크뎀+14%+IF(도핑3,도핑_크뎀,0))*(1-(방어율*((1-현재_방무)*IF(도핑3,1-도핑_방무,1)))),0)/S16-1</f>
        <v>5.4263563466218079E-2</v>
      </c>
      <c r="V22" s="2"/>
      <c r="W22" s="2"/>
      <c r="X22" s="2"/>
      <c r="Y22" s="2"/>
      <c r="Z22" s="2"/>
      <c r="AA22" s="2"/>
      <c r="AB22" s="2"/>
      <c r="AC22" s="2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6.5" customHeight="1" x14ac:dyDescent="0.3">
      <c r="A23" s="2"/>
      <c r="B23" s="7" t="s">
        <v>18</v>
      </c>
      <c r="C23" s="49">
        <v>2</v>
      </c>
      <c r="D23" s="2"/>
      <c r="E23" s="5" t="s">
        <v>28</v>
      </c>
      <c r="F23" s="51" t="s">
        <v>99</v>
      </c>
      <c r="G23" s="25">
        <f>VLOOKUP(F23,$W$7:$Y$11,2,0)</f>
        <v>80</v>
      </c>
      <c r="H23" s="6" t="s">
        <v>67</v>
      </c>
      <c r="I23" s="23" t="s">
        <v>173</v>
      </c>
      <c r="J23" s="42">
        <f>ROUND((4*ROUNDDOWN((현재_깡스탯)*(1+현재_스탯퍼)+(현재_고정스탯),0)+메용후부스탯)/100*(1+현재_데미지+현재_보뎀+K23*2%)*(ROUNDDOWN((현재_공격력)*(1+현재_무기공퍼+현재_보조공퍼+현재_엠블공퍼+스킬공퍼),0)+IF(쁘띠루미="Y",INT(레벨/20),0))*무기상수*(1+최종데미지)*(1.35+현재_크뎀)*(1-(방어율*((1-현재_방무)))),0)/$J$1-1</f>
        <v>5.0083471670418378E-2</v>
      </c>
      <c r="K23" s="44">
        <v>15</v>
      </c>
      <c r="L23" s="2"/>
      <c r="M23" s="6" t="s">
        <v>83</v>
      </c>
      <c r="N23" s="31">
        <f>ROUND((4*N19+메용후부스탯)/100*(1+N20)*(ROUNDDOWN(N22*(1+N21),0)+IF(쁘띠루미="Y",INT(레벨/20),0))*무기상수*(1+최종데미지),0)</f>
        <v>57260897</v>
      </c>
      <c r="O23" s="31">
        <f>ROUND((4*O19+메용후부스탯)/100*(1+O20)*(ROUNDDOWN(O22*(1+O21),0)+IF(쁘띠루미="Y",INT(레벨/20),0))*무기상수*(1+최종데미지),0)</f>
        <v>58681654</v>
      </c>
      <c r="P23" s="2"/>
      <c r="Q23" s="76" t="s">
        <v>121</v>
      </c>
      <c r="R23" s="77"/>
      <c r="S23" s="39">
        <f>ROUND((4*ROUNDDOWN((현재_깡스탯+0.02*(메용후부스탯+C8+C9+(현재_깡스탯+IF(도핑3,도핑_깡스탯,0))*(1+현재_스탯퍼)+현재_고정스탯)+IF(도핑3,도핑_깡스탯,0))*(1+현재_스탯퍼)+(현재_고정스탯),0)+메용후부스탯)/100*(1+현재_데미지+IF(도핑3,도핑_데미지,0)+현재_보뎀+IF(도핑3,도핑_보뎀,0))*(ROUNDDOWN((현재_공격력+IF(도핑3,도핑_공격력,0))*(1+현재_무기공퍼+현재_보조공퍼+현재_엠블공퍼+스킬공퍼+IF(도핑3,도핑_공퍼,0)),0)+IF(쁘띠루미="Y",INT(레벨/20),0))*무기상수*(1+최종데미지)*(1.35+현재_크뎀+IF(도핑3,도핑_크뎀,0))*(1-(방어율*((1-현재_방무)*IF(도핑3,1-도핑_방무,1)))),0)/S16-1</f>
        <v>0.16222038434672359</v>
      </c>
      <c r="T23" s="39">
        <f>ROUND((4*ROUNDDOWN((현재_깡스탯+0.02*(메용후부스탯+C8+C9+(현재_깡스탯+IF(도핑3,도핑_깡스탯,0))*(1+현재_스탯퍼)+현재_고정스탯)+IF(도핑3,도핑_깡스탯,0))*(1+현재_스탯퍼)+(현재_고정스탯),0)+메용후부스탯)/100*(1+현재_데미지+IF(도핑3,도핑_데미지,0)+현재_보뎀+IF(도핑3,도핑_보뎀,0))*(ROUNDDOWN((현재_공격력+IF(도핑3,도핑_공격력,0))*(1+현재_무기공퍼+현재_보조공퍼+현재_엠블공퍼+스킬공퍼+IF(도핑3,도핑_공퍼,0)),0)+IF(쁘띠루미="Y",INT(레벨/20),0))*무기상수*(1+최종데미지)*(1.35+현재_크뎀+IF(도핑3,도핑_크뎀,0))*(1-(방어율*((1-현재_방무)*IF(도핑3,1-도핑_방무,1)))),0)/S16-1</f>
        <v>0.16222038434672359</v>
      </c>
      <c r="U23" s="39">
        <f>ROUND((4*ROUNDDOWN((현재_깡스탯+0.01*(메용후부스탯+C8+C9+(현재_깡스탯+IF(도핑3,도핑_깡스탯,0))*(1+현재_스탯퍼)+현재_고정스탯)+IF(도핑3,도핑_깡스탯,0))*(1+현재_스탯퍼)+(현재_고정스탯),0)+메용후부스탯)/100*(1+현재_데미지+IF(도핑3,도핑_데미지,0)+현재_보뎀+IF(도핑3,도핑_보뎀,0))*(ROUNDDOWN((현재_공격력+IF(도핑3,도핑_공격력,0))*(1+현재_무기공퍼+현재_보조공퍼+현재_엠블공퍼+스킬공퍼+IF(도핑3,도핑_공퍼,0)),0)+IF(쁘띠루미="Y",INT(레벨/20),0))*무기상수*(1+최종데미지)*(1.35+현재_크뎀+IF(도핑3,도핑_크뎀,0))*(1-(방어율*((1-현재_방무)*IF(도핑3,1-도핑_방무,1)))),0)/S16-1</f>
        <v>8.1110192173361906E-2</v>
      </c>
      <c r="V23" s="2"/>
      <c r="W23" s="2"/>
      <c r="X23" s="2"/>
      <c r="Y23" s="2"/>
      <c r="Z23" s="2"/>
      <c r="AA23" s="2"/>
      <c r="AB23" s="2"/>
      <c r="AC23" s="2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6.5" customHeight="1" x14ac:dyDescent="0.3">
      <c r="A24" s="2"/>
      <c r="B24" s="6" t="s">
        <v>19</v>
      </c>
      <c r="C24" s="46">
        <v>0.33</v>
      </c>
      <c r="D24" s="2"/>
      <c r="E24" s="6" t="s">
        <v>29</v>
      </c>
      <c r="F24" s="52" t="s">
        <v>98</v>
      </c>
      <c r="G24" s="25">
        <f t="shared" ref="G24:G26" si="3">VLOOKUP(F24,$W$7:$Y$11,2,0)</f>
        <v>80</v>
      </c>
      <c r="H24" s="6" t="s">
        <v>89</v>
      </c>
      <c r="I24" s="24" t="s">
        <v>174</v>
      </c>
      <c r="J24" s="43">
        <f>ROUND((4*ROUNDDOWN((현재_깡스탯)*(1+현재_스탯퍼)+(현재_고정스탯),0)+메용후부스탯)/100*(1+현재_데미지+현재_보뎀)*(ROUNDDOWN((현재_공격력)*(1+현재_무기공퍼+현재_보조공퍼+현재_엠블공퍼+스킬공퍼),0)+IF(쁘띠루미="Y",INT(레벨/20),0))*무기상수*(1+최종데미지)*(1.35+현재_크뎀)*(1-(방어율*((1-현재_방무)*(1-K24*2%)))),0)/$J$1-1</f>
        <v>0</v>
      </c>
      <c r="K24" s="45">
        <v>0</v>
      </c>
      <c r="L24" s="2"/>
      <c r="M24" s="6" t="s">
        <v>36</v>
      </c>
      <c r="N24" s="30">
        <f>현재_크뎀+IF(도핑,도핑_크뎀,0)</f>
        <v>1.23</v>
      </c>
      <c r="O24" s="30">
        <f>현재_크뎀+IF(도핑,도핑_크뎀,0)+상승_크뎀</f>
        <v>1.23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6.5" customHeight="1" x14ac:dyDescent="0.3">
      <c r="A25" s="2"/>
      <c r="B25" s="6" t="s">
        <v>20</v>
      </c>
      <c r="C25" s="49">
        <v>663</v>
      </c>
      <c r="D25" s="2"/>
      <c r="E25" s="6" t="s">
        <v>30</v>
      </c>
      <c r="F25" s="52" t="s">
        <v>98</v>
      </c>
      <c r="G25" s="25">
        <f t="shared" si="3"/>
        <v>80</v>
      </c>
      <c r="H25" s="6" t="s">
        <v>90</v>
      </c>
      <c r="I25" s="24" t="s">
        <v>175</v>
      </c>
      <c r="J25" s="43">
        <f>ROUND((4*ROUNDDOWN((현재_깡스탯)*(1+현재_스탯퍼)+(현재_고정스탯),0)+메용후부스탯)/100*(1+현재_데미지+현재_보뎀+K25*2%)*(ROUNDDOWN((현재_공격력)*(1+현재_무기공퍼+현재_보조공퍼+현재_엠블공퍼+스킬공퍼),0)+IF(쁘띠루미="Y",INT(레벨/20),0))*무기상수*(1+최종데미지)*(1.35+현재_크뎀)*(1-(방어율*((1-현재_방무)))),0)/$J$1-1</f>
        <v>5.0083471670418378E-2</v>
      </c>
      <c r="K25" s="45">
        <v>15</v>
      </c>
      <c r="L25" s="2"/>
      <c r="M25" s="11" t="s">
        <v>171</v>
      </c>
      <c r="N25" s="34"/>
      <c r="O25" s="57">
        <v>3</v>
      </c>
      <c r="P25" s="2"/>
      <c r="Q25" s="67" t="s">
        <v>123</v>
      </c>
      <c r="R25" s="68"/>
      <c r="S25" s="68"/>
      <c r="T25" s="68"/>
      <c r="U25" s="68"/>
      <c r="V25" s="2"/>
      <c r="W25" s="2"/>
      <c r="X25" s="2"/>
      <c r="Y25" s="2"/>
      <c r="Z25" s="2"/>
      <c r="AA25" s="2"/>
      <c r="AB25" s="2"/>
      <c r="AC25" s="2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6.5" customHeight="1" x14ac:dyDescent="0.3">
      <c r="A26" s="2"/>
      <c r="B26" s="6" t="s">
        <v>22</v>
      </c>
      <c r="C26" s="48">
        <v>0.33</v>
      </c>
      <c r="D26" s="2"/>
      <c r="E26" s="6" t="s">
        <v>31</v>
      </c>
      <c r="F26" s="52" t="s">
        <v>98</v>
      </c>
      <c r="G26" s="25">
        <f t="shared" si="3"/>
        <v>80</v>
      </c>
      <c r="H26" s="6" t="s">
        <v>68</v>
      </c>
      <c r="I26" s="24" t="s">
        <v>176</v>
      </c>
      <c r="J26" s="43">
        <f>ROUND((4*ROUNDDOWN((현재_깡스탯)*(1+현재_스탯퍼)+(현재_고정스탯),0)+메용후부스탯)/100*(1+현재_데미지+현재_보뎀)*(ROUNDDOWN((현재_공격력)*(1+현재_무기공퍼+현재_보조공퍼+현재_엠블공퍼+스킬공퍼),0)+IF(쁘띠루미="Y",INT(레벨/20),0))*무기상수*(1+최종데미지)*(1.35+현재_크뎀+K26*2%)*(1-(방어율*((1-현재_방무)))),0)/$J$1-1</f>
        <v>0.13157894748280197</v>
      </c>
      <c r="K26" s="45">
        <v>15</v>
      </c>
      <c r="L26" s="2"/>
      <c r="M26" s="6" t="s">
        <v>61</v>
      </c>
      <c r="N26" s="30">
        <f>현재_보뎀+IF(도핑,도핑_보뎀,0)</f>
        <v>4.6399999999999997</v>
      </c>
      <c r="O26" s="30">
        <f>현재_보뎀+IF(도핑,도핑_보뎀,0)+상승_보뎀</f>
        <v>4.6399999999999997</v>
      </c>
      <c r="P26" s="2"/>
      <c r="Q26" s="78" t="s">
        <v>124</v>
      </c>
      <c r="R26" s="79"/>
      <c r="S26" s="80"/>
      <c r="T26" s="65" t="s">
        <v>125</v>
      </c>
      <c r="U26" s="66"/>
      <c r="V26" s="2"/>
      <c r="W26" s="2"/>
      <c r="X26" s="2"/>
      <c r="Y26" s="2"/>
      <c r="Z26" s="2"/>
      <c r="AA26" s="2"/>
      <c r="AB26" s="2"/>
      <c r="AC26" s="2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6.5" customHeight="1" x14ac:dyDescent="0.3">
      <c r="A27" s="2"/>
      <c r="B27" s="8" t="s">
        <v>23</v>
      </c>
      <c r="C27" s="48">
        <v>0.39</v>
      </c>
      <c r="D27" s="2"/>
      <c r="E27" s="6" t="s">
        <v>27</v>
      </c>
      <c r="F27" s="52" t="s">
        <v>98</v>
      </c>
      <c r="G27" s="25">
        <f>VLOOKUP(F27,$W$7:$Y$11,3,0)</f>
        <v>40</v>
      </c>
      <c r="H27" s="2"/>
      <c r="I27" s="4"/>
      <c r="J27" s="4"/>
      <c r="K27" s="2"/>
      <c r="L27" s="2"/>
      <c r="M27" s="6" t="s">
        <v>84</v>
      </c>
      <c r="N27" s="32">
        <f>1-(1-현재_방무)*IF(도핑,1-도핑_방무,1)</f>
        <v>0.93579999999999997</v>
      </c>
      <c r="O27" s="32">
        <f>1-(1-현재_방무)*IF(도핑,1-도핑_방무,1)*(1-상승_방무)</f>
        <v>0.93579999999999997</v>
      </c>
      <c r="P27" s="2"/>
      <c r="Q27" s="81" t="s">
        <v>131</v>
      </c>
      <c r="R27" s="82"/>
      <c r="S27" s="9"/>
      <c r="T27" s="5" t="s">
        <v>128</v>
      </c>
      <c r="U27" s="9"/>
      <c r="V27" s="2"/>
      <c r="W27" s="2"/>
      <c r="X27" s="2"/>
      <c r="Y27" s="2"/>
      <c r="Z27" s="2"/>
      <c r="AA27" s="2"/>
      <c r="AB27" s="2"/>
      <c r="AC27" s="2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6.5" customHeight="1" x14ac:dyDescent="0.3">
      <c r="A28" s="2"/>
      <c r="B28" s="8" t="s">
        <v>24</v>
      </c>
      <c r="C28" s="50" t="s">
        <v>25</v>
      </c>
      <c r="D28" s="2"/>
      <c r="E28" s="2"/>
      <c r="F28" s="2"/>
      <c r="G28" s="2"/>
      <c r="H28" s="11" t="s">
        <v>91</v>
      </c>
      <c r="I28" s="12" t="s">
        <v>88</v>
      </c>
      <c r="J28" s="12" t="s">
        <v>134</v>
      </c>
      <c r="K28" s="12" t="s">
        <v>69</v>
      </c>
      <c r="L28" s="2"/>
      <c r="M28" s="6" t="s">
        <v>85</v>
      </c>
      <c r="N28" s="31">
        <f>ROUND((4*N19+메용후부스탯)/100*(1+N20+N26)*(ROUNDDOWN(N22*(1+N21),0)+IF(쁘띠루미="Y",INT(레벨/20),0))*무기상수*(1+최종데미지)*(1.35+N24)*(1-(방어율*(1-N27))),0)</f>
        <v>354793710</v>
      </c>
      <c r="O28" s="31">
        <f>ROUND((4*O19+메용후부스탯)/100*(1+O20+O26)*(ROUNDDOWN(O22*(1+O21),0)+IF(쁘띠루미="Y",INT(레벨/20),0))*무기상수*(1+최종데미지)*(1.35+O24)*(1-(방어율*(1-O27))),0)</f>
        <v>363596846</v>
      </c>
      <c r="P28" s="2"/>
      <c r="Q28" s="72" t="s">
        <v>129</v>
      </c>
      <c r="R28" s="73"/>
      <c r="S28" s="10"/>
      <c r="T28" s="6" t="s">
        <v>129</v>
      </c>
      <c r="U28" s="10"/>
      <c r="V28" s="2"/>
      <c r="W28" s="2"/>
      <c r="X28" s="2"/>
      <c r="Y28" s="2"/>
      <c r="Z28" s="2"/>
      <c r="AA28" s="2"/>
      <c r="AB28" s="2"/>
      <c r="AC28" s="2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6.5" customHeight="1" x14ac:dyDescent="0.3">
      <c r="A29" s="2"/>
      <c r="B29" s="8" t="s">
        <v>26</v>
      </c>
      <c r="C29" s="45">
        <v>13200</v>
      </c>
      <c r="D29" s="2"/>
      <c r="E29" s="65" t="s">
        <v>47</v>
      </c>
      <c r="F29" s="66"/>
      <c r="G29" s="2"/>
      <c r="H29" s="6" t="s">
        <v>92</v>
      </c>
      <c r="I29" s="23" t="s">
        <v>94</v>
      </c>
      <c r="J29" s="42">
        <f>ROUND((4*ROUNDDOWN((현재_깡스탯)*(1+현재_스탯퍼)+(현재_고정스탯),0)+메용후부스탯)/100*(1+현재_데미지+현재_보뎀)*(ROUNDDOWN((현재_공격력)*(1+현재_무기공퍼+현재_보조공퍼+현재_엠블공퍼+스킬공퍼+10%),0)+IF(쁘띠루미="Y",INT(레벨/20),0))*무기상수*(1+최종데미지)*(1.35+현재_크뎀)*(1-(방어율*((1-현재_방무)))),0)/$J$1-1</f>
        <v>4.4242030338476956E-2</v>
      </c>
      <c r="K29" s="44">
        <v>1</v>
      </c>
      <c r="L29" s="2"/>
      <c r="M29" s="6" t="s">
        <v>86</v>
      </c>
      <c r="N29" s="35"/>
      <c r="O29" s="22">
        <f>O28-N28</f>
        <v>8803136</v>
      </c>
      <c r="P29" s="2"/>
      <c r="Q29" s="72" t="s">
        <v>126</v>
      </c>
      <c r="R29" s="73"/>
      <c r="S29" s="10"/>
      <c r="T29" s="6" t="s">
        <v>126</v>
      </c>
      <c r="U29" s="10"/>
      <c r="V29" s="2"/>
      <c r="W29" s="2"/>
      <c r="X29" s="2"/>
      <c r="Y29" s="2"/>
      <c r="Z29" s="2"/>
      <c r="AA29" s="2"/>
      <c r="AB29" s="2"/>
      <c r="AC29" s="2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6.5" customHeight="1" x14ac:dyDescent="0.3">
      <c r="A30" s="2"/>
      <c r="B30" s="6" t="s">
        <v>49</v>
      </c>
      <c r="C30" s="45">
        <v>1500</v>
      </c>
      <c r="D30" s="2"/>
      <c r="E30" s="6" t="s">
        <v>48</v>
      </c>
      <c r="F30" s="52" t="s">
        <v>100</v>
      </c>
      <c r="G30" s="2"/>
      <c r="H30" s="6" t="s">
        <v>93</v>
      </c>
      <c r="I30" s="24" t="s">
        <v>97</v>
      </c>
      <c r="J30" s="43">
        <f>ROUND((4*ROUNDDOWN((현재_깡스탯)*(1+현재_스탯퍼)+(현재_고정스탯),0)+메용후부스탯)/100*(1+현재_데미지+현재_보뎀+10%)*(ROUNDDOWN((현재_공격력+30)*(1+현재_무기공퍼+현재_보조공퍼+현재_엠블공퍼+스킬공퍼),0)+IF(쁘띠루미="Y",INT(레벨/20),0))*무기상수*(1+최종데미지)*(1.35+현재_크뎀)*(1-(방어율*((1-현재_방무)))),0)/$J$1-1</f>
        <v>2.793964837126639E-2</v>
      </c>
      <c r="K30" s="45">
        <v>1</v>
      </c>
      <c r="L30" s="2"/>
      <c r="M30" s="6" t="s">
        <v>87</v>
      </c>
      <c r="N30" s="35"/>
      <c r="O30" s="36">
        <f>O29/N28</f>
        <v>2.4811984406375186E-2</v>
      </c>
      <c r="P30" s="2"/>
      <c r="Q30" s="72" t="s">
        <v>127</v>
      </c>
      <c r="R30" s="73"/>
      <c r="S30" s="10"/>
      <c r="T30" s="6" t="s">
        <v>130</v>
      </c>
      <c r="U30" s="10"/>
      <c r="V30" s="2"/>
      <c r="W30" s="2"/>
      <c r="X30" s="2"/>
      <c r="Y30" s="2"/>
      <c r="Z30" s="2"/>
      <c r="AA30" s="2"/>
      <c r="AB30" s="2"/>
      <c r="AC30" s="2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6.5" customHeight="1" x14ac:dyDescent="0.3">
      <c r="A31" s="26"/>
      <c r="B31" s="26"/>
      <c r="C31" s="26"/>
      <c r="D31" s="26"/>
      <c r="E31" s="26"/>
      <c r="F31" s="26"/>
      <c r="G31" s="26"/>
      <c r="H31" s="25">
        <f>K11*30</f>
        <v>30</v>
      </c>
      <c r="I31" s="25">
        <f>K6*10%+K25*2%</f>
        <v>0.4</v>
      </c>
      <c r="J31" s="25">
        <f>K29*10%+K18*4%</f>
        <v>0.14000000000000001</v>
      </c>
      <c r="K31" s="25">
        <f>SUM(K7,K12,K13,K14,K15,K16,K17,K30)*30+K19*40+K20*50</f>
        <v>260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6.5" customHeight="1" x14ac:dyDescent="0.3">
      <c r="A32" s="26"/>
      <c r="B32" s="26"/>
      <c r="C32" s="33"/>
      <c r="D32" s="26"/>
      <c r="E32" s="26"/>
      <c r="F32" s="26"/>
      <c r="G32" s="26"/>
      <c r="H32" s="25">
        <f>K10*5%+K26*2%</f>
        <v>0.3</v>
      </c>
      <c r="I32" s="25">
        <f>K4*20%+K8*20%+K23*2%+K30*10%</f>
        <v>0.6</v>
      </c>
      <c r="J32" s="25">
        <f>1-(1-K9*0.2)*(1-K24*0.02)</f>
        <v>0</v>
      </c>
      <c r="K32" s="25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"/>
      <c r="X32" s="2"/>
      <c r="Y32" s="2"/>
      <c r="Z32" s="2"/>
      <c r="AA32" s="2"/>
      <c r="AB32" s="2"/>
      <c r="AC32" s="2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6.5" customHeight="1" x14ac:dyDescent="0.3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"/>
      <c r="X33" s="2"/>
      <c r="Y33" s="2"/>
      <c r="Z33" s="2"/>
      <c r="AA33" s="2"/>
      <c r="AB33" s="2"/>
      <c r="AC33" s="2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6.5" customHeight="1" x14ac:dyDescent="0.3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"/>
      <c r="X34" s="2"/>
      <c r="Y34" s="2"/>
      <c r="Z34" s="2"/>
      <c r="AA34" s="2"/>
      <c r="AB34" s="2"/>
      <c r="AC34" s="2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6.5" customHeight="1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"/>
      <c r="X35" s="2"/>
      <c r="Y35" s="2"/>
      <c r="Z35" s="2"/>
      <c r="AA35" s="2"/>
      <c r="AB35" s="2"/>
      <c r="AC35" s="2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6.5" customHeight="1" x14ac:dyDescent="0.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"/>
      <c r="X36" s="2"/>
      <c r="Y36" s="2"/>
      <c r="Z36" s="2"/>
      <c r="AA36" s="2"/>
      <c r="AB36" s="2"/>
      <c r="AC36" s="2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6.5" customHeight="1" x14ac:dyDescent="0.3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"/>
      <c r="X37" s="2"/>
      <c r="Y37" s="2"/>
      <c r="Z37" s="2"/>
      <c r="AA37" s="2"/>
      <c r="AB37" s="2"/>
      <c r="AC37" s="2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6.5" customHeight="1" x14ac:dyDescent="0.3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"/>
      <c r="X38" s="2"/>
      <c r="Y38" s="2"/>
      <c r="Z38" s="2"/>
      <c r="AA38" s="2"/>
      <c r="AB38" s="2"/>
      <c r="AC38" s="2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6.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6.5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</sheetData>
  <sheetProtection sheet="1" objects="1" scenarios="1" selectLockedCells="1"/>
  <mergeCells count="22">
    <mergeCell ref="E29:F29"/>
    <mergeCell ref="Q29:R29"/>
    <mergeCell ref="Q30:R30"/>
    <mergeCell ref="Q23:R23"/>
    <mergeCell ref="Q25:U25"/>
    <mergeCell ref="Q26:S26"/>
    <mergeCell ref="T26:U26"/>
    <mergeCell ref="Q27:R27"/>
    <mergeCell ref="Q28:R28"/>
    <mergeCell ref="E14:F14"/>
    <mergeCell ref="Q19:R19"/>
    <mergeCell ref="Q20:R20"/>
    <mergeCell ref="Q21:R21"/>
    <mergeCell ref="B22:C22"/>
    <mergeCell ref="E22:F22"/>
    <mergeCell ref="Q22:R22"/>
    <mergeCell ref="B2:F2"/>
    <mergeCell ref="H2:K2"/>
    <mergeCell ref="M2:O2"/>
    <mergeCell ref="B3:C3"/>
    <mergeCell ref="E3:F3"/>
    <mergeCell ref="Q12:U12"/>
  </mergeCells>
  <phoneticPr fontId="3" type="noConversion"/>
  <conditionalFormatting sqref="O19:O24 O26:O30">
    <cfRule type="expression" dxfId="5" priority="5">
      <formula>$N19&gt;$O19</formula>
    </cfRule>
    <cfRule type="expression" dxfId="4" priority="6">
      <formula>$N19&lt;$O19</formula>
    </cfRule>
  </conditionalFormatting>
  <conditionalFormatting sqref="H4:K20">
    <cfRule type="expression" dxfId="3" priority="4">
      <formula>$K4&lt;&gt;1</formula>
    </cfRule>
  </conditionalFormatting>
  <conditionalFormatting sqref="H29:K30">
    <cfRule type="expression" dxfId="2" priority="3">
      <formula>$K29&lt;&gt;1</formula>
    </cfRule>
  </conditionalFormatting>
  <conditionalFormatting sqref="O4:O15">
    <cfRule type="cellIs" dxfId="0" priority="1" operator="lessThan">
      <formula>0</formula>
    </cfRule>
    <cfRule type="cellIs" dxfId="1" priority="2" operator="greaterThan">
      <formula>0</formula>
    </cfRule>
  </conditionalFormatting>
  <dataValidations count="21">
    <dataValidation type="list" allowBlank="1" showInputMessage="1" showErrorMessage="1" sqref="O17 U2 U17">
      <formula1>$Y$2:$Y$3</formula1>
    </dataValidation>
    <dataValidation type="decimal" allowBlank="1" showInputMessage="1" showErrorMessage="1" sqref="C13 C24 C26:C27">
      <formula1>0</formula1>
      <formula2>1</formula2>
    </dataValidation>
    <dataValidation type="list" allowBlank="1" showInputMessage="1" showErrorMessage="1" sqref="F30">
      <formula1>$X$2:$X$3</formula1>
    </dataValidation>
    <dataValidation type="list" allowBlank="1" showInputMessage="1" showErrorMessage="1" sqref="F23:F27">
      <formula1>$W$7:$W$11</formula1>
    </dataValidation>
    <dataValidation type="whole" allowBlank="1" showInputMessage="1" showErrorMessage="1" sqref="C30">
      <formula1>0</formula1>
      <formula2>10000</formula2>
    </dataValidation>
    <dataValidation type="whole" allowBlank="1" showInputMessage="1" showErrorMessage="1" sqref="C29">
      <formula1>0</formula1>
      <formula2>13200</formula2>
    </dataValidation>
    <dataValidation type="list" allowBlank="1" showInputMessage="1" showErrorMessage="1" sqref="C28">
      <formula1>$X$4:$X$5</formula1>
    </dataValidation>
    <dataValidation type="whole" allowBlank="1" showInputMessage="1" showErrorMessage="1" sqref="C23">
      <formula1>0</formula1>
      <formula2>10</formula2>
    </dataValidation>
    <dataValidation type="whole" allowBlank="1" showInputMessage="1" showErrorMessage="1" sqref="K23:K26">
      <formula1>0</formula1>
      <formula2>15</formula2>
    </dataValidation>
    <dataValidation type="list" allowBlank="1" showInputMessage="1" showErrorMessage="1" sqref="F15:F20">
      <formula1>$W$2:$W$6</formula1>
    </dataValidation>
    <dataValidation type="whole" allowBlank="1" showInputMessage="1" showErrorMessage="1" sqref="F4:F12">
      <formula1>0</formula1>
      <formula2>30</formula2>
    </dataValidation>
    <dataValidation type="decimal" allowBlank="1" showInputMessage="1" showErrorMessage="1" sqref="C18">
      <formula1>0</formula1>
      <formula2>0.08</formula2>
    </dataValidation>
    <dataValidation type="whole" allowBlank="1" showInputMessage="1" showErrorMessage="1" sqref="C17">
      <formula1>0</formula1>
      <formula2>500</formula2>
    </dataValidation>
    <dataValidation type="whole" allowBlank="1" showInputMessage="1" showErrorMessage="1" sqref="C16">
      <formula1>0</formula1>
      <formula2>100</formula2>
    </dataValidation>
    <dataValidation type="decimal" allowBlank="1" showInputMessage="1" showErrorMessage="1" sqref="C14">
      <formula1>0</formula1>
      <formula2>3</formula2>
    </dataValidation>
    <dataValidation type="whole" allowBlank="1" showInputMessage="1" showErrorMessage="1" sqref="K29:K30 K4:K20">
      <formula1>0</formula1>
      <formula2>1</formula2>
    </dataValidation>
    <dataValidation type="decimal" allowBlank="1" showInputMessage="1" showErrorMessage="1" sqref="C11">
      <formula1>0</formula1>
      <formula2>6</formula2>
    </dataValidation>
    <dataValidation type="decimal" allowBlank="1" showInputMessage="1" showErrorMessage="1" sqref="C12">
      <formula1>0.25</formula1>
      <formula2>3</formula2>
    </dataValidation>
    <dataValidation type="decimal" allowBlank="1" showInputMessage="1" showErrorMessage="1" sqref="C15 C10">
      <formula1>0</formula1>
      <formula2>2</formula2>
    </dataValidation>
    <dataValidation type="whole" allowBlank="1" showInputMessage="1" showErrorMessage="1" sqref="C5">
      <formula1>1</formula1>
      <formula2>500000000</formula2>
    </dataValidation>
    <dataValidation type="whole" allowBlank="1" showInputMessage="1" showErrorMessage="1" sqref="C4">
      <formula1>1</formula1>
      <formula2>300</formula2>
    </dataValidation>
  </dataValidations>
  <pageMargins left="0.7" right="0.7" top="0.75" bottom="0.75" header="0.3" footer="0.3"/>
  <pageSetup paperSize="9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104</vt:i4>
      </vt:variant>
    </vt:vector>
  </HeadingPairs>
  <TitlesOfParts>
    <vt:vector size="106" baseType="lpstr">
      <vt:lpstr>보스</vt:lpstr>
      <vt:lpstr>무릉</vt:lpstr>
      <vt:lpstr>무릉!데미지</vt:lpstr>
      <vt:lpstr>데미지</vt:lpstr>
      <vt:lpstr>무릉!도핑</vt:lpstr>
      <vt:lpstr>도핑</vt:lpstr>
      <vt:lpstr>무릉!도핑_공격력</vt:lpstr>
      <vt:lpstr>도핑_공격력</vt:lpstr>
      <vt:lpstr>무릉!도핑_공퍼</vt:lpstr>
      <vt:lpstr>도핑_공퍼</vt:lpstr>
      <vt:lpstr>무릉!도핑_깡스탯</vt:lpstr>
      <vt:lpstr>도핑_깡스탯</vt:lpstr>
      <vt:lpstr>무릉!도핑_데미지</vt:lpstr>
      <vt:lpstr>도핑_데미지</vt:lpstr>
      <vt:lpstr>무릉!도핑_방무</vt:lpstr>
      <vt:lpstr>도핑_방무</vt:lpstr>
      <vt:lpstr>무릉!도핑_보뎀</vt:lpstr>
      <vt:lpstr>도핑_보뎀</vt:lpstr>
      <vt:lpstr>무릉!도핑_크뎀</vt:lpstr>
      <vt:lpstr>도핑_크뎀</vt:lpstr>
      <vt:lpstr>무릉!도핑2</vt:lpstr>
      <vt:lpstr>도핑2</vt:lpstr>
      <vt:lpstr>무릉!도핑3</vt:lpstr>
      <vt:lpstr>도핑3</vt:lpstr>
      <vt:lpstr>무릉!뒷스공</vt:lpstr>
      <vt:lpstr>뒷스공</vt:lpstr>
      <vt:lpstr>무릉!레벨</vt:lpstr>
      <vt:lpstr>레벨</vt:lpstr>
      <vt:lpstr>무릉!메용전주스탯</vt:lpstr>
      <vt:lpstr>메용전주스탯</vt:lpstr>
      <vt:lpstr>무릉!메용후부스탯</vt:lpstr>
      <vt:lpstr>메용후부스탯</vt:lpstr>
      <vt:lpstr>무릉!메용후주스탯</vt:lpstr>
      <vt:lpstr>메용후주스탯</vt:lpstr>
      <vt:lpstr>무릉!무기상수</vt:lpstr>
      <vt:lpstr>무기상수</vt:lpstr>
      <vt:lpstr>무릉!방어율</vt:lpstr>
      <vt:lpstr>방어율</vt:lpstr>
      <vt:lpstr>무릉!부깡스탯</vt:lpstr>
      <vt:lpstr>부깡스탯</vt:lpstr>
      <vt:lpstr>무릉!부스탯퍼</vt:lpstr>
      <vt:lpstr>부스탯퍼</vt:lpstr>
      <vt:lpstr>무릉!쁘띠루미</vt:lpstr>
      <vt:lpstr>쁘띠루미</vt:lpstr>
      <vt:lpstr>무릉!상승_고정스탯</vt:lpstr>
      <vt:lpstr>상승_고정스탯</vt:lpstr>
      <vt:lpstr>무릉!상승_공격력</vt:lpstr>
      <vt:lpstr>상승_공격력</vt:lpstr>
      <vt:lpstr>무릉!상승_깡스탯</vt:lpstr>
      <vt:lpstr>상승_깡스탯</vt:lpstr>
      <vt:lpstr>무릉!상승_데미지</vt:lpstr>
      <vt:lpstr>상승_데미지</vt:lpstr>
      <vt:lpstr>무릉!상승_무기공퍼</vt:lpstr>
      <vt:lpstr>상승_무기공퍼</vt:lpstr>
      <vt:lpstr>무릉!상승_방무</vt:lpstr>
      <vt:lpstr>상승_방무</vt:lpstr>
      <vt:lpstr>무릉!상승_보뎀</vt:lpstr>
      <vt:lpstr>상승_보뎀</vt:lpstr>
      <vt:lpstr>무릉!상승_보조공퍼</vt:lpstr>
      <vt:lpstr>상승_보조공퍼</vt:lpstr>
      <vt:lpstr>무릉!상승_스탯퍼</vt:lpstr>
      <vt:lpstr>상승_스탯퍼</vt:lpstr>
      <vt:lpstr>무릉!상승_엠블공퍼</vt:lpstr>
      <vt:lpstr>상승_엠블공퍼</vt:lpstr>
      <vt:lpstr>무릉!상승_크뎀</vt:lpstr>
      <vt:lpstr>상승_크뎀</vt:lpstr>
      <vt:lpstr>무릉!상승_크확</vt:lpstr>
      <vt:lpstr>상승_크확</vt:lpstr>
      <vt:lpstr>무릉!스킬공퍼</vt:lpstr>
      <vt:lpstr>스킬공퍼</vt:lpstr>
      <vt:lpstr>무릉!심볼</vt:lpstr>
      <vt:lpstr>심볼</vt:lpstr>
      <vt:lpstr>무릉!어빌DEX</vt:lpstr>
      <vt:lpstr>어빌DEX</vt:lpstr>
      <vt:lpstr>무릉!유니온공격대원</vt:lpstr>
      <vt:lpstr>유니온공격대원</vt:lpstr>
      <vt:lpstr>무릉!주스탯</vt:lpstr>
      <vt:lpstr>주스탯</vt:lpstr>
      <vt:lpstr>무릉!최종데미지</vt:lpstr>
      <vt:lpstr>최종데미지</vt:lpstr>
      <vt:lpstr>무릉!하이퍼스탯DEX</vt:lpstr>
      <vt:lpstr>하이퍼스탯DEX</vt:lpstr>
      <vt:lpstr>무릉!현재_고정스탯</vt:lpstr>
      <vt:lpstr>현재_고정스탯</vt:lpstr>
      <vt:lpstr>무릉!현재_공격력</vt:lpstr>
      <vt:lpstr>현재_공격력</vt:lpstr>
      <vt:lpstr>무릉!현재_깡스탯</vt:lpstr>
      <vt:lpstr>현재_깡스탯</vt:lpstr>
      <vt:lpstr>무릉!현재_데미지</vt:lpstr>
      <vt:lpstr>현재_데미지</vt:lpstr>
      <vt:lpstr>무릉!현재_무기공퍼</vt:lpstr>
      <vt:lpstr>현재_무기공퍼</vt:lpstr>
      <vt:lpstr>무릉!현재_방무</vt:lpstr>
      <vt:lpstr>현재_방무</vt:lpstr>
      <vt:lpstr>무릉!현재_보뎀</vt:lpstr>
      <vt:lpstr>현재_보뎀</vt:lpstr>
      <vt:lpstr>무릉!현재_보조공퍼</vt:lpstr>
      <vt:lpstr>현재_보조공퍼</vt:lpstr>
      <vt:lpstr>무릉!현재_스탯퍼</vt:lpstr>
      <vt:lpstr>현재_스탯퍼</vt:lpstr>
      <vt:lpstr>무릉!현재_엠블공퍼</vt:lpstr>
      <vt:lpstr>현재_엠블공퍼</vt:lpstr>
      <vt:lpstr>무릉!현재_크뎀</vt:lpstr>
      <vt:lpstr>현재_크뎀</vt:lpstr>
      <vt:lpstr>무릉!현재_크확</vt:lpstr>
      <vt:lpstr>현재_크확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TaeJin</dc:creator>
  <cp:lastModifiedBy>TaeJin</cp:lastModifiedBy>
  <dcterms:created xsi:type="dcterms:W3CDTF">2021-11-27T03:50:38Z</dcterms:created>
  <dcterms:modified xsi:type="dcterms:W3CDTF">2021-12-01T05:49:17Z</dcterms:modified>
</cp:coreProperties>
</file>