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game\로스트아크\"/>
    </mc:Choice>
  </mc:AlternateContent>
  <bookViews>
    <workbookView xWindow="0" yWindow="0" windowWidth="28800" windowHeight="12285"/>
  </bookViews>
  <sheets>
    <sheet name="고고학 오레하 이윤표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2" l="1"/>
  <c r="G24" i="2"/>
  <c r="G23" i="2"/>
  <c r="G19" i="2"/>
  <c r="G18" i="2"/>
  <c r="H18" i="2"/>
  <c r="H19" i="2"/>
  <c r="H17" i="2"/>
  <c r="K19" i="2" l="1"/>
  <c r="K11" i="2"/>
  <c r="K18" i="2"/>
  <c r="K10" i="2"/>
  <c r="K26" i="2"/>
  <c r="K8" i="2"/>
  <c r="K23" i="2"/>
  <c r="K15" i="2"/>
  <c r="K7" i="2"/>
  <c r="K22" i="2"/>
  <c r="K14" i="2"/>
  <c r="K6" i="2"/>
  <c r="H10" i="2"/>
  <c r="G9" i="2"/>
  <c r="G13" i="2" l="1"/>
  <c r="H14" i="2"/>
  <c r="H12" i="2"/>
  <c r="H8" i="2"/>
  <c r="H7" i="2"/>
  <c r="H6" i="2"/>
  <c r="C20" i="2" l="1"/>
  <c r="D20" i="2" s="1"/>
  <c r="C19" i="2"/>
  <c r="D19" i="2" s="1"/>
  <c r="C18" i="2"/>
  <c r="G11" i="2"/>
  <c r="D7" i="2"/>
  <c r="D9" i="2" s="1"/>
  <c r="G32" i="2" l="1"/>
  <c r="G29" i="2" s="1"/>
  <c r="G26" i="2"/>
  <c r="G20" i="2"/>
  <c r="D18" i="2"/>
  <c r="D21" i="2" s="1"/>
  <c r="D8" i="2"/>
  <c r="G31" i="2" l="1"/>
  <c r="G30" i="2"/>
  <c r="G17" i="2"/>
  <c r="K31" i="2"/>
  <c r="K9" i="2" s="1"/>
  <c r="K32" i="2"/>
  <c r="K17" i="2" s="1"/>
  <c r="K33" i="2"/>
  <c r="K25" i="2" s="1"/>
  <c r="H31" i="2"/>
  <c r="H29" i="2"/>
  <c r="H25" i="2"/>
  <c r="H24" i="2"/>
  <c r="H23" i="2"/>
  <c r="D10" i="2"/>
  <c r="D24" i="2"/>
  <c r="K16" i="2" l="1"/>
  <c r="H30" i="2"/>
  <c r="D23" i="2"/>
  <c r="K24" i="2" l="1"/>
  <c r="K27" i="2" s="1"/>
</calcChain>
</file>

<file path=xl/comments1.xml><?xml version="1.0" encoding="utf-8"?>
<comments xmlns="http://schemas.openxmlformats.org/spreadsheetml/2006/main">
  <authors>
    <author>유 재준</author>
    <author>YUJAEJUN</author>
  </authors>
  <commentList>
    <comment ref="K10" authorId="0" shapeId="0">
      <text>
        <r>
          <rPr>
            <sz val="11"/>
            <color theme="1"/>
            <rFont val="맑은 고딕"/>
            <family val="2"/>
            <scheme val="minor"/>
          </rPr>
          <t xml:space="preserve">총 이윤 - 생기가격 - 도약의 정수 가격
</t>
        </r>
      </text>
    </comment>
    <comment ref="K11" authorId="0" shapeId="0">
      <text>
        <r>
          <rPr>
            <sz val="11"/>
            <color theme="1"/>
            <rFont val="맑은 고딕"/>
            <family val="2"/>
            <scheme val="minor"/>
          </rPr>
          <t>총 이윤 - 생기 가격</t>
        </r>
      </text>
    </comment>
    <comment ref="K18" authorId="0" shapeId="0">
      <text>
        <r>
          <rPr>
            <sz val="11"/>
            <color theme="1"/>
            <rFont val="맑은 고딕"/>
            <family val="2"/>
            <scheme val="minor"/>
          </rPr>
          <t xml:space="preserve">총 이윤 - 생기가격 - 도약의 정수 가격
</t>
        </r>
      </text>
    </comment>
    <comment ref="K19" authorId="0" shapeId="0">
      <text>
        <r>
          <rPr>
            <sz val="11"/>
            <color theme="1"/>
            <rFont val="맑은 고딕"/>
            <family val="2"/>
            <scheme val="minor"/>
          </rPr>
          <t>총 이윤 - 생기 가격</t>
        </r>
      </text>
    </comment>
    <comment ref="K26" authorId="0" shapeId="0">
      <text>
        <r>
          <rPr>
            <sz val="11"/>
            <color theme="1"/>
            <rFont val="맑은 고딕"/>
            <family val="2"/>
            <scheme val="minor"/>
          </rPr>
          <t xml:space="preserve">총 이윤 - 생기가격 - 도약의 정수 가격
</t>
        </r>
      </text>
    </comment>
    <comment ref="K27" authorId="0" shapeId="0">
      <text>
        <r>
          <rPr>
            <sz val="11"/>
            <color theme="1"/>
            <rFont val="맑은 고딕"/>
            <family val="2"/>
            <scheme val="minor"/>
          </rPr>
          <t>총 이윤 - 생기 가격</t>
        </r>
      </text>
    </comment>
    <comment ref="K30" authorId="1" shapeId="0">
      <text>
        <r>
          <rPr>
            <b/>
            <sz val="9"/>
            <color indexed="81"/>
            <rFont val="돋움"/>
            <family val="3"/>
            <charset val="129"/>
          </rPr>
          <t>숫자만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입력하셔도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퍼센트단위가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자동으로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붙습니다</t>
        </r>
        <r>
          <rPr>
            <b/>
            <sz val="9"/>
            <color indexed="81"/>
            <rFont val="Tahoma"/>
            <family val="2"/>
          </rPr>
          <t xml:space="preserve">.
</t>
        </r>
      </text>
    </comment>
  </commentList>
</comments>
</file>

<file path=xl/sharedStrings.xml><?xml version="1.0" encoding="utf-8"?>
<sst xmlns="http://schemas.openxmlformats.org/spreadsheetml/2006/main" count="85" uniqueCount="62">
  <si>
    <t>노란색 칸을 먼저 채워주세요 특히 고고학 시작 전 후 입력하셔야 제대로 비교가 됩니다!!</t>
    <phoneticPr fontId="2" type="noConversion"/>
  </si>
  <si>
    <t>크리</t>
  </si>
  <si>
    <t>골드</t>
  </si>
  <si>
    <t>재료</t>
  </si>
  <si>
    <t>시세</t>
  </si>
  <si>
    <t>개당 가격</t>
  </si>
  <si>
    <t>골드</t>
    <phoneticPr fontId="2" type="noConversion"/>
  </si>
  <si>
    <t>크리스탈 시세(95크리당)</t>
  </si>
  <si>
    <t>고대 유물 100개</t>
  </si>
  <si>
    <t>1크리스탈</t>
  </si>
  <si>
    <t>희귀한 유물 10개</t>
  </si>
  <si>
    <t>남은재료값</t>
  </si>
  <si>
    <t>생기중급(5개,15000)</t>
  </si>
  <si>
    <t>오레하 유물 10개</t>
  </si>
  <si>
    <t>도약정수(10개,3만, 실 사용 5개)</t>
  </si>
  <si>
    <t>중급 오레하 30개</t>
    <phoneticPr fontId="2" type="noConversion"/>
  </si>
  <si>
    <t>총합</t>
  </si>
  <si>
    <t>중급 오레하 30개 제작비용</t>
    <phoneticPr fontId="2" type="noConversion"/>
  </si>
  <si>
    <t>상급 오레하 20개</t>
  </si>
  <si>
    <t>중요!!!</t>
    <phoneticPr fontId="2" type="noConversion"/>
  </si>
  <si>
    <t>고고학 시작 전</t>
  </si>
  <si>
    <t>고고학 종료 후</t>
  </si>
  <si>
    <t>상급 오레하 20개 제작비용</t>
  </si>
  <si>
    <t>고대유물</t>
  </si>
  <si>
    <t>희귀한 유물</t>
  </si>
  <si>
    <t>중급 오레하 제작시</t>
  </si>
  <si>
    <t>재료수량</t>
  </si>
  <si>
    <t>남은 수량</t>
  </si>
  <si>
    <t>오레하 유물</t>
  </si>
  <si>
    <t>고대유물(64)</t>
  </si>
  <si>
    <t>희귀한 유물(26)</t>
  </si>
  <si>
    <t>생기물약 5개 기준</t>
  </si>
  <si>
    <t>수량</t>
  </si>
  <si>
    <t>오레하 유물(8)</t>
  </si>
  <si>
    <t>고대 유물</t>
  </si>
  <si>
    <t>제작가능한 중급 오레하 수량</t>
    <phoneticPr fontId="2" type="noConversion"/>
  </si>
  <si>
    <t>상급 오레하 제작시</t>
  </si>
  <si>
    <t>고대유물(94)</t>
  </si>
  <si>
    <t>대성공확률 적용시</t>
    <phoneticPr fontId="2" type="noConversion"/>
  </si>
  <si>
    <t>희귀한 유물(29)</t>
  </si>
  <si>
    <t xml:space="preserve">대성공확률 </t>
    <phoneticPr fontId="2" type="noConversion"/>
  </si>
  <si>
    <t>오레하 유물(16)</t>
  </si>
  <si>
    <t>제작가능한 상급 오레하 수량</t>
  </si>
  <si>
    <t>하급 오레하 제작시</t>
    <phoneticPr fontId="2" type="noConversion"/>
  </si>
  <si>
    <t>고대유물(56)</t>
    <phoneticPr fontId="2" type="noConversion"/>
  </si>
  <si>
    <t>희귀한 유물(28)</t>
    <phoneticPr fontId="2" type="noConversion"/>
  </si>
  <si>
    <t>오레하 유물(7)</t>
    <phoneticPr fontId="2" type="noConversion"/>
  </si>
  <si>
    <t>하급 오레하 30개</t>
    <phoneticPr fontId="2" type="noConversion"/>
  </si>
  <si>
    <t>하급 오레하 30개 제작비용</t>
    <phoneticPr fontId="2" type="noConversion"/>
  </si>
  <si>
    <t>제작가능한 하급 오레하 수량</t>
    <phoneticPr fontId="2" type="noConversion"/>
  </si>
  <si>
    <t>총 수익</t>
  </si>
  <si>
    <t>총 수익</t>
    <phoneticPr fontId="2" type="noConversion"/>
  </si>
  <si>
    <t>하급오레하 제작시 수익</t>
    <phoneticPr fontId="2" type="noConversion"/>
  </si>
  <si>
    <t>대성공시 총 수익</t>
  </si>
  <si>
    <t>대성공시 총 수익</t>
    <phoneticPr fontId="2" type="noConversion"/>
  </si>
  <si>
    <t>하급 오레하 수익</t>
  </si>
  <si>
    <t>도약 사용할 경우 수익</t>
  </si>
  <si>
    <t>도약 사용하지 않을 경우 수익</t>
  </si>
  <si>
    <t>중급오레하 제작시 수익</t>
  </si>
  <si>
    <t>중급 오레하 수익</t>
  </si>
  <si>
    <t>상급오레하 제작시 수익</t>
  </si>
  <si>
    <t>상급 오레하 수익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</si>
</sst>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0AD47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48">
    <xf numFmtId="0" fontId="0" fillId="0" borderId="0" xfId="0"/>
    <xf numFmtId="0" fontId="0" fillId="3" borderId="2" xfId="0" applyFill="1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0" fillId="3" borderId="5" xfId="0" applyFill="1" applyBorder="1"/>
    <xf numFmtId="0" fontId="0" fillId="3" borderId="6" xfId="0" applyFill="1" applyBorder="1"/>
    <xf numFmtId="0" fontId="0" fillId="2" borderId="7" xfId="0" applyFill="1" applyBorder="1"/>
    <xf numFmtId="2" fontId="0" fillId="3" borderId="7" xfId="0" applyNumberFormat="1" applyFill="1" applyBorder="1"/>
    <xf numFmtId="1" fontId="0" fillId="3" borderId="7" xfId="0" applyNumberFormat="1" applyFill="1" applyBorder="1"/>
    <xf numFmtId="0" fontId="0" fillId="3" borderId="8" xfId="0" applyFill="1" applyBorder="1"/>
    <xf numFmtId="0" fontId="0" fillId="3" borderId="9" xfId="0" applyFill="1" applyBorder="1"/>
    <xf numFmtId="1" fontId="0" fillId="3" borderId="2" xfId="0" applyNumberFormat="1" applyFill="1" applyBorder="1"/>
    <xf numFmtId="0" fontId="0" fillId="3" borderId="7" xfId="0" applyFill="1" applyBorder="1"/>
    <xf numFmtId="0" fontId="0" fillId="2" borderId="9" xfId="0" applyFill="1" applyBorder="1"/>
    <xf numFmtId="0" fontId="0" fillId="2" borderId="6" xfId="0" applyFill="1" applyBorder="1"/>
    <xf numFmtId="0" fontId="0" fillId="4" borderId="3" xfId="0" applyFill="1" applyBorder="1"/>
    <xf numFmtId="0" fontId="0" fillId="4" borderId="4" xfId="0" applyFill="1" applyBorder="1"/>
    <xf numFmtId="1" fontId="0" fillId="4" borderId="1" xfId="0" applyNumberFormat="1" applyFill="1" applyBorder="1"/>
    <xf numFmtId="0" fontId="0" fillId="4" borderId="8" xfId="0" applyFill="1" applyBorder="1"/>
    <xf numFmtId="0" fontId="0" fillId="4" borderId="9" xfId="0" applyFill="1" applyBorder="1"/>
    <xf numFmtId="1" fontId="0" fillId="4" borderId="2" xfId="0" applyNumberFormat="1" applyFill="1" applyBorder="1"/>
    <xf numFmtId="0" fontId="0" fillId="2" borderId="2" xfId="0" applyFill="1" applyBorder="1"/>
    <xf numFmtId="0" fontId="0" fillId="5" borderId="4" xfId="0" applyFill="1" applyBorder="1"/>
    <xf numFmtId="0" fontId="0" fillId="5" borderId="1" xfId="0" applyFill="1" applyBorder="1"/>
    <xf numFmtId="0" fontId="0" fillId="3" borderId="10" xfId="0" applyFill="1" applyBorder="1"/>
    <xf numFmtId="1" fontId="0" fillId="3" borderId="12" xfId="0" applyNumberFormat="1" applyFill="1" applyBorder="1"/>
    <xf numFmtId="0" fontId="0" fillId="3" borderId="15" xfId="0" applyFill="1" applyBorder="1"/>
    <xf numFmtId="0" fontId="0" fillId="3" borderId="17" xfId="0" applyFill="1" applyBorder="1"/>
    <xf numFmtId="0" fontId="0" fillId="3" borderId="18" xfId="0" applyFill="1" applyBorder="1"/>
    <xf numFmtId="0" fontId="0" fillId="6" borderId="13" xfId="0" applyFill="1" applyBorder="1"/>
    <xf numFmtId="0" fontId="0" fillId="6" borderId="14" xfId="0" applyFill="1" applyBorder="1"/>
    <xf numFmtId="0" fontId="0" fillId="0" borderId="13" xfId="0" applyBorder="1"/>
    <xf numFmtId="0" fontId="0" fillId="0" borderId="14" xfId="0" applyBorder="1"/>
    <xf numFmtId="1" fontId="0" fillId="3" borderId="16" xfId="0" applyNumberFormat="1" applyFill="1" applyBorder="1"/>
    <xf numFmtId="0" fontId="0" fillId="4" borderId="15" xfId="0" applyFill="1" applyBorder="1"/>
    <xf numFmtId="1" fontId="0" fillId="4" borderId="16" xfId="0" applyNumberFormat="1" applyFill="1" applyBorder="1"/>
    <xf numFmtId="0" fontId="0" fillId="4" borderId="17" xfId="0" applyFill="1" applyBorder="1"/>
    <xf numFmtId="1" fontId="0" fillId="4" borderId="18" xfId="0" applyNumberFormat="1" applyFill="1" applyBorder="1"/>
    <xf numFmtId="0" fontId="0" fillId="2" borderId="11" xfId="0" applyFill="1" applyBorder="1"/>
    <xf numFmtId="0" fontId="0" fillId="8" borderId="0" xfId="0" applyFill="1"/>
    <xf numFmtId="0" fontId="4" fillId="7" borderId="3" xfId="0" applyFont="1" applyFill="1" applyBorder="1" applyAlignment="1">
      <alignment horizontal="center"/>
    </xf>
    <xf numFmtId="9" fontId="0" fillId="2" borderId="16" xfId="1" applyFont="1" applyFill="1" applyBorder="1" applyAlignment="1"/>
    <xf numFmtId="0" fontId="0" fillId="9" borderId="0" xfId="0" applyFill="1"/>
    <xf numFmtId="0" fontId="0" fillId="0" borderId="0" xfId="0" applyFill="1" applyBorder="1"/>
    <xf numFmtId="0" fontId="3" fillId="7" borderId="0" xfId="0" applyFont="1" applyFill="1" applyAlignment="1">
      <alignment horizontal="center" vertical="center"/>
    </xf>
    <xf numFmtId="0" fontId="0" fillId="9" borderId="19" xfId="0" applyFill="1" applyBorder="1" applyAlignment="1">
      <alignment horizontal="center" vertical="center"/>
    </xf>
    <xf numFmtId="0" fontId="0" fillId="9" borderId="19" xfId="0" applyFill="1" applyBorder="1" applyAlignment="1">
      <alignment horizontal="center" vertical="center" wrapText="1"/>
    </xf>
  </cellXfs>
  <cellStyles count="2">
    <cellStyle name="백분율" xfId="1" builtinId="5"/>
    <cellStyle name="표준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O34"/>
  <sheetViews>
    <sheetView tabSelected="1" zoomScale="115" zoomScaleNormal="115" workbookViewId="0">
      <selection activeCell="M25" sqref="M25"/>
    </sheetView>
  </sheetViews>
  <sheetFormatPr defaultRowHeight="16.5" x14ac:dyDescent="0.3"/>
  <cols>
    <col min="1" max="1" width="3.5" customWidth="1"/>
    <col min="2" max="2" width="28.5" bestFit="1" customWidth="1"/>
    <col min="3" max="3" width="14.75" customWidth="1"/>
    <col min="4" max="4" width="14.75" bestFit="1" customWidth="1"/>
    <col min="5" max="5" width="2.625" customWidth="1"/>
    <col min="6" max="6" width="33.25" bestFit="1" customWidth="1"/>
    <col min="7" max="8" width="9.75" bestFit="1" customWidth="1"/>
    <col min="9" max="9" width="3.125" customWidth="1"/>
    <col min="10" max="10" width="28.5" bestFit="1" customWidth="1"/>
    <col min="11" max="11" width="9.75" bestFit="1" customWidth="1"/>
    <col min="12" max="12" width="3.75" customWidth="1"/>
  </cols>
  <sheetData>
    <row r="2" spans="1:15" ht="16.5" customHeight="1" x14ac:dyDescent="0.3">
      <c r="B2" s="45" t="s">
        <v>0</v>
      </c>
      <c r="C2" s="45"/>
      <c r="D2" s="45"/>
      <c r="E2" s="45"/>
      <c r="F2" s="45"/>
      <c r="G2" s="45"/>
    </row>
    <row r="3" spans="1:15" ht="16.5" customHeight="1" x14ac:dyDescent="0.3">
      <c r="B3" s="45"/>
      <c r="C3" s="45"/>
      <c r="D3" s="45"/>
      <c r="E3" s="45"/>
      <c r="F3" s="45"/>
      <c r="G3" s="45"/>
    </row>
    <row r="4" spans="1:15" ht="17.25" thickBot="1" x14ac:dyDescent="0.3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1:15" x14ac:dyDescent="0.3">
      <c r="A5" s="40"/>
      <c r="B5" s="2"/>
      <c r="C5" s="3" t="s">
        <v>1</v>
      </c>
      <c r="D5" s="4" t="s">
        <v>2</v>
      </c>
      <c r="E5" s="40"/>
      <c r="F5" s="2" t="s">
        <v>3</v>
      </c>
      <c r="G5" s="3" t="s">
        <v>4</v>
      </c>
      <c r="H5" s="4" t="s">
        <v>5</v>
      </c>
      <c r="I5" s="40"/>
      <c r="J5" s="32" t="s">
        <v>52</v>
      </c>
      <c r="K5" s="33" t="s">
        <v>6</v>
      </c>
      <c r="L5" s="43"/>
      <c r="M5" s="44"/>
      <c r="N5" s="44"/>
      <c r="O5" s="44"/>
    </row>
    <row r="6" spans="1:15" x14ac:dyDescent="0.3">
      <c r="A6" s="40"/>
      <c r="B6" s="5" t="s">
        <v>7</v>
      </c>
      <c r="C6" s="6"/>
      <c r="D6" s="7">
        <v>2930</v>
      </c>
      <c r="E6" s="40"/>
      <c r="F6" s="5" t="s">
        <v>8</v>
      </c>
      <c r="G6" s="15">
        <v>245</v>
      </c>
      <c r="H6" s="13">
        <f>G6/100</f>
        <v>2.4500000000000002</v>
      </c>
      <c r="I6" s="40"/>
      <c r="J6" s="27" t="s">
        <v>55</v>
      </c>
      <c r="K6" s="34">
        <f>(G20*H9*0.95-H10*G20)</f>
        <v>9159</v>
      </c>
      <c r="L6" s="43"/>
    </row>
    <row r="7" spans="1:15" x14ac:dyDescent="0.3">
      <c r="A7" s="40"/>
      <c r="B7" s="5" t="s">
        <v>9</v>
      </c>
      <c r="C7" s="6"/>
      <c r="D7" s="8">
        <f>D6/95</f>
        <v>30.842105263157894</v>
      </c>
      <c r="E7" s="40"/>
      <c r="F7" s="5" t="s">
        <v>10</v>
      </c>
      <c r="G7" s="15">
        <v>7</v>
      </c>
      <c r="H7" s="13">
        <f>G7/10</f>
        <v>0.7</v>
      </c>
      <c r="I7" s="40"/>
      <c r="J7" s="27" t="s">
        <v>11</v>
      </c>
      <c r="K7" s="34">
        <f>(H17*H6+H18*H7+H19*H8)*0.95</f>
        <v>505.4</v>
      </c>
      <c r="L7" s="43"/>
    </row>
    <row r="8" spans="1:15" x14ac:dyDescent="0.3">
      <c r="A8" s="40"/>
      <c r="B8" s="5" t="s">
        <v>12</v>
      </c>
      <c r="C8" s="6">
        <v>125</v>
      </c>
      <c r="D8" s="9">
        <f>D7*125</f>
        <v>3855.2631578947367</v>
      </c>
      <c r="E8" s="40"/>
      <c r="F8" s="5" t="s">
        <v>13</v>
      </c>
      <c r="G8" s="15">
        <v>30</v>
      </c>
      <c r="H8" s="13">
        <f>G8/10</f>
        <v>3</v>
      </c>
      <c r="I8" s="40"/>
      <c r="J8" s="27" t="s">
        <v>51</v>
      </c>
      <c r="K8" s="34">
        <f>(K6+K7)</f>
        <v>9664.4</v>
      </c>
      <c r="L8" s="43"/>
    </row>
    <row r="9" spans="1:15" x14ac:dyDescent="0.3">
      <c r="A9" s="40"/>
      <c r="B9" s="5" t="s">
        <v>14</v>
      </c>
      <c r="C9" s="6">
        <v>100</v>
      </c>
      <c r="D9" s="9">
        <f>D7*100/2</f>
        <v>1542.1052631578948</v>
      </c>
      <c r="E9" s="40"/>
      <c r="F9" s="5" t="s">
        <v>47</v>
      </c>
      <c r="G9" s="6">
        <f>H9*30</f>
        <v>420</v>
      </c>
      <c r="H9" s="7">
        <v>14</v>
      </c>
      <c r="I9" s="40"/>
      <c r="J9" s="27" t="s">
        <v>54</v>
      </c>
      <c r="K9" s="34">
        <f>(K31*H9*0.95)-K31*H10+K7</f>
        <v>10303.4</v>
      </c>
      <c r="L9" s="43"/>
    </row>
    <row r="10" spans="1:15" ht="16.5" customHeight="1" thickBot="1" x14ac:dyDescent="0.35">
      <c r="A10" s="40"/>
      <c r="B10" s="10" t="s">
        <v>16</v>
      </c>
      <c r="C10" s="11"/>
      <c r="D10" s="12">
        <f>D8+D9</f>
        <v>5397.3684210526317</v>
      </c>
      <c r="E10" s="40"/>
      <c r="F10" s="25" t="s">
        <v>48</v>
      </c>
      <c r="G10" s="39">
        <v>186</v>
      </c>
      <c r="H10" s="26">
        <f>G10/30</f>
        <v>6.2</v>
      </c>
      <c r="I10" s="40"/>
      <c r="J10" s="35" t="s">
        <v>56</v>
      </c>
      <c r="K10" s="36">
        <f>K8-D10</f>
        <v>4267.031578947368</v>
      </c>
      <c r="L10" s="46"/>
    </row>
    <row r="11" spans="1:15" ht="16.5" customHeight="1" thickBot="1" x14ac:dyDescent="0.35">
      <c r="A11" s="40"/>
      <c r="B11" s="40"/>
      <c r="C11" s="40"/>
      <c r="D11" s="40"/>
      <c r="E11" s="40"/>
      <c r="F11" s="5" t="s">
        <v>15</v>
      </c>
      <c r="G11" s="6">
        <f>H11*30</f>
        <v>450</v>
      </c>
      <c r="H11" s="7">
        <v>15</v>
      </c>
      <c r="I11" s="40"/>
      <c r="J11" s="37" t="s">
        <v>57</v>
      </c>
      <c r="K11" s="38">
        <f>K8-D8</f>
        <v>5809.136842105263</v>
      </c>
      <c r="L11" s="46"/>
    </row>
    <row r="12" spans="1:15" ht="17.25" thickBot="1" x14ac:dyDescent="0.35">
      <c r="A12" s="40"/>
      <c r="B12" s="41" t="s">
        <v>19</v>
      </c>
      <c r="C12" s="23" t="s">
        <v>20</v>
      </c>
      <c r="D12" s="24" t="s">
        <v>21</v>
      </c>
      <c r="E12" s="40"/>
      <c r="F12" s="25" t="s">
        <v>17</v>
      </c>
      <c r="G12" s="39">
        <v>188</v>
      </c>
      <c r="H12" s="26">
        <f>G12/30</f>
        <v>6.2666666666666666</v>
      </c>
      <c r="I12" s="43"/>
      <c r="J12" s="40"/>
      <c r="K12" s="40"/>
      <c r="L12" s="43"/>
    </row>
    <row r="13" spans="1:15" x14ac:dyDescent="0.3">
      <c r="A13" s="40"/>
      <c r="B13" s="5" t="s">
        <v>23</v>
      </c>
      <c r="C13" s="15">
        <v>130</v>
      </c>
      <c r="D13" s="7">
        <v>2544</v>
      </c>
      <c r="E13" s="40"/>
      <c r="F13" s="5" t="s">
        <v>18</v>
      </c>
      <c r="G13" s="6">
        <f>H13*20</f>
        <v>600</v>
      </c>
      <c r="H13" s="7">
        <v>30</v>
      </c>
      <c r="I13" s="40"/>
      <c r="J13" s="32" t="s">
        <v>58</v>
      </c>
      <c r="K13" s="33" t="s">
        <v>6</v>
      </c>
      <c r="L13" s="43"/>
    </row>
    <row r="14" spans="1:15" ht="17.25" thickBot="1" x14ac:dyDescent="0.35">
      <c r="A14" s="40"/>
      <c r="B14" s="5" t="s">
        <v>24</v>
      </c>
      <c r="C14" s="15">
        <v>1009</v>
      </c>
      <c r="D14" s="7">
        <v>2322</v>
      </c>
      <c r="E14" s="40"/>
      <c r="F14" s="25" t="s">
        <v>22</v>
      </c>
      <c r="G14" s="39">
        <v>230</v>
      </c>
      <c r="H14" s="26">
        <f>G14/20</f>
        <v>11.5</v>
      </c>
      <c r="I14" s="40"/>
      <c r="J14" s="27" t="s">
        <v>59</v>
      </c>
      <c r="K14" s="34">
        <f>(G26*H11*0.95-G26*H12)</f>
        <v>8861.5</v>
      </c>
      <c r="L14" s="43"/>
    </row>
    <row r="15" spans="1:15" ht="17.25" thickBot="1" x14ac:dyDescent="0.35">
      <c r="A15" s="40"/>
      <c r="B15" s="10" t="s">
        <v>28</v>
      </c>
      <c r="C15" s="14">
        <v>225</v>
      </c>
      <c r="D15" s="22">
        <v>673</v>
      </c>
      <c r="E15" s="40"/>
      <c r="F15" s="40"/>
      <c r="G15" s="40"/>
      <c r="H15" s="40"/>
      <c r="I15" s="40"/>
      <c r="J15" s="27" t="s">
        <v>11</v>
      </c>
      <c r="K15" s="34">
        <f>(H23*H6+H24*H7+H25*H8)*0.95</f>
        <v>773.68</v>
      </c>
      <c r="L15" s="43"/>
    </row>
    <row r="16" spans="1:15" ht="17.25" thickBot="1" x14ac:dyDescent="0.35">
      <c r="A16" s="40"/>
      <c r="B16" s="40"/>
      <c r="C16" s="40"/>
      <c r="D16" s="40"/>
      <c r="E16" s="40"/>
      <c r="F16" s="2" t="s">
        <v>43</v>
      </c>
      <c r="G16" s="3" t="s">
        <v>26</v>
      </c>
      <c r="H16" s="4" t="s">
        <v>27</v>
      </c>
      <c r="I16" s="40"/>
      <c r="J16" s="27" t="s">
        <v>50</v>
      </c>
      <c r="K16" s="34">
        <f>(K14+K15)</f>
        <v>9635.18</v>
      </c>
      <c r="L16" s="47"/>
    </row>
    <row r="17" spans="1:12" x14ac:dyDescent="0.3">
      <c r="A17" s="40"/>
      <c r="B17" s="2" t="s">
        <v>31</v>
      </c>
      <c r="C17" s="3" t="s">
        <v>32</v>
      </c>
      <c r="D17" s="4" t="s">
        <v>2</v>
      </c>
      <c r="E17" s="40"/>
      <c r="F17" s="5" t="s">
        <v>44</v>
      </c>
      <c r="G17" s="6">
        <f>56*G20/30</f>
        <v>2408</v>
      </c>
      <c r="H17" s="13">
        <f>C18-G17</f>
        <v>6</v>
      </c>
      <c r="I17" s="40"/>
      <c r="J17" s="27" t="s">
        <v>53</v>
      </c>
      <c r="K17" s="34">
        <f>((K32*H11*0.95-H12*K32)+K15)</f>
        <v>10114.18</v>
      </c>
      <c r="L17" s="47"/>
    </row>
    <row r="18" spans="1:12" x14ac:dyDescent="0.3">
      <c r="A18" s="40"/>
      <c r="B18" s="5" t="s">
        <v>34</v>
      </c>
      <c r="C18" s="6">
        <f>D13-C13</f>
        <v>2414</v>
      </c>
      <c r="D18" s="9">
        <f>C18*H6</f>
        <v>5914.3</v>
      </c>
      <c r="E18" s="40"/>
      <c r="F18" s="5" t="s">
        <v>45</v>
      </c>
      <c r="G18" s="6">
        <f>28*G20/30</f>
        <v>1204</v>
      </c>
      <c r="H18" s="13">
        <f>C19-G18</f>
        <v>109</v>
      </c>
      <c r="I18" s="40"/>
      <c r="J18" s="35" t="s">
        <v>56</v>
      </c>
      <c r="K18" s="36">
        <f>K16-D10</f>
        <v>4237.8115789473686</v>
      </c>
      <c r="L18" s="43"/>
    </row>
    <row r="19" spans="1:12" ht="17.25" thickBot="1" x14ac:dyDescent="0.35">
      <c r="A19" s="40"/>
      <c r="B19" s="5" t="s">
        <v>24</v>
      </c>
      <c r="C19" s="6">
        <f>D14-C14</f>
        <v>1313</v>
      </c>
      <c r="D19" s="9">
        <f>H7*C19</f>
        <v>919.09999999999991</v>
      </c>
      <c r="E19" s="40"/>
      <c r="F19" s="5" t="s">
        <v>46</v>
      </c>
      <c r="G19" s="6">
        <f>7*G20/30</f>
        <v>301</v>
      </c>
      <c r="H19" s="13">
        <f>C20-G19</f>
        <v>147</v>
      </c>
      <c r="I19" s="40"/>
      <c r="J19" s="37" t="s">
        <v>57</v>
      </c>
      <c r="K19" s="38">
        <f>K16-D8</f>
        <v>5779.9168421052636</v>
      </c>
      <c r="L19" s="43"/>
    </row>
    <row r="20" spans="1:12" ht="17.25" thickBot="1" x14ac:dyDescent="0.35">
      <c r="A20" s="40"/>
      <c r="B20" s="5" t="s">
        <v>28</v>
      </c>
      <c r="C20" s="6">
        <f>D15-C15</f>
        <v>448</v>
      </c>
      <c r="D20" s="13">
        <f>H8*C20</f>
        <v>1344</v>
      </c>
      <c r="E20" s="40"/>
      <c r="F20" s="10" t="s">
        <v>49</v>
      </c>
      <c r="G20" s="11">
        <f>INT(C18/56)*30</f>
        <v>1290</v>
      </c>
      <c r="H20" s="1"/>
      <c r="I20" s="40"/>
      <c r="J20" s="43"/>
      <c r="K20" s="43"/>
      <c r="L20" s="43"/>
    </row>
    <row r="21" spans="1:12" ht="17.25" thickBot="1" x14ac:dyDescent="0.35">
      <c r="A21" s="40"/>
      <c r="B21" s="10" t="s">
        <v>16</v>
      </c>
      <c r="C21" s="11"/>
      <c r="D21" s="12">
        <f>SUM(D18:D20)*0.95</f>
        <v>7768.53</v>
      </c>
      <c r="E21" s="40"/>
      <c r="F21" s="40"/>
      <c r="G21" s="40"/>
      <c r="H21" s="40"/>
      <c r="I21" s="40"/>
      <c r="J21" s="32" t="s">
        <v>60</v>
      </c>
      <c r="K21" s="33" t="s">
        <v>6</v>
      </c>
      <c r="L21" s="43"/>
    </row>
    <row r="22" spans="1:12" ht="17.25" thickBot="1" x14ac:dyDescent="0.35">
      <c r="A22" s="40"/>
      <c r="B22" s="40"/>
      <c r="C22" s="40"/>
      <c r="D22" s="40"/>
      <c r="E22" s="40"/>
      <c r="F22" s="2" t="s">
        <v>25</v>
      </c>
      <c r="G22" s="3" t="s">
        <v>26</v>
      </c>
      <c r="H22" s="4" t="s">
        <v>27</v>
      </c>
      <c r="I22" s="40"/>
      <c r="J22" s="27" t="s">
        <v>61</v>
      </c>
      <c r="K22" s="34">
        <f>(G32*H13*0.95-G32*H14)</f>
        <v>8500</v>
      </c>
      <c r="L22" s="43"/>
    </row>
    <row r="23" spans="1:12" x14ac:dyDescent="0.3">
      <c r="A23" s="40"/>
      <c r="B23" s="16" t="s">
        <v>56</v>
      </c>
      <c r="C23" s="17"/>
      <c r="D23" s="18">
        <f>D21-D10</f>
        <v>2371.1615789473681</v>
      </c>
      <c r="E23" s="40"/>
      <c r="F23" s="5" t="s">
        <v>29</v>
      </c>
      <c r="G23" s="6">
        <f>64*G26/30</f>
        <v>2368</v>
      </c>
      <c r="H23" s="13">
        <f>C18-G23</f>
        <v>46</v>
      </c>
      <c r="I23" s="40"/>
      <c r="J23" s="27" t="s">
        <v>11</v>
      </c>
      <c r="K23" s="34">
        <f>(H29*$H$6+H30*$H$7+H31*$H$8)*0.95</f>
        <v>676.78</v>
      </c>
      <c r="L23" s="43"/>
    </row>
    <row r="24" spans="1:12" ht="17.25" thickBot="1" x14ac:dyDescent="0.35">
      <c r="A24" s="40"/>
      <c r="B24" s="19" t="s">
        <v>57</v>
      </c>
      <c r="C24" s="20"/>
      <c r="D24" s="21">
        <f>D21-D8</f>
        <v>3913.2668421052631</v>
      </c>
      <c r="E24" s="40"/>
      <c r="F24" s="5" t="s">
        <v>30</v>
      </c>
      <c r="G24" s="6">
        <f>26*G26/30</f>
        <v>962</v>
      </c>
      <c r="H24" s="13">
        <f>C19-G24</f>
        <v>351</v>
      </c>
      <c r="I24" s="40"/>
      <c r="J24" s="27" t="s">
        <v>50</v>
      </c>
      <c r="K24" s="34">
        <f>(K22+K23)</f>
        <v>9176.7800000000007</v>
      </c>
      <c r="L24" s="43"/>
    </row>
    <row r="25" spans="1:12" x14ac:dyDescent="0.3">
      <c r="A25" s="40"/>
      <c r="B25" s="40"/>
      <c r="C25" s="40"/>
      <c r="D25" s="40"/>
      <c r="E25" s="40"/>
      <c r="F25" s="5" t="s">
        <v>33</v>
      </c>
      <c r="G25" s="6">
        <f>8*G26/30</f>
        <v>296</v>
      </c>
      <c r="H25" s="13">
        <f>C20-G25</f>
        <v>152</v>
      </c>
      <c r="I25" s="40"/>
      <c r="J25" s="27" t="s">
        <v>53</v>
      </c>
      <c r="K25" s="34">
        <f>((K33*$H$13*0.95-K33*$H$14)+K23)</f>
        <v>9516.7800000000007</v>
      </c>
      <c r="L25" s="43"/>
    </row>
    <row r="26" spans="1:12" ht="17.25" thickBot="1" x14ac:dyDescent="0.35">
      <c r="A26" s="40"/>
      <c r="B26" s="40"/>
      <c r="C26" s="40"/>
      <c r="D26" s="40"/>
      <c r="E26" s="40"/>
      <c r="F26" s="10" t="s">
        <v>35</v>
      </c>
      <c r="G26" s="11">
        <f>INT(C18/64)*30</f>
        <v>1110</v>
      </c>
      <c r="H26" s="1"/>
      <c r="I26" s="40"/>
      <c r="J26" s="35" t="s">
        <v>56</v>
      </c>
      <c r="K26" s="36">
        <f>K24-D10</f>
        <v>3779.411578947369</v>
      </c>
      <c r="L26" s="40"/>
    </row>
    <row r="27" spans="1:12" ht="17.25" thickBot="1" x14ac:dyDescent="0.35">
      <c r="A27" s="40"/>
      <c r="B27" s="40"/>
      <c r="C27" s="40"/>
      <c r="D27" s="40"/>
      <c r="E27" s="40"/>
      <c r="F27" s="40"/>
      <c r="G27" s="40"/>
      <c r="H27" s="40"/>
      <c r="I27" s="40"/>
      <c r="J27" s="37" t="s">
        <v>57</v>
      </c>
      <c r="K27" s="38">
        <f>K24-D8</f>
        <v>5321.516842105264</v>
      </c>
      <c r="L27" s="40"/>
    </row>
    <row r="28" spans="1:12" ht="17.25" thickBot="1" x14ac:dyDescent="0.35">
      <c r="A28" s="40"/>
      <c r="B28" s="40"/>
      <c r="C28" s="40"/>
      <c r="D28" s="40"/>
      <c r="E28" s="40"/>
      <c r="F28" s="2" t="s">
        <v>36</v>
      </c>
      <c r="G28" s="3" t="s">
        <v>26</v>
      </c>
      <c r="H28" s="4" t="s">
        <v>27</v>
      </c>
      <c r="I28" s="40"/>
      <c r="J28" s="40"/>
      <c r="K28" s="40"/>
      <c r="L28" s="40"/>
    </row>
    <row r="29" spans="1:12" x14ac:dyDescent="0.3">
      <c r="A29" s="40"/>
      <c r="B29" s="40"/>
      <c r="C29" s="40"/>
      <c r="D29" s="40"/>
      <c r="E29" s="40"/>
      <c r="F29" s="5" t="s">
        <v>37</v>
      </c>
      <c r="G29" s="6">
        <f>94*G32/20</f>
        <v>2350</v>
      </c>
      <c r="H29" s="13">
        <f>C18-G29</f>
        <v>64</v>
      </c>
      <c r="I29" s="40"/>
      <c r="J29" s="30" t="s">
        <v>38</v>
      </c>
      <c r="K29" s="31"/>
      <c r="L29" s="40"/>
    </row>
    <row r="30" spans="1:12" x14ac:dyDescent="0.3">
      <c r="A30" s="40"/>
      <c r="B30" s="40"/>
      <c r="C30" s="40"/>
      <c r="D30" s="40"/>
      <c r="E30" s="40"/>
      <c r="F30" s="5" t="s">
        <v>39</v>
      </c>
      <c r="G30" s="6">
        <f>29*G32/20</f>
        <v>725</v>
      </c>
      <c r="H30" s="13">
        <f>C19-G30</f>
        <v>588</v>
      </c>
      <c r="I30" s="40"/>
      <c r="J30" s="27" t="s">
        <v>40</v>
      </c>
      <c r="K30" s="42">
        <v>7.0000000000000007E-2</v>
      </c>
      <c r="L30" s="40"/>
    </row>
    <row r="31" spans="1:12" ht="17.25" thickBot="1" x14ac:dyDescent="0.35">
      <c r="A31" s="40"/>
      <c r="B31" s="40"/>
      <c r="C31" s="40"/>
      <c r="D31" s="40"/>
      <c r="E31" s="40"/>
      <c r="F31" s="5" t="s">
        <v>41</v>
      </c>
      <c r="G31" s="6">
        <f>16*G32/20</f>
        <v>400</v>
      </c>
      <c r="H31" s="13">
        <f>C20-G31</f>
        <v>48</v>
      </c>
      <c r="I31" s="40"/>
      <c r="J31" s="28" t="s">
        <v>49</v>
      </c>
      <c r="K31" s="29">
        <f>INT(G20*(1+K30)/30)*30</f>
        <v>1380</v>
      </c>
      <c r="L31" s="40"/>
    </row>
    <row r="32" spans="1:12" ht="17.25" thickBot="1" x14ac:dyDescent="0.35">
      <c r="A32" s="40"/>
      <c r="B32" s="40"/>
      <c r="C32" s="40"/>
      <c r="D32" s="40"/>
      <c r="E32" s="40"/>
      <c r="F32" s="10" t="s">
        <v>42</v>
      </c>
      <c r="G32" s="11">
        <f>INT(C18/94)*20</f>
        <v>500</v>
      </c>
      <c r="H32" s="1"/>
      <c r="I32" s="40"/>
      <c r="J32" s="28" t="s">
        <v>35</v>
      </c>
      <c r="K32" s="29">
        <f>INT(G26*(1+K30)/30)*30</f>
        <v>1170</v>
      </c>
      <c r="L32" s="40"/>
    </row>
    <row r="33" spans="1:12" ht="17.25" thickBot="1" x14ac:dyDescent="0.35">
      <c r="A33" s="40"/>
      <c r="B33" s="40"/>
      <c r="C33" s="40"/>
      <c r="D33" s="40"/>
      <c r="E33" s="40"/>
      <c r="F33" s="40"/>
      <c r="G33" s="40"/>
      <c r="H33" s="40"/>
      <c r="I33" s="40"/>
      <c r="J33" s="28" t="s">
        <v>42</v>
      </c>
      <c r="K33" s="29">
        <f>INT(G32*(1+K30)/20)*20</f>
        <v>520</v>
      </c>
      <c r="L33" s="40"/>
    </row>
    <row r="34" spans="1:12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</row>
  </sheetData>
  <mergeCells count="3">
    <mergeCell ref="B2:G3"/>
    <mergeCell ref="L10:L11"/>
    <mergeCell ref="L16:L17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고고학 오레하 이윤표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YUJAEJUN</cp:lastModifiedBy>
  <cp:revision/>
  <dcterms:created xsi:type="dcterms:W3CDTF">2021-10-22T13:10:29Z</dcterms:created>
  <dcterms:modified xsi:type="dcterms:W3CDTF">2021-12-08T15:41:43Z</dcterms:modified>
  <cp:category/>
  <cp:contentStatus/>
</cp:coreProperties>
</file>