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dwj\OneDrive\바탕 화면\"/>
    </mc:Choice>
  </mc:AlternateContent>
  <xr:revisionPtr revIDLastSave="0" documentId="8_{67A35DA2-A55C-4EF7-827D-647060C9D6DF}" xr6:coauthVersionLast="47" xr6:coauthVersionMax="47" xr10:uidLastSave="{00000000-0000-0000-0000-000000000000}"/>
  <bookViews>
    <workbookView xWindow="-120" yWindow="-120" windowWidth="29040" windowHeight="15840" xr2:uid="{C853277B-F44C-4B07-A8F3-BB8831C785B9}"/>
  </bookViews>
  <sheets>
    <sheet name="사이클 딜계산" sheetId="1" r:id="rId1"/>
    <sheet name="내연 딜 계산" sheetId="2" r:id="rId2"/>
  </sheets>
  <definedNames>
    <definedName name="_xlnm._FilterDatabase" localSheetId="0" hidden="1">'사이클 딜계산'!$C$10:$C$16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N5" i="1"/>
  <c r="M5" i="1"/>
  <c r="N4" i="1"/>
  <c r="M4" i="1"/>
  <c r="I6" i="1"/>
  <c r="I14" i="1"/>
  <c r="I11" i="1"/>
  <c r="I10" i="1"/>
  <c r="I12" i="1"/>
  <c r="I13" i="1"/>
  <c r="K7" i="1"/>
  <c r="B9" i="2"/>
  <c r="G9" i="2" s="1"/>
  <c r="B14" i="2" s="1"/>
  <c r="F10" i="1"/>
  <c r="I5" i="1"/>
  <c r="K4" i="1"/>
  <c r="I16" i="1" s="1"/>
  <c r="I4" i="1"/>
  <c r="I7" i="1" l="1"/>
  <c r="J21" i="1" s="1"/>
  <c r="O28" i="1"/>
  <c r="I17" i="1"/>
  <c r="I15" i="1"/>
  <c r="K5" i="1"/>
  <c r="H21" i="1" l="1"/>
  <c r="M7" i="1"/>
  <c r="C22" i="1" s="1"/>
  <c r="M6" i="1"/>
  <c r="C21" i="1" s="1"/>
  <c r="E28" i="1" l="1"/>
  <c r="E29" i="1" s="1"/>
  <c r="D28" i="1"/>
  <c r="D29" i="1" s="1"/>
  <c r="C28" i="1"/>
  <c r="C29" i="1" s="1"/>
  <c r="I28" i="1"/>
  <c r="I29" i="1" s="1"/>
  <c r="J28" i="1"/>
  <c r="J29" i="1" s="1"/>
  <c r="K28" i="1"/>
  <c r="K29" i="1" s="1"/>
  <c r="C24" i="1"/>
  <c r="C23" i="1"/>
  <c r="H28" i="1" s="1"/>
  <c r="H29" i="1" s="1"/>
  <c r="G28" i="1" l="1"/>
  <c r="G29" i="1" s="1"/>
  <c r="F28" i="1"/>
  <c r="F29" i="1" s="1"/>
  <c r="I32" i="1" l="1"/>
  <c r="H32" i="1"/>
  <c r="D32" i="1"/>
  <c r="E32" i="1"/>
  <c r="J32" i="1"/>
  <c r="F32" i="1"/>
  <c r="G32" i="1"/>
  <c r="K32" i="1"/>
  <c r="C31" i="1"/>
  <c r="C34" i="1"/>
  <c r="D34" i="1" l="1"/>
  <c r="F34" i="1"/>
  <c r="C33" i="1"/>
  <c r="C32" i="1"/>
</calcChain>
</file>

<file path=xl/sharedStrings.xml><?xml version="1.0" encoding="utf-8"?>
<sst xmlns="http://schemas.openxmlformats.org/spreadsheetml/2006/main" count="125" uniqueCount="107">
  <si>
    <t>신속</t>
    <phoneticPr fontId="3" type="noConversion"/>
  </si>
  <si>
    <t>특화</t>
    <phoneticPr fontId="3" type="noConversion"/>
  </si>
  <si>
    <t>치명</t>
    <phoneticPr fontId="3" type="noConversion"/>
  </si>
  <si>
    <t>스탯</t>
    <phoneticPr fontId="3" type="noConversion"/>
  </si>
  <si>
    <t>개인특성</t>
    <phoneticPr fontId="3" type="noConversion"/>
  </si>
  <si>
    <t>신속쿨감</t>
    <phoneticPr fontId="3" type="noConversion"/>
  </si>
  <si>
    <t>신속이속</t>
    <phoneticPr fontId="3" type="noConversion"/>
  </si>
  <si>
    <t>보석쿨감</t>
    <phoneticPr fontId="3" type="noConversion"/>
  </si>
  <si>
    <t>오의뎀증</t>
    <phoneticPr fontId="3" type="noConversion"/>
  </si>
  <si>
    <t>치피</t>
    <phoneticPr fontId="3" type="noConversion"/>
  </si>
  <si>
    <t>각인</t>
    <phoneticPr fontId="3" type="noConversion"/>
  </si>
  <si>
    <t>원한</t>
    <phoneticPr fontId="3" type="noConversion"/>
  </si>
  <si>
    <t>예둔</t>
    <phoneticPr fontId="3" type="noConversion"/>
  </si>
  <si>
    <t>돌대</t>
    <phoneticPr fontId="3" type="noConversion"/>
  </si>
  <si>
    <t>저받</t>
    <phoneticPr fontId="3" type="noConversion"/>
  </si>
  <si>
    <t>질증</t>
    <phoneticPr fontId="3" type="noConversion"/>
  </si>
  <si>
    <t>용바o치적</t>
    <phoneticPr fontId="3" type="noConversion"/>
  </si>
  <si>
    <t>용바x치적</t>
    <phoneticPr fontId="3" type="noConversion"/>
  </si>
  <si>
    <t>아드 1</t>
    <phoneticPr fontId="3" type="noConversion"/>
  </si>
  <si>
    <t>아드 2</t>
    <phoneticPr fontId="3" type="noConversion"/>
  </si>
  <si>
    <t>아드 3</t>
    <phoneticPr fontId="3" type="noConversion"/>
  </si>
  <si>
    <t>오강 1</t>
    <phoneticPr fontId="3" type="noConversion"/>
  </si>
  <si>
    <t>오강 2</t>
    <phoneticPr fontId="3" type="noConversion"/>
  </si>
  <si>
    <t>오강 3</t>
    <phoneticPr fontId="3" type="noConversion"/>
  </si>
  <si>
    <t>홍염(월섬)</t>
    <phoneticPr fontId="3" type="noConversion"/>
  </si>
  <si>
    <t>사이클(s)</t>
    <phoneticPr fontId="3" type="noConversion"/>
  </si>
  <si>
    <t>유물셋</t>
    <phoneticPr fontId="3" type="noConversion"/>
  </si>
  <si>
    <t>지배</t>
    <phoneticPr fontId="3" type="noConversion"/>
  </si>
  <si>
    <t>환각</t>
    <phoneticPr fontId="3" type="noConversion"/>
  </si>
  <si>
    <t>유물 피증</t>
    <phoneticPr fontId="3" type="noConversion"/>
  </si>
  <si>
    <t>갈망적용</t>
    <phoneticPr fontId="3" type="noConversion"/>
  </si>
  <si>
    <t>바속x이속</t>
    <phoneticPr fontId="3" type="noConversion"/>
  </si>
  <si>
    <t>바속o이속</t>
    <phoneticPr fontId="3" type="noConversion"/>
  </si>
  <si>
    <t>이동속도</t>
    <phoneticPr fontId="3" type="noConversion"/>
  </si>
  <si>
    <t>바속x뎀증</t>
    <phoneticPr fontId="3" type="noConversion"/>
  </si>
  <si>
    <t>바속o뎀증</t>
    <phoneticPr fontId="3" type="noConversion"/>
  </si>
  <si>
    <t>트포작</t>
    <phoneticPr fontId="3" type="noConversion"/>
  </si>
  <si>
    <t>붕천공증</t>
    <phoneticPr fontId="3" type="noConversion"/>
  </si>
  <si>
    <t>바속</t>
    <phoneticPr fontId="3" type="noConversion"/>
  </si>
  <si>
    <t>붕천</t>
    <phoneticPr fontId="3" type="noConversion"/>
  </si>
  <si>
    <t>스킬공증</t>
    <phoneticPr fontId="3" type="noConversion"/>
  </si>
  <si>
    <t>뇌명</t>
    <phoneticPr fontId="3" type="noConversion"/>
  </si>
  <si>
    <t>섬열</t>
    <phoneticPr fontId="3" type="noConversion"/>
  </si>
  <si>
    <t>월섬</t>
    <phoneticPr fontId="3" type="noConversion"/>
  </si>
  <si>
    <t>내연</t>
    <phoneticPr fontId="3" type="noConversion"/>
  </si>
  <si>
    <t>화룡</t>
    <phoneticPr fontId="3" type="noConversion"/>
  </si>
  <si>
    <t>풍신</t>
    <phoneticPr fontId="3" type="noConversion"/>
  </si>
  <si>
    <t>폭쇄</t>
    <phoneticPr fontId="3" type="noConversion"/>
  </si>
  <si>
    <t>스킬계수(1회시전)</t>
    <phoneticPr fontId="3" type="noConversion"/>
  </si>
  <si>
    <t>추가치적</t>
    <phoneticPr fontId="3" type="noConversion"/>
  </si>
  <si>
    <t>정밀</t>
    <phoneticPr fontId="3" type="noConversion"/>
  </si>
  <si>
    <t>시너지</t>
    <phoneticPr fontId="3" type="noConversion"/>
  </si>
  <si>
    <t>10 같이</t>
    <phoneticPr fontId="3" type="noConversion"/>
  </si>
  <si>
    <t>자연수로 입력</t>
    <phoneticPr fontId="3" type="noConversion"/>
  </si>
  <si>
    <t>백어택 유무</t>
    <phoneticPr fontId="3" type="noConversion"/>
  </si>
  <si>
    <t>내공연소</t>
    <phoneticPr fontId="3" type="noConversion"/>
  </si>
  <si>
    <t>dps표상 최후의 속삭임 폭발 1회 데미지</t>
    <phoneticPr fontId="3" type="noConversion"/>
  </si>
  <si>
    <t>격렬한 전투 적용 1틱 데미지</t>
    <phoneticPr fontId="3" type="noConversion"/>
  </si>
  <si>
    <t>0~5초까지 0,9,18% 식으로 격전 데미지가 올라간다고 가정하였을때 격전이 전부 적용된 데미지의 7/8 만큼의 도트데미지를 가짐</t>
    <phoneticPr fontId="3" type="noConversion"/>
  </si>
  <si>
    <t>격렬한 전투 풀적용 틱데미지</t>
    <phoneticPr fontId="3" type="noConversion"/>
  </si>
  <si>
    <t>내공연소 풀히트시 데미지 가정</t>
    <phoneticPr fontId="3" type="noConversion"/>
  </si>
  <si>
    <t>격전 진입 평균 데미지</t>
    <phoneticPr fontId="3" type="noConversion"/>
  </si>
  <si>
    <t>스킬</t>
    <phoneticPr fontId="3" type="noConversion"/>
  </si>
  <si>
    <t>용바x</t>
    <phoneticPr fontId="3" type="noConversion"/>
  </si>
  <si>
    <t>용바o</t>
    <phoneticPr fontId="3" type="noConversion"/>
  </si>
  <si>
    <t>딜비중</t>
    <phoneticPr fontId="3" type="noConversion"/>
  </si>
  <si>
    <t>조건</t>
    <phoneticPr fontId="3" type="noConversion"/>
  </si>
  <si>
    <t>오의뎀증,3</t>
    <phoneticPr fontId="3" type="noConversion"/>
  </si>
  <si>
    <t>오의뎀증,4</t>
    <phoneticPr fontId="3" type="noConversion"/>
  </si>
  <si>
    <t>용바폭월화/붕섬(4,3)</t>
    <phoneticPr fontId="3" type="noConversion"/>
  </si>
  <si>
    <t>용바폭월풍/붕섬(4,3)</t>
    <phoneticPr fontId="3" type="noConversion"/>
  </si>
  <si>
    <t>용바폭월화/붕섬(4,4)</t>
    <phoneticPr fontId="3" type="noConversion"/>
  </si>
  <si>
    <t>용바폭월풍/붕섬(4,4)</t>
    <phoneticPr fontId="3" type="noConversion"/>
  </si>
  <si>
    <t>용바폭월섬뇌/붕섬</t>
    <phoneticPr fontId="3" type="noConversion"/>
  </si>
  <si>
    <t>섬열란아의 경우 암흑공격 트포작 반영</t>
    <phoneticPr fontId="3" type="noConversion"/>
  </si>
  <si>
    <t>섬열암흑</t>
    <phoneticPr fontId="3" type="noConversion"/>
  </si>
  <si>
    <t>섬열치적</t>
    <phoneticPr fontId="3" type="noConversion"/>
  </si>
  <si>
    <t>사이클(버블)</t>
    <phoneticPr fontId="3" type="noConversion"/>
  </si>
  <si>
    <t>10레벨</t>
    <phoneticPr fontId="3" type="noConversion"/>
  </si>
  <si>
    <t>11레벨</t>
    <phoneticPr fontId="3" type="noConversion"/>
  </si>
  <si>
    <t>12레벨</t>
    <phoneticPr fontId="3" type="noConversion"/>
  </si>
  <si>
    <t>풍신폭풍</t>
    <phoneticPr fontId="3" type="noConversion"/>
  </si>
  <si>
    <t>바속 가동률</t>
    <phoneticPr fontId="3" type="noConversion"/>
  </si>
  <si>
    <t>붕천 가동률</t>
    <phoneticPr fontId="3" type="noConversion"/>
  </si>
  <si>
    <t>내공 연소의 경우, 용바시간, 붕천 시간을 고려해</t>
    <phoneticPr fontId="3" type="noConversion"/>
  </si>
  <si>
    <t>기댓값으로 치피, 치뎀 효율 입력</t>
    <phoneticPr fontId="3" type="noConversion"/>
  </si>
  <si>
    <t>내연에 맞춰 용바x</t>
    <phoneticPr fontId="3" type="noConversion"/>
  </si>
  <si>
    <t>데미지 계산 순서 : 계수, 각인, 치적치피, 붕천 or 바속, 유물</t>
    <phoneticPr fontId="3" type="noConversion"/>
  </si>
  <si>
    <t>총데미지</t>
    <phoneticPr fontId="3" type="noConversion"/>
  </si>
  <si>
    <t>오의비중</t>
    <phoneticPr fontId="3" type="noConversion"/>
  </si>
  <si>
    <t>내연비중</t>
    <phoneticPr fontId="3" type="noConversion"/>
  </si>
  <si>
    <t>용바비중</t>
    <phoneticPr fontId="3" type="noConversion"/>
  </si>
  <si>
    <t>결과값</t>
    <phoneticPr fontId="3" type="noConversion"/>
  </si>
  <si>
    <t>이 내부는 값 수정 외에는 건드리지 마세요</t>
    <phoneticPr fontId="3" type="noConversion"/>
  </si>
  <si>
    <t>내연 틱 적중%</t>
    <phoneticPr fontId="3" type="noConversion"/>
  </si>
  <si>
    <t>멸화뎀증</t>
    <phoneticPr fontId="3" type="noConversion"/>
  </si>
  <si>
    <t>무기피증</t>
    <phoneticPr fontId="3" type="noConversion"/>
  </si>
  <si>
    <t>이론dps(수련장)</t>
    <phoneticPr fontId="3" type="noConversion"/>
  </si>
  <si>
    <t>공격력(기본)</t>
    <phoneticPr fontId="3" type="noConversion"/>
  </si>
  <si>
    <t>팔찌 피증</t>
    <phoneticPr fontId="3" type="noConversion"/>
  </si>
  <si>
    <t>세구빛</t>
    <phoneticPr fontId="3" type="noConversion"/>
  </si>
  <si>
    <t>홍염(섬열)</t>
    <phoneticPr fontId="3" type="noConversion"/>
  </si>
  <si>
    <t>용바폭월섬뇌</t>
    <phoneticPr fontId="3" type="noConversion"/>
  </si>
  <si>
    <t>데미지계수</t>
    <phoneticPr fontId="3" type="noConversion"/>
  </si>
  <si>
    <t>한사이클데미지(만)</t>
    <phoneticPr fontId="3" type="noConversion"/>
  </si>
  <si>
    <t>수련장(만)</t>
    <phoneticPr fontId="3" type="noConversion"/>
  </si>
  <si>
    <t>추가치뎀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</si>
</sst>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 tint="4.9989318521683403E-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0" fillId="0" borderId="5" xfId="0" applyBorder="1">
      <alignment vertical="center"/>
    </xf>
    <xf numFmtId="0" fontId="4" fillId="2" borderId="6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19" xfId="0" applyBorder="1">
      <alignment vertical="center"/>
    </xf>
    <xf numFmtId="9" fontId="0" fillId="0" borderId="0" xfId="1" applyFont="1" applyBorder="1">
      <alignment vertical="center"/>
    </xf>
    <xf numFmtId="9" fontId="0" fillId="0" borderId="1" xfId="1" applyFont="1" applyBorder="1">
      <alignment vertical="center"/>
    </xf>
    <xf numFmtId="2" fontId="0" fillId="0" borderId="23" xfId="0" applyNumberFormat="1" applyFill="1" applyBorder="1">
      <alignment vertical="center"/>
    </xf>
    <xf numFmtId="0" fontId="0" fillId="2" borderId="23" xfId="0" applyFill="1" applyBorder="1">
      <alignment vertical="center"/>
    </xf>
    <xf numFmtId="9" fontId="0" fillId="0" borderId="7" xfId="1" applyFont="1" applyBorder="1">
      <alignment vertical="center"/>
    </xf>
    <xf numFmtId="0" fontId="0" fillId="0" borderId="6" xfId="0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0" fontId="0" fillId="0" borderId="1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0" fontId="0" fillId="0" borderId="5" xfId="1" applyNumberFormat="1" applyFont="1" applyBorder="1">
      <alignment vertical="center"/>
    </xf>
    <xf numFmtId="10" fontId="0" fillId="0" borderId="7" xfId="0" applyNumberFormat="1" applyFill="1" applyBorder="1">
      <alignment vertical="center"/>
    </xf>
    <xf numFmtId="9" fontId="0" fillId="0" borderId="23" xfId="1" applyFont="1" applyBorder="1">
      <alignment vertical="center"/>
    </xf>
    <xf numFmtId="9" fontId="0" fillId="0" borderId="23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7" xfId="1" applyNumberFormat="1" applyFont="1" applyBorder="1">
      <alignment vertical="center"/>
    </xf>
    <xf numFmtId="0" fontId="5" fillId="2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Fill="1" applyBorder="1">
      <alignment vertical="center"/>
    </xf>
    <xf numFmtId="2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2" fontId="0" fillId="0" borderId="27" xfId="0" applyNumberFormat="1" applyBorder="1">
      <alignment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 applyAlignment="1">
      <alignment horizontal="center" vertical="center"/>
    </xf>
    <xf numFmtId="10" fontId="0" fillId="0" borderId="0" xfId="0" applyNumberFormat="1" applyFill="1" applyBorder="1">
      <alignment vertical="center"/>
    </xf>
    <xf numFmtId="10" fontId="2" fillId="0" borderId="0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21" xfId="1" applyFont="1" applyBorder="1">
      <alignment vertical="center"/>
    </xf>
    <xf numFmtId="0" fontId="0" fillId="0" borderId="21" xfId="0" applyBorder="1">
      <alignment vertical="center"/>
    </xf>
    <xf numFmtId="0" fontId="4" fillId="5" borderId="2" xfId="0" applyFont="1" applyFill="1" applyBorder="1">
      <alignment vertical="center"/>
    </xf>
    <xf numFmtId="0" fontId="4" fillId="5" borderId="22" xfId="0" applyFont="1" applyFill="1" applyBorder="1">
      <alignment vertical="center"/>
    </xf>
    <xf numFmtId="9" fontId="0" fillId="0" borderId="4" xfId="1" applyFont="1" applyBorder="1" applyAlignment="1">
      <alignment horizontal="left" vertical="center"/>
    </xf>
    <xf numFmtId="9" fontId="0" fillId="0" borderId="4" xfId="1" applyFont="1" applyFill="1" applyBorder="1" applyAlignment="1">
      <alignment horizontal="left" vertical="center"/>
    </xf>
    <xf numFmtId="9" fontId="0" fillId="0" borderId="6" xfId="1" applyFont="1" applyFill="1" applyBorder="1" applyAlignment="1">
      <alignment horizontal="left" vertical="center"/>
    </xf>
    <xf numFmtId="9" fontId="0" fillId="0" borderId="28" xfId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9" fontId="0" fillId="0" borderId="26" xfId="1" applyFont="1" applyBorder="1">
      <alignment vertical="center"/>
    </xf>
    <xf numFmtId="9" fontId="0" fillId="0" borderId="27" xfId="1" applyFont="1" applyBorder="1">
      <alignment vertical="center"/>
    </xf>
    <xf numFmtId="9" fontId="0" fillId="0" borderId="30" xfId="1" applyFont="1" applyBorder="1">
      <alignment vertical="center"/>
    </xf>
    <xf numFmtId="9" fontId="0" fillId="0" borderId="31" xfId="1" applyFont="1" applyBorder="1">
      <alignment vertical="center"/>
    </xf>
    <xf numFmtId="0" fontId="0" fillId="0" borderId="5" xfId="0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2" xfId="0" applyBorder="1">
      <alignment vertical="center"/>
    </xf>
    <xf numFmtId="0" fontId="4" fillId="5" borderId="25" xfId="0" applyFont="1" applyFill="1" applyBorder="1">
      <alignment vertical="center"/>
    </xf>
    <xf numFmtId="0" fontId="2" fillId="0" borderId="0" xfId="0" applyFont="1">
      <alignment vertical="center"/>
    </xf>
    <xf numFmtId="2" fontId="0" fillId="0" borderId="31" xfId="0" applyNumberFormat="1" applyBorder="1">
      <alignment vertical="center"/>
    </xf>
    <xf numFmtId="2" fontId="0" fillId="0" borderId="17" xfId="0" applyNumberFormat="1" applyBorder="1">
      <alignment vertical="center"/>
    </xf>
    <xf numFmtId="2" fontId="0" fillId="0" borderId="30" xfId="0" applyNumberFormat="1" applyBorder="1">
      <alignment vertical="center"/>
    </xf>
    <xf numFmtId="1" fontId="0" fillId="0" borderId="6" xfId="1" applyNumberFormat="1" applyFont="1" applyBorder="1">
      <alignment vertical="center"/>
    </xf>
    <xf numFmtId="1" fontId="0" fillId="0" borderId="23" xfId="1" applyNumberFormat="1" applyFont="1" applyBorder="1">
      <alignment vertical="center"/>
    </xf>
    <xf numFmtId="1" fontId="0" fillId="0" borderId="7" xfId="1" applyNumberFormat="1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2" borderId="30" xfId="0" applyFont="1" applyFill="1" applyBorder="1">
      <alignment vertical="center"/>
    </xf>
    <xf numFmtId="0" fontId="5" fillId="0" borderId="17" xfId="0" applyFont="1" applyBorder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9" fontId="0" fillId="5" borderId="2" xfId="1" applyFont="1" applyFill="1" applyBorder="1" applyAlignment="1">
      <alignment horizontal="center" vertical="center"/>
    </xf>
    <xf numFmtId="9" fontId="0" fillId="5" borderId="3" xfId="1" applyFont="1" applyFill="1" applyBorder="1" applyAlignment="1">
      <alignment horizontal="center" vertical="center"/>
    </xf>
    <xf numFmtId="1" fontId="0" fillId="0" borderId="6" xfId="1" applyNumberFormat="1" applyFont="1" applyBorder="1" applyAlignment="1">
      <alignment horizontal="center" vertical="center"/>
    </xf>
    <xf numFmtId="1" fontId="0" fillId="0" borderId="7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9" fontId="0" fillId="5" borderId="25" xfId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D10" lockText="1" noThreeD="1"/>
</file>

<file path=xl/ctrlProps/ctrlProp10.xml><?xml version="1.0" encoding="utf-8"?>
<formControlPr xmlns="http://schemas.microsoft.com/office/spreadsheetml/2009/9/main" objectType="CheckBox" fmlaLink="$D$19" lockText="1" noThreeD="1"/>
</file>

<file path=xl/ctrlProps/ctrlProp11.xml><?xml version="1.0" encoding="utf-8"?>
<formControlPr xmlns="http://schemas.microsoft.com/office/spreadsheetml/2009/9/main" objectType="CheckBox" fmlaLink="$D$20" lockText="1" noThreeD="1"/>
</file>

<file path=xl/ctrlProps/ctrlProp12.xml><?xml version="1.0" encoding="utf-8"?>
<formControlPr xmlns="http://schemas.microsoft.com/office/spreadsheetml/2009/9/main" objectType="CheckBox" checked="Checked" fmlaLink="$G$4" lockText="1" noThreeD="1"/>
</file>

<file path=xl/ctrlProps/ctrlProp13.xml><?xml version="1.0" encoding="utf-8"?>
<formControlPr xmlns="http://schemas.microsoft.com/office/spreadsheetml/2009/9/main" objectType="CheckBox" fmlaLink="$G$5" lockText="1" noThreeD="1"/>
</file>

<file path=xl/ctrlProps/ctrlProp14.xml><?xml version="1.0" encoding="utf-8"?>
<formControlPr xmlns="http://schemas.microsoft.com/office/spreadsheetml/2009/9/main" objectType="CheckBox" checked="Checked" fmlaLink="$G$6" lockText="1" noThreeD="1"/>
</file>

<file path=xl/ctrlProps/ctrlProp15.xml><?xml version="1.0" encoding="utf-8"?>
<formControlPr xmlns="http://schemas.microsoft.com/office/spreadsheetml/2009/9/main" objectType="CheckBox" checked="Checked" fmlaLink="$Q$4" lockText="1" noThreeD="1"/>
</file>

<file path=xl/ctrlProps/ctrlProp16.xml><?xml version="1.0" encoding="utf-8"?>
<formControlPr xmlns="http://schemas.microsoft.com/office/spreadsheetml/2009/9/main" objectType="CheckBox" checked="Checked" fmlaLink="$G$21" lockText="1" noThreeD="1"/>
</file>

<file path=xl/ctrlProps/ctrlProp17.xml><?xml version="1.0" encoding="utf-8"?>
<formControlPr xmlns="http://schemas.microsoft.com/office/spreadsheetml/2009/9/main" objectType="CheckBox" checked="Checked" fmlaLink="$Q$10" lockText="1" noThreeD="1"/>
</file>

<file path=xl/ctrlProps/ctrlProp18.xml><?xml version="1.0" encoding="utf-8"?>
<formControlPr xmlns="http://schemas.microsoft.com/office/spreadsheetml/2009/9/main" objectType="CheckBox" fmlaLink="$Q$12" lockText="1" noThreeD="1"/>
</file>

<file path=xl/ctrlProps/ctrlProp19.xml><?xml version="1.0" encoding="utf-8"?>
<formControlPr xmlns="http://schemas.microsoft.com/office/spreadsheetml/2009/9/main" objectType="CheckBox" fmlaLink="$Q$13" lockText="1" noThreeD="1"/>
</file>

<file path=xl/ctrlProps/ctrlProp2.xml><?xml version="1.0" encoding="utf-8"?>
<formControlPr xmlns="http://schemas.microsoft.com/office/spreadsheetml/2009/9/main" objectType="CheckBox" checked="Checked" fmlaLink="$D$11" lockText="1" noThreeD="1"/>
</file>

<file path=xl/ctrlProps/ctrlProp20.xml><?xml version="1.0" encoding="utf-8"?>
<formControlPr xmlns="http://schemas.microsoft.com/office/spreadsheetml/2009/9/main" objectType="CheckBox" fmlaLink="$Q$14" lockText="1" noThreeD="1"/>
</file>

<file path=xl/ctrlProps/ctrlProp21.xml><?xml version="1.0" encoding="utf-8"?>
<formControlPr xmlns="http://schemas.microsoft.com/office/spreadsheetml/2009/9/main" objectType="CheckBox" fmlaLink="$Q$15" lockText="1" noThreeD="1"/>
</file>

<file path=xl/ctrlProps/ctrlProp22.xml><?xml version="1.0" encoding="utf-8"?>
<formControlPr xmlns="http://schemas.microsoft.com/office/spreadsheetml/2009/9/main" objectType="CheckBox" fmlaLink="$Q$5" lockText="1" noThreeD="1"/>
</file>

<file path=xl/ctrlProps/ctrlProp23.xml><?xml version="1.0" encoding="utf-8"?>
<formControlPr xmlns="http://schemas.microsoft.com/office/spreadsheetml/2009/9/main" objectType="CheckBox" checked="Checked" fmlaLink="$R$10" lockText="1" noThreeD="1"/>
</file>

<file path=xl/ctrlProps/ctrlProp24.xml><?xml version="1.0" encoding="utf-8"?>
<formControlPr xmlns="http://schemas.microsoft.com/office/spreadsheetml/2009/9/main" objectType="CheckBox" fmlaLink="$R$11" lockText="1" noThreeD="1"/>
</file>

<file path=xl/ctrlProps/ctrlProp25.xml><?xml version="1.0" encoding="utf-8"?>
<formControlPr xmlns="http://schemas.microsoft.com/office/spreadsheetml/2009/9/main" objectType="CheckBox" fmlaLink="$R$12" lockText="1" noThreeD="1"/>
</file>

<file path=xl/ctrlProps/ctrlProp26.xml><?xml version="1.0" encoding="utf-8"?>
<formControlPr xmlns="http://schemas.microsoft.com/office/spreadsheetml/2009/9/main" objectType="CheckBox" fmlaLink="$R$13" lockText="1" noThreeD="1"/>
</file>

<file path=xl/ctrlProps/ctrlProp27.xml><?xml version="1.0" encoding="utf-8"?>
<formControlPr xmlns="http://schemas.microsoft.com/office/spreadsheetml/2009/9/main" objectType="CheckBox" fmlaLink="$R$14" lockText="1" noThreeD="1"/>
</file>

<file path=xl/ctrlProps/ctrlProp28.xml><?xml version="1.0" encoding="utf-8"?>
<formControlPr xmlns="http://schemas.microsoft.com/office/spreadsheetml/2009/9/main" objectType="CheckBox" fmlaLink="$R$15" lockText="1" noThreeD="1"/>
</file>

<file path=xl/ctrlProps/ctrlProp29.xml><?xml version="1.0" encoding="utf-8"?>
<formControlPr xmlns="http://schemas.microsoft.com/office/spreadsheetml/2009/9/main" objectType="CheckBox" fmlaLink="$R$16" lockText="1" noThreeD="1"/>
</file>

<file path=xl/ctrlProps/ctrlProp3.xml><?xml version="1.0" encoding="utf-8"?>
<formControlPr xmlns="http://schemas.microsoft.com/office/spreadsheetml/2009/9/main" objectType="CheckBox" checked="Checked" fmlaLink="$D$12" lockText="1" noThreeD="1"/>
</file>

<file path=xl/ctrlProps/ctrlProp30.xml><?xml version="1.0" encoding="utf-8"?>
<formControlPr xmlns="http://schemas.microsoft.com/office/spreadsheetml/2009/9/main" objectType="CheckBox" fmlaLink="$R$17" lockText="1" noThreeD="1"/>
</file>

<file path=xl/ctrlProps/ctrlProp31.xml><?xml version="1.0" encoding="utf-8"?>
<formControlPr xmlns="http://schemas.microsoft.com/office/spreadsheetml/2009/9/main" objectType="CheckBox" fmlaLink="$S$10" lockText="1" noThreeD="1"/>
</file>

<file path=xl/ctrlProps/ctrlProp32.xml><?xml version="1.0" encoding="utf-8"?>
<formControlPr xmlns="http://schemas.microsoft.com/office/spreadsheetml/2009/9/main" objectType="CheckBox" checked="Checked" fmlaLink="$S$11" lockText="1" noThreeD="1"/>
</file>

<file path=xl/ctrlProps/ctrlProp33.xml><?xml version="1.0" encoding="utf-8"?>
<formControlPr xmlns="http://schemas.microsoft.com/office/spreadsheetml/2009/9/main" objectType="CheckBox" fmlaLink="$S$12" lockText="1" noThreeD="1"/>
</file>

<file path=xl/ctrlProps/ctrlProp34.xml><?xml version="1.0" encoding="utf-8"?>
<formControlPr xmlns="http://schemas.microsoft.com/office/spreadsheetml/2009/9/main" objectType="CheckBox" fmlaLink="$S$13" lockText="1" noThreeD="1"/>
</file>

<file path=xl/ctrlProps/ctrlProp35.xml><?xml version="1.0" encoding="utf-8"?>
<formControlPr xmlns="http://schemas.microsoft.com/office/spreadsheetml/2009/9/main" objectType="CheckBox" fmlaLink="$S$14" lockText="1" noThreeD="1"/>
</file>

<file path=xl/ctrlProps/ctrlProp36.xml><?xml version="1.0" encoding="utf-8"?>
<formControlPr xmlns="http://schemas.microsoft.com/office/spreadsheetml/2009/9/main" objectType="CheckBox" fmlaLink="$S$15" lockText="1" noThreeD="1"/>
</file>

<file path=xl/ctrlProps/ctrlProp37.xml><?xml version="1.0" encoding="utf-8"?>
<formControlPr xmlns="http://schemas.microsoft.com/office/spreadsheetml/2009/9/main" objectType="CheckBox" fmlaLink="$S$16" lockText="1" noThreeD="1"/>
</file>

<file path=xl/ctrlProps/ctrlProp38.xml><?xml version="1.0" encoding="utf-8"?>
<formControlPr xmlns="http://schemas.microsoft.com/office/spreadsheetml/2009/9/main" objectType="CheckBox" fmlaLink="$S$17" lockText="1" noThreeD="1"/>
</file>

<file path=xl/ctrlProps/ctrlProp39.xml><?xml version="1.0" encoding="utf-8"?>
<formControlPr xmlns="http://schemas.microsoft.com/office/spreadsheetml/2009/9/main" objectType="CheckBox" fmlaLink="$T$10" lockText="1" noThreeD="1"/>
</file>

<file path=xl/ctrlProps/ctrlProp4.xml><?xml version="1.0" encoding="utf-8"?>
<formControlPr xmlns="http://schemas.microsoft.com/office/spreadsheetml/2009/9/main" objectType="CheckBox" fmlaLink="$D$13" lockText="1" noThreeD="1"/>
</file>

<file path=xl/ctrlProps/ctrlProp40.xml><?xml version="1.0" encoding="utf-8"?>
<formControlPr xmlns="http://schemas.microsoft.com/office/spreadsheetml/2009/9/main" objectType="CheckBox" fmlaLink="$T$11" lockText="1" noThreeD="1"/>
</file>

<file path=xl/ctrlProps/ctrlProp41.xml><?xml version="1.0" encoding="utf-8"?>
<formControlPr xmlns="http://schemas.microsoft.com/office/spreadsheetml/2009/9/main" objectType="CheckBox" checked="Checked" fmlaLink="$T$12" lockText="1" noThreeD="1"/>
</file>

<file path=xl/ctrlProps/ctrlProp42.xml><?xml version="1.0" encoding="utf-8"?>
<formControlPr xmlns="http://schemas.microsoft.com/office/spreadsheetml/2009/9/main" objectType="CheckBox" checked="Checked" fmlaLink="$T$13" lockText="1" noThreeD="1"/>
</file>

<file path=xl/ctrlProps/ctrlProp43.xml><?xml version="1.0" encoding="utf-8"?>
<formControlPr xmlns="http://schemas.microsoft.com/office/spreadsheetml/2009/9/main" objectType="CheckBox" checked="Checked" fmlaLink="$T$14" lockText="1" noThreeD="1"/>
</file>

<file path=xl/ctrlProps/ctrlProp44.xml><?xml version="1.0" encoding="utf-8"?>
<formControlPr xmlns="http://schemas.microsoft.com/office/spreadsheetml/2009/9/main" objectType="CheckBox" fmlaLink="$T$15" lockText="1" noThreeD="1"/>
</file>

<file path=xl/ctrlProps/ctrlProp45.xml><?xml version="1.0" encoding="utf-8"?>
<formControlPr xmlns="http://schemas.microsoft.com/office/spreadsheetml/2009/9/main" objectType="CheckBox" fmlaLink="$T$16" lockText="1" noThreeD="1"/>
</file>

<file path=xl/ctrlProps/ctrlProp46.xml><?xml version="1.0" encoding="utf-8"?>
<formControlPr xmlns="http://schemas.microsoft.com/office/spreadsheetml/2009/9/main" objectType="CheckBox" checked="Checked" fmlaLink="$T$17" lockText="1" noThreeD="1"/>
</file>

<file path=xl/ctrlProps/ctrlProp47.xml><?xml version="1.0" encoding="utf-8"?>
<formControlPr xmlns="http://schemas.microsoft.com/office/spreadsheetml/2009/9/main" objectType="CheckBox" fmlaLink="$Q$6" lockText="1" noThreeD="1"/>
</file>

<file path=xl/ctrlProps/ctrlProp48.xml><?xml version="1.0" encoding="utf-8"?>
<formControlPr xmlns="http://schemas.microsoft.com/office/spreadsheetml/2009/9/main" objectType="CheckBox" fmlaLink="$P$17" lockText="1" noThreeD="1"/>
</file>

<file path=xl/ctrlProps/ctrlProp49.xml><?xml version="1.0" encoding="utf-8"?>
<formControlPr xmlns="http://schemas.microsoft.com/office/spreadsheetml/2009/9/main" objectType="CheckBox" fmlaLink="$P$18" lockText="1" noThreeD="1"/>
</file>

<file path=xl/ctrlProps/ctrlProp5.xml><?xml version="1.0" encoding="utf-8"?>
<formControlPr xmlns="http://schemas.microsoft.com/office/spreadsheetml/2009/9/main" objectType="CheckBox" checked="Checked" fmlaLink="$D$14" lockText="1" noThreeD="1"/>
</file>

<file path=xl/ctrlProps/ctrlProp50.xml><?xml version="1.0" encoding="utf-8"?>
<formControlPr xmlns="http://schemas.microsoft.com/office/spreadsheetml/2009/9/main" objectType="CheckBox" fmlaLink="$P$19" lockText="1" noThreeD="1"/>
</file>

<file path=xl/ctrlProps/ctrlProp51.xml><?xml version="1.0" encoding="utf-8"?>
<formControlPr xmlns="http://schemas.microsoft.com/office/spreadsheetml/2009/9/main" objectType="CheckBox" fmlaLink="$P$20" lockText="1" noThreeD="1"/>
</file>

<file path=xl/ctrlProps/ctrlProp52.xml><?xml version="1.0" encoding="utf-8"?>
<formControlPr xmlns="http://schemas.microsoft.com/office/spreadsheetml/2009/9/main" objectType="CheckBox" checked="Checked" fmlaLink="$P$21" lockText="1" noThreeD="1"/>
</file>

<file path=xl/ctrlProps/ctrlProp53.xml><?xml version="1.0" encoding="utf-8"?>
<formControlPr xmlns="http://schemas.microsoft.com/office/spreadsheetml/2009/9/main" objectType="CheckBox" fmlaLink="$Q$11" lockText="1" noThreeD="1"/>
</file>

<file path=xl/ctrlProps/ctrlProp6.xml><?xml version="1.0" encoding="utf-8"?>
<formControlPr xmlns="http://schemas.microsoft.com/office/spreadsheetml/2009/9/main" objectType="CheckBox" fmlaLink="$D$15" lockText="1" noThreeD="1"/>
</file>

<file path=xl/ctrlProps/ctrlProp7.xml><?xml version="1.0" encoding="utf-8"?>
<formControlPr xmlns="http://schemas.microsoft.com/office/spreadsheetml/2009/9/main" objectType="CheckBox" checked="Checked" fmlaLink="$D$16" lockText="1" noThreeD="1"/>
</file>

<file path=xl/ctrlProps/ctrlProp8.xml><?xml version="1.0" encoding="utf-8"?>
<formControlPr xmlns="http://schemas.microsoft.com/office/spreadsheetml/2009/9/main" objectType="CheckBox" fmlaLink="$D$17" lockText="1" noThreeD="1"/>
</file>

<file path=xl/ctrlProps/ctrlProp9.xml><?xml version="1.0" encoding="utf-8"?>
<formControlPr xmlns="http://schemas.microsoft.com/office/spreadsheetml/2009/9/main" objectType="CheckBox" checked="Checked" fmlaLink="$D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200025</xdr:rowOff>
        </xdr:from>
        <xdr:to>
          <xdr:col>2</xdr:col>
          <xdr:colOff>485775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</xdr:row>
          <xdr:rowOff>200025</xdr:rowOff>
        </xdr:from>
        <xdr:to>
          <xdr:col>2</xdr:col>
          <xdr:colOff>485775</xdr:colOff>
          <xdr:row>11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200025</xdr:rowOff>
        </xdr:from>
        <xdr:to>
          <xdr:col>2</xdr:col>
          <xdr:colOff>485775</xdr:colOff>
          <xdr:row>12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</xdr:row>
          <xdr:rowOff>200025</xdr:rowOff>
        </xdr:from>
        <xdr:to>
          <xdr:col>2</xdr:col>
          <xdr:colOff>485775</xdr:colOff>
          <xdr:row>13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200025</xdr:rowOff>
        </xdr:from>
        <xdr:to>
          <xdr:col>2</xdr:col>
          <xdr:colOff>485775</xdr:colOff>
          <xdr:row>14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13</xdr:row>
          <xdr:rowOff>200025</xdr:rowOff>
        </xdr:from>
        <xdr:to>
          <xdr:col>2</xdr:col>
          <xdr:colOff>485775</xdr:colOff>
          <xdr:row>15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200025</xdr:rowOff>
        </xdr:from>
        <xdr:to>
          <xdr:col>2</xdr:col>
          <xdr:colOff>485775</xdr:colOff>
          <xdr:row>16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200025</xdr:rowOff>
        </xdr:from>
        <xdr:to>
          <xdr:col>2</xdr:col>
          <xdr:colOff>485775</xdr:colOff>
          <xdr:row>17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200025</xdr:rowOff>
        </xdr:from>
        <xdr:to>
          <xdr:col>2</xdr:col>
          <xdr:colOff>485775</xdr:colOff>
          <xdr:row>18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200025</xdr:rowOff>
        </xdr:from>
        <xdr:to>
          <xdr:col>2</xdr:col>
          <xdr:colOff>485775</xdr:colOff>
          <xdr:row>19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18</xdr:row>
          <xdr:rowOff>200025</xdr:rowOff>
        </xdr:from>
        <xdr:to>
          <xdr:col>2</xdr:col>
          <xdr:colOff>485775</xdr:colOff>
          <xdr:row>20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200025</xdr:rowOff>
        </xdr:from>
        <xdr:to>
          <xdr:col>5</xdr:col>
          <xdr:colOff>485775</xdr:colOff>
          <xdr:row>4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200025</xdr:rowOff>
        </xdr:from>
        <xdr:to>
          <xdr:col>5</xdr:col>
          <xdr:colOff>485775</xdr:colOff>
          <xdr:row>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200025</xdr:rowOff>
        </xdr:from>
        <xdr:to>
          <xdr:col>5</xdr:col>
          <xdr:colOff>485775</xdr:colOff>
          <xdr:row>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</xdr:row>
          <xdr:rowOff>200025</xdr:rowOff>
        </xdr:from>
        <xdr:to>
          <xdr:col>15</xdr:col>
          <xdr:colOff>485775</xdr:colOff>
          <xdr:row>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19</xdr:row>
          <xdr:rowOff>200025</xdr:rowOff>
        </xdr:from>
        <xdr:to>
          <xdr:col>5</xdr:col>
          <xdr:colOff>161925</xdr:colOff>
          <xdr:row>21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8</xdr:row>
          <xdr:rowOff>200025</xdr:rowOff>
        </xdr:from>
        <xdr:to>
          <xdr:col>15</xdr:col>
          <xdr:colOff>485775</xdr:colOff>
          <xdr:row>10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</xdr:row>
          <xdr:rowOff>200025</xdr:rowOff>
        </xdr:from>
        <xdr:to>
          <xdr:col>15</xdr:col>
          <xdr:colOff>485775</xdr:colOff>
          <xdr:row>12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11</xdr:row>
          <xdr:rowOff>200025</xdr:rowOff>
        </xdr:from>
        <xdr:to>
          <xdr:col>15</xdr:col>
          <xdr:colOff>485775</xdr:colOff>
          <xdr:row>13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12</xdr:row>
          <xdr:rowOff>200025</xdr:rowOff>
        </xdr:from>
        <xdr:to>
          <xdr:col>15</xdr:col>
          <xdr:colOff>485775</xdr:colOff>
          <xdr:row>14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13</xdr:row>
          <xdr:rowOff>200025</xdr:rowOff>
        </xdr:from>
        <xdr:to>
          <xdr:col>15</xdr:col>
          <xdr:colOff>485775</xdr:colOff>
          <xdr:row>15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</xdr:row>
          <xdr:rowOff>200025</xdr:rowOff>
        </xdr:from>
        <xdr:to>
          <xdr:col>15</xdr:col>
          <xdr:colOff>485775</xdr:colOff>
          <xdr:row>5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200025</xdr:rowOff>
        </xdr:from>
        <xdr:to>
          <xdr:col>9</xdr:col>
          <xdr:colOff>485775</xdr:colOff>
          <xdr:row>10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</xdr:row>
          <xdr:rowOff>200025</xdr:rowOff>
        </xdr:from>
        <xdr:to>
          <xdr:col>9</xdr:col>
          <xdr:colOff>485775</xdr:colOff>
          <xdr:row>11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200025</xdr:rowOff>
        </xdr:from>
        <xdr:to>
          <xdr:col>9</xdr:col>
          <xdr:colOff>485775</xdr:colOff>
          <xdr:row>12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200025</xdr:rowOff>
        </xdr:from>
        <xdr:to>
          <xdr:col>9</xdr:col>
          <xdr:colOff>485775</xdr:colOff>
          <xdr:row>13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200025</xdr:rowOff>
        </xdr:from>
        <xdr:to>
          <xdr:col>9</xdr:col>
          <xdr:colOff>485775</xdr:colOff>
          <xdr:row>14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200025</xdr:rowOff>
        </xdr:from>
        <xdr:to>
          <xdr:col>9</xdr:col>
          <xdr:colOff>485775</xdr:colOff>
          <xdr:row>15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200025</xdr:rowOff>
        </xdr:from>
        <xdr:to>
          <xdr:col>9</xdr:col>
          <xdr:colOff>485775</xdr:colOff>
          <xdr:row>16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15</xdr:row>
          <xdr:rowOff>200025</xdr:rowOff>
        </xdr:from>
        <xdr:to>
          <xdr:col>9</xdr:col>
          <xdr:colOff>485775</xdr:colOff>
          <xdr:row>17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200025</xdr:rowOff>
        </xdr:from>
        <xdr:to>
          <xdr:col>10</xdr:col>
          <xdr:colOff>485775</xdr:colOff>
          <xdr:row>10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200025</xdr:rowOff>
        </xdr:from>
        <xdr:to>
          <xdr:col>10</xdr:col>
          <xdr:colOff>485775</xdr:colOff>
          <xdr:row>11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200025</xdr:rowOff>
        </xdr:from>
        <xdr:to>
          <xdr:col>10</xdr:col>
          <xdr:colOff>485775</xdr:colOff>
          <xdr:row>12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200025</xdr:rowOff>
        </xdr:from>
        <xdr:to>
          <xdr:col>10</xdr:col>
          <xdr:colOff>485775</xdr:colOff>
          <xdr:row>13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200025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200025</xdr:rowOff>
        </xdr:from>
        <xdr:to>
          <xdr:col>10</xdr:col>
          <xdr:colOff>485775</xdr:colOff>
          <xdr:row>15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200025</xdr:rowOff>
        </xdr:from>
        <xdr:to>
          <xdr:col>10</xdr:col>
          <xdr:colOff>485775</xdr:colOff>
          <xdr:row>16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</xdr:row>
          <xdr:rowOff>200025</xdr:rowOff>
        </xdr:from>
        <xdr:to>
          <xdr:col>10</xdr:col>
          <xdr:colOff>485775</xdr:colOff>
          <xdr:row>17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200025</xdr:rowOff>
        </xdr:from>
        <xdr:to>
          <xdr:col>11</xdr:col>
          <xdr:colOff>485775</xdr:colOff>
          <xdr:row>10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200025</xdr:rowOff>
        </xdr:from>
        <xdr:to>
          <xdr:col>11</xdr:col>
          <xdr:colOff>485775</xdr:colOff>
          <xdr:row>11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200025</xdr:rowOff>
        </xdr:from>
        <xdr:to>
          <xdr:col>11</xdr:col>
          <xdr:colOff>485775</xdr:colOff>
          <xdr:row>12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200025</xdr:rowOff>
        </xdr:from>
        <xdr:to>
          <xdr:col>11</xdr:col>
          <xdr:colOff>485775</xdr:colOff>
          <xdr:row>13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200025</xdr:rowOff>
        </xdr:from>
        <xdr:to>
          <xdr:col>11</xdr:col>
          <xdr:colOff>485775</xdr:colOff>
          <xdr:row>14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200025</xdr:rowOff>
        </xdr:from>
        <xdr:to>
          <xdr:col>11</xdr:col>
          <xdr:colOff>485775</xdr:colOff>
          <xdr:row>15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200025</xdr:rowOff>
        </xdr:from>
        <xdr:to>
          <xdr:col>11</xdr:col>
          <xdr:colOff>485775</xdr:colOff>
          <xdr:row>16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</xdr:row>
          <xdr:rowOff>200025</xdr:rowOff>
        </xdr:from>
        <xdr:to>
          <xdr:col>11</xdr:col>
          <xdr:colOff>485775</xdr:colOff>
          <xdr:row>17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4</xdr:row>
          <xdr:rowOff>200025</xdr:rowOff>
        </xdr:from>
        <xdr:to>
          <xdr:col>15</xdr:col>
          <xdr:colOff>485775</xdr:colOff>
          <xdr:row>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15</xdr:row>
          <xdr:rowOff>200025</xdr:rowOff>
        </xdr:from>
        <xdr:to>
          <xdr:col>14</xdr:col>
          <xdr:colOff>485775</xdr:colOff>
          <xdr:row>17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16</xdr:row>
          <xdr:rowOff>200025</xdr:rowOff>
        </xdr:from>
        <xdr:to>
          <xdr:col>14</xdr:col>
          <xdr:colOff>485775</xdr:colOff>
          <xdr:row>18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17</xdr:row>
          <xdr:rowOff>200025</xdr:rowOff>
        </xdr:from>
        <xdr:to>
          <xdr:col>14</xdr:col>
          <xdr:colOff>485775</xdr:colOff>
          <xdr:row>19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18</xdr:row>
          <xdr:rowOff>200025</xdr:rowOff>
        </xdr:from>
        <xdr:to>
          <xdr:col>14</xdr:col>
          <xdr:colOff>485775</xdr:colOff>
          <xdr:row>20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200025</xdr:rowOff>
        </xdr:from>
        <xdr:to>
          <xdr:col>14</xdr:col>
          <xdr:colOff>485775</xdr:colOff>
          <xdr:row>21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9</xdr:row>
          <xdr:rowOff>200025</xdr:rowOff>
        </xdr:from>
        <xdr:to>
          <xdr:col>15</xdr:col>
          <xdr:colOff>485775</xdr:colOff>
          <xdr:row>11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3818F-A403-4F21-BAE8-83A26B747EB2}">
  <dimension ref="B1:U34"/>
  <sheetViews>
    <sheetView tabSelected="1" zoomScaleNormal="100" workbookViewId="0">
      <selection activeCell="T15" sqref="T15"/>
    </sheetView>
  </sheetViews>
  <sheetFormatPr defaultRowHeight="16.5"/>
  <cols>
    <col min="2" max="2" width="9.875" customWidth="1"/>
    <col min="7" max="7" width="9.5" bestFit="1" customWidth="1"/>
    <col min="23" max="24" width="11.625" bestFit="1" customWidth="1"/>
  </cols>
  <sheetData>
    <row r="1" spans="2:21" ht="17.25" thickBot="1"/>
    <row r="2" spans="2:21" ht="17.25" thickBot="1">
      <c r="B2" s="129" t="s">
        <v>93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0"/>
      <c r="T2" s="130"/>
      <c r="U2" s="132"/>
    </row>
    <row r="3" spans="2:21">
      <c r="B3" s="97" t="s">
        <v>4</v>
      </c>
      <c r="C3" s="98"/>
      <c r="D3" s="52"/>
      <c r="E3" s="97" t="s">
        <v>26</v>
      </c>
      <c r="F3" s="98"/>
      <c r="G3" s="52"/>
      <c r="H3" s="97" t="s">
        <v>3</v>
      </c>
      <c r="I3" s="142"/>
      <c r="J3" s="142"/>
      <c r="K3" s="142"/>
      <c r="L3" s="142"/>
      <c r="M3" s="98"/>
      <c r="N3" s="52"/>
      <c r="O3" s="97" t="s">
        <v>36</v>
      </c>
      <c r="P3" s="98"/>
      <c r="Q3" s="52"/>
      <c r="R3" s="106" t="s">
        <v>98</v>
      </c>
      <c r="S3" s="107"/>
      <c r="T3" s="101" t="s">
        <v>100</v>
      </c>
      <c r="U3" s="102"/>
    </row>
    <row r="4" spans="2:21" ht="17.25" thickBot="1">
      <c r="B4" s="3" t="s">
        <v>0</v>
      </c>
      <c r="C4" s="4">
        <v>1841</v>
      </c>
      <c r="D4" s="13"/>
      <c r="E4" s="16" t="s">
        <v>27</v>
      </c>
      <c r="F4" s="4"/>
      <c r="G4" s="53" t="b">
        <v>1</v>
      </c>
      <c r="H4" s="16" t="s">
        <v>5</v>
      </c>
      <c r="I4" s="28">
        <f>$C$4*0.0002147</f>
        <v>0.39526269999999997</v>
      </c>
      <c r="J4" s="15" t="s">
        <v>8</v>
      </c>
      <c r="K4" s="28">
        <f>$C$5*0.0003218</f>
        <v>1.80208E-2</v>
      </c>
      <c r="L4" s="15" t="s">
        <v>16</v>
      </c>
      <c r="M4" s="30">
        <f>IF(($M$5+0.344)&gt;1,1,($M$5+0.344))</f>
        <v>0.77448759999999994</v>
      </c>
      <c r="N4" s="47">
        <f>($N$5+0.344)</f>
        <v>0.67448759999999996</v>
      </c>
      <c r="O4" s="16" t="s">
        <v>37</v>
      </c>
      <c r="P4" s="4"/>
      <c r="Q4" s="53" t="b">
        <v>1</v>
      </c>
      <c r="R4" s="108">
        <v>41948</v>
      </c>
      <c r="S4" s="109"/>
      <c r="T4" s="103">
        <v>8</v>
      </c>
      <c r="U4" s="104"/>
    </row>
    <row r="5" spans="2:21" ht="17.25" thickBot="1">
      <c r="B5" s="3" t="s">
        <v>1</v>
      </c>
      <c r="C5" s="4">
        <v>56</v>
      </c>
      <c r="D5" s="13"/>
      <c r="E5" s="17" t="s">
        <v>28</v>
      </c>
      <c r="F5" s="6"/>
      <c r="G5" s="53" t="b">
        <v>0</v>
      </c>
      <c r="H5" s="16" t="s">
        <v>6</v>
      </c>
      <c r="I5" s="28">
        <f>$C$4/5821</f>
        <v>0.31626868235698335</v>
      </c>
      <c r="J5" s="15" t="s">
        <v>33</v>
      </c>
      <c r="K5" s="28">
        <f>IF($I$5+$G$6*0.1&lt;0.4,$I$5+$G$6*0.1,0.4)</f>
        <v>0.4</v>
      </c>
      <c r="L5" s="15" t="s">
        <v>17</v>
      </c>
      <c r="M5" s="30">
        <f>($C$6*0.03579)*0.01+$G$5*0.25+($F$14+$F$15)*0.01+$G$21*0.1+($D$15*0.05+$D$16*0.1+D17*0.15)</f>
        <v>0.43048759999999997</v>
      </c>
      <c r="N5" s="47">
        <f>($C$6*0.03579)*0.01+$G$5*0.25+($F$14+$F$15)*0.01+($D$15*0.05+$D$16*0.1+$D$17*0.15)</f>
        <v>0.33048759999999999</v>
      </c>
      <c r="O5" s="16" t="s">
        <v>75</v>
      </c>
      <c r="P5" s="4"/>
      <c r="Q5" s="53" t="b">
        <v>0</v>
      </c>
      <c r="R5" s="110" t="s">
        <v>96</v>
      </c>
      <c r="S5" s="111"/>
      <c r="T5" s="82"/>
      <c r="U5" s="83"/>
    </row>
    <row r="6" spans="2:21" ht="17.25" thickBot="1">
      <c r="B6" s="3" t="s">
        <v>2</v>
      </c>
      <c r="C6" s="4">
        <v>644</v>
      </c>
      <c r="D6" s="13"/>
      <c r="E6" s="18" t="s">
        <v>30</v>
      </c>
      <c r="F6" s="19"/>
      <c r="G6" s="53" t="b">
        <v>1</v>
      </c>
      <c r="H6" s="16" t="s">
        <v>7</v>
      </c>
      <c r="I6" s="21">
        <f>$C$7*0.02*(1-$Q$10)+$C$8*0.02*$Q$10</f>
        <v>0.2</v>
      </c>
      <c r="J6" s="15" t="s">
        <v>9</v>
      </c>
      <c r="K6" s="21">
        <f>2+0.5*$D$11+E17*0.01</f>
        <v>2.5</v>
      </c>
      <c r="L6" s="15" t="s">
        <v>32</v>
      </c>
      <c r="M6" s="30">
        <f>IF($K$5+0.16&lt;0.4,$K$5+0.16,0.4)</f>
        <v>0.4</v>
      </c>
      <c r="N6" s="47"/>
      <c r="O6" s="17" t="s">
        <v>81</v>
      </c>
      <c r="P6" s="6"/>
      <c r="Q6" s="53" t="b">
        <v>0</v>
      </c>
      <c r="R6" s="108">
        <v>29.61</v>
      </c>
      <c r="S6" s="112"/>
      <c r="U6" s="7"/>
    </row>
    <row r="7" spans="2:21" ht="17.25" thickBot="1">
      <c r="B7" s="3" t="s">
        <v>24</v>
      </c>
      <c r="C7" s="70">
        <v>10</v>
      </c>
      <c r="D7" s="14"/>
      <c r="E7" s="14"/>
      <c r="F7" s="14"/>
      <c r="G7" s="14"/>
      <c r="H7" s="17" t="s">
        <v>25</v>
      </c>
      <c r="I7" s="22">
        <f>22*(1-$I$4)*(1-$I$6)*(1-$G$4*0.18)*(1-$Q$10)+28*(1-$I$4)*(1-$I$6)*(1-$G$4*0.18)*$Q$10</f>
        <v>11.107814726400001</v>
      </c>
      <c r="J7" s="23" t="s">
        <v>29</v>
      </c>
      <c r="K7" s="33">
        <f>IF($G$4*1+$G$5*1&gt;0,$G$4*1.28*1.18+$G$5*1.29,1)</f>
        <v>1.5104</v>
      </c>
      <c r="L7" s="23" t="s">
        <v>31</v>
      </c>
      <c r="M7" s="31">
        <f>$K$5</f>
        <v>0.4</v>
      </c>
      <c r="N7" s="46"/>
      <c r="O7" s="13"/>
      <c r="P7" s="13"/>
      <c r="Q7" s="13"/>
      <c r="R7" s="113" t="s">
        <v>99</v>
      </c>
      <c r="S7" s="114"/>
      <c r="U7" s="7"/>
    </row>
    <row r="8" spans="2:21" ht="17.25" thickBot="1">
      <c r="B8" s="5" t="s">
        <v>101</v>
      </c>
      <c r="C8" s="6">
        <v>10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88">
        <v>2.5</v>
      </c>
      <c r="S8" s="89"/>
      <c r="U8" s="7"/>
    </row>
    <row r="9" spans="2:21">
      <c r="B9" s="140" t="s">
        <v>10</v>
      </c>
      <c r="C9" s="141"/>
      <c r="D9" s="13"/>
      <c r="E9" s="97" t="s">
        <v>40</v>
      </c>
      <c r="F9" s="98"/>
      <c r="G9" s="13"/>
      <c r="H9" s="97" t="s">
        <v>48</v>
      </c>
      <c r="I9" s="105"/>
      <c r="J9" s="59" t="s">
        <v>78</v>
      </c>
      <c r="K9" s="60" t="s">
        <v>79</v>
      </c>
      <c r="L9" s="60" t="s">
        <v>80</v>
      </c>
      <c r="M9" s="74" t="s">
        <v>95</v>
      </c>
      <c r="N9" s="115" t="s">
        <v>77</v>
      </c>
      <c r="O9" s="116"/>
      <c r="P9" s="87"/>
      <c r="Q9" s="13"/>
      <c r="R9" s="13"/>
      <c r="S9" s="13"/>
      <c r="T9" s="13"/>
      <c r="U9" s="7"/>
    </row>
    <row r="10" spans="2:21">
      <c r="B10" s="9" t="s">
        <v>11</v>
      </c>
      <c r="C10" s="4"/>
      <c r="D10" s="53" t="b">
        <v>1</v>
      </c>
      <c r="E10" s="36" t="s">
        <v>39</v>
      </c>
      <c r="F10" s="26">
        <f>1.15+$Q$4*0.126</f>
        <v>1.2759999999999998</v>
      </c>
      <c r="G10" s="53"/>
      <c r="H10" s="16" t="s">
        <v>39</v>
      </c>
      <c r="I10" s="40">
        <f>3.45*(1+$G$21*0.05)*(1+S10*0.088)*(1+T10*0.14)*(1+M10*0.01)</f>
        <v>3.6225000000000005</v>
      </c>
      <c r="J10" s="43"/>
      <c r="K10" s="1"/>
      <c r="L10" s="1"/>
      <c r="M10" s="71">
        <v>0</v>
      </c>
      <c r="N10" s="99" t="s">
        <v>73</v>
      </c>
      <c r="O10" s="100"/>
      <c r="P10" s="72"/>
      <c r="Q10" s="39" t="b">
        <v>1</v>
      </c>
      <c r="R10" s="53" t="b">
        <v>1</v>
      </c>
      <c r="S10" s="53" t="b">
        <v>0</v>
      </c>
      <c r="T10" s="53" t="b">
        <v>0</v>
      </c>
      <c r="U10" s="7"/>
    </row>
    <row r="11" spans="2:21" ht="17.25" thickBot="1">
      <c r="B11" s="9" t="s">
        <v>12</v>
      </c>
      <c r="C11" s="4"/>
      <c r="D11" s="53" t="b">
        <v>1</v>
      </c>
      <c r="E11" s="37" t="s">
        <v>38</v>
      </c>
      <c r="F11" s="27">
        <v>1.4970000000000001</v>
      </c>
      <c r="G11" s="53"/>
      <c r="H11" s="16" t="s">
        <v>41</v>
      </c>
      <c r="I11" s="40">
        <f>14.2*(1+$G$21*0.05)*(1+S11*0.088)*(1+T11*0.14)*(1+M11*0.01)</f>
        <v>19.628716800000003</v>
      </c>
      <c r="J11" s="43"/>
      <c r="K11" s="1"/>
      <c r="L11" s="1"/>
      <c r="M11" s="71">
        <v>21</v>
      </c>
      <c r="N11" s="99" t="s">
        <v>102</v>
      </c>
      <c r="O11" s="100"/>
      <c r="P11" s="72"/>
      <c r="Q11" s="75" t="b">
        <v>0</v>
      </c>
      <c r="R11" s="53" t="b">
        <v>0</v>
      </c>
      <c r="S11" s="53" t="b">
        <v>1</v>
      </c>
      <c r="T11" s="53" t="b">
        <v>0</v>
      </c>
      <c r="U11" s="7"/>
    </row>
    <row r="12" spans="2:21" ht="17.25" thickBot="1">
      <c r="B12" s="9" t="s">
        <v>13</v>
      </c>
      <c r="C12" s="4"/>
      <c r="D12" s="53" t="b">
        <v>1</v>
      </c>
      <c r="E12" s="55"/>
      <c r="F12" s="55"/>
      <c r="G12" s="53"/>
      <c r="H12" s="16" t="s">
        <v>42</v>
      </c>
      <c r="I12" s="40">
        <f>32.35*(1+$G$21*0.05)*(1+S12*0.088)*(1+T12*0.14)*(1+M12*0.01)</f>
        <v>50.339835000000008</v>
      </c>
      <c r="J12" s="43"/>
      <c r="K12" s="1"/>
      <c r="L12" s="1"/>
      <c r="M12" s="71">
        <v>30</v>
      </c>
      <c r="N12" s="99" t="s">
        <v>69</v>
      </c>
      <c r="O12" s="100"/>
      <c r="P12" s="72"/>
      <c r="Q12" s="39" t="b">
        <v>0</v>
      </c>
      <c r="R12" s="53" t="b">
        <v>0</v>
      </c>
      <c r="S12" s="53" t="b">
        <v>0</v>
      </c>
      <c r="T12" s="53" t="b">
        <v>1</v>
      </c>
      <c r="U12" s="7"/>
    </row>
    <row r="13" spans="2:21">
      <c r="B13" s="9" t="s">
        <v>14</v>
      </c>
      <c r="C13" s="4"/>
      <c r="D13" s="53" t="b">
        <v>0</v>
      </c>
      <c r="E13" s="86" t="s">
        <v>49</v>
      </c>
      <c r="F13" s="87"/>
      <c r="G13" s="53"/>
      <c r="H13" s="16" t="s">
        <v>43</v>
      </c>
      <c r="I13" s="40">
        <f>43.98*(1+$G$21*0.05)*(1+S13*0.088)*(1+T13*0.14)*(1+M13*0.01)</f>
        <v>68.43727800000002</v>
      </c>
      <c r="J13" s="43"/>
      <c r="K13" s="1"/>
      <c r="L13" s="1"/>
      <c r="M13" s="71">
        <v>30</v>
      </c>
      <c r="N13" s="99" t="s">
        <v>70</v>
      </c>
      <c r="O13" s="100"/>
      <c r="P13" s="72"/>
      <c r="Q13" s="39" t="b">
        <v>0</v>
      </c>
      <c r="R13" s="53" t="b">
        <v>0</v>
      </c>
      <c r="S13" s="53" t="b">
        <v>0</v>
      </c>
      <c r="T13" s="53" t="b">
        <v>1</v>
      </c>
      <c r="U13" s="7"/>
    </row>
    <row r="14" spans="2:21">
      <c r="B14" s="9" t="s">
        <v>15</v>
      </c>
      <c r="C14" s="4"/>
      <c r="D14" s="53" t="b">
        <v>1</v>
      </c>
      <c r="E14" s="36" t="s">
        <v>50</v>
      </c>
      <c r="F14" s="38"/>
      <c r="G14" s="53"/>
      <c r="H14" s="16" t="s">
        <v>44</v>
      </c>
      <c r="I14" s="41">
        <f>(82.94-39.29*$P$17+59.24*($P$17*0+$P$18/8+$P$19*3/8+$P$20*5/8+$P$21*7/8))*(1+S14*0.088)*(1+T14*0.14)*(1+M14*0.01)</f>
        <v>199.73655000000002</v>
      </c>
      <c r="J14" s="43"/>
      <c r="K14" s="1"/>
      <c r="L14" s="1"/>
      <c r="M14" s="71">
        <v>30</v>
      </c>
      <c r="N14" s="99" t="s">
        <v>71</v>
      </c>
      <c r="O14" s="100"/>
      <c r="P14" s="72"/>
      <c r="Q14" s="39" t="b">
        <v>0</v>
      </c>
      <c r="R14" s="53" t="b">
        <v>0</v>
      </c>
      <c r="S14" s="53" t="b">
        <v>0</v>
      </c>
      <c r="T14" s="53" t="b">
        <v>1</v>
      </c>
      <c r="U14" s="7"/>
    </row>
    <row r="15" spans="2:21" ht="17.25" thickBot="1">
      <c r="B15" s="9" t="s">
        <v>18</v>
      </c>
      <c r="C15" s="4"/>
      <c r="D15" s="53" t="b">
        <v>0</v>
      </c>
      <c r="E15" s="84" t="s">
        <v>51</v>
      </c>
      <c r="F15" s="85"/>
      <c r="G15" s="53"/>
      <c r="H15" s="16" t="s">
        <v>45</v>
      </c>
      <c r="I15" s="40">
        <f>45.19*(1+$G$21*0.05)*(1+$K$4)*(1+S15*0.088)*(1+T15*0.14)*(1+M15*0.01)</f>
        <v>67.626409129439992</v>
      </c>
      <c r="J15" s="43"/>
      <c r="K15" s="1"/>
      <c r="L15" s="1"/>
      <c r="M15" s="71">
        <v>40</v>
      </c>
      <c r="N15" s="90" t="s">
        <v>72</v>
      </c>
      <c r="O15" s="91"/>
      <c r="P15" s="73"/>
      <c r="Q15" s="39" t="b">
        <v>0</v>
      </c>
      <c r="R15" s="53" t="b">
        <v>0</v>
      </c>
      <c r="S15" s="53" t="b">
        <v>0</v>
      </c>
      <c r="T15" s="53" t="b">
        <v>0</v>
      </c>
      <c r="U15" s="7"/>
    </row>
    <row r="16" spans="2:21">
      <c r="B16" s="9" t="s">
        <v>19</v>
      </c>
      <c r="C16" s="4"/>
      <c r="D16" s="53" t="b">
        <v>1</v>
      </c>
      <c r="E16" s="97" t="s">
        <v>106</v>
      </c>
      <c r="F16" s="98"/>
      <c r="G16" s="53"/>
      <c r="H16" s="16" t="s">
        <v>46</v>
      </c>
      <c r="I16" s="40">
        <f>(72.31*(1-$Q$6*1)*(1+$K$4)*(1+$G$21*0.05)*(1+S16*0.08)*(1+T16*0.14)*(1+M16*0.01)+85.91*$Q$6*(1+$K$4)*(1+S16*0.088)*(1+T16*0.14))*(1+M16*0.01)</f>
        <v>77.293738250400011</v>
      </c>
      <c r="J16" s="43"/>
      <c r="K16" s="1"/>
      <c r="L16" s="1"/>
      <c r="M16" s="50">
        <v>0</v>
      </c>
      <c r="N16" s="133" t="s">
        <v>94</v>
      </c>
      <c r="O16" s="134"/>
      <c r="P16" s="13"/>
      <c r="Q16" s="13"/>
      <c r="R16" s="53" t="b">
        <v>0</v>
      </c>
      <c r="S16" s="53" t="b">
        <v>0</v>
      </c>
      <c r="T16" s="53" t="b">
        <v>0</v>
      </c>
      <c r="U16" s="7"/>
    </row>
    <row r="17" spans="2:21" ht="17.25" thickBot="1">
      <c r="B17" s="9" t="s">
        <v>20</v>
      </c>
      <c r="C17" s="4"/>
      <c r="D17" s="53" t="b">
        <v>0</v>
      </c>
      <c r="E17" s="88"/>
      <c r="F17" s="89"/>
      <c r="G17" s="53"/>
      <c r="H17" s="17" t="s">
        <v>47</v>
      </c>
      <c r="I17" s="42">
        <f>111*(1+$G$21*0.05)*(1+$K$4)*(1+S17*0.088)*(1+T17*0.14)*(1+M17*0.01)</f>
        <v>189.36591748704004</v>
      </c>
      <c r="J17" s="25"/>
      <c r="K17" s="44"/>
      <c r="L17" s="44"/>
      <c r="M17" s="65">
        <v>40</v>
      </c>
      <c r="N17" s="64">
        <v>0</v>
      </c>
      <c r="O17" s="4"/>
      <c r="P17" s="53" t="b">
        <v>0</v>
      </c>
      <c r="Q17" s="13"/>
      <c r="R17" s="53" t="b">
        <v>0</v>
      </c>
      <c r="S17" s="53" t="b">
        <v>0</v>
      </c>
      <c r="T17" s="53" t="b">
        <v>1</v>
      </c>
      <c r="U17" s="7"/>
    </row>
    <row r="18" spans="2:21">
      <c r="B18" s="9" t="s">
        <v>21</v>
      </c>
      <c r="C18" s="4"/>
      <c r="D18" s="53" t="b">
        <v>1</v>
      </c>
      <c r="E18" s="139" t="s">
        <v>52</v>
      </c>
      <c r="F18" s="139"/>
      <c r="G18" s="53"/>
      <c r="H18" s="13"/>
      <c r="I18" s="13"/>
      <c r="J18" s="13"/>
      <c r="K18" s="13"/>
      <c r="L18" s="13"/>
      <c r="M18" s="13"/>
      <c r="N18" s="61">
        <v>0.25</v>
      </c>
      <c r="O18" s="4"/>
      <c r="P18" s="53" t="b">
        <v>0</v>
      </c>
      <c r="Q18" s="13"/>
      <c r="R18" s="53"/>
      <c r="S18" s="53"/>
      <c r="T18" s="53"/>
      <c r="U18" s="7"/>
    </row>
    <row r="19" spans="2:21" ht="17.25" thickBot="1">
      <c r="B19" s="9" t="s">
        <v>22</v>
      </c>
      <c r="C19" s="4"/>
      <c r="D19" s="53" t="b">
        <v>0</v>
      </c>
      <c r="E19" s="96" t="s">
        <v>53</v>
      </c>
      <c r="F19" s="96"/>
      <c r="G19" s="53"/>
      <c r="H19" s="13"/>
      <c r="I19" s="13"/>
      <c r="J19" s="13"/>
      <c r="K19" s="13"/>
      <c r="L19" s="13"/>
      <c r="M19" s="13"/>
      <c r="N19" s="61">
        <v>0.5</v>
      </c>
      <c r="O19" s="4"/>
      <c r="P19" s="53" t="b">
        <v>0</v>
      </c>
      <c r="Q19" s="13"/>
      <c r="R19" s="13"/>
      <c r="S19" s="13"/>
      <c r="T19" s="13"/>
      <c r="U19" s="7"/>
    </row>
    <row r="20" spans="2:21" ht="17.25" thickBot="1">
      <c r="B20" s="11" t="s">
        <v>23</v>
      </c>
      <c r="C20" s="12"/>
      <c r="D20" s="53" t="b">
        <v>0</v>
      </c>
      <c r="E20" s="97" t="s">
        <v>54</v>
      </c>
      <c r="F20" s="98"/>
      <c r="G20" s="53"/>
      <c r="H20" s="97" t="s">
        <v>82</v>
      </c>
      <c r="I20" s="142"/>
      <c r="J20" s="142" t="s">
        <v>83</v>
      </c>
      <c r="K20" s="98"/>
      <c r="L20" s="13"/>
      <c r="M20" s="13"/>
      <c r="N20" s="62">
        <v>0.75</v>
      </c>
      <c r="O20" s="4"/>
      <c r="P20" s="53" t="b">
        <v>0</v>
      </c>
      <c r="Q20" s="13"/>
      <c r="R20" s="13"/>
      <c r="S20" s="13"/>
      <c r="T20" s="13"/>
      <c r="U20" s="7"/>
    </row>
    <row r="21" spans="2:21" ht="17.25" thickBot="1">
      <c r="B21" s="2" t="s">
        <v>35</v>
      </c>
      <c r="C21" s="34">
        <f>(1+$D$10*0.2)*(1+$D$12*($M$6*0.45))*(1+$D$13*0.16+$D$14*0.18+$D$15*0.018+$D$16*0.036+$D$17*0.06)*(1-$D$11*0.02)</f>
        <v>1.6874188799999998</v>
      </c>
      <c r="D21" s="13"/>
      <c r="E21" s="137"/>
      <c r="F21" s="138"/>
      <c r="G21" s="53" t="b">
        <v>1</v>
      </c>
      <c r="H21" s="122">
        <f>6/$I$7</f>
        <v>0.54016025183961425</v>
      </c>
      <c r="I21" s="123"/>
      <c r="J21" s="123">
        <f>IF($I$7&lt;9,($I$7-6)/$I$7,3/$I$7)</f>
        <v>0.27008012591980712</v>
      </c>
      <c r="K21" s="124"/>
      <c r="L21" s="13"/>
      <c r="M21" s="13"/>
      <c r="N21" s="63">
        <v>1</v>
      </c>
      <c r="O21" s="6"/>
      <c r="P21" s="53" t="b">
        <v>1</v>
      </c>
      <c r="Q21" s="13"/>
      <c r="R21" s="13"/>
      <c r="S21" s="13"/>
      <c r="T21" s="13"/>
      <c r="U21" s="7"/>
    </row>
    <row r="22" spans="2:21">
      <c r="B22" s="3" t="s">
        <v>34</v>
      </c>
      <c r="C22" s="29">
        <f>(1+$D$10*0.2)*(1+$D$12*($M$7*0.45))*(1+$D$13*0.16+$D$14*0.18+$D$15*0.018+$D$16*0.036+$D$17*0.06)*(1-$D$11*0.02)</f>
        <v>1.6874188799999998</v>
      </c>
      <c r="D22" s="13"/>
      <c r="E22" s="13"/>
      <c r="F22" s="13"/>
      <c r="G22" s="13"/>
      <c r="H22" s="13"/>
      <c r="I22" s="13"/>
      <c r="J22" s="13"/>
      <c r="K22" s="13"/>
      <c r="L22" s="20"/>
      <c r="M22" s="13"/>
      <c r="N22" s="13"/>
      <c r="O22" s="13"/>
      <c r="P22" s="13"/>
      <c r="Q22" s="13"/>
      <c r="R22" s="13"/>
      <c r="S22" s="13"/>
      <c r="T22" s="13"/>
      <c r="U22" s="7"/>
    </row>
    <row r="23" spans="2:21">
      <c r="B23" s="3" t="s">
        <v>68</v>
      </c>
      <c r="C23" s="29">
        <f>$C$21*(1+$D$18*0.32+$D$19*0.4+$D$20*0.48)*(1-$D$11*0.02)</f>
        <v>2.1828450631680001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7"/>
    </row>
    <row r="24" spans="2:21" ht="17.25" thickBot="1">
      <c r="B24" s="5" t="s">
        <v>67</v>
      </c>
      <c r="C24" s="35">
        <f>$C$21*(1+$D$18*0.24+$D$19*0.3+$D$20*0.36)*(1-$D$11*0.02)</f>
        <v>2.0505514229759996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7"/>
    </row>
    <row r="25" spans="2:21" ht="17.25" thickBot="1">
      <c r="B25" s="5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7"/>
    </row>
    <row r="26" spans="2:21">
      <c r="B26" s="51" t="s">
        <v>66</v>
      </c>
      <c r="C26" s="125" t="s">
        <v>64</v>
      </c>
      <c r="D26" s="126"/>
      <c r="E26" s="126"/>
      <c r="F26" s="126"/>
      <c r="G26" s="126"/>
      <c r="H26" s="126"/>
      <c r="I26" s="126" t="s">
        <v>63</v>
      </c>
      <c r="J26" s="126"/>
      <c r="K26" s="49" t="s">
        <v>44</v>
      </c>
      <c r="L26" s="56"/>
      <c r="M26" s="13"/>
      <c r="N26" s="117" t="s">
        <v>87</v>
      </c>
      <c r="O26" s="117"/>
      <c r="P26" s="117"/>
      <c r="Q26" s="117"/>
      <c r="R26" s="117"/>
      <c r="S26" s="117"/>
      <c r="T26" s="13"/>
      <c r="U26" s="7"/>
    </row>
    <row r="27" spans="2:21">
      <c r="B27" s="9" t="s">
        <v>62</v>
      </c>
      <c r="C27" s="45" t="s">
        <v>41</v>
      </c>
      <c r="D27" s="48" t="s">
        <v>42</v>
      </c>
      <c r="E27" s="48" t="s">
        <v>43</v>
      </c>
      <c r="F27" s="48" t="s">
        <v>45</v>
      </c>
      <c r="G27" s="48" t="s">
        <v>46</v>
      </c>
      <c r="H27" s="48" t="s">
        <v>47</v>
      </c>
      <c r="I27" s="48" t="s">
        <v>39</v>
      </c>
      <c r="J27" s="48" t="s">
        <v>42</v>
      </c>
      <c r="K27" s="50" t="s">
        <v>55</v>
      </c>
      <c r="L27" s="13"/>
      <c r="M27" s="13"/>
      <c r="N27" s="117" t="s">
        <v>74</v>
      </c>
      <c r="O27" s="117"/>
      <c r="P27" s="117"/>
      <c r="Q27" s="117"/>
      <c r="R27" s="117"/>
      <c r="S27" s="13"/>
      <c r="T27" s="13"/>
      <c r="U27" s="7"/>
    </row>
    <row r="28" spans="2:21">
      <c r="B28" s="9" t="s">
        <v>103</v>
      </c>
      <c r="C28" s="78">
        <f>$I$11*$C$21*($M$4*$K$6+(1-$M$4))*$F$11*($Q$10+$Q$11)*$K$7</f>
        <v>161.89383887694132</v>
      </c>
      <c r="D28" s="76">
        <f>($I$12*$C$21*(IF($M$4+0.45+0.25*$Q$5&lt;1,$M$4+0.15+0.25*$Q$5,1)*$K$6+(1-IF($M$4+0.45+0.25*$Q$5&lt;1,$M$4+0.15+0.25*$Q$5,1))*$F$11)*($Q$10+$Q$11))*$K$7</f>
        <v>320.75000906944024</v>
      </c>
      <c r="E28" s="76">
        <f>($I$13*$C$21*($M$4*$K$6+(1-$M$4))*$F$11*($Q$10+$Q$11+$Q$12+$Q$13+$Q$14+$Q$15))*$K$7</f>
        <v>564.45735962263416</v>
      </c>
      <c r="F28" s="76">
        <f>$I$15*$C$24*($M$4*$K$6+(1-$M$4))*$F$11*$K$7*$Q$12+$I$15*$C$23*($M$4*$K$6+(1-$M$4))*$F$11*$K$7*$Q$14</f>
        <v>0</v>
      </c>
      <c r="G28" s="76">
        <f>$I$16*$C$24*(($M$4-$G$21*$Q$6*0.1)*$K$6+(1-($M$4-$G$21*$Q$6*0.1)))*$F$11*$K$7*$Q$13+$I$16*$C$23*(($M$4-$G$21*$Q$6*0.1)*$K$6+(1-($M$4-$G$21*$Q$6*0.1)))*$F$11*$K$7*$Q$15</f>
        <v>0</v>
      </c>
      <c r="H28" s="76">
        <f>($I$17*$C$23*($M$4*$K$6+(1-$M$4))*$F$11*($Q$10+$Q$11+$Q$12+$Q$13+$Q$14+$Q$15))*$K$7</f>
        <v>2020.4133778434243</v>
      </c>
      <c r="I28" s="76">
        <f>($I$10*$C$22*($M$4*$K$6+(1-$M$4))*($Q$10+$Q$12+$Q$13+$Q$14+$Q$15))*$K$7</f>
        <v>19.958367077675167</v>
      </c>
      <c r="J28" s="76">
        <f>($I$12*$C$22*($M$4*$K$6+(1-$M$4))*$F$10*($Q$10+$Q$12+$Q$13+$Q$14+$Q$15))*$K$7</f>
        <v>353.898786885866</v>
      </c>
      <c r="K28" s="77">
        <f>($I$14*(($N$4*$K$6+(1-$N$4))*$H$21*$F$11*$C$21+($N$5*$K$6+(1-$N$5))*(1-$H$21)*$J$21*$F$10*$C$22+($N$5*$K$6+(1-$N$5))*(1-$H$21)*(1-$H$21-$J$21)*$C$22)*($Q$10+$Q$11+$Q$12+$Q$13+$Q$14+$Q$15))*$K$7</f>
        <v>1015.2122479444039</v>
      </c>
      <c r="L28" s="13"/>
      <c r="M28" s="13"/>
      <c r="N28" s="13" t="s">
        <v>76</v>
      </c>
      <c r="O28" s="13">
        <f>IF($M$4+0.45+0.25*$Q$5&lt;1,$M$4+0.45+0.25*$Q$5,1)</f>
        <v>1</v>
      </c>
      <c r="P28" s="13"/>
      <c r="Q28" s="13"/>
      <c r="R28" s="13"/>
      <c r="S28" s="13"/>
      <c r="T28" s="13"/>
      <c r="U28" s="7"/>
    </row>
    <row r="29" spans="2:21" ht="17.25" thickBot="1">
      <c r="B29" s="10" t="s">
        <v>105</v>
      </c>
      <c r="C29" s="79">
        <f>$C$28*$R$4*(1+$R$6*0.01)*(1+$R$8*0.01)*(1+$T$4*0.01)*0.4/10000</f>
        <v>389.75141759527941</v>
      </c>
      <c r="D29" s="80">
        <f>$D$28*$R$4*(1+$R$6*0.01)*(1+$R$8*0.01)*(1+$T$4*0.01)*0.4/10000</f>
        <v>772.18979793009726</v>
      </c>
      <c r="E29" s="80">
        <f>$E$28*$R$4*(1+$R$6*0.01)*(1+$R$8*0.01)*(1+$T$4*0.01)*0.4/10000</f>
        <v>1358.9032023154066</v>
      </c>
      <c r="F29" s="80">
        <f>$F$28*$R$4*(1+$R$6*0.01)*(1+$R$8*0.01)*(1+$T$4*0.01)*0.4/10000</f>
        <v>0</v>
      </c>
      <c r="G29" s="80">
        <f>$G$28*$R$4*(1+$R$6*0.01)*(1+$R$8*0.01)*(1+$T$4*0.01)*0.4/10000</f>
        <v>0</v>
      </c>
      <c r="H29" s="80">
        <f>$H$28*$R$4*(1+$R$6*0.01)*(1+$R$8*0.01)*(1+$T$4*0.01)*0.4/10000</f>
        <v>4864.0453744598926</v>
      </c>
      <c r="I29" s="80">
        <f>$I$28*$R$4*(1+$R$6*0.01)*(1+$R$8*0.01)*(1+$T$4*0.01)*0.4/10000</f>
        <v>48.048782556349593</v>
      </c>
      <c r="J29" s="80">
        <f>$J$28*$R$4*(1+$R$6*0.01)*(1+$R$8*0.01)*(1+$T$4*0.01)*0.4/10000</f>
        <v>851.99384257520251</v>
      </c>
      <c r="K29" s="81">
        <f>$K$28*$R$4*(1+$R$6*0.01)*(1+$R$8*0.01)*(1+$T$4*0.01)*0.4/10000</f>
        <v>2444.0733232423136</v>
      </c>
      <c r="L29" s="13"/>
      <c r="M29" s="13"/>
      <c r="N29" s="117" t="s">
        <v>84</v>
      </c>
      <c r="O29" s="117"/>
      <c r="P29" s="117"/>
      <c r="Q29" s="117"/>
      <c r="R29" s="117"/>
      <c r="S29" s="117" t="s">
        <v>86</v>
      </c>
      <c r="T29" s="117"/>
      <c r="U29" s="118"/>
    </row>
    <row r="30" spans="2:21">
      <c r="B30" s="119" t="s">
        <v>92</v>
      </c>
      <c r="C30" s="136"/>
      <c r="D30" s="119" t="s">
        <v>65</v>
      </c>
      <c r="E30" s="120"/>
      <c r="F30" s="120"/>
      <c r="G30" s="120"/>
      <c r="H30" s="120"/>
      <c r="I30" s="120"/>
      <c r="J30" s="120"/>
      <c r="K30" s="121"/>
      <c r="L30" s="13"/>
      <c r="M30" s="13"/>
      <c r="N30" s="117" t="s">
        <v>85</v>
      </c>
      <c r="O30" s="117"/>
      <c r="P30" s="117"/>
      <c r="Q30" s="117"/>
      <c r="R30" s="117"/>
      <c r="S30" s="117"/>
      <c r="T30" s="117"/>
      <c r="U30" s="118"/>
    </row>
    <row r="31" spans="2:21">
      <c r="B31" s="3" t="s">
        <v>88</v>
      </c>
      <c r="C31" s="40">
        <f>SUM(C28:K28)</f>
        <v>4456.5839873203859</v>
      </c>
      <c r="D31" s="45" t="s">
        <v>39</v>
      </c>
      <c r="E31" s="48" t="s">
        <v>41</v>
      </c>
      <c r="F31" s="48" t="s">
        <v>42</v>
      </c>
      <c r="G31" s="48" t="s">
        <v>43</v>
      </c>
      <c r="H31" s="48" t="s">
        <v>44</v>
      </c>
      <c r="I31" s="48" t="s">
        <v>45</v>
      </c>
      <c r="J31" s="48" t="s">
        <v>46</v>
      </c>
      <c r="K31" s="50" t="s">
        <v>47</v>
      </c>
      <c r="L31" s="13"/>
      <c r="M31" s="13"/>
      <c r="N31" s="13"/>
      <c r="O31" s="13"/>
      <c r="P31" s="13"/>
      <c r="Q31" s="13"/>
      <c r="R31" s="13"/>
      <c r="S31" s="13"/>
      <c r="T31" s="13"/>
      <c r="U31" s="7"/>
    </row>
    <row r="32" spans="2:21" ht="17.25" thickBot="1">
      <c r="B32" s="3" t="s">
        <v>89</v>
      </c>
      <c r="C32" s="66">
        <f>SUM(F28:H28)/C31</f>
        <v>0.45335471823077655</v>
      </c>
      <c r="D32" s="68">
        <f>$I$28/SUM($C$28:$K$28)</f>
        <v>4.478400302666696E-3</v>
      </c>
      <c r="E32" s="69">
        <f>$C$28/SUM($C$28:$K$28)</f>
        <v>3.6326890582013549E-2</v>
      </c>
      <c r="F32" s="69">
        <f>SUM($D$28,$J$28)/SUM($C$28:$K$28)</f>
        <v>0.15138249337940851</v>
      </c>
      <c r="G32" s="69">
        <f>$E$28/SUM($C$28:$K$28)</f>
        <v>0.12665695546826797</v>
      </c>
      <c r="H32" s="32">
        <f>$K$28/SUM($C$28:$K$28)</f>
        <v>0.22780054203686653</v>
      </c>
      <c r="I32" s="32">
        <f>$F$28/SUM($C$28:$K$28)</f>
        <v>0</v>
      </c>
      <c r="J32" s="32">
        <f>$G$28/SUM($C$28:$K$28)</f>
        <v>0</v>
      </c>
      <c r="K32" s="24">
        <f>$H$28/SUM($C$28:$K$28)</f>
        <v>0.45335471823077655</v>
      </c>
      <c r="L32" s="13"/>
      <c r="M32" s="13"/>
      <c r="N32" s="13"/>
      <c r="O32" s="13"/>
      <c r="P32" s="13"/>
      <c r="Q32" s="13"/>
      <c r="R32" s="13"/>
      <c r="S32" s="13"/>
      <c r="T32" s="13"/>
      <c r="U32" s="7"/>
    </row>
    <row r="33" spans="2:21">
      <c r="B33" s="3" t="s">
        <v>90</v>
      </c>
      <c r="C33" s="66">
        <f>K28/C31</f>
        <v>0.22780054203686653</v>
      </c>
      <c r="D33" s="92" t="s">
        <v>97</v>
      </c>
      <c r="E33" s="135"/>
      <c r="F33" s="92" t="s">
        <v>104</v>
      </c>
      <c r="G33" s="93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7"/>
    </row>
    <row r="34" spans="2:21" ht="17.25" thickBot="1">
      <c r="B34" s="5" t="s">
        <v>91</v>
      </c>
      <c r="C34" s="67">
        <f>SUM(C28:H28)/SUM(C28:J28)</f>
        <v>0.89136391466057308</v>
      </c>
      <c r="D34" s="127">
        <f>$C$31*$R$4/$I$7*(1+$R$6*0.01)*(1+$R$8*0.01)*(1+$T$4*0.01)*0.4</f>
        <v>9658970.7381190471</v>
      </c>
      <c r="E34" s="128"/>
      <c r="F34" s="94">
        <f>$C$31*$R$4*(1+$R$6*0.01)*(1+$R$8*0.01)*(1+$T$4*0.01)*0.4/10000</f>
        <v>10729.005740674542</v>
      </c>
      <c r="G34" s="95"/>
      <c r="H34" s="57"/>
      <c r="I34" s="57"/>
      <c r="J34" s="57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8"/>
    </row>
  </sheetData>
  <mergeCells count="48">
    <mergeCell ref="B2:U2"/>
    <mergeCell ref="N16:O16"/>
    <mergeCell ref="D33:E33"/>
    <mergeCell ref="B30:C30"/>
    <mergeCell ref="E20:F20"/>
    <mergeCell ref="E21:F21"/>
    <mergeCell ref="E18:F18"/>
    <mergeCell ref="B3:C3"/>
    <mergeCell ref="B9:C9"/>
    <mergeCell ref="H3:M3"/>
    <mergeCell ref="E3:F3"/>
    <mergeCell ref="O3:P3"/>
    <mergeCell ref="H20:I20"/>
    <mergeCell ref="J20:K20"/>
    <mergeCell ref="S29:U30"/>
    <mergeCell ref="N26:S26"/>
    <mergeCell ref="D30:K30"/>
    <mergeCell ref="N27:R27"/>
    <mergeCell ref="H21:I21"/>
    <mergeCell ref="J21:K21"/>
    <mergeCell ref="C26:H26"/>
    <mergeCell ref="I26:J26"/>
    <mergeCell ref="T3:U3"/>
    <mergeCell ref="T4:U4"/>
    <mergeCell ref="E9:F9"/>
    <mergeCell ref="H9:I9"/>
    <mergeCell ref="R3:S3"/>
    <mergeCell ref="R4:S4"/>
    <mergeCell ref="R5:S5"/>
    <mergeCell ref="R6:S6"/>
    <mergeCell ref="R7:S7"/>
    <mergeCell ref="R8:S8"/>
    <mergeCell ref="N9:P9"/>
    <mergeCell ref="N10:O10"/>
    <mergeCell ref="N11:O11"/>
    <mergeCell ref="N12:O12"/>
    <mergeCell ref="N13:O13"/>
    <mergeCell ref="N14:O14"/>
    <mergeCell ref="E13:F13"/>
    <mergeCell ref="E17:F17"/>
    <mergeCell ref="N15:O15"/>
    <mergeCell ref="F33:G33"/>
    <mergeCell ref="F34:G34"/>
    <mergeCell ref="E19:F19"/>
    <mergeCell ref="E16:F16"/>
    <mergeCell ref="N29:R29"/>
    <mergeCell ref="N30:R30"/>
    <mergeCell ref="D34:E34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200025</xdr:rowOff>
                  </from>
                  <to>
                    <xdr:col>2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2</xdr:col>
                    <xdr:colOff>228600</xdr:colOff>
                    <xdr:row>9</xdr:row>
                    <xdr:rowOff>200025</xdr:rowOff>
                  </from>
                  <to>
                    <xdr:col>2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200025</xdr:rowOff>
                  </from>
                  <to>
                    <xdr:col>2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2</xdr:col>
                    <xdr:colOff>228600</xdr:colOff>
                    <xdr:row>11</xdr:row>
                    <xdr:rowOff>200025</xdr:rowOff>
                  </from>
                  <to>
                    <xdr:col>2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200025</xdr:rowOff>
                  </from>
                  <to>
                    <xdr:col>2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2</xdr:col>
                    <xdr:colOff>228600</xdr:colOff>
                    <xdr:row>13</xdr:row>
                    <xdr:rowOff>200025</xdr:rowOff>
                  </from>
                  <to>
                    <xdr:col>2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200025</xdr:rowOff>
                  </from>
                  <to>
                    <xdr:col>2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200025</xdr:rowOff>
                  </from>
                  <to>
                    <xdr:col>2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200025</xdr:rowOff>
                  </from>
                  <to>
                    <xdr:col>2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200025</xdr:rowOff>
                  </from>
                  <to>
                    <xdr:col>2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Check Box 64">
              <controlPr defaultSize="0" autoFill="0" autoLine="0" autoPict="0">
                <anchor moveWithCells="1">
                  <from>
                    <xdr:col>2</xdr:col>
                    <xdr:colOff>228600</xdr:colOff>
                    <xdr:row>18</xdr:row>
                    <xdr:rowOff>200025</xdr:rowOff>
                  </from>
                  <to>
                    <xdr:col>2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5</xdr:col>
                    <xdr:colOff>228600</xdr:colOff>
                    <xdr:row>2</xdr:row>
                    <xdr:rowOff>200025</xdr:rowOff>
                  </from>
                  <to>
                    <xdr:col>5</xdr:col>
                    <xdr:colOff>485775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Check Box 66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200025</xdr:rowOff>
                  </from>
                  <to>
                    <xdr:col>5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Check Box 67">
              <controlPr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200025</xdr:rowOff>
                  </from>
                  <to>
                    <xdr:col>5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8" name="Check Box 68">
              <controlPr defaultSize="0" autoFill="0" autoLine="0" autoPict="0">
                <anchor moveWithCells="1">
                  <from>
                    <xdr:col>15</xdr:col>
                    <xdr:colOff>228600</xdr:colOff>
                    <xdr:row>2</xdr:row>
                    <xdr:rowOff>200025</xdr:rowOff>
                  </from>
                  <to>
                    <xdr:col>15</xdr:col>
                    <xdr:colOff>485775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9" name="Check Box 69">
              <controlPr defaultSize="0" autoFill="0" autoLine="0" autoPict="0">
                <anchor moveWithCells="1">
                  <from>
                    <xdr:col>4</xdr:col>
                    <xdr:colOff>590550</xdr:colOff>
                    <xdr:row>19</xdr:row>
                    <xdr:rowOff>200025</xdr:rowOff>
                  </from>
                  <to>
                    <xdr:col>5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0" name="Check Box 71">
              <controlPr defaultSize="0" autoFill="0" autoLine="0" autoPict="0">
                <anchor moveWithCells="1">
                  <from>
                    <xdr:col>15</xdr:col>
                    <xdr:colOff>228600</xdr:colOff>
                    <xdr:row>8</xdr:row>
                    <xdr:rowOff>200025</xdr:rowOff>
                  </from>
                  <to>
                    <xdr:col>15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1" name="Check Box 72">
              <controlPr defaultSize="0" autoFill="0" autoLine="0" autoPict="0">
                <anchor moveWithCells="1">
                  <from>
                    <xdr:col>15</xdr:col>
                    <xdr:colOff>228600</xdr:colOff>
                    <xdr:row>10</xdr:row>
                    <xdr:rowOff>200025</xdr:rowOff>
                  </from>
                  <to>
                    <xdr:col>15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2" name="Check Box 73">
              <controlPr defaultSize="0" autoFill="0" autoLine="0" autoPict="0">
                <anchor moveWithCells="1">
                  <from>
                    <xdr:col>15</xdr:col>
                    <xdr:colOff>228600</xdr:colOff>
                    <xdr:row>11</xdr:row>
                    <xdr:rowOff>200025</xdr:rowOff>
                  </from>
                  <to>
                    <xdr:col>15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>
                  <from>
                    <xdr:col>15</xdr:col>
                    <xdr:colOff>228600</xdr:colOff>
                    <xdr:row>12</xdr:row>
                    <xdr:rowOff>200025</xdr:rowOff>
                  </from>
                  <to>
                    <xdr:col>15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4" name="Check Box 75">
              <controlPr defaultSize="0" autoFill="0" autoLine="0" autoPict="0">
                <anchor moveWithCells="1">
                  <from>
                    <xdr:col>15</xdr:col>
                    <xdr:colOff>228600</xdr:colOff>
                    <xdr:row>13</xdr:row>
                    <xdr:rowOff>200025</xdr:rowOff>
                  </from>
                  <to>
                    <xdr:col>15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5" name="Check Box 76">
              <controlPr defaultSize="0" autoFill="0" autoLine="0" autoPict="0">
                <anchor moveWithCells="1">
                  <from>
                    <xdr:col>15</xdr:col>
                    <xdr:colOff>228600</xdr:colOff>
                    <xdr:row>3</xdr:row>
                    <xdr:rowOff>200025</xdr:rowOff>
                  </from>
                  <to>
                    <xdr:col>15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6" name="Check Box 77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200025</xdr:rowOff>
                  </from>
                  <to>
                    <xdr:col>9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7" name="Check Box 78">
              <controlPr defaultSize="0" autoFill="0" autoLine="0" autoPict="0">
                <anchor moveWithCells="1">
                  <from>
                    <xdr:col>9</xdr:col>
                    <xdr:colOff>228600</xdr:colOff>
                    <xdr:row>9</xdr:row>
                    <xdr:rowOff>200025</xdr:rowOff>
                  </from>
                  <to>
                    <xdr:col>9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8" name="Check Box 79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200025</xdr:rowOff>
                  </from>
                  <to>
                    <xdr:col>9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9" name="Check Box 80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200025</xdr:rowOff>
                  </from>
                  <to>
                    <xdr:col>9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0" name="Check Box 81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200025</xdr:rowOff>
                  </from>
                  <to>
                    <xdr:col>9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1" name="Check Box 82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200025</xdr:rowOff>
                  </from>
                  <to>
                    <xdr:col>9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2" name="Check Box 83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200025</xdr:rowOff>
                  </from>
                  <to>
                    <xdr:col>9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3" name="Check Box 84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200025</xdr:rowOff>
                  </from>
                  <to>
                    <xdr:col>9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4" name="Check Box 8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200025</xdr:rowOff>
                  </from>
                  <to>
                    <xdr:col>10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5" name="Check Box 86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200025</xdr:rowOff>
                  </from>
                  <to>
                    <xdr:col>10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6" name="Check Box 87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200025</xdr:rowOff>
                  </from>
                  <to>
                    <xdr:col>10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7" name="Check Box 88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200025</xdr:rowOff>
                  </from>
                  <to>
                    <xdr:col>10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8" name="Check Box 89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200025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9" name="Check Box 90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200025</xdr:rowOff>
                  </from>
                  <to>
                    <xdr:col>10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0" name="Check Box 91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200025</xdr:rowOff>
                  </from>
                  <to>
                    <xdr:col>10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1" name="Check Box 92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200025</xdr:rowOff>
                  </from>
                  <to>
                    <xdr:col>10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2" name="Check Box 93">
              <controlPr defaultSize="0" autoFill="0" autoLine="0" autoPict="0">
                <anchor moveWithCells="1">
                  <from>
                    <xdr:col>11</xdr:col>
                    <xdr:colOff>228600</xdr:colOff>
                    <xdr:row>8</xdr:row>
                    <xdr:rowOff>200025</xdr:rowOff>
                  </from>
                  <to>
                    <xdr:col>11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3" name="Check Box 94">
              <controlPr defaultSize="0" autoFill="0" autoLine="0" autoPict="0">
                <anchor moveWithCells="1">
                  <from>
                    <xdr:col>11</xdr:col>
                    <xdr:colOff>228600</xdr:colOff>
                    <xdr:row>9</xdr:row>
                    <xdr:rowOff>200025</xdr:rowOff>
                  </from>
                  <to>
                    <xdr:col>11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4" name="Check Box 95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200025</xdr:rowOff>
                  </from>
                  <to>
                    <xdr:col>11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5" name="Check Box 96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200025</xdr:rowOff>
                  </from>
                  <to>
                    <xdr:col>11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6" name="Check Box 97">
              <controlPr defaultSize="0" autoFill="0" autoLine="0" autoPict="0">
                <anchor moveWithCells="1">
                  <from>
                    <xdr:col>11</xdr:col>
                    <xdr:colOff>228600</xdr:colOff>
                    <xdr:row>12</xdr:row>
                    <xdr:rowOff>200025</xdr:rowOff>
                  </from>
                  <to>
                    <xdr:col>11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7" name="Check Box 98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200025</xdr:rowOff>
                  </from>
                  <to>
                    <xdr:col>11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8" name="Check Box 99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200025</xdr:rowOff>
                  </from>
                  <to>
                    <xdr:col>11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9" name="Check Box 100">
              <controlPr defaultSize="0" autoFill="0" autoLine="0" autoPict="0">
                <anchor moveWithCells="1">
                  <from>
                    <xdr:col>11</xdr:col>
                    <xdr:colOff>228600</xdr:colOff>
                    <xdr:row>15</xdr:row>
                    <xdr:rowOff>200025</xdr:rowOff>
                  </from>
                  <to>
                    <xdr:col>11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0" name="Check Box 101">
              <controlPr defaultSize="0" autoFill="0" autoLine="0" autoPict="0">
                <anchor moveWithCells="1">
                  <from>
                    <xdr:col>15</xdr:col>
                    <xdr:colOff>228600</xdr:colOff>
                    <xdr:row>4</xdr:row>
                    <xdr:rowOff>200025</xdr:rowOff>
                  </from>
                  <to>
                    <xdr:col>15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1" name="Check Box 102">
              <controlPr defaultSize="0" autoFill="0" autoLine="0" autoPict="0">
                <anchor moveWithCells="1">
                  <from>
                    <xdr:col>14</xdr:col>
                    <xdr:colOff>228600</xdr:colOff>
                    <xdr:row>15</xdr:row>
                    <xdr:rowOff>200025</xdr:rowOff>
                  </from>
                  <to>
                    <xdr:col>14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2" name="Check Box 103">
              <controlPr defaultSize="0" autoFill="0" autoLine="0" autoPict="0">
                <anchor moveWithCells="1">
                  <from>
                    <xdr:col>14</xdr:col>
                    <xdr:colOff>228600</xdr:colOff>
                    <xdr:row>16</xdr:row>
                    <xdr:rowOff>200025</xdr:rowOff>
                  </from>
                  <to>
                    <xdr:col>14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3" name="Check Box 104">
              <controlPr defaultSize="0" autoFill="0" autoLine="0" autoPict="0">
                <anchor moveWithCells="1">
                  <from>
                    <xdr:col>14</xdr:col>
                    <xdr:colOff>228600</xdr:colOff>
                    <xdr:row>17</xdr:row>
                    <xdr:rowOff>200025</xdr:rowOff>
                  </from>
                  <to>
                    <xdr:col>14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4" name="Check Box 105">
              <controlPr defaultSize="0" autoFill="0" autoLine="0" autoPict="0">
                <anchor moveWithCells="1">
                  <from>
                    <xdr:col>14</xdr:col>
                    <xdr:colOff>228600</xdr:colOff>
                    <xdr:row>18</xdr:row>
                    <xdr:rowOff>200025</xdr:rowOff>
                  </from>
                  <to>
                    <xdr:col>14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5" name="Check Box 10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200025</xdr:rowOff>
                  </from>
                  <to>
                    <xdr:col>14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15</xdr:col>
                    <xdr:colOff>228600</xdr:colOff>
                    <xdr:row>9</xdr:row>
                    <xdr:rowOff>200025</xdr:rowOff>
                  </from>
                  <to>
                    <xdr:col>15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059D-0E3A-4573-BF85-B8770A1CD9BC}">
  <dimension ref="B3:M14"/>
  <sheetViews>
    <sheetView workbookViewId="0">
      <selection activeCell="G9" sqref="G9:J9"/>
    </sheetView>
  </sheetViews>
  <sheetFormatPr defaultRowHeight="16.5"/>
  <sheetData>
    <row r="3" spans="2:13">
      <c r="B3" s="143" t="s">
        <v>60</v>
      </c>
      <c r="C3" s="143"/>
      <c r="D3" s="143"/>
    </row>
    <row r="4" spans="2:13" ht="17.25" thickBot="1"/>
    <row r="5" spans="2:13">
      <c r="B5" s="144" t="s">
        <v>56</v>
      </c>
      <c r="C5" s="145"/>
      <c r="D5" s="145"/>
      <c r="E5" s="146"/>
    </row>
    <row r="6" spans="2:13" ht="17.25" thickBot="1">
      <c r="B6" s="103">
        <v>82.94</v>
      </c>
      <c r="C6" s="147"/>
      <c r="D6" s="147"/>
      <c r="E6" s="104"/>
    </row>
    <row r="7" spans="2:13" ht="17.25" thickBot="1"/>
    <row r="8" spans="2:13">
      <c r="B8" s="144" t="s">
        <v>57</v>
      </c>
      <c r="C8" s="145"/>
      <c r="D8" s="145"/>
      <c r="E8" s="146"/>
      <c r="G8" s="144" t="s">
        <v>59</v>
      </c>
      <c r="H8" s="145"/>
      <c r="I8" s="145"/>
      <c r="J8" s="146"/>
    </row>
    <row r="9" spans="2:13" ht="17.25" thickBot="1">
      <c r="B9" s="148">
        <f>B6/40/1.4</f>
        <v>1.4810714285714288</v>
      </c>
      <c r="C9" s="149"/>
      <c r="D9" s="149"/>
      <c r="E9" s="150"/>
      <c r="G9" s="148">
        <f>B9*40</f>
        <v>59.242857142857154</v>
      </c>
      <c r="H9" s="149"/>
      <c r="I9" s="149"/>
      <c r="J9" s="150"/>
    </row>
    <row r="11" spans="2:13">
      <c r="B11" s="143" t="s">
        <v>58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2:13" ht="17.25" thickBot="1"/>
    <row r="13" spans="2:13">
      <c r="B13" s="144" t="s">
        <v>61</v>
      </c>
      <c r="C13" s="145"/>
      <c r="D13" s="145"/>
      <c r="E13" s="146"/>
    </row>
    <row r="14" spans="2:13" ht="17.25" thickBot="1">
      <c r="B14" s="103">
        <f>G9*7/8</f>
        <v>51.837500000000013</v>
      </c>
      <c r="C14" s="147"/>
      <c r="D14" s="147"/>
      <c r="E14" s="104"/>
    </row>
  </sheetData>
  <mergeCells count="10">
    <mergeCell ref="B3:D3"/>
    <mergeCell ref="B13:E13"/>
    <mergeCell ref="B14:E14"/>
    <mergeCell ref="B5:E5"/>
    <mergeCell ref="B6:E6"/>
    <mergeCell ref="B8:E8"/>
    <mergeCell ref="B9:E9"/>
    <mergeCell ref="B11:M11"/>
    <mergeCell ref="G8:J8"/>
    <mergeCell ref="G9:J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사이클 딜계산</vt:lpstr>
      <vt:lpstr>내연 딜 계산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Jongho Lee</dc:creator>
  <cp:lastModifiedBy>Jongho Lee</cp:lastModifiedBy>
  <dcterms:created xsi:type="dcterms:W3CDTF">2021-12-13T09:30:43Z</dcterms:created>
  <dcterms:modified xsi:type="dcterms:W3CDTF">2021-12-14T12:12:12Z</dcterms:modified>
</cp:coreProperties>
</file>