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vytka\Downloads\"/>
    </mc:Choice>
  </mc:AlternateContent>
  <xr:revisionPtr revIDLastSave="0" documentId="13_ncr:1_{D8A470EE-E247-48E6-8BA2-C9BE684F259D}" xr6:coauthVersionLast="47" xr6:coauthVersionMax="47" xr10:uidLastSave="{00000000-0000-0000-0000-000000000000}"/>
  <bookViews>
    <workbookView xWindow="-110" yWindow="-110" windowWidth="38620" windowHeight="21220" tabRatio="550" xr2:uid="{00000000-000D-0000-FFFF-FFFF00000000}"/>
  </bookViews>
  <sheets>
    <sheet name="인파이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3" l="1"/>
  <c r="F48" i="3"/>
  <c r="E50" i="3"/>
  <c r="E48" i="3"/>
  <c r="O67" i="3"/>
  <c r="G55" i="3"/>
  <c r="K111" i="3"/>
  <c r="H81" i="3"/>
  <c r="H82" i="3"/>
  <c r="H86" i="3"/>
  <c r="H87" i="3"/>
  <c r="H91" i="3"/>
  <c r="H92" i="3"/>
  <c r="H93" i="3"/>
  <c r="H94" i="3"/>
  <c r="H95" i="3"/>
  <c r="H80" i="3"/>
  <c r="N92" i="3"/>
  <c r="K87" i="3"/>
  <c r="K92" i="3"/>
  <c r="K93" i="3"/>
  <c r="K95" i="3"/>
  <c r="K86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80" i="3"/>
  <c r="O70" i="3"/>
  <c r="P75" i="3"/>
  <c r="D31" i="3"/>
  <c r="C46" i="3"/>
  <c r="C45" i="3" s="1"/>
  <c r="B45" i="3"/>
  <c r="K55" i="3"/>
  <c r="H55" i="3"/>
  <c r="F55" i="3"/>
  <c r="E55" i="3"/>
  <c r="I51" i="3"/>
  <c r="I53" i="3"/>
  <c r="H48" i="3"/>
  <c r="D48" i="3"/>
  <c r="U69" i="3"/>
  <c r="O75" i="3"/>
  <c r="O68" i="3"/>
  <c r="O69" i="3"/>
  <c r="V63" i="3"/>
  <c r="W63" i="3" s="1"/>
  <c r="W64" i="3" s="1"/>
  <c r="V68" i="3" s="1"/>
  <c r="L57" i="3"/>
  <c r="G48" i="3"/>
  <c r="N74" i="3"/>
  <c r="K68" i="3"/>
  <c r="K69" i="3"/>
  <c r="H73" i="3"/>
  <c r="K74" i="3"/>
  <c r="K75" i="3"/>
  <c r="K77" i="3"/>
  <c r="H63" i="3"/>
  <c r="H64" i="3"/>
  <c r="H68" i="3"/>
  <c r="H69" i="3"/>
  <c r="E73" i="3"/>
  <c r="H74" i="3"/>
  <c r="H75" i="3"/>
  <c r="H76" i="3"/>
  <c r="H77" i="3"/>
  <c r="E63" i="3"/>
  <c r="E64" i="3"/>
  <c r="E65" i="3"/>
  <c r="E66" i="3"/>
  <c r="E67" i="3"/>
  <c r="E68" i="3"/>
  <c r="E69" i="3"/>
  <c r="E70" i="3"/>
  <c r="E71" i="3"/>
  <c r="E72" i="3"/>
  <c r="E74" i="3"/>
  <c r="E75" i="3"/>
  <c r="E76" i="3"/>
  <c r="E77" i="3"/>
  <c r="H62" i="3"/>
  <c r="E62" i="3"/>
  <c r="J57" i="3"/>
  <c r="J55" i="3" s="1"/>
  <c r="E57" i="3"/>
  <c r="F59" i="3"/>
  <c r="E59" i="3" s="1"/>
  <c r="L59" i="3"/>
  <c r="D55" i="3"/>
  <c r="C51" i="3"/>
  <c r="D57" i="3"/>
  <c r="C47" i="3" l="1"/>
  <c r="E112" i="3"/>
  <c r="D53" i="3"/>
  <c r="C52" i="3" s="1"/>
  <c r="C53" i="3"/>
  <c r="K112" i="3"/>
  <c r="K110" i="3"/>
  <c r="K104" i="3"/>
  <c r="E107" i="3"/>
  <c r="E110" i="3"/>
  <c r="E105" i="3"/>
  <c r="E111" i="3"/>
  <c r="E103" i="3"/>
  <c r="E101" i="3"/>
  <c r="E100" i="3"/>
  <c r="E98" i="3"/>
  <c r="H98" i="3"/>
  <c r="N109" i="3"/>
  <c r="E97" i="3"/>
  <c r="K103" i="3"/>
  <c r="E109" i="3"/>
  <c r="K109" i="3"/>
  <c r="E108" i="3"/>
  <c r="E106" i="3"/>
  <c r="H112" i="3"/>
  <c r="H97" i="3"/>
  <c r="H111" i="3"/>
  <c r="E104" i="3"/>
  <c r="H110" i="3"/>
  <c r="H109" i="3"/>
  <c r="E102" i="3"/>
  <c r="H108" i="3"/>
  <c r="H104" i="3"/>
  <c r="H103" i="3"/>
  <c r="E99" i="3"/>
  <c r="H99" i="3"/>
  <c r="C56" i="3"/>
  <c r="L55" i="3"/>
  <c r="D59" i="3"/>
  <c r="C58" i="3" s="1"/>
  <c r="I55" i="3"/>
  <c r="D50" i="3"/>
  <c r="C49" i="3" s="1"/>
  <c r="E22" i="3"/>
  <c r="K22" i="3" s="1"/>
  <c r="F35" i="3"/>
  <c r="L35" i="3" s="1"/>
  <c r="E34" i="3"/>
  <c r="F24" i="3"/>
  <c r="L24" i="3" s="1"/>
  <c r="F36" i="3"/>
  <c r="L36" i="3" s="1"/>
  <c r="E35" i="3"/>
  <c r="K35" i="3" s="1"/>
  <c r="E30" i="3"/>
  <c r="K30" i="3" s="1"/>
  <c r="O30" i="3" s="1"/>
  <c r="F23" i="3"/>
  <c r="L23" i="3" s="1"/>
  <c r="E33" i="3"/>
  <c r="K33" i="3" s="1"/>
  <c r="F28" i="3"/>
  <c r="L28" i="3" s="1"/>
  <c r="E27" i="3"/>
  <c r="G34" i="3"/>
  <c r="F22" i="3"/>
  <c r="L22" i="3" s="1"/>
  <c r="E36" i="3"/>
  <c r="K36" i="3" s="1"/>
  <c r="F29" i="3"/>
  <c r="L29" i="3" s="1"/>
  <c r="E31" i="3"/>
  <c r="I31" i="3" s="1"/>
  <c r="G37" i="3"/>
  <c r="M37" i="3" s="1"/>
  <c r="G35" i="3"/>
  <c r="M35" i="3" s="1"/>
  <c r="E26" i="3"/>
  <c r="K26" i="3" s="1"/>
  <c r="O26" i="3" s="1"/>
  <c r="E25" i="3"/>
  <c r="K25" i="3" s="1"/>
  <c r="O25" i="3" s="1"/>
  <c r="E24" i="3"/>
  <c r="K24" i="3" s="1"/>
  <c r="E23" i="3"/>
  <c r="H34" i="3"/>
  <c r="E37" i="3"/>
  <c r="K37" i="3" s="1"/>
  <c r="F34" i="3"/>
  <c r="E32" i="3"/>
  <c r="I32" i="3" s="1"/>
  <c r="E29" i="3"/>
  <c r="K29" i="3" s="1"/>
  <c r="E28" i="3"/>
  <c r="K28" i="3" s="1"/>
  <c r="F33" i="3"/>
  <c r="L33" i="3" s="1"/>
  <c r="G29" i="3"/>
  <c r="M29" i="3" s="1"/>
  <c r="G28" i="3"/>
  <c r="M28" i="3" s="1"/>
  <c r="F37" i="3"/>
  <c r="L37" i="3" s="1"/>
  <c r="V69" i="3"/>
  <c r="U70" i="3"/>
  <c r="C59" i="3"/>
  <c r="K27" i="3" l="1"/>
  <c r="O27" i="3" s="1"/>
  <c r="C54" i="3"/>
  <c r="P25" i="3" s="1"/>
  <c r="Q25" i="3" s="1"/>
  <c r="R25" i="3" s="1"/>
  <c r="O36" i="3"/>
  <c r="O22" i="3"/>
  <c r="I34" i="3"/>
  <c r="I26" i="3"/>
  <c r="O35" i="3"/>
  <c r="I23" i="3"/>
  <c r="O24" i="3"/>
  <c r="I24" i="3"/>
  <c r="K23" i="3"/>
  <c r="O23" i="3" s="1"/>
  <c r="I30" i="3"/>
  <c r="I22" i="3"/>
  <c r="O33" i="3"/>
  <c r="I36" i="3"/>
  <c r="O29" i="3"/>
  <c r="O28" i="3"/>
  <c r="K32" i="3"/>
  <c r="O32" i="3" s="1"/>
  <c r="I25" i="3"/>
  <c r="I29" i="3"/>
  <c r="I37" i="3"/>
  <c r="I28" i="3"/>
  <c r="K31" i="3"/>
  <c r="O31" i="3" s="1"/>
  <c r="I35" i="3"/>
  <c r="I33" i="3"/>
  <c r="O37" i="3"/>
  <c r="I27" i="3"/>
  <c r="U71" i="3"/>
  <c r="V70" i="3"/>
  <c r="D35" i="3"/>
  <c r="D27" i="3"/>
  <c r="D29" i="3"/>
  <c r="D36" i="3"/>
  <c r="D33" i="3"/>
  <c r="D22" i="3"/>
  <c r="D34" i="3"/>
  <c r="D23" i="3"/>
  <c r="D28" i="3"/>
  <c r="D25" i="3"/>
  <c r="D30" i="3"/>
  <c r="D37" i="3"/>
  <c r="D32" i="3"/>
  <c r="D26" i="3"/>
  <c r="D24" i="3"/>
  <c r="P30" i="3" l="1"/>
  <c r="Q30" i="3" s="1"/>
  <c r="R30" i="3" s="1"/>
  <c r="P26" i="3"/>
  <c r="Q26" i="3" s="1"/>
  <c r="R26" i="3" s="1"/>
  <c r="S26" i="3" s="1"/>
  <c r="P27" i="3"/>
  <c r="Q27" i="3" s="1"/>
  <c r="R27" i="3" s="1"/>
  <c r="S27" i="3" s="1"/>
  <c r="P31" i="3"/>
  <c r="Q31" i="3" s="1"/>
  <c r="R31" i="3" s="1"/>
  <c r="S31" i="3" s="1"/>
  <c r="P28" i="3"/>
  <c r="Q28" i="3" s="1"/>
  <c r="P37" i="3"/>
  <c r="Q37" i="3" s="1"/>
  <c r="P32" i="3"/>
  <c r="Q32" i="3" s="1"/>
  <c r="P24" i="3"/>
  <c r="Q24" i="3" s="1"/>
  <c r="P36" i="3"/>
  <c r="Q36" i="3" s="1"/>
  <c r="P23" i="3"/>
  <c r="Q23" i="3" s="1"/>
  <c r="P35" i="3"/>
  <c r="Q35" i="3" s="1"/>
  <c r="P29" i="3"/>
  <c r="Q29" i="3" s="1"/>
  <c r="P33" i="3"/>
  <c r="Q33" i="3" s="1"/>
  <c r="P22" i="3"/>
  <c r="Q22" i="3" s="1"/>
  <c r="R22" i="3" s="1"/>
  <c r="S22" i="3" s="1"/>
  <c r="U72" i="3"/>
  <c r="V71" i="3"/>
  <c r="S25" i="3"/>
  <c r="T22" i="3" l="1"/>
  <c r="T25" i="3"/>
  <c r="T26" i="3"/>
  <c r="T31" i="3"/>
  <c r="R29" i="3"/>
  <c r="S29" i="3" s="1"/>
  <c r="T29" i="3" s="1"/>
  <c r="R23" i="3"/>
  <c r="R32" i="3"/>
  <c r="S32" i="3" s="1"/>
  <c r="R35" i="3"/>
  <c r="S35" i="3" s="1"/>
  <c r="R37" i="3"/>
  <c r="S37" i="3" s="1"/>
  <c r="R33" i="3"/>
  <c r="S33" i="3" s="1"/>
  <c r="U31" i="3" s="1"/>
  <c r="R36" i="3"/>
  <c r="S36" i="3" s="1"/>
  <c r="R24" i="3"/>
  <c r="S24" i="3" s="1"/>
  <c r="T24" i="3" s="1"/>
  <c r="R28" i="3"/>
  <c r="S28" i="3" s="1"/>
  <c r="T28" i="3" s="1"/>
  <c r="U73" i="3"/>
  <c r="V72" i="3"/>
  <c r="S23" i="3" l="1"/>
  <c r="T23" i="3" s="1"/>
  <c r="T36" i="3"/>
  <c r="U36" i="3"/>
  <c r="T35" i="3"/>
  <c r="U35" i="3"/>
  <c r="T33" i="3"/>
  <c r="U24" i="3"/>
  <c r="U25" i="3"/>
  <c r="U26" i="3"/>
  <c r="U27" i="3"/>
  <c r="U28" i="3"/>
  <c r="U29" i="3"/>
  <c r="U33" i="3"/>
  <c r="U22" i="3"/>
  <c r="T37" i="3"/>
  <c r="U37" i="3"/>
  <c r="T32" i="3"/>
  <c r="U32" i="3"/>
  <c r="T27" i="3"/>
  <c r="U74" i="3"/>
  <c r="V73" i="3"/>
  <c r="U23" i="3" l="1"/>
  <c r="U75" i="3"/>
  <c r="V74" i="3"/>
  <c r="U76" i="3" l="1"/>
  <c r="V75" i="3"/>
  <c r="V76" i="3" l="1"/>
  <c r="V77" i="3" s="1"/>
  <c r="V78" i="3" l="1"/>
  <c r="T79" i="3" s="1"/>
  <c r="S30" i="3"/>
  <c r="T30" i="3" l="1"/>
  <c r="U30" i="3"/>
  <c r="O74" i="3"/>
  <c r="O34" i="3" l="1"/>
  <c r="P34" i="3" s="1"/>
  <c r="Q34" i="3" s="1"/>
  <c r="R34" i="3" s="1"/>
  <c r="S34" i="3" s="1"/>
  <c r="T34" i="3" l="1"/>
  <c r="U34" i="3"/>
</calcChain>
</file>

<file path=xl/sharedStrings.xml><?xml version="1.0" encoding="utf-8"?>
<sst xmlns="http://schemas.openxmlformats.org/spreadsheetml/2006/main" count="199" uniqueCount="143">
  <si>
    <t>특화</t>
  </si>
  <si>
    <t>치명</t>
  </si>
  <si>
    <t>트포</t>
  </si>
  <si>
    <t>신속</t>
  </si>
  <si>
    <t>무기추가피해</t>
  </si>
  <si>
    <t>X31</t>
  </si>
  <si>
    <t>자체 치명</t>
  </si>
  <si>
    <t>치명타 피해</t>
  </si>
  <si>
    <t>신속 쿨감</t>
  </si>
  <si>
    <t>공격속도</t>
  </si>
  <si>
    <t>이동속도</t>
  </si>
  <si>
    <t>X21</t>
  </si>
  <si>
    <t>멸화</t>
  </si>
  <si>
    <t>홍염</t>
  </si>
  <si>
    <t>X12</t>
  </si>
  <si>
    <t>원한</t>
  </si>
  <si>
    <t>예둔</t>
  </si>
  <si>
    <t>돌격대장</t>
  </si>
  <si>
    <t>바리케이드</t>
  </si>
  <si>
    <t>저주받은 인형</t>
  </si>
  <si>
    <t>아드레날린</t>
  </si>
  <si>
    <t>정기 흡수</t>
  </si>
  <si>
    <t>결투의 대가</t>
  </si>
  <si>
    <t>기습의 대가</t>
  </si>
  <si>
    <t>사멸</t>
  </si>
  <si>
    <t>환각</t>
  </si>
  <si>
    <t>지배</t>
  </si>
  <si>
    <t>남바절</t>
  </si>
  <si>
    <t>세우마르</t>
  </si>
  <si>
    <t>헤드어택</t>
  </si>
  <si>
    <t>백어택</t>
  </si>
  <si>
    <t>성속성 취약</t>
  </si>
  <si>
    <t>백헤드판정</t>
  </si>
  <si>
    <t>헤드</t>
  </si>
  <si>
    <t>쿨타임 감소</t>
  </si>
  <si>
    <t>공속</t>
  </si>
  <si>
    <t>이속</t>
  </si>
  <si>
    <t>각인 공퍼</t>
  </si>
  <si>
    <t>사멸/치피</t>
  </si>
  <si>
    <t>사멸/치적</t>
  </si>
  <si>
    <t>사멸/피증</t>
  </si>
  <si>
    <t>환각/피증</t>
  </si>
  <si>
    <t>환각/6셋</t>
  </si>
  <si>
    <t>환각/합</t>
  </si>
  <si>
    <t>환각/치적</t>
  </si>
  <si>
    <t>지배/딜증</t>
  </si>
  <si>
    <t>지배/쿨감</t>
  </si>
  <si>
    <t>딜증 보석</t>
  </si>
  <si>
    <t>전진의 일격</t>
  </si>
  <si>
    <t>파쇄의 강타</t>
  </si>
  <si>
    <t>충단 뎀증</t>
  </si>
  <si>
    <t>맹호격</t>
  </si>
  <si>
    <t>용의 강림</t>
  </si>
  <si>
    <t>3X1</t>
  </si>
  <si>
    <t>순간 타격</t>
  </si>
  <si>
    <t>X3X</t>
  </si>
  <si>
    <t>지진쇄</t>
  </si>
  <si>
    <t>난타연권</t>
  </si>
  <si>
    <t>철포난격</t>
  </si>
  <si>
    <t>전진의 타격</t>
  </si>
  <si>
    <t>심판</t>
  </si>
  <si>
    <t>체술</t>
  </si>
  <si>
    <t>충단</t>
  </si>
  <si>
    <t>일망타진</t>
  </si>
  <si>
    <t>죽음의 선고</t>
  </si>
  <si>
    <t>회심의 일격</t>
  </si>
  <si>
    <t>연환파신권</t>
  </si>
  <si>
    <t>3X2</t>
  </si>
  <si>
    <t>진 용출권</t>
  </si>
  <si>
    <t>파쇄격</t>
  </si>
  <si>
    <t>31X</t>
  </si>
  <si>
    <t>초신성 폭발</t>
  </si>
  <si>
    <t>치명타 적중시</t>
  </si>
  <si>
    <t>X22</t>
    <phoneticPr fontId="1" type="noConversion"/>
  </si>
  <si>
    <t>공격력</t>
    <phoneticPr fontId="1" type="noConversion"/>
  </si>
  <si>
    <t>파쇄</t>
    <phoneticPr fontId="1" type="noConversion"/>
  </si>
  <si>
    <t>용강</t>
    <phoneticPr fontId="1" type="noConversion"/>
  </si>
  <si>
    <t>순타</t>
    <phoneticPr fontId="1" type="noConversion"/>
  </si>
  <si>
    <t>지진</t>
    <phoneticPr fontId="1" type="noConversion"/>
  </si>
  <si>
    <t>철포</t>
    <phoneticPr fontId="1" type="noConversion"/>
  </si>
  <si>
    <t>심판</t>
    <phoneticPr fontId="1" type="noConversion"/>
  </si>
  <si>
    <t>일망</t>
    <phoneticPr fontId="1" type="noConversion"/>
  </si>
  <si>
    <t>죽선</t>
    <phoneticPr fontId="1" type="noConversion"/>
  </si>
  <si>
    <t>회심</t>
    <phoneticPr fontId="1" type="noConversion"/>
  </si>
  <si>
    <t>연환</t>
    <phoneticPr fontId="1" type="noConversion"/>
  </si>
  <si>
    <t>초신</t>
    <phoneticPr fontId="1" type="noConversion"/>
  </si>
  <si>
    <t>전진(3/1)</t>
    <phoneticPr fontId="1" type="noConversion"/>
  </si>
  <si>
    <t>맹호(2/1)</t>
    <phoneticPr fontId="1" type="noConversion"/>
  </si>
  <si>
    <t>파쇄(1=1/1)</t>
    <phoneticPr fontId="1" type="noConversion"/>
  </si>
  <si>
    <t>난타(1'/6/1'/1)</t>
    <phoneticPr fontId="1" type="noConversion"/>
  </si>
  <si>
    <t>계수</t>
    <phoneticPr fontId="1" type="noConversion"/>
  </si>
  <si>
    <t>진용(올리기2타)</t>
    <phoneticPr fontId="1" type="noConversion"/>
  </si>
  <si>
    <t>공격타입</t>
    <phoneticPr fontId="1" type="noConversion"/>
  </si>
  <si>
    <t>백어택</t>
    <phoneticPr fontId="1" type="noConversion"/>
  </si>
  <si>
    <t>헤드어택</t>
    <phoneticPr fontId="1" type="noConversion"/>
  </si>
  <si>
    <t>합산</t>
    <phoneticPr fontId="1" type="noConversion"/>
  </si>
  <si>
    <t>스킬명(12렙)</t>
    <phoneticPr fontId="1" type="noConversion"/>
  </si>
  <si>
    <t>쿨타임(5)</t>
    <phoneticPr fontId="1" type="noConversion"/>
  </si>
  <si>
    <t>데미지(바닐라)</t>
    <phoneticPr fontId="1" type="noConversion"/>
  </si>
  <si>
    <t>아드치적</t>
    <phoneticPr fontId="1" type="noConversion"/>
  </si>
  <si>
    <t>피증</t>
    <phoneticPr fontId="1" type="noConversion"/>
  </si>
  <si>
    <t>데미지(트포5)</t>
    <phoneticPr fontId="1" type="noConversion"/>
  </si>
  <si>
    <t>DPS</t>
    <phoneticPr fontId="1" type="noConversion"/>
  </si>
  <si>
    <t>8회</t>
    <phoneticPr fontId="1" type="noConversion"/>
  </si>
  <si>
    <t>9회 막타</t>
    <phoneticPr fontId="1" type="noConversion"/>
  </si>
  <si>
    <t>막타만</t>
    <phoneticPr fontId="1" type="noConversion"/>
  </si>
  <si>
    <t>잽/막타</t>
    <phoneticPr fontId="1" type="noConversion"/>
  </si>
  <si>
    <t>2차파동</t>
    <phoneticPr fontId="1" type="noConversion"/>
  </si>
  <si>
    <t>올려/내려</t>
    <phoneticPr fontId="1" type="noConversion"/>
  </si>
  <si>
    <t>계산계수(비정확)</t>
    <phoneticPr fontId="1" type="noConversion"/>
  </si>
  <si>
    <t>추가피해 사라짐</t>
    <phoneticPr fontId="1" type="noConversion"/>
  </si>
  <si>
    <t>초신성</t>
    <phoneticPr fontId="1" type="noConversion"/>
  </si>
  <si>
    <t>전진기준</t>
    <phoneticPr fontId="1" type="noConversion"/>
  </si>
  <si>
    <t>너무 복잡해서 대충 실전비교 계수 때려넣음</t>
    <phoneticPr fontId="1" type="noConversion"/>
  </si>
  <si>
    <t>막타</t>
    <phoneticPr fontId="1" type="noConversion"/>
  </si>
  <si>
    <t>총합</t>
    <phoneticPr fontId="1" type="noConversion"/>
  </si>
  <si>
    <t>1트포 적용</t>
    <phoneticPr fontId="1" type="noConversion"/>
  </si>
  <si>
    <t>3트포뎀증</t>
    <phoneticPr fontId="1" type="noConversion"/>
  </si>
  <si>
    <t>연환파신권</t>
    <phoneticPr fontId="1" type="noConversion"/>
  </si>
  <si>
    <t>반영 못한 것</t>
    <phoneticPr fontId="1" type="noConversion"/>
  </si>
  <si>
    <t>3트포 계수</t>
    <phoneticPr fontId="1" type="noConversion"/>
  </si>
  <si>
    <t>총 계수</t>
    <phoneticPr fontId="1" type="noConversion"/>
  </si>
  <si>
    <t>1트포 5렙</t>
    <phoneticPr fontId="1" type="noConversion"/>
  </si>
  <si>
    <t>일망 몇초마다 때릴까?</t>
    <phoneticPr fontId="1" type="noConversion"/>
  </si>
  <si>
    <t>치명제외풀적용</t>
    <phoneticPr fontId="1" type="noConversion"/>
  </si>
  <si>
    <t>풀적용기대뎀지</t>
    <phoneticPr fontId="1" type="noConversion"/>
  </si>
  <si>
    <t>회심기준</t>
    <phoneticPr fontId="1" type="noConversion"/>
  </si>
  <si>
    <t>5트포 뎀증</t>
    <phoneticPr fontId="1" type="noConversion"/>
  </si>
  <si>
    <t>각인으로 인한 공증제외공격력</t>
    <phoneticPr fontId="1" type="noConversion"/>
  </si>
  <si>
    <t>계수교차비교</t>
    <phoneticPr fontId="1" type="noConversion"/>
  </si>
  <si>
    <t>아래는 건들지 말것!!!!!!!!!!!!!!!!!!!!!!</t>
    <phoneticPr fontId="1" type="noConversion"/>
  </si>
  <si>
    <t>아래는 위 입력값으로 인한 수치계산용 DATA</t>
    <phoneticPr fontId="1" type="noConversion"/>
  </si>
  <si>
    <t>세구빛18=1,30=2</t>
    <phoneticPr fontId="1" type="noConversion"/>
  </si>
  <si>
    <t>보석(0~10)</t>
    <phoneticPr fontId="1" type="noConversion"/>
  </si>
  <si>
    <t>자버프(0~5)</t>
    <phoneticPr fontId="1" type="noConversion"/>
  </si>
  <si>
    <t>유물 n셋(0~6)</t>
    <phoneticPr fontId="1" type="noConversion"/>
  </si>
  <si>
    <t>세구빛18,30</t>
  </si>
  <si>
    <t>업글 여부(0,1)</t>
    <phoneticPr fontId="1" type="noConversion"/>
  </si>
  <si>
    <t>기타(0,1)</t>
    <phoneticPr fontId="1" type="noConversion"/>
  </si>
  <si>
    <t>카드(0,1)</t>
    <phoneticPr fontId="1" type="noConversion"/>
  </si>
  <si>
    <t>각인(0~3)</t>
    <phoneticPr fontId="1" type="noConversion"/>
  </si>
  <si>
    <t>정밀 단도</t>
    <phoneticPr fontId="1" type="noConversion"/>
  </si>
  <si>
    <t>방무 60%(대충 30%의 딜증)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</si>
</sst>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&quot;(dps)&quot;"/>
    <numFmt numFmtId="177" formatCode="0.00&quot;s&quot;"/>
    <numFmt numFmtId="178" formatCode="0.00&quot;%&quot;"/>
    <numFmt numFmtId="179" formatCode="0.000"/>
    <numFmt numFmtId="180" formatCode="#,##0_);[Red]\(#,##0\)"/>
    <numFmt numFmtId="181" formatCode="#,##0_ "/>
    <numFmt numFmtId="182" formatCode="0.00_ "/>
  </numFmts>
  <fonts count="12" x14ac:knownFonts="1">
    <font>
      <sz val="10"/>
      <color rgb="FF000000"/>
      <name val="Arial"/>
    </font>
    <font>
      <sz val="11"/>
      <color theme="1"/>
      <name val="Arial"/>
    </font>
    <font>
      <u/>
      <sz val="11"/>
      <color theme="10"/>
      <name val="Arial"/>
    </font>
    <font>
      <u/>
      <sz val="11"/>
      <color theme="11"/>
      <name val="Arial"/>
    </font>
    <font>
      <b/>
      <sz val="11"/>
      <color theme="1"/>
      <name val="굴림"/>
      <family val="3"/>
      <charset val="129"/>
    </font>
    <font>
      <b/>
      <strike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theme="4"/>
      <name val="굴림"/>
      <family val="3"/>
      <charset val="129"/>
    </font>
    <font>
      <b/>
      <sz val="24"/>
      <color rgb="FF000000"/>
      <name val="굴림"/>
      <family val="3"/>
      <charset val="129"/>
    </font>
    <font>
      <b/>
      <sz val="36"/>
      <color rgb="FFFF0000"/>
      <name val="굴림"/>
      <family val="3"/>
      <charset val="129"/>
    </font>
    <font>
      <b/>
      <sz val="14"/>
      <color rgb="FFFF0000"/>
      <name val="굴림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rgb="FFDD7E6B"/>
        <bgColor rgb="FFDD7E6B"/>
      </patternFill>
    </fill>
    <fill>
      <patternFill patternType="solid">
        <fgColor rgb="FFFFD966"/>
        <bgColor rgb="FFFFD966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9D2E9"/>
        <bgColor rgb="FFD9D2E9"/>
      </patternFill>
    </fill>
    <fill>
      <patternFill patternType="solid">
        <fgColor rgb="FF8E7CC3"/>
        <bgColor rgb="FF8E7CC3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rgb="FFD9D2E9"/>
      </patternFill>
    </fill>
    <fill>
      <patternFill patternType="solid">
        <fgColor rgb="FFCC99FF"/>
        <bgColor rgb="FF8E7CC3"/>
      </patternFill>
    </fill>
    <fill>
      <patternFill patternType="solid">
        <fgColor rgb="FF00B0F0"/>
        <bgColor rgb="FFD9D2E9"/>
      </patternFill>
    </fill>
    <fill>
      <patternFill patternType="solid">
        <fgColor rgb="FF00B0F0"/>
        <bgColor rgb="FFA4C2F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D9EA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FFE599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 style="medium">
        <color indexed="64"/>
      </top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 style="medium">
        <color rgb="FFFFFF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6">
    <xf numFmtId="0" fontId="0" fillId="0" borderId="0" xfId="0" applyAlignment="1">
      <alignment wrapTex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8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10" fontId="4" fillId="3" borderId="4" xfId="0" applyNumberFormat="1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14" borderId="12" xfId="0" applyFont="1" applyFill="1" applyBorder="1" applyAlignment="1">
      <alignment horizontal="center" vertical="center" shrinkToFit="1"/>
    </xf>
    <xf numFmtId="0" fontId="4" fillId="15" borderId="4" xfId="0" applyFont="1" applyFill="1" applyBorder="1" applyAlignment="1">
      <alignment horizontal="center" vertical="center" shrinkToFit="1"/>
    </xf>
    <xf numFmtId="0" fontId="4" fillId="16" borderId="4" xfId="0" applyFont="1" applyFill="1" applyBorder="1" applyAlignment="1">
      <alignment horizontal="center" vertical="center" shrinkToFit="1"/>
    </xf>
    <xf numFmtId="0" fontId="4" fillId="17" borderId="4" xfId="0" applyFont="1" applyFill="1" applyBorder="1" applyAlignment="1">
      <alignment horizontal="center" vertical="center" shrinkToFit="1"/>
    </xf>
    <xf numFmtId="0" fontId="4" fillId="18" borderId="4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4" fillId="4" borderId="9" xfId="0" applyFont="1" applyFill="1" applyBorder="1" applyAlignment="1" applyProtection="1">
      <alignment horizontal="center" vertical="center" shrinkToFit="1"/>
    </xf>
    <xf numFmtId="0" fontId="4" fillId="4" borderId="5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19" xfId="0" applyFont="1" applyFill="1" applyBorder="1" applyAlignment="1" applyProtection="1">
      <alignment horizontal="center" vertical="center" shrinkToFit="1"/>
    </xf>
    <xf numFmtId="0" fontId="4" fillId="4" borderId="20" xfId="0" applyFont="1" applyFill="1" applyBorder="1" applyAlignment="1" applyProtection="1">
      <alignment horizontal="center" vertical="center" shrinkToFit="1"/>
    </xf>
    <xf numFmtId="0" fontId="4" fillId="4" borderId="21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 applyProtection="1">
      <alignment horizontal="center" vertical="center" shrinkToFit="1"/>
    </xf>
    <xf numFmtId="0" fontId="4" fillId="4" borderId="39" xfId="0" applyFont="1" applyFill="1" applyBorder="1" applyAlignment="1" applyProtection="1">
      <alignment horizontal="center" vertical="center" shrinkToFit="1"/>
    </xf>
    <xf numFmtId="0" fontId="6" fillId="22" borderId="33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vertical="center" shrinkToFit="1"/>
    </xf>
    <xf numFmtId="176" fontId="4" fillId="4" borderId="39" xfId="0" applyNumberFormat="1" applyFont="1" applyFill="1" applyBorder="1" applyAlignment="1" applyProtection="1">
      <alignment vertical="center" shrinkToFit="1"/>
    </xf>
    <xf numFmtId="176" fontId="4" fillId="4" borderId="2" xfId="0" applyNumberFormat="1" applyFont="1" applyFill="1" applyBorder="1" applyAlignment="1" applyProtection="1">
      <alignment horizontal="center" vertical="center" shrinkToFit="1"/>
    </xf>
    <xf numFmtId="0" fontId="6" fillId="22" borderId="19" xfId="0" applyFont="1" applyFill="1" applyBorder="1" applyAlignment="1" applyProtection="1">
      <alignment horizontal="center" vertical="center" shrinkToFit="1"/>
    </xf>
    <xf numFmtId="0" fontId="6" fillId="22" borderId="21" xfId="0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</xf>
    <xf numFmtId="177" fontId="4" fillId="19" borderId="1" xfId="0" applyNumberFormat="1" applyFont="1" applyFill="1" applyBorder="1" applyAlignment="1" applyProtection="1">
      <alignment horizontal="center" vertical="center" shrinkToFit="1"/>
    </xf>
    <xf numFmtId="180" fontId="4" fillId="19" borderId="22" xfId="0" applyNumberFormat="1" applyFont="1" applyFill="1" applyBorder="1" applyAlignment="1" applyProtection="1">
      <alignment horizontal="center" vertical="center" shrinkToFit="1"/>
    </xf>
    <xf numFmtId="180" fontId="6" fillId="19" borderId="12" xfId="0" applyNumberFormat="1" applyFont="1" applyFill="1" applyBorder="1" applyAlignment="1" applyProtection="1">
      <alignment horizontal="center" vertical="center" shrinkToFit="1"/>
    </xf>
    <xf numFmtId="180" fontId="6" fillId="19" borderId="31" xfId="0" applyNumberFormat="1" applyFont="1" applyFill="1" applyBorder="1" applyAlignment="1" applyProtection="1">
      <alignment horizontal="center" vertical="center" shrinkToFit="1"/>
    </xf>
    <xf numFmtId="0" fontId="4" fillId="19" borderId="40" xfId="0" applyFont="1" applyFill="1" applyBorder="1" applyAlignment="1" applyProtection="1">
      <alignment horizontal="center" vertical="center" shrinkToFit="1"/>
    </xf>
    <xf numFmtId="181" fontId="6" fillId="19" borderId="22" xfId="0" applyNumberFormat="1" applyFont="1" applyFill="1" applyBorder="1" applyAlignment="1" applyProtection="1">
      <alignment horizontal="center" vertical="center" shrinkToFit="1"/>
    </xf>
    <xf numFmtId="181" fontId="6" fillId="19" borderId="12" xfId="0" applyNumberFormat="1" applyFont="1" applyFill="1" applyBorder="1" applyAlignment="1" applyProtection="1">
      <alignment horizontal="center" vertical="center" shrinkToFit="1"/>
    </xf>
    <xf numFmtId="181" fontId="6" fillId="19" borderId="23" xfId="0" applyNumberFormat="1" applyFont="1" applyFill="1" applyBorder="1" applyAlignment="1" applyProtection="1">
      <alignment horizontal="center" vertical="center" shrinkToFit="1"/>
    </xf>
    <xf numFmtId="181" fontId="6" fillId="19" borderId="34" xfId="0" applyNumberFormat="1" applyFont="1" applyFill="1" applyBorder="1" applyAlignment="1" applyProtection="1">
      <alignment horizontal="center" vertical="center" shrinkToFit="1"/>
    </xf>
    <xf numFmtId="180" fontId="4" fillId="23" borderId="1" xfId="0" applyNumberFormat="1" applyFont="1" applyFill="1" applyBorder="1" applyAlignment="1" applyProtection="1">
      <alignment horizontal="center" vertical="center" shrinkToFit="1"/>
    </xf>
    <xf numFmtId="180" fontId="4" fillId="19" borderId="40" xfId="0" applyNumberFormat="1" applyFont="1" applyFill="1" applyBorder="1" applyAlignment="1" applyProtection="1">
      <alignment horizontal="center" vertical="center" shrinkToFit="1"/>
    </xf>
    <xf numFmtId="180" fontId="4" fillId="19" borderId="2" xfId="0" applyNumberFormat="1" applyFont="1" applyFill="1" applyBorder="1" applyAlignment="1" applyProtection="1">
      <alignment horizontal="center" vertical="center" shrinkToFit="1"/>
    </xf>
    <xf numFmtId="182" fontId="6" fillId="19" borderId="22" xfId="0" applyNumberFormat="1" applyFont="1" applyFill="1" applyBorder="1" applyAlignment="1" applyProtection="1">
      <alignment horizontal="center" vertical="center" shrinkToFit="1"/>
    </xf>
    <xf numFmtId="182" fontId="6" fillId="19" borderId="23" xfId="0" applyNumberFormat="1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181" fontId="6" fillId="19" borderId="31" xfId="0" applyNumberFormat="1" applyFont="1" applyFill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6" fillId="19" borderId="40" xfId="0" applyFont="1" applyFill="1" applyBorder="1" applyAlignment="1" applyProtection="1">
      <alignment horizontal="center" vertical="center" shrinkToFit="1"/>
    </xf>
    <xf numFmtId="0" fontId="4" fillId="21" borderId="16" xfId="0" applyFont="1" applyFill="1" applyBorder="1" applyAlignment="1" applyProtection="1">
      <alignment horizontal="center" vertical="center" shrinkToFit="1"/>
    </xf>
    <xf numFmtId="177" fontId="4" fillId="20" borderId="1" xfId="0" applyNumberFormat="1" applyFont="1" applyFill="1" applyBorder="1" applyAlignment="1" applyProtection="1">
      <alignment horizontal="center" vertical="center" shrinkToFit="1"/>
    </xf>
    <xf numFmtId="180" fontId="4" fillId="20" borderId="22" xfId="0" applyNumberFormat="1" applyFont="1" applyFill="1" applyBorder="1" applyAlignment="1" applyProtection="1">
      <alignment horizontal="center" vertical="center" shrinkToFit="1"/>
    </xf>
    <xf numFmtId="180" fontId="6" fillId="20" borderId="12" xfId="0" applyNumberFormat="1" applyFont="1" applyFill="1" applyBorder="1" applyAlignment="1" applyProtection="1">
      <alignment horizontal="center" vertical="center" shrinkToFit="1"/>
    </xf>
    <xf numFmtId="180" fontId="6" fillId="20" borderId="31" xfId="0" applyNumberFormat="1" applyFont="1" applyFill="1" applyBorder="1" applyAlignment="1" applyProtection="1">
      <alignment horizontal="center" vertical="center" shrinkToFit="1"/>
    </xf>
    <xf numFmtId="0" fontId="4" fillId="20" borderId="40" xfId="0" applyFont="1" applyFill="1" applyBorder="1" applyAlignment="1" applyProtection="1">
      <alignment horizontal="center" vertical="center" shrinkToFit="1"/>
    </xf>
    <xf numFmtId="181" fontId="6" fillId="20" borderId="22" xfId="0" applyNumberFormat="1" applyFont="1" applyFill="1" applyBorder="1" applyAlignment="1" applyProtection="1">
      <alignment horizontal="center" vertical="center" shrinkToFit="1"/>
    </xf>
    <xf numFmtId="181" fontId="6" fillId="20" borderId="12" xfId="0" applyNumberFormat="1" applyFont="1" applyFill="1" applyBorder="1" applyAlignment="1" applyProtection="1">
      <alignment horizontal="center" vertical="center" shrinkToFit="1"/>
    </xf>
    <xf numFmtId="181" fontId="6" fillId="20" borderId="23" xfId="0" applyNumberFormat="1" applyFont="1" applyFill="1" applyBorder="1" applyAlignment="1" applyProtection="1">
      <alignment horizontal="center" vertical="center" shrinkToFit="1"/>
    </xf>
    <xf numFmtId="181" fontId="6" fillId="20" borderId="31" xfId="0" applyNumberFormat="1" applyFont="1" applyFill="1" applyBorder="1" applyAlignment="1" applyProtection="1">
      <alignment horizontal="center" vertical="center" shrinkToFit="1"/>
    </xf>
    <xf numFmtId="180" fontId="4" fillId="24" borderId="1" xfId="0" applyNumberFormat="1" applyFont="1" applyFill="1" applyBorder="1" applyAlignment="1" applyProtection="1">
      <alignment horizontal="center" vertical="center" shrinkToFit="1"/>
    </xf>
    <xf numFmtId="180" fontId="4" fillId="20" borderId="40" xfId="0" applyNumberFormat="1" applyFont="1" applyFill="1" applyBorder="1" applyAlignment="1" applyProtection="1">
      <alignment horizontal="center" vertical="center" shrinkToFit="1"/>
    </xf>
    <xf numFmtId="180" fontId="4" fillId="20" borderId="2" xfId="0" applyNumberFormat="1" applyFont="1" applyFill="1" applyBorder="1" applyAlignment="1" applyProtection="1">
      <alignment horizontal="center" vertical="center" shrinkToFit="1"/>
    </xf>
    <xf numFmtId="182" fontId="6" fillId="20" borderId="22" xfId="0" applyNumberFormat="1" applyFont="1" applyFill="1" applyBorder="1" applyAlignment="1" applyProtection="1">
      <alignment horizontal="center" vertical="center" shrinkToFit="1"/>
    </xf>
    <xf numFmtId="182" fontId="6" fillId="20" borderId="23" xfId="0" applyNumberFormat="1" applyFont="1" applyFill="1" applyBorder="1" applyAlignment="1" applyProtection="1">
      <alignment horizontal="center" vertical="center" shrinkToFit="1"/>
    </xf>
    <xf numFmtId="0" fontId="4" fillId="21" borderId="11" xfId="0" applyFont="1" applyFill="1" applyBorder="1" applyAlignment="1" applyProtection="1">
      <alignment horizontal="center" vertical="center" shrinkToFit="1"/>
    </xf>
    <xf numFmtId="180" fontId="6" fillId="20" borderId="22" xfId="0" applyNumberFormat="1" applyFont="1" applyFill="1" applyBorder="1" applyAlignment="1" applyProtection="1">
      <alignment horizontal="center" vertical="center" shrinkToFit="1"/>
    </xf>
    <xf numFmtId="180" fontId="6" fillId="20" borderId="23" xfId="0" applyNumberFormat="1" applyFont="1" applyFill="1" applyBorder="1" applyAlignment="1" applyProtection="1">
      <alignment horizontal="center" vertical="center" shrinkToFit="1"/>
    </xf>
    <xf numFmtId="180" fontId="4" fillId="20" borderId="24" xfId="0" applyNumberFormat="1" applyFont="1" applyFill="1" applyBorder="1" applyAlignment="1" applyProtection="1">
      <alignment horizontal="center" vertical="center" shrinkToFit="1"/>
    </xf>
    <xf numFmtId="180" fontId="6" fillId="20" borderId="25" xfId="0" applyNumberFormat="1" applyFont="1" applyFill="1" applyBorder="1" applyAlignment="1" applyProtection="1">
      <alignment horizontal="center" vertical="center" shrinkToFit="1"/>
    </xf>
    <xf numFmtId="180" fontId="6" fillId="20" borderId="32" xfId="0" applyNumberFormat="1" applyFont="1" applyFill="1" applyBorder="1" applyAlignment="1" applyProtection="1">
      <alignment horizontal="center" vertical="center" shrinkToFit="1"/>
    </xf>
    <xf numFmtId="0" fontId="4" fillId="20" borderId="41" xfId="0" applyFont="1" applyFill="1" applyBorder="1" applyAlignment="1" applyProtection="1">
      <alignment horizontal="center" vertical="center" shrinkToFit="1"/>
    </xf>
    <xf numFmtId="181" fontId="6" fillId="20" borderId="24" xfId="0" applyNumberFormat="1" applyFont="1" applyFill="1" applyBorder="1" applyAlignment="1" applyProtection="1">
      <alignment horizontal="center" vertical="center" shrinkToFit="1"/>
    </xf>
    <xf numFmtId="181" fontId="6" fillId="20" borderId="25" xfId="0" applyNumberFormat="1" applyFont="1" applyFill="1" applyBorder="1" applyAlignment="1" applyProtection="1">
      <alignment horizontal="center" vertical="center" shrinkToFit="1"/>
    </xf>
    <xf numFmtId="181" fontId="6" fillId="20" borderId="26" xfId="0" applyNumberFormat="1" applyFont="1" applyFill="1" applyBorder="1" applyAlignment="1" applyProtection="1">
      <alignment horizontal="center" vertical="center" shrinkToFit="1"/>
    </xf>
    <xf numFmtId="181" fontId="6" fillId="20" borderId="32" xfId="0" applyNumberFormat="1" applyFont="1" applyFill="1" applyBorder="1" applyAlignment="1" applyProtection="1">
      <alignment horizontal="center" vertical="center" shrinkToFit="1"/>
    </xf>
    <xf numFmtId="180" fontId="4" fillId="20" borderId="41" xfId="0" applyNumberFormat="1" applyFont="1" applyFill="1" applyBorder="1" applyAlignment="1" applyProtection="1">
      <alignment horizontal="center" vertical="center" shrinkToFit="1"/>
    </xf>
    <xf numFmtId="182" fontId="6" fillId="20" borderId="24" xfId="0" applyNumberFormat="1" applyFont="1" applyFill="1" applyBorder="1" applyAlignment="1" applyProtection="1">
      <alignment horizontal="center" vertical="center" shrinkToFit="1"/>
    </xf>
    <xf numFmtId="182" fontId="6" fillId="20" borderId="26" xfId="0" applyNumberFormat="1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4" xfId="0" applyNumberFormat="1" applyFont="1" applyFill="1" applyBorder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horizontal="center" vertical="center" shrinkToFit="1"/>
    </xf>
    <xf numFmtId="0" fontId="4" fillId="8" borderId="4" xfId="0" applyFont="1" applyFill="1" applyBorder="1" applyAlignment="1" applyProtection="1">
      <alignment horizontal="center" vertical="center" shrinkToFit="1"/>
    </xf>
    <xf numFmtId="0" fontId="4" fillId="12" borderId="4" xfId="0" applyFont="1" applyFill="1" applyBorder="1" applyAlignment="1" applyProtection="1">
      <alignment horizontal="center" vertical="center" shrinkToFit="1"/>
    </xf>
    <xf numFmtId="0" fontId="4" fillId="13" borderId="4" xfId="0" applyFont="1" applyFill="1" applyBorder="1" applyAlignment="1" applyProtection="1">
      <alignment horizontal="center" vertical="center" shrinkToFit="1"/>
    </xf>
    <xf numFmtId="0" fontId="4" fillId="11" borderId="4" xfId="0" applyFont="1" applyFill="1" applyBorder="1" applyAlignment="1" applyProtection="1">
      <alignment horizontal="center" vertical="center" shrinkToFit="1"/>
    </xf>
    <xf numFmtId="0" fontId="5" fillId="8" borderId="4" xfId="0" applyFont="1" applyFill="1" applyBorder="1" applyAlignment="1" applyProtection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</xf>
    <xf numFmtId="0" fontId="6" fillId="8" borderId="4" xfId="0" applyFont="1" applyFill="1" applyBorder="1" applyAlignment="1" applyProtection="1">
      <alignment horizontal="center" vertical="center" shrinkToFit="1"/>
    </xf>
    <xf numFmtId="0" fontId="4" fillId="9" borderId="4" xfId="0" applyFont="1" applyFill="1" applyBorder="1" applyAlignment="1" applyProtection="1">
      <alignment horizontal="center" vertical="center" shrinkToFit="1"/>
    </xf>
    <xf numFmtId="0" fontId="4" fillId="13" borderId="3" xfId="0" applyFont="1" applyFill="1" applyBorder="1" applyAlignment="1" applyProtection="1">
      <alignment horizontal="center" vertical="center" shrinkToFit="1"/>
    </xf>
    <xf numFmtId="0" fontId="4" fillId="12" borderId="11" xfId="0" applyFont="1" applyFill="1" applyBorder="1" applyAlignment="1" applyProtection="1">
      <alignment horizontal="center" vertical="center" shrinkToFit="1"/>
    </xf>
    <xf numFmtId="0" fontId="4" fillId="10" borderId="4" xfId="0" applyFont="1" applyFill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42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center" vertical="center" shrinkToFit="1"/>
    </xf>
    <xf numFmtId="0" fontId="6" fillId="19" borderId="14" xfId="0" applyFont="1" applyFill="1" applyBorder="1" applyAlignment="1" applyProtection="1">
      <alignment horizontal="center" vertical="center" shrinkToFit="1"/>
    </xf>
    <xf numFmtId="0" fontId="6" fillId="19" borderId="12" xfId="0" applyFont="1" applyFill="1" applyBorder="1" applyAlignment="1" applyProtection="1">
      <alignment horizontal="center" vertical="center" shrinkToFit="1"/>
    </xf>
    <xf numFmtId="0" fontId="6" fillId="25" borderId="12" xfId="0" applyFont="1" applyFill="1" applyBorder="1" applyAlignment="1" applyProtection="1">
      <alignment horizontal="center" vertical="center" shrinkToFit="1"/>
    </xf>
    <xf numFmtId="2" fontId="4" fillId="19" borderId="12" xfId="0" applyNumberFormat="1" applyFont="1" applyFill="1" applyBorder="1" applyAlignment="1" applyProtection="1">
      <alignment horizontal="center" vertical="center" shrinkToFit="1"/>
    </xf>
    <xf numFmtId="0" fontId="4" fillId="19" borderId="14" xfId="0" applyFont="1" applyFill="1" applyBorder="1" applyAlignment="1" applyProtection="1">
      <alignment horizontal="center" vertical="center" shrinkToFit="1"/>
    </xf>
    <xf numFmtId="0" fontId="4" fillId="19" borderId="12" xfId="0" applyFont="1" applyFill="1" applyBorder="1" applyAlignment="1" applyProtection="1">
      <alignment horizontal="center" vertical="center" shrinkToFit="1"/>
    </xf>
    <xf numFmtId="0" fontId="4" fillId="20" borderId="14" xfId="0" applyFont="1" applyFill="1" applyBorder="1" applyAlignment="1" applyProtection="1">
      <alignment horizontal="center" vertical="center" shrinkToFit="1"/>
    </xf>
    <xf numFmtId="0" fontId="4" fillId="20" borderId="12" xfId="0" applyFont="1" applyFill="1" applyBorder="1" applyAlignment="1" applyProtection="1">
      <alignment horizontal="center" vertical="center" shrinkToFit="1"/>
    </xf>
    <xf numFmtId="0" fontId="6" fillId="26" borderId="12" xfId="0" applyFont="1" applyFill="1" applyBorder="1" applyAlignment="1" applyProtection="1">
      <alignment horizontal="center" vertical="center" shrinkToFit="1"/>
    </xf>
    <xf numFmtId="2" fontId="4" fillId="20" borderId="12" xfId="0" applyNumberFormat="1" applyFont="1" applyFill="1" applyBorder="1" applyAlignment="1" applyProtection="1">
      <alignment horizontal="center" vertical="center" shrinkToFit="1"/>
    </xf>
    <xf numFmtId="0" fontId="6" fillId="20" borderId="12" xfId="0" applyFont="1" applyFill="1" applyBorder="1" applyAlignment="1" applyProtection="1">
      <alignment horizontal="center" vertical="center" shrinkToFit="1"/>
    </xf>
    <xf numFmtId="0" fontId="4" fillId="20" borderId="15" xfId="0" applyFont="1" applyFill="1" applyBorder="1" applyAlignment="1" applyProtection="1">
      <alignment horizontal="center" vertical="center" shrinkToFit="1"/>
    </xf>
    <xf numFmtId="177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27" borderId="0" xfId="0" applyFont="1" applyFill="1" applyAlignment="1">
      <alignment horizontal="center" vertical="center" shrinkToFit="1"/>
    </xf>
    <xf numFmtId="0" fontId="9" fillId="27" borderId="0" xfId="0" applyFont="1" applyFill="1" applyAlignment="1">
      <alignment vertical="center" shrinkToFit="1"/>
    </xf>
    <xf numFmtId="0" fontId="6" fillId="27" borderId="0" xfId="0" applyFont="1" applyFill="1" applyAlignment="1">
      <alignment horizontal="center" vertical="center" shrinkToFit="1"/>
    </xf>
    <xf numFmtId="0" fontId="6" fillId="27" borderId="18" xfId="0" applyFont="1" applyFill="1" applyBorder="1" applyAlignment="1">
      <alignment horizontal="center" vertical="center" shrinkToFit="1"/>
    </xf>
    <xf numFmtId="0" fontId="6" fillId="27" borderId="10" xfId="0" applyFont="1" applyFill="1" applyBorder="1" applyAlignment="1">
      <alignment horizontal="center" vertical="center" shrinkToFit="1"/>
    </xf>
    <xf numFmtId="0" fontId="6" fillId="27" borderId="10" xfId="0" applyFont="1" applyFill="1" applyBorder="1" applyAlignment="1" applyProtection="1">
      <alignment horizontal="center" vertical="center" shrinkToFit="1"/>
    </xf>
    <xf numFmtId="0" fontId="6" fillId="27" borderId="0" xfId="0" applyFont="1" applyFill="1" applyAlignment="1" applyProtection="1">
      <alignment horizontal="center" vertical="center" shrinkToFit="1"/>
    </xf>
    <xf numFmtId="0" fontId="4" fillId="27" borderId="0" xfId="0" applyFont="1" applyFill="1" applyAlignment="1">
      <alignment horizontal="center" vertical="center" shrinkToFit="1"/>
    </xf>
    <xf numFmtId="0" fontId="4" fillId="27" borderId="0" xfId="0" applyFont="1" applyFill="1" applyAlignment="1" applyProtection="1">
      <alignment horizontal="center" vertical="center" shrinkToFit="1"/>
    </xf>
    <xf numFmtId="0" fontId="7" fillId="27" borderId="0" xfId="0" applyFont="1" applyFill="1" applyAlignment="1" applyProtection="1">
      <alignment horizontal="center" vertical="center" shrinkToFit="1"/>
    </xf>
    <xf numFmtId="0" fontId="6" fillId="14" borderId="10" xfId="0" applyFont="1" applyFill="1" applyBorder="1" applyAlignment="1" applyProtection="1">
      <alignment horizontal="center" vertical="center" shrinkToFit="1"/>
    </xf>
    <xf numFmtId="0" fontId="6" fillId="14" borderId="10" xfId="0" applyFont="1" applyFill="1" applyBorder="1" applyAlignment="1">
      <alignment horizontal="center" vertical="center" shrinkToFit="1"/>
    </xf>
    <xf numFmtId="0" fontId="6" fillId="14" borderId="0" xfId="0" applyFont="1" applyFill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6" fillId="27" borderId="17" xfId="0" applyFont="1" applyFill="1" applyBorder="1" applyAlignment="1">
      <alignment horizontal="center" vertical="center" shrinkToFit="1"/>
    </xf>
    <xf numFmtId="0" fontId="4" fillId="27" borderId="18" xfId="0" applyFont="1" applyFill="1" applyBorder="1" applyAlignment="1">
      <alignment horizontal="center" vertical="center" shrinkToFit="1"/>
    </xf>
    <xf numFmtId="0" fontId="4" fillId="14" borderId="10" xfId="0" applyFont="1" applyFill="1" applyBorder="1" applyAlignment="1">
      <alignment horizontal="center" vertical="center" shrinkToFit="1"/>
    </xf>
    <xf numFmtId="0" fontId="4" fillId="27" borderId="10" xfId="0" applyFont="1" applyFill="1" applyBorder="1" applyAlignment="1">
      <alignment horizontal="center" vertical="center" shrinkToFit="1"/>
    </xf>
    <xf numFmtId="0" fontId="4" fillId="27" borderId="10" xfId="0" applyFont="1" applyFill="1" applyBorder="1" applyAlignment="1" applyProtection="1">
      <alignment horizontal="center" vertical="center" shrinkToFit="1"/>
    </xf>
    <xf numFmtId="0" fontId="4" fillId="14" borderId="10" xfId="0" applyFont="1" applyFill="1" applyBorder="1" applyAlignment="1" applyProtection="1">
      <alignment horizontal="center" vertical="center" shrinkToFit="1"/>
    </xf>
    <xf numFmtId="180" fontId="6" fillId="19" borderId="23" xfId="0" applyNumberFormat="1" applyFont="1" applyFill="1" applyBorder="1" applyAlignment="1" applyProtection="1">
      <alignment horizontal="center" vertical="center" shrinkToFit="1"/>
    </xf>
    <xf numFmtId="0" fontId="6" fillId="20" borderId="10" xfId="0" applyFont="1" applyFill="1" applyBorder="1" applyAlignment="1" applyProtection="1">
      <alignment horizontal="center" vertical="center" shrinkToFit="1"/>
    </xf>
    <xf numFmtId="180" fontId="6" fillId="20" borderId="26" xfId="0" applyNumberFormat="1" applyFont="1" applyFill="1" applyBorder="1" applyAlignment="1" applyProtection="1">
      <alignment horizontal="center" vertical="center" shrinkToFit="1"/>
    </xf>
    <xf numFmtId="0" fontId="4" fillId="27" borderId="7" xfId="0" applyFont="1" applyFill="1" applyBorder="1" applyAlignment="1" applyProtection="1">
      <alignment horizontal="center" vertical="center" shrinkToFit="1"/>
    </xf>
    <xf numFmtId="0" fontId="6" fillId="14" borderId="0" xfId="0" applyFont="1" applyFill="1" applyAlignment="1">
      <alignment horizontal="center" vertical="center" shrinkToFit="1"/>
    </xf>
    <xf numFmtId="0" fontId="4" fillId="14" borderId="0" xfId="0" applyFont="1" applyFill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2" fontId="4" fillId="0" borderId="4" xfId="0" applyNumberFormat="1" applyFont="1" applyBorder="1" applyAlignment="1" applyProtection="1">
      <alignment horizontal="center" vertical="center" shrinkToFit="1"/>
    </xf>
    <xf numFmtId="10" fontId="4" fillId="0" borderId="4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179" fontId="4" fillId="0" borderId="4" xfId="0" applyNumberFormat="1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7" fillId="27" borderId="48" xfId="0" applyFont="1" applyFill="1" applyBorder="1" applyAlignment="1" applyProtection="1">
      <alignment horizontal="center" vertical="center" shrinkToFit="1"/>
    </xf>
    <xf numFmtId="0" fontId="7" fillId="27" borderId="10" xfId="0" applyFont="1" applyFill="1" applyBorder="1" applyAlignment="1" applyProtection="1">
      <alignment horizontal="center" vertical="center" shrinkToFit="1"/>
    </xf>
    <xf numFmtId="0" fontId="7" fillId="27" borderId="49" xfId="0" applyFont="1" applyFill="1" applyBorder="1" applyAlignment="1" applyProtection="1">
      <alignment horizontal="center" vertical="center" shrinkToFit="1"/>
    </xf>
    <xf numFmtId="0" fontId="7" fillId="27" borderId="38" xfId="0" applyFont="1" applyFill="1" applyBorder="1" applyAlignment="1" applyProtection="1">
      <alignment horizontal="center" vertical="center" shrinkToFit="1"/>
    </xf>
    <xf numFmtId="0" fontId="4" fillId="27" borderId="7" xfId="0" applyFont="1" applyFill="1" applyBorder="1" applyAlignment="1">
      <alignment horizontal="center" vertical="center" shrinkToFit="1"/>
    </xf>
    <xf numFmtId="0" fontId="4" fillId="26" borderId="12" xfId="0" applyFont="1" applyFill="1" applyBorder="1" applyAlignment="1" applyProtection="1">
      <alignment horizontal="center" vertical="center" shrinkToFit="1"/>
    </xf>
    <xf numFmtId="0" fontId="7" fillId="27" borderId="50" xfId="0" applyFont="1" applyFill="1" applyBorder="1" applyAlignment="1" applyProtection="1">
      <alignment horizontal="center" vertical="center" shrinkToFit="1"/>
    </xf>
    <xf numFmtId="0" fontId="7" fillId="27" borderId="30" xfId="0" applyFont="1" applyFill="1" applyBorder="1" applyAlignment="1" applyProtection="1">
      <alignment horizontal="center" vertical="center" shrinkToFit="1"/>
    </xf>
    <xf numFmtId="0" fontId="7" fillId="27" borderId="51" xfId="0" applyFont="1" applyFill="1" applyBorder="1" applyAlignment="1" applyProtection="1">
      <alignment horizontal="center" vertical="center" shrinkToFit="1"/>
    </xf>
    <xf numFmtId="0" fontId="7" fillId="27" borderId="52" xfId="0" applyFont="1" applyFill="1" applyBorder="1" applyAlignment="1" applyProtection="1">
      <alignment horizontal="center" vertical="center" shrinkToFit="1"/>
    </xf>
    <xf numFmtId="0" fontId="7" fillId="27" borderId="53" xfId="0" applyFont="1" applyFill="1" applyBorder="1" applyAlignment="1" applyProtection="1">
      <alignment horizontal="center" vertical="center" shrinkToFit="1"/>
    </xf>
    <xf numFmtId="0" fontId="7" fillId="27" borderId="54" xfId="0" applyFont="1" applyFill="1" applyBorder="1" applyAlignment="1" applyProtection="1">
      <alignment horizontal="center" vertical="center" shrinkToFit="1"/>
    </xf>
    <xf numFmtId="0" fontId="7" fillId="27" borderId="55" xfId="0" applyFont="1" applyFill="1" applyBorder="1" applyAlignment="1" applyProtection="1">
      <alignment horizontal="center" vertical="center" shrinkToFit="1"/>
    </xf>
    <xf numFmtId="0" fontId="7" fillId="27" borderId="45" xfId="0" applyFont="1" applyFill="1" applyBorder="1" applyAlignment="1" applyProtection="1">
      <alignment horizontal="center" vertical="center" shrinkToFit="1"/>
    </xf>
    <xf numFmtId="0" fontId="7" fillId="27" borderId="46" xfId="0" applyFont="1" applyFill="1" applyBorder="1" applyAlignment="1" applyProtection="1">
      <alignment horizontal="center" vertical="center" shrinkToFit="1"/>
    </xf>
    <xf numFmtId="182" fontId="7" fillId="27" borderId="46" xfId="0" applyNumberFormat="1" applyFont="1" applyFill="1" applyBorder="1" applyAlignment="1" applyProtection="1">
      <alignment horizontal="center" vertical="center" shrinkToFit="1"/>
    </xf>
    <xf numFmtId="0" fontId="7" fillId="27" borderId="47" xfId="0" applyFont="1" applyFill="1" applyBorder="1" applyAlignment="1" applyProtection="1">
      <alignment horizontal="center" vertical="center" shrinkToFit="1"/>
    </xf>
    <xf numFmtId="182" fontId="7" fillId="27" borderId="10" xfId="0" applyNumberFormat="1" applyFont="1" applyFill="1" applyBorder="1" applyAlignment="1" applyProtection="1">
      <alignment horizontal="center" vertical="center" shrinkToFit="1"/>
    </xf>
    <xf numFmtId="176" fontId="7" fillId="27" borderId="0" xfId="0" applyNumberFormat="1" applyFont="1" applyFill="1" applyAlignment="1" applyProtection="1">
      <alignment horizontal="center" vertical="center" shrinkToFit="1"/>
    </xf>
    <xf numFmtId="182" fontId="7" fillId="27" borderId="49" xfId="0" applyNumberFormat="1" applyFont="1" applyFill="1" applyBorder="1" applyAlignment="1" applyProtection="1">
      <alignment horizontal="center" vertical="center" shrinkToFit="1"/>
    </xf>
    <xf numFmtId="0" fontId="7" fillId="27" borderId="56" xfId="0" applyFont="1" applyFill="1" applyBorder="1" applyAlignment="1" applyProtection="1">
      <alignment horizontal="center" vertical="center" shrinkToFit="1"/>
    </xf>
    <xf numFmtId="182" fontId="7" fillId="27" borderId="54" xfId="0" applyNumberFormat="1" applyFont="1" applyFill="1" applyBorder="1" applyAlignment="1" applyProtection="1">
      <alignment horizontal="center" vertical="center" shrinkToFit="1"/>
    </xf>
    <xf numFmtId="176" fontId="4" fillId="27" borderId="0" xfId="0" applyNumberFormat="1" applyFont="1" applyFill="1" applyAlignment="1" applyProtection="1">
      <alignment horizontal="center" vertical="center" shrinkToFit="1"/>
    </xf>
    <xf numFmtId="176" fontId="4" fillId="27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17" borderId="4" xfId="0" applyFont="1" applyFill="1" applyBorder="1" applyAlignment="1" applyProtection="1">
      <alignment horizontal="center" vertical="center" shrinkToFit="1"/>
    </xf>
    <xf numFmtId="0" fontId="7" fillId="27" borderId="45" xfId="0" applyFont="1" applyFill="1" applyBorder="1" applyAlignment="1" applyProtection="1">
      <alignment horizontal="center" vertical="center" shrinkToFit="1"/>
    </xf>
    <xf numFmtId="0" fontId="7" fillId="27" borderId="46" xfId="0" applyFont="1" applyFill="1" applyBorder="1" applyAlignment="1" applyProtection="1">
      <alignment horizontal="center" vertical="center" shrinkToFit="1"/>
    </xf>
    <xf numFmtId="0" fontId="7" fillId="27" borderId="47" xfId="0" applyFont="1" applyFill="1" applyBorder="1" applyAlignment="1" applyProtection="1">
      <alignment horizontal="center" vertical="center" shrinkToFit="1"/>
    </xf>
    <xf numFmtId="0" fontId="7" fillId="27" borderId="48" xfId="0" applyFont="1" applyFill="1" applyBorder="1" applyAlignment="1" applyProtection="1">
      <alignment horizontal="center" vertical="center" shrinkToFit="1"/>
    </xf>
    <xf numFmtId="0" fontId="7" fillId="27" borderId="10" xfId="0" applyFont="1" applyFill="1" applyBorder="1" applyAlignment="1" applyProtection="1">
      <alignment horizontal="center" vertical="center" shrinkToFit="1"/>
    </xf>
    <xf numFmtId="0" fontId="7" fillId="27" borderId="49" xfId="0" applyFont="1" applyFill="1" applyBorder="1" applyAlignment="1" applyProtection="1">
      <alignment horizontal="center" vertical="center" shrinkToFit="1"/>
    </xf>
    <xf numFmtId="0" fontId="6" fillId="22" borderId="12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6" fillId="27" borderId="0" xfId="0" applyFont="1" applyFill="1" applyAlignment="1">
      <alignment horizontal="center" vertical="center" shrinkToFit="1"/>
    </xf>
    <xf numFmtId="0" fontId="7" fillId="27" borderId="0" xfId="0" applyFont="1" applyFill="1" applyAlignment="1">
      <alignment horizontal="center" vertical="center" shrinkToFit="1"/>
    </xf>
    <xf numFmtId="0" fontId="7" fillId="27" borderId="10" xfId="0" applyFont="1" applyFill="1" applyBorder="1" applyAlignment="1">
      <alignment horizontal="center" vertical="center" shrinkToFit="1"/>
    </xf>
    <xf numFmtId="0" fontId="10" fillId="27" borderId="10" xfId="0" applyFont="1" applyFill="1" applyBorder="1" applyAlignment="1" applyProtection="1">
      <alignment horizontal="center" vertical="center" shrinkToFit="1"/>
    </xf>
    <xf numFmtId="0" fontId="6" fillId="27" borderId="10" xfId="0" applyFont="1" applyFill="1" applyBorder="1" applyAlignment="1" applyProtection="1">
      <alignment horizontal="center" vertical="center" shrinkToFit="1"/>
    </xf>
    <xf numFmtId="0" fontId="11" fillId="27" borderId="0" xfId="0" applyFont="1" applyFill="1" applyAlignment="1">
      <alignment horizontal="center" vertical="center" shrinkToFit="1"/>
    </xf>
    <xf numFmtId="181" fontId="6" fillId="20" borderId="35" xfId="0" applyNumberFormat="1" applyFont="1" applyFill="1" applyBorder="1" applyAlignment="1" applyProtection="1">
      <alignment horizontal="center" vertical="center" shrinkToFit="1"/>
    </xf>
    <xf numFmtId="181" fontId="6" fillId="20" borderId="36" xfId="0" applyNumberFormat="1" applyFont="1" applyFill="1" applyBorder="1" applyAlignment="1" applyProtection="1">
      <alignment horizontal="center" vertical="center" shrinkToFit="1"/>
    </xf>
    <xf numFmtId="181" fontId="6" fillId="20" borderId="37" xfId="0" applyNumberFormat="1" applyFont="1" applyFill="1" applyBorder="1" applyAlignment="1" applyProtection="1">
      <alignment horizontal="center" vertical="center" shrinkToFit="1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009"/>
  <sheetViews>
    <sheetView tabSelected="1" zoomScale="115" zoomScaleNormal="115" workbookViewId="0">
      <selection activeCell="N8" sqref="N8"/>
    </sheetView>
  </sheetViews>
  <sheetFormatPr defaultColWidth="12.6328125" defaultRowHeight="15.75" customHeight="1" x14ac:dyDescent="0.25"/>
  <cols>
    <col min="1" max="1" width="1.7265625" style="114" customWidth="1"/>
    <col min="2" max="19" width="12.6328125" style="16"/>
    <col min="20" max="20" width="12.6328125" style="16" customWidth="1"/>
    <col min="21" max="16384" width="12.6328125" style="16"/>
  </cols>
  <sheetData>
    <row r="1" spans="1:57" ht="15.75" customHeight="1" x14ac:dyDescent="0.25">
      <c r="B1" s="114"/>
      <c r="C1" s="189" t="s">
        <v>128</v>
      </c>
      <c r="D1" s="189"/>
      <c r="E1" s="189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9"/>
      <c r="U1" s="119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</row>
    <row r="2" spans="1:57" ht="15.75" customHeight="1" x14ac:dyDescent="0.25">
      <c r="B2" s="1" t="s">
        <v>0</v>
      </c>
      <c r="C2" s="7" t="s">
        <v>1</v>
      </c>
      <c r="D2" s="10" t="s">
        <v>74</v>
      </c>
      <c r="E2" s="114"/>
      <c r="F2" s="112" t="s">
        <v>139</v>
      </c>
      <c r="G2" s="119"/>
      <c r="H2" s="112" t="s">
        <v>138</v>
      </c>
      <c r="I2" s="114"/>
      <c r="J2" s="114"/>
      <c r="K2" s="114"/>
      <c r="L2" s="114"/>
      <c r="M2" s="114"/>
      <c r="N2" s="192" t="s">
        <v>119</v>
      </c>
      <c r="O2" s="192"/>
      <c r="P2" s="192"/>
      <c r="Q2" s="113"/>
      <c r="R2" s="113"/>
      <c r="S2" s="113"/>
      <c r="T2" s="113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</row>
    <row r="3" spans="1:57" ht="15.75" customHeight="1" x14ac:dyDescent="0.25">
      <c r="B3" s="125">
        <v>0</v>
      </c>
      <c r="C3" s="126">
        <v>0</v>
      </c>
      <c r="D3" s="127">
        <v>35000</v>
      </c>
      <c r="E3" s="114"/>
      <c r="F3" s="5" t="s">
        <v>27</v>
      </c>
      <c r="G3" s="5" t="s">
        <v>132</v>
      </c>
      <c r="H3" s="6" t="s">
        <v>29</v>
      </c>
      <c r="I3" s="6" t="s">
        <v>30</v>
      </c>
      <c r="J3" s="114"/>
      <c r="K3" s="114"/>
      <c r="L3" s="114"/>
      <c r="M3" s="114"/>
      <c r="N3" s="192"/>
      <c r="O3" s="192"/>
      <c r="P3" s="192"/>
      <c r="Q3" s="113"/>
      <c r="R3" s="113"/>
      <c r="S3" s="113"/>
      <c r="T3" s="113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</row>
    <row r="4" spans="1:57" ht="15.75" customHeight="1" x14ac:dyDescent="0.25">
      <c r="B4" s="2" t="s">
        <v>3</v>
      </c>
      <c r="C4" s="8" t="s">
        <v>4</v>
      </c>
      <c r="D4" s="114"/>
      <c r="E4" s="114"/>
      <c r="F4" s="125">
        <v>0</v>
      </c>
      <c r="G4" s="125">
        <v>0</v>
      </c>
      <c r="H4" s="125">
        <v>0</v>
      </c>
      <c r="I4" s="125">
        <v>0</v>
      </c>
      <c r="J4" s="112" t="s">
        <v>135</v>
      </c>
      <c r="K4" s="119"/>
      <c r="L4" s="114"/>
      <c r="M4" s="114"/>
      <c r="N4" s="192"/>
      <c r="O4" s="192"/>
      <c r="P4" s="192"/>
      <c r="Q4" s="113"/>
      <c r="R4" s="113"/>
      <c r="S4" s="113"/>
      <c r="T4" s="113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</row>
    <row r="5" spans="1:57" ht="15.75" customHeight="1" x14ac:dyDescent="0.25">
      <c r="B5" s="125">
        <v>0</v>
      </c>
      <c r="C5" s="128">
        <v>0</v>
      </c>
      <c r="D5" s="112" t="s">
        <v>140</v>
      </c>
      <c r="E5" s="114"/>
      <c r="F5" s="114"/>
      <c r="G5" s="5" t="s">
        <v>28</v>
      </c>
      <c r="H5" s="6" t="s">
        <v>31</v>
      </c>
      <c r="I5" s="114"/>
      <c r="J5" s="3" t="s">
        <v>24</v>
      </c>
      <c r="K5" s="3" t="s">
        <v>25</v>
      </c>
      <c r="L5" s="3" t="s">
        <v>26</v>
      </c>
      <c r="M5" s="114"/>
      <c r="N5" s="112" t="s">
        <v>111</v>
      </c>
      <c r="O5" s="188" t="s">
        <v>142</v>
      </c>
      <c r="P5" s="188"/>
      <c r="Q5" s="113"/>
      <c r="R5" s="113"/>
      <c r="S5" s="113"/>
      <c r="T5" s="113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</row>
    <row r="6" spans="1:57" ht="15.75" customHeight="1" x14ac:dyDescent="0.25">
      <c r="B6" s="112" t="s">
        <v>133</v>
      </c>
      <c r="C6" s="119"/>
      <c r="D6" s="4" t="s">
        <v>61</v>
      </c>
      <c r="E6" s="4" t="s">
        <v>62</v>
      </c>
      <c r="F6" s="114"/>
      <c r="G6" s="125">
        <v>0</v>
      </c>
      <c r="H6" s="125">
        <v>0</v>
      </c>
      <c r="I6" s="114"/>
      <c r="J6" s="125">
        <v>0</v>
      </c>
      <c r="K6" s="125">
        <v>0</v>
      </c>
      <c r="L6" s="125">
        <v>0</v>
      </c>
      <c r="M6" s="114"/>
      <c r="N6" s="114"/>
      <c r="O6" s="187"/>
      <c r="P6" s="187"/>
      <c r="Q6" s="113"/>
      <c r="R6" s="113"/>
      <c r="S6" s="113"/>
      <c r="T6" s="113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</row>
    <row r="7" spans="1:57" ht="15.75" customHeight="1" x14ac:dyDescent="0.25">
      <c r="B7" s="3" t="s">
        <v>12</v>
      </c>
      <c r="C7" s="3" t="s">
        <v>13</v>
      </c>
      <c r="D7" s="125">
        <v>0</v>
      </c>
      <c r="E7" s="125">
        <v>0</v>
      </c>
      <c r="F7" s="114"/>
      <c r="G7" s="114"/>
      <c r="H7" s="114"/>
      <c r="I7" s="114"/>
      <c r="J7" s="3" t="s">
        <v>137</v>
      </c>
      <c r="K7" s="114"/>
      <c r="L7" s="114"/>
      <c r="M7" s="114"/>
      <c r="N7" s="114"/>
      <c r="O7" s="114"/>
      <c r="P7" s="114"/>
      <c r="Q7" s="113"/>
      <c r="R7" s="113"/>
      <c r="S7" s="113"/>
      <c r="T7" s="113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</row>
    <row r="8" spans="1:57" ht="15.75" customHeight="1" x14ac:dyDescent="0.25">
      <c r="B8" s="125">
        <v>0</v>
      </c>
      <c r="C8" s="125">
        <v>0</v>
      </c>
      <c r="D8" s="11" t="s">
        <v>15</v>
      </c>
      <c r="E8" s="11" t="s">
        <v>16</v>
      </c>
      <c r="F8" s="12" t="s">
        <v>19</v>
      </c>
      <c r="G8" s="12" t="s">
        <v>20</v>
      </c>
      <c r="H8" s="14" t="s">
        <v>21</v>
      </c>
      <c r="I8" s="114"/>
      <c r="J8" s="125">
        <v>1</v>
      </c>
      <c r="K8" s="114"/>
      <c r="L8" s="114"/>
      <c r="M8" s="114"/>
      <c r="N8" s="114"/>
      <c r="O8" s="114"/>
      <c r="P8" s="114"/>
      <c r="Q8" s="113"/>
      <c r="R8" s="113"/>
      <c r="S8" s="113"/>
      <c r="T8" s="113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</row>
    <row r="9" spans="1:57" ht="15.75" customHeight="1" x14ac:dyDescent="0.25">
      <c r="B9" s="112" t="s">
        <v>134</v>
      </c>
      <c r="C9" s="114"/>
      <c r="D9" s="125">
        <v>0</v>
      </c>
      <c r="E9" s="125">
        <v>0</v>
      </c>
      <c r="F9" s="125">
        <v>0</v>
      </c>
      <c r="G9" s="125">
        <v>0</v>
      </c>
      <c r="H9" s="129">
        <v>0</v>
      </c>
      <c r="I9" s="114"/>
      <c r="J9" s="114"/>
      <c r="K9" s="114"/>
      <c r="L9" s="114"/>
      <c r="M9" s="114"/>
      <c r="N9" s="114"/>
      <c r="O9" s="114"/>
      <c r="P9" s="114"/>
      <c r="Q9" s="113"/>
      <c r="R9" s="113"/>
      <c r="S9" s="113"/>
      <c r="T9" s="113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</row>
    <row r="10" spans="1:57" ht="15.75" customHeight="1" x14ac:dyDescent="0.25">
      <c r="B10" s="4" t="s">
        <v>59</v>
      </c>
      <c r="C10" s="114"/>
      <c r="D10" s="11" t="s">
        <v>23</v>
      </c>
      <c r="E10" s="13" t="s">
        <v>17</v>
      </c>
      <c r="F10" s="13" t="s">
        <v>18</v>
      </c>
      <c r="G10" s="13" t="s">
        <v>22</v>
      </c>
      <c r="H10" s="13" t="s">
        <v>141</v>
      </c>
      <c r="I10" s="114"/>
      <c r="J10" s="184" t="s">
        <v>123</v>
      </c>
      <c r="K10" s="184"/>
      <c r="L10" s="111">
        <v>8</v>
      </c>
      <c r="M10" s="114"/>
      <c r="N10" s="114"/>
      <c r="O10" s="114"/>
      <c r="P10" s="114"/>
      <c r="Q10" s="113"/>
      <c r="R10" s="113"/>
      <c r="S10" s="113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</row>
    <row r="11" spans="1:57" ht="15.75" customHeight="1" x14ac:dyDescent="0.25">
      <c r="B11" s="125">
        <v>0</v>
      </c>
      <c r="C11" s="114"/>
      <c r="D11" s="125">
        <v>0</v>
      </c>
      <c r="E11" s="125">
        <v>0</v>
      </c>
      <c r="F11" s="125">
        <v>0</v>
      </c>
      <c r="G11" s="130">
        <v>0</v>
      </c>
      <c r="H11" s="129">
        <v>0</v>
      </c>
      <c r="I11" s="114"/>
      <c r="J11" s="114"/>
      <c r="K11" s="114"/>
      <c r="L11" s="114"/>
      <c r="M11" s="114"/>
      <c r="N11" s="114"/>
      <c r="O11" s="114"/>
      <c r="P11" s="114"/>
      <c r="Q11" s="113"/>
      <c r="R11" s="113"/>
      <c r="S11" s="113"/>
      <c r="T11" s="113"/>
      <c r="U11" s="114"/>
      <c r="V11" s="114"/>
      <c r="W11" s="114"/>
      <c r="X11" s="119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</row>
    <row r="12" spans="1:57" ht="15.75" customHeight="1" thickBot="1" x14ac:dyDescent="0.3">
      <c r="B12" s="114"/>
      <c r="C12" s="114"/>
      <c r="D12" s="119"/>
      <c r="E12" s="114"/>
      <c r="F12" s="114"/>
      <c r="G12" s="116"/>
      <c r="H12" s="119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</row>
    <row r="13" spans="1:57" s="115" customFormat="1" ht="5.5" customHeight="1" thickBot="1" x14ac:dyDescent="0.3">
      <c r="A13" s="131"/>
      <c r="D13" s="132"/>
    </row>
    <row r="14" spans="1:57" s="123" customFormat="1" ht="5.5" customHeight="1" x14ac:dyDescent="0.25">
      <c r="D14" s="133"/>
    </row>
    <row r="15" spans="1:57" s="15" customFormat="1" ht="5.5" customHeight="1" x14ac:dyDescent="0.25">
      <c r="A15" s="116"/>
      <c r="B15" s="116"/>
      <c r="C15" s="116"/>
      <c r="D15" s="134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</row>
    <row r="16" spans="1:57" s="15" customFormat="1" ht="5.5" customHeight="1" x14ac:dyDescent="0.25">
      <c r="A16" s="116"/>
      <c r="B16" s="116"/>
      <c r="C16" s="116"/>
      <c r="D16" s="134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</row>
    <row r="17" spans="1:57" s="15" customFormat="1" ht="41" customHeight="1" x14ac:dyDescent="0.25">
      <c r="A17" s="116"/>
      <c r="B17" s="190" t="s">
        <v>130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17"/>
      <c r="T17" s="117"/>
      <c r="U17" s="117"/>
      <c r="V17" s="117"/>
      <c r="W17" s="117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</row>
    <row r="18" spans="1:57" s="116" customFormat="1" ht="5.5" customHeight="1" x14ac:dyDescent="0.25">
      <c r="B18" s="117"/>
      <c r="C18" s="117"/>
      <c r="D18" s="135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</row>
    <row r="19" spans="1:57" s="123" customFormat="1" ht="5.5" customHeight="1" x14ac:dyDescent="0.25">
      <c r="B19" s="122"/>
      <c r="C19" s="122"/>
      <c r="D19" s="136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</row>
    <row r="20" spans="1:57" ht="15.75" customHeight="1" thickBot="1" x14ac:dyDescent="0.3">
      <c r="B20" s="118"/>
      <c r="C20" s="118"/>
      <c r="D20" s="120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</row>
    <row r="21" spans="1:57" ht="15.75" customHeight="1" x14ac:dyDescent="0.25">
      <c r="B21" s="18" t="s">
        <v>92</v>
      </c>
      <c r="C21" s="19" t="s">
        <v>96</v>
      </c>
      <c r="D21" s="20" t="s">
        <v>97</v>
      </c>
      <c r="E21" s="21" t="s">
        <v>98</v>
      </c>
      <c r="F21" s="22"/>
      <c r="G21" s="22"/>
      <c r="H21" s="23"/>
      <c r="I21" s="24" t="s">
        <v>95</v>
      </c>
      <c r="J21" s="25" t="s">
        <v>2</v>
      </c>
      <c r="K21" s="21" t="s">
        <v>101</v>
      </c>
      <c r="L21" s="22"/>
      <c r="M21" s="22"/>
      <c r="N21" s="23"/>
      <c r="O21" s="24" t="s">
        <v>95</v>
      </c>
      <c r="P21" s="26" t="s">
        <v>124</v>
      </c>
      <c r="Q21" s="27" t="s">
        <v>72</v>
      </c>
      <c r="R21" s="28" t="s">
        <v>125</v>
      </c>
      <c r="S21" s="29" t="s">
        <v>102</v>
      </c>
      <c r="T21" s="30" t="s">
        <v>112</v>
      </c>
      <c r="U21" s="31" t="s">
        <v>126</v>
      </c>
      <c r="V21" s="118"/>
      <c r="W21" s="118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</row>
    <row r="22" spans="1:57" ht="15.75" customHeight="1" x14ac:dyDescent="0.25">
      <c r="B22" s="32" t="s">
        <v>93</v>
      </c>
      <c r="C22" s="33" t="s">
        <v>48</v>
      </c>
      <c r="D22" s="34">
        <f>(5)*$C$56</f>
        <v>5</v>
      </c>
      <c r="E22" s="35">
        <f>(C62+E62*$D$3)*3</f>
        <v>105803.43904749022</v>
      </c>
      <c r="F22" s="36">
        <f>F62+H62*$D$3</f>
        <v>45321.636990934923</v>
      </c>
      <c r="G22" s="36"/>
      <c r="H22" s="137"/>
      <c r="I22" s="37">
        <f>E22+F22+G22+H22</f>
        <v>151125.07603842515</v>
      </c>
      <c r="J22" s="38" t="s">
        <v>14</v>
      </c>
      <c r="K22" s="39">
        <f t="shared" ref="K22:K26" si="0">E22*O62</f>
        <v>287785.35420917341</v>
      </c>
      <c r="L22" s="40">
        <f>F22*O62</f>
        <v>123274.852615343</v>
      </c>
      <c r="M22" s="40"/>
      <c r="N22" s="41"/>
      <c r="O22" s="37">
        <f>K22+L22+M22+N22</f>
        <v>411060.20682451641</v>
      </c>
      <c r="P22" s="42">
        <f>O22*$B$45*$C$53*$C$54</f>
        <v>411060.20682451641</v>
      </c>
      <c r="Q22" s="43">
        <f t="shared" ref="Q22:Q37" si="1">(P22*(($C$49+$D$50)*0.01))</f>
        <v>822120.41364903282</v>
      </c>
      <c r="R22" s="44">
        <f t="shared" ref="R22:R37" si="2">(Q22-P22)*($C$47*0.01)+P22</f>
        <v>411060.20682451641</v>
      </c>
      <c r="S22" s="45">
        <f t="shared" ref="S22:S37" si="3">R22/D22</f>
        <v>82212.041364903285</v>
      </c>
      <c r="T22" s="46">
        <f t="shared" ref="T22:T37" si="4">S22/$S$22</f>
        <v>1</v>
      </c>
      <c r="U22" s="47">
        <f>S22/$S$33</f>
        <v>0.9963050268385778</v>
      </c>
      <c r="V22" s="118"/>
      <c r="W22" s="118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</row>
    <row r="23" spans="1:57" ht="15.75" customHeight="1" x14ac:dyDescent="0.25">
      <c r="B23" s="32" t="s">
        <v>93</v>
      </c>
      <c r="C23" s="48" t="s">
        <v>49</v>
      </c>
      <c r="D23" s="34">
        <f>(8)*$C$56</f>
        <v>8</v>
      </c>
      <c r="E23" s="35">
        <f>(C63+E63*$D$3)*2</f>
        <v>141408.41374644838</v>
      </c>
      <c r="F23" s="36">
        <f>F63+H63*$D$3</f>
        <v>94300.49736165606</v>
      </c>
      <c r="G23" s="36"/>
      <c r="H23" s="137"/>
      <c r="I23" s="37">
        <f t="shared" ref="I23:I37" si="5">E23+F23+G23+H23</f>
        <v>235708.91110810445</v>
      </c>
      <c r="J23" s="38" t="s">
        <v>11</v>
      </c>
      <c r="K23" s="39">
        <f t="shared" si="0"/>
        <v>458163.26053849276</v>
      </c>
      <c r="L23" s="40">
        <f>F23*O63</f>
        <v>305533.61145176564</v>
      </c>
      <c r="M23" s="40"/>
      <c r="N23" s="41"/>
      <c r="O23" s="37">
        <f t="shared" ref="O23:O37" si="6">K23+L23+M23+N23</f>
        <v>763696.87199025834</v>
      </c>
      <c r="P23" s="49">
        <f>O23*$B$45*$C$53*$C$54</f>
        <v>763696.87199025834</v>
      </c>
      <c r="Q23" s="43">
        <f t="shared" si="1"/>
        <v>1527393.7439805167</v>
      </c>
      <c r="R23" s="44">
        <f t="shared" si="2"/>
        <v>763696.87199025834</v>
      </c>
      <c r="S23" s="45">
        <f t="shared" si="3"/>
        <v>95462.108998782292</v>
      </c>
      <c r="T23" s="46">
        <f t="shared" si="4"/>
        <v>1.1611694274208295</v>
      </c>
      <c r="U23" s="47">
        <f t="shared" ref="U23:U37" si="7">S23/$S$33</f>
        <v>1.1568789375506454</v>
      </c>
      <c r="V23" s="118"/>
      <c r="W23" s="118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</row>
    <row r="24" spans="1:57" ht="15.75" customHeight="1" x14ac:dyDescent="0.25">
      <c r="B24" s="32" t="s">
        <v>93</v>
      </c>
      <c r="C24" s="48" t="s">
        <v>51</v>
      </c>
      <c r="D24" s="34">
        <f>(8)*$C$56</f>
        <v>8</v>
      </c>
      <c r="E24" s="35">
        <f>(C64+E64*$D$3)*2</f>
        <v>78334.563658503597</v>
      </c>
      <c r="F24" s="36">
        <f>F64+H64*$D$3</f>
        <v>78330.563658503597</v>
      </c>
      <c r="G24" s="36"/>
      <c r="H24" s="137"/>
      <c r="I24" s="37">
        <f t="shared" si="5"/>
        <v>156665.12731700719</v>
      </c>
      <c r="J24" s="38" t="s">
        <v>73</v>
      </c>
      <c r="K24" s="39">
        <f t="shared" si="0"/>
        <v>298924.6949208497</v>
      </c>
      <c r="L24" s="40">
        <f>F24*O64</f>
        <v>298909.43092084973</v>
      </c>
      <c r="M24" s="40"/>
      <c r="N24" s="41"/>
      <c r="O24" s="37">
        <f t="shared" si="6"/>
        <v>597834.12584169942</v>
      </c>
      <c r="P24" s="49">
        <f>O24*$B$45*$C$53*$C$54</f>
        <v>597834.12584169942</v>
      </c>
      <c r="Q24" s="43">
        <f t="shared" si="1"/>
        <v>1195668.2516833988</v>
      </c>
      <c r="R24" s="44">
        <f t="shared" si="2"/>
        <v>597834.12584169942</v>
      </c>
      <c r="S24" s="45">
        <f t="shared" si="3"/>
        <v>74729.265730212428</v>
      </c>
      <c r="T24" s="46">
        <f t="shared" si="4"/>
        <v>0.9089819993463234</v>
      </c>
      <c r="U24" s="47">
        <f t="shared" si="7"/>
        <v>0.90562333525452277</v>
      </c>
      <c r="V24" s="118"/>
      <c r="W24" s="118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</row>
    <row r="25" spans="1:57" ht="15.75" customHeight="1" x14ac:dyDescent="0.25">
      <c r="B25" s="32" t="s">
        <v>93</v>
      </c>
      <c r="C25" s="33" t="s">
        <v>52</v>
      </c>
      <c r="D25" s="34">
        <f>(16)*$C$56</f>
        <v>16</v>
      </c>
      <c r="E25" s="35">
        <f>C65+E65*$D$3</f>
        <v>404786.56176430796</v>
      </c>
      <c r="F25" s="36"/>
      <c r="G25" s="36"/>
      <c r="H25" s="137"/>
      <c r="I25" s="37">
        <f t="shared" si="5"/>
        <v>404786.56176430796</v>
      </c>
      <c r="J25" s="38" t="s">
        <v>53</v>
      </c>
      <c r="K25" s="39">
        <f t="shared" si="0"/>
        <v>1262934.0727046409</v>
      </c>
      <c r="L25" s="40"/>
      <c r="M25" s="40"/>
      <c r="N25" s="41"/>
      <c r="O25" s="37">
        <f t="shared" si="6"/>
        <v>1262934.0727046409</v>
      </c>
      <c r="P25" s="49">
        <f>O25*$B$45*$C$53*$C$54</f>
        <v>1262934.0727046409</v>
      </c>
      <c r="Q25" s="43">
        <f t="shared" si="1"/>
        <v>2525868.1454092818</v>
      </c>
      <c r="R25" s="44">
        <f t="shared" si="2"/>
        <v>1262934.0727046409</v>
      </c>
      <c r="S25" s="45">
        <f t="shared" si="3"/>
        <v>78933.379544040057</v>
      </c>
      <c r="T25" s="46">
        <f t="shared" si="4"/>
        <v>0.9601194452001176</v>
      </c>
      <c r="U25" s="47">
        <f t="shared" si="7"/>
        <v>0.95657182961834353</v>
      </c>
      <c r="V25" s="118"/>
      <c r="W25" s="118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</row>
    <row r="26" spans="1:57" ht="15.75" customHeight="1" x14ac:dyDescent="0.25">
      <c r="B26" s="50" t="s">
        <v>94</v>
      </c>
      <c r="C26" s="48" t="s">
        <v>54</v>
      </c>
      <c r="D26" s="34">
        <f>(20)*$C$56</f>
        <v>20</v>
      </c>
      <c r="E26" s="35">
        <f>C66+E66*$D$3</f>
        <v>234159.1416587742</v>
      </c>
      <c r="F26" s="36"/>
      <c r="G26" s="36"/>
      <c r="H26" s="137"/>
      <c r="I26" s="37">
        <f t="shared" si="5"/>
        <v>234159.1416587742</v>
      </c>
      <c r="J26" s="38" t="s">
        <v>55</v>
      </c>
      <c r="K26" s="39">
        <f t="shared" si="0"/>
        <v>1140355.0198782303</v>
      </c>
      <c r="L26" s="40"/>
      <c r="M26" s="40"/>
      <c r="N26" s="41"/>
      <c r="O26" s="37">
        <f t="shared" si="6"/>
        <v>1140355.0198782303</v>
      </c>
      <c r="P26" s="49">
        <f>O26*$B$45*$C$52*$C$54</f>
        <v>1140355.0198782303</v>
      </c>
      <c r="Q26" s="43">
        <f t="shared" si="1"/>
        <v>2280710.0397564606</v>
      </c>
      <c r="R26" s="44">
        <f t="shared" si="2"/>
        <v>1140355.0198782303</v>
      </c>
      <c r="S26" s="45">
        <f t="shared" si="3"/>
        <v>57017.750993911512</v>
      </c>
      <c r="T26" s="46">
        <f t="shared" si="4"/>
        <v>0.69354500931116236</v>
      </c>
      <c r="U26" s="47">
        <f t="shared" si="7"/>
        <v>0.69098237911551919</v>
      </c>
      <c r="V26" s="118"/>
      <c r="W26" s="118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</row>
    <row r="27" spans="1:57" ht="15.75" customHeight="1" x14ac:dyDescent="0.25">
      <c r="B27" s="32" t="s">
        <v>93</v>
      </c>
      <c r="C27" s="33" t="s">
        <v>56</v>
      </c>
      <c r="D27" s="34">
        <f>(16)*$C$56</f>
        <v>16</v>
      </c>
      <c r="E27" s="35">
        <f>C67+E67*$D$3</f>
        <v>383551.33838452172</v>
      </c>
      <c r="F27" s="36"/>
      <c r="G27" s="36"/>
      <c r="H27" s="137"/>
      <c r="I27" s="37">
        <f t="shared" si="5"/>
        <v>383551.33838452172</v>
      </c>
      <c r="J27" s="38" t="s">
        <v>5</v>
      </c>
      <c r="K27" s="39">
        <f>E27*O67</f>
        <v>1112298.881315113</v>
      </c>
      <c r="L27" s="40"/>
      <c r="M27" s="40"/>
      <c r="N27" s="41"/>
      <c r="O27" s="37">
        <f t="shared" si="6"/>
        <v>1112298.881315113</v>
      </c>
      <c r="P27" s="49">
        <f>O27*$B$45*$C$53*$C$54</f>
        <v>1112298.881315113</v>
      </c>
      <c r="Q27" s="43">
        <f t="shared" si="1"/>
        <v>2224597.7626302261</v>
      </c>
      <c r="R27" s="44">
        <f t="shared" si="2"/>
        <v>1112298.881315113</v>
      </c>
      <c r="S27" s="45">
        <f t="shared" si="3"/>
        <v>69518.680082194565</v>
      </c>
      <c r="T27" s="46">
        <f t="shared" si="4"/>
        <v>0.84560216396563559</v>
      </c>
      <c r="U27" s="47">
        <f t="shared" si="7"/>
        <v>0.84247768666454204</v>
      </c>
      <c r="V27" s="118"/>
      <c r="W27" s="118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</row>
    <row r="28" spans="1:57" ht="15.75" customHeight="1" x14ac:dyDescent="0.25">
      <c r="B28" s="32" t="s">
        <v>93</v>
      </c>
      <c r="C28" s="33" t="s">
        <v>57</v>
      </c>
      <c r="D28" s="34">
        <f>(16)*$C$56</f>
        <v>16</v>
      </c>
      <c r="E28" s="35">
        <f>(C68+E68*$D$3)*2</f>
        <v>108008.54471654716</v>
      </c>
      <c r="F28" s="36">
        <f>(F68+H68*$D$3)*6</f>
        <v>216437.07698552293</v>
      </c>
      <c r="G28" s="36">
        <f>I68+K68*$D$3</f>
        <v>216161.41861723718</v>
      </c>
      <c r="H28" s="137"/>
      <c r="I28" s="37">
        <f t="shared" si="5"/>
        <v>540607.04031930724</v>
      </c>
      <c r="J28" s="38">
        <v>121</v>
      </c>
      <c r="K28" s="39">
        <f>E28</f>
        <v>108008.54471654716</v>
      </c>
      <c r="L28" s="40">
        <f>F28*O68</f>
        <v>1636805.3947030171</v>
      </c>
      <c r="M28" s="40">
        <f>G28*P68</f>
        <v>460423.82165471517</v>
      </c>
      <c r="N28" s="41"/>
      <c r="O28" s="37">
        <f t="shared" si="6"/>
        <v>2205237.7610742794</v>
      </c>
      <c r="P28" s="49">
        <f>O28*$B$45*$C$53*$C$54</f>
        <v>2205237.7610742794</v>
      </c>
      <c r="Q28" s="43">
        <f t="shared" si="1"/>
        <v>4410475.5221485589</v>
      </c>
      <c r="R28" s="44">
        <f t="shared" si="2"/>
        <v>2205237.7610742794</v>
      </c>
      <c r="S28" s="45">
        <f t="shared" si="3"/>
        <v>137827.36006714246</v>
      </c>
      <c r="T28" s="46">
        <f t="shared" si="4"/>
        <v>1.6764862881264206</v>
      </c>
      <c r="U28" s="47">
        <f t="shared" si="7"/>
        <v>1.6702917162863011</v>
      </c>
      <c r="V28" s="118"/>
      <c r="W28" s="118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</row>
    <row r="29" spans="1:57" ht="15.75" customHeight="1" x14ac:dyDescent="0.25">
      <c r="B29" s="32" t="s">
        <v>93</v>
      </c>
      <c r="C29" s="33" t="s">
        <v>58</v>
      </c>
      <c r="D29" s="34">
        <f>(16-7)*$C$56</f>
        <v>9</v>
      </c>
      <c r="E29" s="35">
        <f t="shared" ref="E29:E37" si="8">C69+E69*$D$3</f>
        <v>99468.606277905565</v>
      </c>
      <c r="F29" s="36">
        <f>F69+H69*$D$3</f>
        <v>119362.15721823841</v>
      </c>
      <c r="G29" s="36">
        <f>I69+K69*$D$3</f>
        <v>178888.22919767286</v>
      </c>
      <c r="H29" s="137"/>
      <c r="I29" s="37">
        <f t="shared" si="5"/>
        <v>397718.99269381684</v>
      </c>
      <c r="J29" s="51">
        <v>331</v>
      </c>
      <c r="K29" s="39">
        <f>E29</f>
        <v>99468.606277905565</v>
      </c>
      <c r="L29" s="40">
        <f>F29</f>
        <v>119362.15721823841</v>
      </c>
      <c r="M29" s="40">
        <f>G29*O69</f>
        <v>1100386.2198521853</v>
      </c>
      <c r="N29" s="41"/>
      <c r="O29" s="37">
        <f t="shared" si="6"/>
        <v>1319216.9833483293</v>
      </c>
      <c r="P29" s="49">
        <f>O29*$B$45*$C$53*$C$54</f>
        <v>1319216.9833483293</v>
      </c>
      <c r="Q29" s="43">
        <f t="shared" si="1"/>
        <v>2638433.9666966586</v>
      </c>
      <c r="R29" s="44">
        <f t="shared" si="2"/>
        <v>1319216.9833483293</v>
      </c>
      <c r="S29" s="45">
        <f t="shared" si="3"/>
        <v>146579.66481648103</v>
      </c>
      <c r="T29" s="46">
        <f t="shared" si="4"/>
        <v>1.7829464198058047</v>
      </c>
      <c r="U29" s="47">
        <f t="shared" si="7"/>
        <v>1.7763584806363684</v>
      </c>
      <c r="V29" s="118"/>
      <c r="W29" s="118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</row>
    <row r="30" spans="1:57" ht="15.75" customHeight="1" x14ac:dyDescent="0.25">
      <c r="B30" s="50" t="s">
        <v>94</v>
      </c>
      <c r="C30" s="52" t="s">
        <v>60</v>
      </c>
      <c r="D30" s="53">
        <f>(6)*$C$56</f>
        <v>6</v>
      </c>
      <c r="E30" s="54">
        <f t="shared" si="8"/>
        <v>194920.82749289676</v>
      </c>
      <c r="F30" s="55"/>
      <c r="G30" s="55"/>
      <c r="H30" s="69"/>
      <c r="I30" s="56">
        <f t="shared" si="5"/>
        <v>194920.82749289676</v>
      </c>
      <c r="J30" s="57" t="s">
        <v>5</v>
      </c>
      <c r="K30" s="58">
        <f>E30*O70</f>
        <v>763115.03963469085</v>
      </c>
      <c r="L30" s="59"/>
      <c r="M30" s="59"/>
      <c r="N30" s="60"/>
      <c r="O30" s="56">
        <f t="shared" si="6"/>
        <v>763115.03963469085</v>
      </c>
      <c r="P30" s="61">
        <f>O30*$C$52*$C$45*$C$54</f>
        <v>763115.03963469085</v>
      </c>
      <c r="Q30" s="62">
        <f t="shared" si="1"/>
        <v>1526230.0792693817</v>
      </c>
      <c r="R30" s="63">
        <f t="shared" si="2"/>
        <v>763115.03963469085</v>
      </c>
      <c r="S30" s="64">
        <f t="shared" si="3"/>
        <v>127185.83993911515</v>
      </c>
      <c r="T30" s="65">
        <f t="shared" si="4"/>
        <v>1.547046367266236</v>
      </c>
      <c r="U30" s="66">
        <f t="shared" si="7"/>
        <v>1.5413300724597114</v>
      </c>
      <c r="V30" s="118"/>
      <c r="W30" s="118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</row>
    <row r="31" spans="1:57" ht="15.75" customHeight="1" x14ac:dyDescent="0.25">
      <c r="B31" s="50" t="s">
        <v>94</v>
      </c>
      <c r="C31" s="67" t="s">
        <v>63</v>
      </c>
      <c r="D31" s="53">
        <f>L10</f>
        <v>8</v>
      </c>
      <c r="E31" s="54">
        <f t="shared" si="8"/>
        <v>260708.17088350697</v>
      </c>
      <c r="F31" s="55"/>
      <c r="G31" s="55"/>
      <c r="H31" s="69"/>
      <c r="I31" s="56">
        <f t="shared" si="5"/>
        <v>260708.17088350697</v>
      </c>
      <c r="J31" s="57">
        <v>111</v>
      </c>
      <c r="K31" s="58">
        <f>E31*O71</f>
        <v>661573.05443398724</v>
      </c>
      <c r="L31" s="59"/>
      <c r="M31" s="59"/>
      <c r="N31" s="60"/>
      <c r="O31" s="56">
        <f t="shared" si="6"/>
        <v>661573.05443398724</v>
      </c>
      <c r="P31" s="61">
        <f>O31*$C$52*$C$45*$C$54</f>
        <v>661573.05443398724</v>
      </c>
      <c r="Q31" s="62">
        <f t="shared" si="1"/>
        <v>1323146.1088679745</v>
      </c>
      <c r="R31" s="63">
        <f t="shared" si="2"/>
        <v>661573.05443398724</v>
      </c>
      <c r="S31" s="64">
        <f t="shared" si="3"/>
        <v>82696.631804248405</v>
      </c>
      <c r="T31" s="65">
        <f t="shared" si="4"/>
        <v>1.0058943973571248</v>
      </c>
      <c r="U31" s="66">
        <f t="shared" si="7"/>
        <v>1.0021776445556652</v>
      </c>
      <c r="V31" s="118"/>
      <c r="W31" s="118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</row>
    <row r="32" spans="1:57" ht="15.75" customHeight="1" x14ac:dyDescent="0.25">
      <c r="B32" s="32" t="s">
        <v>93</v>
      </c>
      <c r="C32" s="67" t="s">
        <v>64</v>
      </c>
      <c r="D32" s="53">
        <f>(24-8)*$C$56</f>
        <v>16</v>
      </c>
      <c r="E32" s="54">
        <f t="shared" si="8"/>
        <v>654551.21093221486</v>
      </c>
      <c r="F32" s="55"/>
      <c r="G32" s="55"/>
      <c r="H32" s="69"/>
      <c r="I32" s="56">
        <f t="shared" si="5"/>
        <v>654551.21093221486</v>
      </c>
      <c r="J32" s="57">
        <v>121</v>
      </c>
      <c r="K32" s="58">
        <f>E32*O72</f>
        <v>2806715.5924773375</v>
      </c>
      <c r="L32" s="59"/>
      <c r="M32" s="59"/>
      <c r="N32" s="60"/>
      <c r="O32" s="56">
        <f t="shared" si="6"/>
        <v>2806715.5924773375</v>
      </c>
      <c r="P32" s="61">
        <f>O32*$C$53*$C$45*$C$54</f>
        <v>2806715.5924773375</v>
      </c>
      <c r="Q32" s="62">
        <f t="shared" si="1"/>
        <v>5613431.1849546749</v>
      </c>
      <c r="R32" s="63">
        <f t="shared" si="2"/>
        <v>2806715.5924773375</v>
      </c>
      <c r="S32" s="64">
        <f t="shared" si="3"/>
        <v>175419.72452983359</v>
      </c>
      <c r="T32" s="65">
        <f t="shared" si="4"/>
        <v>2.133747339410077</v>
      </c>
      <c r="U32" s="66">
        <f t="shared" si="7"/>
        <v>2.1258632002577009</v>
      </c>
      <c r="V32" s="118"/>
      <c r="W32" s="118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</row>
    <row r="33" spans="2:57" ht="15.75" customHeight="1" x14ac:dyDescent="0.25">
      <c r="B33" s="50" t="s">
        <v>94</v>
      </c>
      <c r="C33" s="67" t="s">
        <v>65</v>
      </c>
      <c r="D33" s="53">
        <f>(20-7)*$C$56</f>
        <v>13</v>
      </c>
      <c r="E33" s="68">
        <f t="shared" si="8"/>
        <v>194920.82749289676</v>
      </c>
      <c r="F33" s="55">
        <f>F73+H73*$D$3</f>
        <v>454818.33297253418</v>
      </c>
      <c r="G33" s="138"/>
      <c r="H33" s="69"/>
      <c r="I33" s="56">
        <f t="shared" si="5"/>
        <v>649739.16046543093</v>
      </c>
      <c r="J33" s="57">
        <v>121</v>
      </c>
      <c r="K33" s="58">
        <f>E33</f>
        <v>194920.82749289676</v>
      </c>
      <c r="L33" s="59">
        <f>F33*O73</f>
        <v>877799.38263699098</v>
      </c>
      <c r="M33" s="59"/>
      <c r="N33" s="60"/>
      <c r="O33" s="56">
        <f t="shared" si="6"/>
        <v>1072720.2101298878</v>
      </c>
      <c r="P33" s="61">
        <f>O33*$C$52*$C$45*$C$54</f>
        <v>1072720.2101298878</v>
      </c>
      <c r="Q33" s="62">
        <f t="shared" si="1"/>
        <v>2145440.4202597756</v>
      </c>
      <c r="R33" s="63">
        <f t="shared" si="2"/>
        <v>1072720.2101298878</v>
      </c>
      <c r="S33" s="64">
        <f t="shared" si="3"/>
        <v>82516.939240760606</v>
      </c>
      <c r="T33" s="65">
        <f t="shared" si="4"/>
        <v>1.0037086766220049</v>
      </c>
      <c r="U33" s="66">
        <f t="shared" si="7"/>
        <v>1</v>
      </c>
      <c r="V33" s="118"/>
      <c r="W33" s="118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</row>
    <row r="34" spans="2:57" ht="15.75" customHeight="1" x14ac:dyDescent="0.25">
      <c r="B34" s="32" t="s">
        <v>93</v>
      </c>
      <c r="C34" s="52" t="s">
        <v>66</v>
      </c>
      <c r="D34" s="53">
        <f>(30)*$C$56</f>
        <v>30</v>
      </c>
      <c r="E34" s="54">
        <f t="shared" si="8"/>
        <v>83889.614937085644</v>
      </c>
      <c r="F34" s="55">
        <f>F74+H74*$D$3</f>
        <v>125798.53849276147</v>
      </c>
      <c r="G34" s="55">
        <f>I74+K74*$D$3</f>
        <v>209654.63726153431</v>
      </c>
      <c r="H34" s="69">
        <f>L74+N74*D3</f>
        <v>419308.64226762275</v>
      </c>
      <c r="I34" s="56">
        <f t="shared" si="5"/>
        <v>838651.43295900419</v>
      </c>
      <c r="J34" s="57" t="s">
        <v>67</v>
      </c>
      <c r="K34" s="193" t="s">
        <v>113</v>
      </c>
      <c r="L34" s="194"/>
      <c r="M34" s="194"/>
      <c r="N34" s="195"/>
      <c r="O34" s="56">
        <f>I34*O74</f>
        <v>2925989.1382568884</v>
      </c>
      <c r="P34" s="61">
        <f>O34*$C$53*$C$45*$C$54</f>
        <v>2925989.1382568884</v>
      </c>
      <c r="Q34" s="62">
        <f t="shared" si="1"/>
        <v>5851978.2765137767</v>
      </c>
      <c r="R34" s="63">
        <f t="shared" si="2"/>
        <v>2925989.1382568884</v>
      </c>
      <c r="S34" s="64">
        <f t="shared" si="3"/>
        <v>97532.971275229618</v>
      </c>
      <c r="T34" s="65">
        <f t="shared" si="4"/>
        <v>1.1863587092105332</v>
      </c>
      <c r="U34" s="66">
        <f t="shared" si="7"/>
        <v>1.1819751456201806</v>
      </c>
      <c r="V34" s="118"/>
      <c r="W34" s="118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</row>
    <row r="35" spans="2:57" ht="15.75" customHeight="1" x14ac:dyDescent="0.25">
      <c r="B35" s="32" t="s">
        <v>93</v>
      </c>
      <c r="C35" s="67" t="s">
        <v>68</v>
      </c>
      <c r="D35" s="53">
        <f>(24)*$C$56</f>
        <v>24</v>
      </c>
      <c r="E35" s="54">
        <f t="shared" si="8"/>
        <v>72002.995399810578</v>
      </c>
      <c r="F35" s="55">
        <f>F75+H75*$D$3</f>
        <v>287775.83939926937</v>
      </c>
      <c r="G35" s="55">
        <f>I75+K75*$D$3</f>
        <v>359780.83479907992</v>
      </c>
      <c r="H35" s="69"/>
      <c r="I35" s="56">
        <f t="shared" si="5"/>
        <v>719559.66959815985</v>
      </c>
      <c r="J35" s="57">
        <v>111</v>
      </c>
      <c r="K35" s="58">
        <f>E35*O75</f>
        <v>255379.07203612177</v>
      </c>
      <c r="L35" s="59">
        <f>F35*O75</f>
        <v>1020678.7427678982</v>
      </c>
      <c r="M35" s="59">
        <f>G35*P75</f>
        <v>1211454.0269354619</v>
      </c>
      <c r="N35" s="60"/>
      <c r="O35" s="56">
        <f t="shared" si="6"/>
        <v>2487511.8417394822</v>
      </c>
      <c r="P35" s="61">
        <f>O35*$C$53*$C$45*$C$54</f>
        <v>2487511.8417394822</v>
      </c>
      <c r="Q35" s="62">
        <f t="shared" si="1"/>
        <v>4975023.6834789645</v>
      </c>
      <c r="R35" s="63">
        <f t="shared" si="2"/>
        <v>2487511.8417394822</v>
      </c>
      <c r="S35" s="64">
        <f t="shared" si="3"/>
        <v>103646.32673914509</v>
      </c>
      <c r="T35" s="65">
        <f t="shared" si="4"/>
        <v>1.2607195371673645</v>
      </c>
      <c r="U35" s="66">
        <f t="shared" si="7"/>
        <v>1.2560612123134505</v>
      </c>
      <c r="V35" s="118"/>
      <c r="W35" s="118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</row>
    <row r="36" spans="2:57" ht="15.75" customHeight="1" x14ac:dyDescent="0.25">
      <c r="B36" s="50" t="s">
        <v>94</v>
      </c>
      <c r="C36" s="67" t="s">
        <v>69</v>
      </c>
      <c r="D36" s="53">
        <f>(24)*$C$56</f>
        <v>24</v>
      </c>
      <c r="E36" s="54">
        <f t="shared" si="8"/>
        <v>173331.54566364497</v>
      </c>
      <c r="F36" s="55">
        <f>F76+H76*$D$3</f>
        <v>404427.76782573404</v>
      </c>
      <c r="G36" s="55"/>
      <c r="H36" s="69"/>
      <c r="I36" s="56">
        <f t="shared" si="5"/>
        <v>577759.31348937901</v>
      </c>
      <c r="J36" s="57" t="s">
        <v>70</v>
      </c>
      <c r="K36" s="58">
        <f>E36*O76</f>
        <v>610127.04073603032</v>
      </c>
      <c r="L36" s="59">
        <f>F36*O76</f>
        <v>1423585.7427465839</v>
      </c>
      <c r="M36" s="59"/>
      <c r="N36" s="60"/>
      <c r="O36" s="56">
        <f t="shared" si="6"/>
        <v>2033712.7834826142</v>
      </c>
      <c r="P36" s="61">
        <f>O36*$C$52*$C$45*$C$54</f>
        <v>2033712.7834826142</v>
      </c>
      <c r="Q36" s="62">
        <f t="shared" si="1"/>
        <v>4067425.5669652284</v>
      </c>
      <c r="R36" s="63">
        <f t="shared" si="2"/>
        <v>2033712.7834826142</v>
      </c>
      <c r="S36" s="64">
        <f t="shared" si="3"/>
        <v>84738.03264510892</v>
      </c>
      <c r="T36" s="65">
        <f t="shared" si="4"/>
        <v>1.0307253200172206</v>
      </c>
      <c r="U36" s="66">
        <f t="shared" si="7"/>
        <v>1.0269168176229586</v>
      </c>
      <c r="V36" s="118"/>
      <c r="W36" s="118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</row>
    <row r="37" spans="2:57" ht="15.75" customHeight="1" thickBot="1" x14ac:dyDescent="0.3">
      <c r="B37" s="32" t="s">
        <v>93</v>
      </c>
      <c r="C37" s="67" t="s">
        <v>71</v>
      </c>
      <c r="D37" s="53">
        <f>(30-11)*$C$56</f>
        <v>19</v>
      </c>
      <c r="E37" s="70">
        <f t="shared" si="8"/>
        <v>89477.814639426331</v>
      </c>
      <c r="F37" s="71">
        <f>F77+H77*$D$3</f>
        <v>44720.965363279662</v>
      </c>
      <c r="G37" s="71">
        <f>I77+K77*$D$3</f>
        <v>759435.80381545122</v>
      </c>
      <c r="H37" s="139"/>
      <c r="I37" s="72">
        <f t="shared" si="5"/>
        <v>893634.5838181572</v>
      </c>
      <c r="J37" s="73">
        <v>313</v>
      </c>
      <c r="K37" s="74">
        <f>E37*O77</f>
        <v>183429.52001082397</v>
      </c>
      <c r="L37" s="75">
        <f>F37*O77</f>
        <v>91677.978994723293</v>
      </c>
      <c r="M37" s="75">
        <f>G37*O77</f>
        <v>1556843.3978216748</v>
      </c>
      <c r="N37" s="76"/>
      <c r="O37" s="72">
        <f t="shared" si="6"/>
        <v>1831950.8968272221</v>
      </c>
      <c r="P37" s="77">
        <f>O37*$C$53*$C$45*$C$54</f>
        <v>1831950.8968272221</v>
      </c>
      <c r="Q37" s="62">
        <f t="shared" si="1"/>
        <v>3663901.7936544442</v>
      </c>
      <c r="R37" s="78">
        <f t="shared" si="2"/>
        <v>1831950.8968272221</v>
      </c>
      <c r="S37" s="64">
        <f t="shared" si="3"/>
        <v>96418.468254064326</v>
      </c>
      <c r="T37" s="79">
        <f t="shared" si="4"/>
        <v>1.1728022641610969</v>
      </c>
      <c r="U37" s="80">
        <f t="shared" si="7"/>
        <v>1.1684687912713663</v>
      </c>
      <c r="V37" s="118"/>
      <c r="W37" s="118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</row>
    <row r="38" spans="2:57" ht="15.75" customHeight="1" x14ac:dyDescent="0.25">
      <c r="B38" s="140"/>
      <c r="C38" s="140"/>
      <c r="D38" s="120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</row>
    <row r="39" spans="2:57" ht="5" customHeight="1" x14ac:dyDescent="0.25">
      <c r="B39" s="135"/>
      <c r="C39" s="135"/>
      <c r="D39" s="120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</row>
    <row r="40" spans="2:57" s="141" customFormat="1" ht="5.5" customHeight="1" x14ac:dyDescent="0.25">
      <c r="B40" s="136"/>
      <c r="C40" s="136"/>
      <c r="D40" s="142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</row>
    <row r="41" spans="2:57" ht="46.5" customHeight="1" x14ac:dyDescent="0.25">
      <c r="B41" s="190" t="s">
        <v>131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18"/>
      <c r="T41" s="118"/>
      <c r="U41" s="118"/>
      <c r="V41" s="118"/>
      <c r="W41" s="118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</row>
    <row r="42" spans="2:57" s="141" customFormat="1" ht="5.5" customHeight="1" x14ac:dyDescent="0.25">
      <c r="B42" s="136"/>
      <c r="C42" s="136"/>
      <c r="D42" s="142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</row>
    <row r="43" spans="2:57" ht="15.75" customHeight="1" x14ac:dyDescent="0.25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</row>
    <row r="44" spans="2:57" ht="15.75" customHeight="1" x14ac:dyDescent="0.25">
      <c r="B44" s="81" t="s">
        <v>61</v>
      </c>
      <c r="C44" s="81" t="s">
        <v>62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</row>
    <row r="45" spans="2:57" ht="15.75" customHeight="1" x14ac:dyDescent="0.25">
      <c r="B45" s="143">
        <f>IF(D7=1,1.3,IF(D7=2,1.45,IF(D7=3,1.6,1)))</f>
        <v>1</v>
      </c>
      <c r="C45" s="144">
        <f>(IF(E7=1,1.1,IF(E7=2,1.15,IF(E7=3,1.2,1)))-IF(D7&gt;0,0.3,0))*(1+C46)</f>
        <v>1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</row>
    <row r="46" spans="2:57" ht="15.75" customHeight="1" x14ac:dyDescent="0.25">
      <c r="B46" s="82" t="s">
        <v>50</v>
      </c>
      <c r="C46" s="145">
        <f>B3*0.0005722</f>
        <v>0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</row>
    <row r="47" spans="2:57" ht="15.75" customHeight="1" x14ac:dyDescent="0.25">
      <c r="B47" s="83" t="s">
        <v>6</v>
      </c>
      <c r="C47" s="146">
        <f>IF(I4=1,10,0)+(C3*0.03579)+G48+D48+E48+H48+F48</f>
        <v>0</v>
      </c>
      <c r="D47" s="84" t="s">
        <v>39</v>
      </c>
      <c r="E47" s="84" t="s">
        <v>44</v>
      </c>
      <c r="F47" s="177" t="s">
        <v>141</v>
      </c>
      <c r="G47" s="85" t="s">
        <v>99</v>
      </c>
      <c r="H47" s="86" t="s">
        <v>27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</row>
    <row r="48" spans="2:57" ht="15.75" customHeight="1" x14ac:dyDescent="0.25">
      <c r="B48" s="17"/>
      <c r="C48" s="17"/>
      <c r="D48" s="143">
        <f>IF($J$8=1,IF($J$6&gt;3,23,0),IF($J$6&gt;3,20,0))</f>
        <v>0</v>
      </c>
      <c r="E48" s="143">
        <f>IF($J$8=1,IF($K$6=4,18,IF(K6=6,25,0)),IF($K$6=4,15,IF(K6=6,20,0)))</f>
        <v>0</v>
      </c>
      <c r="F48" s="176">
        <f>IF(H11=1,4,IF(H11=2,10,IF(H11=3,20,0)))</f>
        <v>0</v>
      </c>
      <c r="G48" s="143">
        <f>IF(G9=1,5,IF(G9=2,10,IF(G9=3,15,0)))</f>
        <v>0</v>
      </c>
      <c r="H48" s="147">
        <f>IF(F4=1,7,0)</f>
        <v>0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</row>
    <row r="49" spans="2:57" ht="15.75" customHeight="1" x14ac:dyDescent="0.25">
      <c r="B49" s="83" t="s">
        <v>7</v>
      </c>
      <c r="C49" s="146">
        <f>200+E50+D50-F50</f>
        <v>200</v>
      </c>
      <c r="D49" s="84" t="s">
        <v>38</v>
      </c>
      <c r="E49" s="87" t="s">
        <v>16</v>
      </c>
      <c r="F49" s="177" t="s">
        <v>141</v>
      </c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</row>
    <row r="50" spans="2:57" ht="15.75" customHeight="1" x14ac:dyDescent="0.25">
      <c r="B50" s="17"/>
      <c r="C50" s="17"/>
      <c r="D50" s="143">
        <f>IF(C51=1,IF($J$8=1,IF($J$6&gt;1,55,0),IF($J$6&gt;1,50,0)),0)</f>
        <v>0</v>
      </c>
      <c r="E50" s="143">
        <f>IF(E9=1,10,IF(E9=2,20,IF(E9=3,50,0)))</f>
        <v>0</v>
      </c>
      <c r="F50" s="176">
        <f>IF(H11=1,12,0)</f>
        <v>0</v>
      </c>
      <c r="G50" s="118"/>
      <c r="H50" s="118"/>
      <c r="I50" s="88" t="s">
        <v>42</v>
      </c>
      <c r="J50" s="118"/>
      <c r="K50" s="118"/>
      <c r="L50" s="120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</row>
    <row r="51" spans="2:57" ht="15.75" customHeight="1" x14ac:dyDescent="0.25">
      <c r="B51" s="87" t="s">
        <v>32</v>
      </c>
      <c r="C51" s="143">
        <f>H4+I4</f>
        <v>0</v>
      </c>
      <c r="D51" s="118"/>
      <c r="E51" s="118"/>
      <c r="F51" s="118"/>
      <c r="G51" s="118"/>
      <c r="H51" s="118"/>
      <c r="I51" s="148">
        <f>IF($J$8=1,IF($K$6&gt;5,0.14,0),IF($K$6&gt;5,0.12,0))</f>
        <v>0</v>
      </c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</row>
    <row r="52" spans="2:57" ht="15.75" customHeight="1" x14ac:dyDescent="0.25">
      <c r="B52" s="87" t="s">
        <v>33</v>
      </c>
      <c r="C52" s="143">
        <f>IF(H4=1,IF(H4=1,1.2,1)*(1+IF(G11=1,0.05,IF(G11=2,0.12,IF(G11=3,0.25))))*D53,1)</f>
        <v>1</v>
      </c>
      <c r="D52" s="84" t="s">
        <v>40</v>
      </c>
      <c r="E52" s="118"/>
      <c r="F52" s="118"/>
      <c r="G52" s="118"/>
      <c r="H52" s="118"/>
      <c r="I52" s="88" t="s">
        <v>41</v>
      </c>
      <c r="J52" s="118"/>
      <c r="K52" s="118"/>
      <c r="L52" s="118"/>
      <c r="M52" s="118"/>
      <c r="N52" s="118"/>
      <c r="O52" s="118"/>
      <c r="P52" s="118"/>
      <c r="Q52" s="118"/>
      <c r="R52" s="121"/>
      <c r="S52" s="121"/>
      <c r="T52" s="121"/>
      <c r="U52" s="121"/>
      <c r="V52" s="121"/>
      <c r="W52" s="121"/>
      <c r="X52" s="112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</row>
    <row r="53" spans="2:57" ht="15.75" customHeight="1" x14ac:dyDescent="0.25">
      <c r="B53" s="87" t="s">
        <v>30</v>
      </c>
      <c r="C53" s="144">
        <f>IF(I4=1,IF(I4=1,1.05,1)*(1+IF(D11=1,0.05,IF(D11=2,0.12,IF(D11=3,0.25)))+IF(G6=1,0.12,0))*D53,1)</f>
        <v>1</v>
      </c>
      <c r="D53" s="143">
        <f>IF(C51=1,IF($J$8=1,IF($J$6&gt;5,1.21,1),IF($J$6&gt;5,1.18,1)),1)</f>
        <v>1</v>
      </c>
      <c r="E53" s="118"/>
      <c r="F53" s="118"/>
      <c r="G53" s="118"/>
      <c r="H53" s="118"/>
      <c r="I53" s="148">
        <f>IF($J$8=1,IF($K$6&gt;1,1.15,1),IF($K$6&gt;1,1.13,1))</f>
        <v>1</v>
      </c>
      <c r="J53" s="118"/>
      <c r="K53" s="118"/>
      <c r="L53" s="118"/>
      <c r="M53" s="118"/>
      <c r="N53" s="118"/>
      <c r="O53" s="118"/>
      <c r="P53" s="118"/>
      <c r="Q53" s="118"/>
      <c r="R53" s="121"/>
      <c r="S53" s="121"/>
      <c r="T53" s="121"/>
      <c r="U53" s="121"/>
      <c r="V53" s="121"/>
      <c r="W53" s="121"/>
      <c r="X53" s="112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</row>
    <row r="54" spans="2:57" ht="15.75" customHeight="1" x14ac:dyDescent="0.25">
      <c r="B54" s="87" t="s">
        <v>100</v>
      </c>
      <c r="C54" s="144">
        <f>(1+C5*0.01)*F55*G55*H55*L55*I55*E55*J55*K55*D55</f>
        <v>1</v>
      </c>
      <c r="D54" s="81" t="s">
        <v>59</v>
      </c>
      <c r="E54" s="84" t="s">
        <v>45</v>
      </c>
      <c r="F54" s="87" t="s">
        <v>15</v>
      </c>
      <c r="G54" s="87" t="s">
        <v>17</v>
      </c>
      <c r="H54" s="87" t="s">
        <v>18</v>
      </c>
      <c r="I54" s="84" t="s">
        <v>43</v>
      </c>
      <c r="J54" s="89" t="s">
        <v>31</v>
      </c>
      <c r="K54" s="90" t="s">
        <v>47</v>
      </c>
      <c r="L54" s="85" t="s">
        <v>37</v>
      </c>
      <c r="M54" s="118"/>
      <c r="N54" s="118"/>
      <c r="O54" s="118"/>
      <c r="P54" s="118"/>
      <c r="Q54" s="118"/>
      <c r="R54" s="121"/>
      <c r="S54" s="121"/>
      <c r="T54" s="121"/>
      <c r="U54" s="121"/>
      <c r="V54" s="121"/>
      <c r="W54" s="121"/>
      <c r="X54" s="112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</row>
    <row r="55" spans="2:57" ht="15.75" customHeight="1" x14ac:dyDescent="0.25">
      <c r="B55" s="118"/>
      <c r="C55" s="118"/>
      <c r="D55" s="143">
        <f>IF(B11=1,1.15,IF(B11=2,1.181,IF(B11=3,1.213,IF(B11=4,1.244,IF(B11=5,1.276,1)))))</f>
        <v>1</v>
      </c>
      <c r="E55" s="143">
        <f>IF(J8=1,IF(L6=2,1.1,IF(L6=4,1.28,IF(L6=6,1.5104,1))),IF(L6=2,1.1,IF(L6=4,1.25,IF(L6=6,1.4375,1))))</f>
        <v>1</v>
      </c>
      <c r="F55" s="143">
        <f>IF(D9=1,1.04,IF(D9=2,1.1,IF(D9=3,1.2,1)))</f>
        <v>1</v>
      </c>
      <c r="G55" s="149">
        <f>IF(E11&gt;0,1+C59*IF(E11=1,0.001,IF(E11=2,0.0022,IF(E11=3,0.0045,0))),1)</f>
        <v>1</v>
      </c>
      <c r="H55" s="143">
        <f>IF(F11=1,1.03,IF(F11=2,1.08,IF(F11=3,1.16,1)))</f>
        <v>1</v>
      </c>
      <c r="I55" s="143">
        <f>I53+I51</f>
        <v>1</v>
      </c>
      <c r="J55" s="143">
        <f>IF(H6=1,1.05,IF(H6=2,1.1,1))+J57</f>
        <v>1</v>
      </c>
      <c r="K55" s="143">
        <f>(1+IF($B$8&lt;9,$B$8*3,IF($B$8=9,30,IF($B$8=10,40,0)))*0.01)</f>
        <v>1</v>
      </c>
      <c r="L55" s="143">
        <f>1+L57+L59</f>
        <v>1</v>
      </c>
      <c r="M55" s="118"/>
      <c r="N55" s="118"/>
      <c r="O55" s="118"/>
      <c r="P55" s="118"/>
      <c r="Q55" s="118"/>
      <c r="R55" s="121"/>
      <c r="S55" s="121"/>
      <c r="T55" s="121"/>
      <c r="U55" s="121"/>
      <c r="V55" s="121"/>
      <c r="W55" s="121"/>
      <c r="X55" s="112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</row>
    <row r="56" spans="2:57" ht="15.75" customHeight="1" thickBot="1" x14ac:dyDescent="0.3">
      <c r="B56" s="91" t="s">
        <v>34</v>
      </c>
      <c r="C56" s="145">
        <f>(1-D57)*(1-C8*0.02)*E57</f>
        <v>1</v>
      </c>
      <c r="D56" s="91" t="s">
        <v>8</v>
      </c>
      <c r="E56" s="84" t="s">
        <v>46</v>
      </c>
      <c r="F56" s="118"/>
      <c r="G56" s="118"/>
      <c r="H56" s="118"/>
      <c r="I56" s="118"/>
      <c r="J56" s="92" t="s">
        <v>136</v>
      </c>
      <c r="K56" s="118"/>
      <c r="L56" s="93" t="s">
        <v>19</v>
      </c>
      <c r="M56" s="118"/>
      <c r="N56" s="118"/>
      <c r="O56" s="118"/>
      <c r="P56" s="118"/>
      <c r="Q56" s="118"/>
      <c r="R56" s="121"/>
      <c r="S56" s="121"/>
      <c r="T56" s="121"/>
      <c r="U56" s="121"/>
      <c r="V56" s="121"/>
      <c r="W56" s="121"/>
      <c r="X56" s="112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</row>
    <row r="57" spans="2:57" ht="15.75" customHeight="1" x14ac:dyDescent="0.25">
      <c r="B57" s="118"/>
      <c r="C57" s="118"/>
      <c r="D57" s="145">
        <f>B5*0.0002147</f>
        <v>0</v>
      </c>
      <c r="E57" s="143">
        <f>IF(L6&gt;0,0.82,1)</f>
        <v>1</v>
      </c>
      <c r="F57" s="118"/>
      <c r="G57" s="118"/>
      <c r="H57" s="118"/>
      <c r="I57" s="118"/>
      <c r="J57" s="150">
        <f>IF(G4=1,0.07,IF(G4=2,0.15,0))</f>
        <v>0</v>
      </c>
      <c r="K57" s="118"/>
      <c r="L57" s="143">
        <f>IF(F9=1,0.03,IF(F9=2,0.08,IF(F9=3,0.16,0)))</f>
        <v>0</v>
      </c>
      <c r="M57" s="118"/>
      <c r="N57" s="118"/>
      <c r="O57" s="118"/>
      <c r="P57" s="118"/>
      <c r="Q57" s="118"/>
      <c r="R57" s="121"/>
      <c r="S57" s="178" t="s">
        <v>118</v>
      </c>
      <c r="T57" s="179"/>
      <c r="U57" s="179"/>
      <c r="V57" s="179"/>
      <c r="W57" s="180"/>
      <c r="X57" s="112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</row>
    <row r="58" spans="2:57" ht="15.75" customHeight="1" x14ac:dyDescent="0.25">
      <c r="B58" s="94" t="s">
        <v>9</v>
      </c>
      <c r="C58" s="144">
        <f>IF(D59&lt;40,D59,40)</f>
        <v>0</v>
      </c>
      <c r="D58" s="94" t="s">
        <v>35</v>
      </c>
      <c r="E58" s="94" t="s">
        <v>36</v>
      </c>
      <c r="F58" s="94" t="s">
        <v>21</v>
      </c>
      <c r="G58" s="118"/>
      <c r="H58" s="118"/>
      <c r="I58" s="118"/>
      <c r="J58" s="118"/>
      <c r="K58" s="118"/>
      <c r="L58" s="85" t="s">
        <v>20</v>
      </c>
      <c r="M58" s="118"/>
      <c r="N58" s="118"/>
      <c r="O58" s="118"/>
      <c r="P58" s="118"/>
      <c r="Q58" s="118"/>
      <c r="R58" s="121"/>
      <c r="S58" s="181"/>
      <c r="T58" s="182"/>
      <c r="U58" s="182"/>
      <c r="V58" s="182"/>
      <c r="W58" s="183"/>
      <c r="X58" s="112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</row>
    <row r="59" spans="2:57" ht="15.75" customHeight="1" x14ac:dyDescent="0.25">
      <c r="B59" s="94" t="s">
        <v>10</v>
      </c>
      <c r="C59" s="144">
        <f>IF(E59&lt;40,E59,40)</f>
        <v>0</v>
      </c>
      <c r="D59" s="144">
        <f>($B$5/58.21)+$F$59</f>
        <v>0</v>
      </c>
      <c r="E59" s="144">
        <f>($B$5/58.21)+$F$59</f>
        <v>0</v>
      </c>
      <c r="F59" s="143">
        <f>IF(H9=1,3,IF(H9=2,8,IF(H9=3,15,0)))</f>
        <v>0</v>
      </c>
      <c r="G59" s="118"/>
      <c r="H59" s="118"/>
      <c r="I59" s="118"/>
      <c r="J59" s="118"/>
      <c r="K59" s="118"/>
      <c r="L59" s="143">
        <f>IF(G9=1,0.018,IF(G9=2,0.036,IF(G9=3,0.06,0)))</f>
        <v>0</v>
      </c>
      <c r="M59" s="118"/>
      <c r="N59" s="118"/>
      <c r="O59" s="118"/>
      <c r="P59" s="118"/>
      <c r="Q59" s="118"/>
      <c r="R59" s="121"/>
      <c r="S59" s="181"/>
      <c r="T59" s="182"/>
      <c r="U59" s="182"/>
      <c r="V59" s="182"/>
      <c r="W59" s="183"/>
      <c r="X59" s="112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</row>
    <row r="60" spans="2:57" ht="15.75" customHeight="1" thickBot="1" x14ac:dyDescent="0.3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21"/>
      <c r="S60" s="151"/>
      <c r="T60" s="152"/>
      <c r="U60" s="152"/>
      <c r="V60" s="152"/>
      <c r="W60" s="153"/>
      <c r="X60" s="112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</row>
    <row r="61" spans="2:57" ht="15.75" customHeight="1" thickBot="1" x14ac:dyDescent="0.3">
      <c r="B61" s="95" t="s">
        <v>74</v>
      </c>
      <c r="C61" s="96">
        <v>14782</v>
      </c>
      <c r="D61" s="97"/>
      <c r="E61" s="98" t="s">
        <v>90</v>
      </c>
      <c r="F61" s="96"/>
      <c r="G61" s="97"/>
      <c r="H61" s="98" t="s">
        <v>90</v>
      </c>
      <c r="I61" s="96"/>
      <c r="J61" s="97"/>
      <c r="K61" s="98" t="s">
        <v>90</v>
      </c>
      <c r="L61" s="96"/>
      <c r="M61" s="97"/>
      <c r="N61" s="98" t="s">
        <v>90</v>
      </c>
      <c r="O61" s="185" t="s">
        <v>127</v>
      </c>
      <c r="P61" s="186"/>
      <c r="Q61" s="186"/>
      <c r="R61" s="121"/>
      <c r="S61" s="151"/>
      <c r="T61" s="152"/>
      <c r="U61" s="152"/>
      <c r="V61" s="152"/>
      <c r="W61" s="153"/>
      <c r="X61" s="112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</row>
    <row r="62" spans="2:57" ht="14" x14ac:dyDescent="0.25">
      <c r="B62" s="99" t="s">
        <v>86</v>
      </c>
      <c r="C62" s="100">
        <v>166</v>
      </c>
      <c r="D62" s="100">
        <v>14991</v>
      </c>
      <c r="E62" s="101">
        <f t="shared" ref="E62:E77" si="9">(D62-C62)/$C$61</f>
        <v>1.0029089433094305</v>
      </c>
      <c r="F62" s="100">
        <v>209</v>
      </c>
      <c r="G62" s="100">
        <v>19262</v>
      </c>
      <c r="H62" s="101">
        <f>(G62-F62)/$C$61</f>
        <v>1.2889324854552835</v>
      </c>
      <c r="I62" s="100"/>
      <c r="J62" s="100"/>
      <c r="K62" s="101"/>
      <c r="L62" s="100"/>
      <c r="M62" s="100"/>
      <c r="N62" s="101"/>
      <c r="O62" s="102">
        <v>2.72</v>
      </c>
      <c r="P62" s="100"/>
      <c r="Q62" s="100"/>
      <c r="R62" s="121"/>
      <c r="S62" s="151"/>
      <c r="T62" s="152"/>
      <c r="U62" s="152">
        <v>803837</v>
      </c>
      <c r="V62" s="152"/>
      <c r="W62" s="153"/>
      <c r="X62" s="112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</row>
    <row r="63" spans="2:57" ht="14" x14ac:dyDescent="0.25">
      <c r="B63" s="99" t="s">
        <v>88</v>
      </c>
      <c r="C63" s="100">
        <v>323</v>
      </c>
      <c r="D63" s="100">
        <v>30048</v>
      </c>
      <c r="E63" s="101">
        <f t="shared" si="9"/>
        <v>2.0108916249492625</v>
      </c>
      <c r="F63" s="100">
        <v>436</v>
      </c>
      <c r="G63" s="100">
        <v>40079</v>
      </c>
      <c r="H63" s="101">
        <f>(G63-F63)/$C$61</f>
        <v>2.6818427817616017</v>
      </c>
      <c r="I63" s="100"/>
      <c r="J63" s="100"/>
      <c r="K63" s="101"/>
      <c r="L63" s="100"/>
      <c r="M63" s="100"/>
      <c r="N63" s="101"/>
      <c r="O63" s="102">
        <v>3.24</v>
      </c>
      <c r="P63" s="100"/>
      <c r="Q63" s="100"/>
      <c r="R63" s="121"/>
      <c r="S63" s="151"/>
      <c r="T63" s="152" t="s">
        <v>116</v>
      </c>
      <c r="U63" s="152">
        <v>1048963</v>
      </c>
      <c r="V63" s="152">
        <f>78225+82176+78407+78803+82540</f>
        <v>400151</v>
      </c>
      <c r="W63" s="153">
        <f>U63-V63</f>
        <v>648812</v>
      </c>
      <c r="X63" s="112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</row>
    <row r="64" spans="2:57" ht="14" x14ac:dyDescent="0.25">
      <c r="B64" s="99" t="s">
        <v>87</v>
      </c>
      <c r="C64" s="100">
        <v>180</v>
      </c>
      <c r="D64" s="100">
        <v>16646</v>
      </c>
      <c r="E64" s="101">
        <f t="shared" si="9"/>
        <v>1.1139223379786227</v>
      </c>
      <c r="F64" s="100">
        <v>356</v>
      </c>
      <c r="G64" s="100">
        <v>33288</v>
      </c>
      <c r="H64" s="101">
        <f>(G64-F64)/$C$61</f>
        <v>2.2278446759572454</v>
      </c>
      <c r="I64" s="100"/>
      <c r="J64" s="100"/>
      <c r="K64" s="101"/>
      <c r="L64" s="100"/>
      <c r="M64" s="100"/>
      <c r="N64" s="101"/>
      <c r="O64" s="102">
        <v>3.8159999999999998</v>
      </c>
      <c r="P64" s="100"/>
      <c r="Q64" s="100"/>
      <c r="R64" s="121"/>
      <c r="S64" s="151"/>
      <c r="T64" s="152" t="s">
        <v>122</v>
      </c>
      <c r="U64" s="152">
        <v>1.5860000000000001</v>
      </c>
      <c r="V64" s="152"/>
      <c r="W64" s="153">
        <f>W63/8</f>
        <v>81101.5</v>
      </c>
      <c r="X64" s="112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</row>
    <row r="65" spans="1:57" ht="14" x14ac:dyDescent="0.25">
      <c r="B65" s="99" t="s">
        <v>76</v>
      </c>
      <c r="C65" s="100">
        <v>1858</v>
      </c>
      <c r="D65" s="100">
        <v>172032</v>
      </c>
      <c r="E65" s="101">
        <f t="shared" si="9"/>
        <v>11.51224462183737</v>
      </c>
      <c r="F65" s="100"/>
      <c r="G65" s="100"/>
      <c r="H65" s="101"/>
      <c r="I65" s="100"/>
      <c r="J65" s="100"/>
      <c r="K65" s="101"/>
      <c r="L65" s="100"/>
      <c r="M65" s="100"/>
      <c r="N65" s="101"/>
      <c r="O65" s="102">
        <v>3.12</v>
      </c>
      <c r="P65" s="100"/>
      <c r="Q65" s="100"/>
      <c r="R65" s="121"/>
      <c r="S65" s="151"/>
      <c r="T65" s="152"/>
      <c r="U65" s="152"/>
      <c r="V65" s="152">
        <v>1.23</v>
      </c>
      <c r="W65" s="153" t="s">
        <v>103</v>
      </c>
      <c r="X65" s="112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</row>
    <row r="66" spans="1:57" ht="14" x14ac:dyDescent="0.25">
      <c r="B66" s="99" t="s">
        <v>77</v>
      </c>
      <c r="C66" s="100">
        <v>1076</v>
      </c>
      <c r="D66" s="100">
        <v>99517</v>
      </c>
      <c r="E66" s="101">
        <f t="shared" si="9"/>
        <v>6.659518333107834</v>
      </c>
      <c r="F66" s="100"/>
      <c r="G66" s="100"/>
      <c r="H66" s="101"/>
      <c r="I66" s="100"/>
      <c r="J66" s="100"/>
      <c r="K66" s="101"/>
      <c r="L66" s="100"/>
      <c r="M66" s="100"/>
      <c r="N66" s="101"/>
      <c r="O66" s="102">
        <v>4.87</v>
      </c>
      <c r="P66" s="100"/>
      <c r="Q66" s="100"/>
      <c r="R66" s="121"/>
      <c r="S66" s="151"/>
      <c r="T66" s="152"/>
      <c r="U66" s="152"/>
      <c r="V66" s="152"/>
      <c r="W66" s="153" t="s">
        <v>104</v>
      </c>
      <c r="X66" s="112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</row>
    <row r="67" spans="1:57" ht="14" x14ac:dyDescent="0.25">
      <c r="B67" s="103" t="s">
        <v>78</v>
      </c>
      <c r="C67" s="104">
        <v>1762</v>
      </c>
      <c r="D67" s="104">
        <v>163008</v>
      </c>
      <c r="E67" s="101">
        <f t="shared" si="9"/>
        <v>10.908266810986335</v>
      </c>
      <c r="F67" s="104"/>
      <c r="G67" s="104"/>
      <c r="H67" s="101"/>
      <c r="I67" s="100"/>
      <c r="J67" s="100"/>
      <c r="K67" s="101"/>
      <c r="L67" s="100"/>
      <c r="M67" s="100"/>
      <c r="N67" s="101"/>
      <c r="O67" s="102">
        <f>1.952+0.948</f>
        <v>2.9</v>
      </c>
      <c r="P67" s="100"/>
      <c r="Q67" s="100"/>
      <c r="R67" s="121"/>
      <c r="S67" s="151"/>
      <c r="T67" s="152" t="s">
        <v>117</v>
      </c>
      <c r="U67" s="152"/>
      <c r="V67" s="152"/>
      <c r="W67" s="153"/>
      <c r="X67" s="112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</row>
    <row r="68" spans="1:57" ht="14" x14ac:dyDescent="0.25">
      <c r="B68" s="103" t="s">
        <v>89</v>
      </c>
      <c r="C68" s="104">
        <v>247</v>
      </c>
      <c r="D68" s="104">
        <v>22951</v>
      </c>
      <c r="E68" s="101">
        <f t="shared" si="9"/>
        <v>1.5359220673792451</v>
      </c>
      <c r="F68" s="104">
        <v>166</v>
      </c>
      <c r="G68" s="104">
        <v>15331</v>
      </c>
      <c r="H68" s="101">
        <f>(G68-F68)/$C$61</f>
        <v>1.0259098904072521</v>
      </c>
      <c r="I68" s="104">
        <v>995</v>
      </c>
      <c r="J68" s="104">
        <v>91869</v>
      </c>
      <c r="K68" s="101">
        <f>(J68-I68)/$C$61</f>
        <v>6.1476119604924913</v>
      </c>
      <c r="L68" s="100"/>
      <c r="M68" s="100"/>
      <c r="N68" s="101"/>
      <c r="O68" s="102">
        <f>2.75*2.75</f>
        <v>7.5625</v>
      </c>
      <c r="P68" s="100">
        <v>2.13</v>
      </c>
      <c r="Q68" s="100" t="s">
        <v>106</v>
      </c>
      <c r="R68" s="121"/>
      <c r="S68" s="151">
        <v>1</v>
      </c>
      <c r="T68" s="152">
        <v>0.23</v>
      </c>
      <c r="U68" s="152">
        <v>1</v>
      </c>
      <c r="V68" s="152">
        <f>W64</f>
        <v>81101.5</v>
      </c>
      <c r="W68" s="153"/>
      <c r="X68" s="112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</row>
    <row r="69" spans="1:57" ht="14" x14ac:dyDescent="0.25">
      <c r="B69" s="103" t="s">
        <v>79</v>
      </c>
      <c r="C69" s="104">
        <v>459</v>
      </c>
      <c r="D69" s="104">
        <v>42275</v>
      </c>
      <c r="E69" s="101">
        <f t="shared" si="9"/>
        <v>2.8288458936544445</v>
      </c>
      <c r="F69" s="104">
        <v>544</v>
      </c>
      <c r="G69" s="104">
        <v>50726</v>
      </c>
      <c r="H69" s="101">
        <f>(G69-F69)/$C$61</f>
        <v>3.3948044919496687</v>
      </c>
      <c r="I69" s="104">
        <v>822</v>
      </c>
      <c r="J69" s="104">
        <v>76027</v>
      </c>
      <c r="K69" s="101">
        <f>(J69-I69)/$C$61</f>
        <v>5.0876065485049384</v>
      </c>
      <c r="L69" s="100"/>
      <c r="M69" s="100"/>
      <c r="N69" s="101"/>
      <c r="O69" s="102">
        <f>1.85*3.325</f>
        <v>6.151250000000001</v>
      </c>
      <c r="P69" s="100"/>
      <c r="Q69" s="100" t="s">
        <v>105</v>
      </c>
      <c r="R69" s="121"/>
      <c r="S69" s="151">
        <v>2</v>
      </c>
      <c r="T69" s="152"/>
      <c r="U69" s="152">
        <f t="shared" ref="U69:U76" si="10">U68+$T$68</f>
        <v>1.23</v>
      </c>
      <c r="V69" s="152">
        <f t="shared" ref="V69:V75" si="11">$V$68*U69</f>
        <v>99754.845000000001</v>
      </c>
      <c r="W69" s="153"/>
      <c r="X69" s="112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</row>
    <row r="70" spans="1:57" ht="14" x14ac:dyDescent="0.25">
      <c r="B70" s="105" t="s">
        <v>80</v>
      </c>
      <c r="C70" s="106">
        <v>896</v>
      </c>
      <c r="D70" s="106">
        <v>82841</v>
      </c>
      <c r="E70" s="107">
        <f t="shared" si="9"/>
        <v>5.5435664997970502</v>
      </c>
      <c r="F70" s="109"/>
      <c r="G70" s="109"/>
      <c r="H70" s="107"/>
      <c r="I70" s="106"/>
      <c r="J70" s="106"/>
      <c r="K70" s="107"/>
      <c r="L70" s="109"/>
      <c r="M70" s="109"/>
      <c r="N70" s="107"/>
      <c r="O70" s="108">
        <f>1.45*2.7</f>
        <v>3.915</v>
      </c>
      <c r="P70" s="109"/>
      <c r="Q70" s="109" t="s">
        <v>110</v>
      </c>
      <c r="R70" s="121"/>
      <c r="S70" s="151">
        <v>3</v>
      </c>
      <c r="T70" s="152"/>
      <c r="U70" s="152">
        <f t="shared" si="10"/>
        <v>1.46</v>
      </c>
      <c r="V70" s="152">
        <f t="shared" si="11"/>
        <v>118408.19</v>
      </c>
      <c r="W70" s="153"/>
      <c r="X70" s="112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</row>
    <row r="71" spans="1:57" ht="14" x14ac:dyDescent="0.25">
      <c r="B71" s="105" t="s">
        <v>81</v>
      </c>
      <c r="C71" s="106">
        <v>1201</v>
      </c>
      <c r="D71" s="106">
        <v>110802</v>
      </c>
      <c r="E71" s="107">
        <f t="shared" si="9"/>
        <v>7.4144905966716275</v>
      </c>
      <c r="F71" s="109"/>
      <c r="G71" s="109"/>
      <c r="H71" s="107"/>
      <c r="I71" s="109"/>
      <c r="J71" s="109"/>
      <c r="K71" s="107"/>
      <c r="L71" s="109"/>
      <c r="M71" s="109"/>
      <c r="N71" s="107"/>
      <c r="O71" s="108">
        <v>2.5375999999999999</v>
      </c>
      <c r="P71" s="109"/>
      <c r="Q71" s="109"/>
      <c r="R71" s="121"/>
      <c r="S71" s="151">
        <v>4</v>
      </c>
      <c r="T71" s="152"/>
      <c r="U71" s="154">
        <f t="shared" si="10"/>
        <v>1.69</v>
      </c>
      <c r="V71" s="152">
        <f t="shared" si="11"/>
        <v>137061.535</v>
      </c>
      <c r="W71" s="153"/>
      <c r="X71" s="112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</row>
    <row r="72" spans="1:57" ht="14" x14ac:dyDescent="0.25">
      <c r="B72" s="105" t="s">
        <v>82</v>
      </c>
      <c r="C72" s="106">
        <v>3000</v>
      </c>
      <c r="D72" s="106">
        <v>278178</v>
      </c>
      <c r="E72" s="107">
        <f t="shared" si="9"/>
        <v>18.615748883777567</v>
      </c>
      <c r="F72" s="109"/>
      <c r="G72" s="109"/>
      <c r="H72" s="107"/>
      <c r="I72" s="109"/>
      <c r="J72" s="109"/>
      <c r="K72" s="107"/>
      <c r="L72" s="109"/>
      <c r="M72" s="109"/>
      <c r="N72" s="107"/>
      <c r="O72" s="108">
        <v>4.2880000000000003</v>
      </c>
      <c r="P72" s="109"/>
      <c r="Q72" s="109"/>
      <c r="R72" s="121"/>
      <c r="S72" s="151">
        <v>5</v>
      </c>
      <c r="T72" s="152"/>
      <c r="U72" s="154">
        <f t="shared" si="10"/>
        <v>1.92</v>
      </c>
      <c r="V72" s="152">
        <f t="shared" si="11"/>
        <v>155714.88</v>
      </c>
      <c r="W72" s="153"/>
      <c r="X72" s="112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</row>
    <row r="73" spans="1:57" ht="14" x14ac:dyDescent="0.25">
      <c r="A73" s="155"/>
      <c r="B73" s="105" t="s">
        <v>83</v>
      </c>
      <c r="C73" s="106">
        <v>896</v>
      </c>
      <c r="D73" s="106">
        <v>82841</v>
      </c>
      <c r="E73" s="107">
        <f t="shared" si="9"/>
        <v>5.5435664997970502</v>
      </c>
      <c r="F73" s="106">
        <v>2089</v>
      </c>
      <c r="G73" s="106">
        <v>193296</v>
      </c>
      <c r="H73" s="107">
        <f>(G73-F73)/$C$61</f>
        <v>12.935123799215262</v>
      </c>
      <c r="I73" s="109"/>
      <c r="J73" s="109"/>
      <c r="K73" s="107"/>
      <c r="L73" s="109"/>
      <c r="M73" s="109"/>
      <c r="N73" s="107"/>
      <c r="O73" s="108">
        <v>1.93</v>
      </c>
      <c r="P73" s="109"/>
      <c r="Q73" s="109" t="s">
        <v>107</v>
      </c>
      <c r="R73" s="121"/>
      <c r="S73" s="151">
        <v>6</v>
      </c>
      <c r="T73" s="152"/>
      <c r="U73" s="154">
        <f t="shared" si="10"/>
        <v>2.15</v>
      </c>
      <c r="V73" s="152">
        <f t="shared" si="11"/>
        <v>174368.22500000001</v>
      </c>
      <c r="W73" s="153"/>
      <c r="X73" s="112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</row>
    <row r="74" spans="1:57" ht="14" x14ac:dyDescent="0.25">
      <c r="B74" s="105" t="s">
        <v>84</v>
      </c>
      <c r="C74" s="106">
        <v>384</v>
      </c>
      <c r="D74" s="106">
        <v>35652</v>
      </c>
      <c r="E74" s="107">
        <f t="shared" si="9"/>
        <v>2.3858747124881612</v>
      </c>
      <c r="F74" s="106">
        <v>578</v>
      </c>
      <c r="G74" s="106">
        <v>53464</v>
      </c>
      <c r="H74" s="107">
        <f>(G74-F74)/$C$61</f>
        <v>3.5777296712217561</v>
      </c>
      <c r="I74" s="106">
        <v>964</v>
      </c>
      <c r="J74" s="106">
        <v>89103</v>
      </c>
      <c r="K74" s="107">
        <f>(J74-I74)/$C$61</f>
        <v>5.9625896360438375</v>
      </c>
      <c r="L74" s="109">
        <v>1925</v>
      </c>
      <c r="M74" s="109">
        <v>178204</v>
      </c>
      <c r="N74" s="107">
        <f>(M74-L74)/$C$61</f>
        <v>11.925246921932079</v>
      </c>
      <c r="O74" s="108">
        <f>T79</f>
        <v>3.488921646426042</v>
      </c>
      <c r="P74" s="109"/>
      <c r="Q74" s="109" t="s">
        <v>109</v>
      </c>
      <c r="R74" s="121"/>
      <c r="S74" s="151">
        <v>7</v>
      </c>
      <c r="T74" s="152"/>
      <c r="U74" s="154">
        <f t="shared" si="10"/>
        <v>2.38</v>
      </c>
      <c r="V74" s="152">
        <f t="shared" si="11"/>
        <v>193021.56999999998</v>
      </c>
      <c r="W74" s="153"/>
      <c r="X74" s="112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</row>
    <row r="75" spans="1:57" ht="14" x14ac:dyDescent="0.25">
      <c r="B75" s="105" t="s">
        <v>91</v>
      </c>
      <c r="C75" s="106">
        <v>329</v>
      </c>
      <c r="D75" s="106">
        <v>30600</v>
      </c>
      <c r="E75" s="107">
        <f t="shared" si="9"/>
        <v>2.0478284399945879</v>
      </c>
      <c r="F75" s="106">
        <v>1319</v>
      </c>
      <c r="G75" s="106">
        <v>122302</v>
      </c>
      <c r="H75" s="107">
        <f>(G75-F75)/$C$61</f>
        <v>8.1844811256934111</v>
      </c>
      <c r="I75" s="106">
        <v>1650</v>
      </c>
      <c r="J75" s="106">
        <v>152904</v>
      </c>
      <c r="K75" s="107">
        <f>(J75-I75)/$C$61</f>
        <v>10.232309565687999</v>
      </c>
      <c r="L75" s="109"/>
      <c r="M75" s="109"/>
      <c r="N75" s="107"/>
      <c r="O75" s="108">
        <f>1.403*2.528</f>
        <v>3.5467840000000002</v>
      </c>
      <c r="P75" s="109">
        <f>2.4*1.403</f>
        <v>3.3672</v>
      </c>
      <c r="Q75" s="109" t="s">
        <v>108</v>
      </c>
      <c r="R75" s="121"/>
      <c r="S75" s="151">
        <v>8</v>
      </c>
      <c r="T75" s="152"/>
      <c r="U75" s="152">
        <f t="shared" si="10"/>
        <v>2.61</v>
      </c>
      <c r="V75" s="152">
        <f t="shared" si="11"/>
        <v>211674.91499999998</v>
      </c>
      <c r="W75" s="153"/>
      <c r="X75" s="112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</row>
    <row r="76" spans="1:57" ht="14" x14ac:dyDescent="0.25">
      <c r="B76" s="105" t="s">
        <v>75</v>
      </c>
      <c r="C76" s="106">
        <v>794</v>
      </c>
      <c r="D76" s="106">
        <v>73664</v>
      </c>
      <c r="E76" s="107">
        <f t="shared" si="9"/>
        <v>4.9296441618184277</v>
      </c>
      <c r="F76" s="106">
        <v>1852</v>
      </c>
      <c r="G76" s="106">
        <v>171877</v>
      </c>
      <c r="H76" s="107">
        <f>(G76-F76)/$C$61</f>
        <v>11.502164795020972</v>
      </c>
      <c r="I76" s="106"/>
      <c r="J76" s="106"/>
      <c r="K76" s="107"/>
      <c r="L76" s="109"/>
      <c r="M76" s="106"/>
      <c r="N76" s="156"/>
      <c r="O76" s="108">
        <v>3.52</v>
      </c>
      <c r="P76" s="109"/>
      <c r="Q76" s="109"/>
      <c r="R76" s="121"/>
      <c r="S76" s="151" t="s">
        <v>114</v>
      </c>
      <c r="T76" s="152"/>
      <c r="U76" s="152">
        <f t="shared" si="10"/>
        <v>2.84</v>
      </c>
      <c r="V76" s="152">
        <f>V63*U76</f>
        <v>1136428.8399999999</v>
      </c>
      <c r="W76" s="153"/>
      <c r="X76" s="112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</row>
    <row r="77" spans="1:57" ht="14" x14ac:dyDescent="0.25">
      <c r="B77" s="110" t="s">
        <v>85</v>
      </c>
      <c r="C77" s="106">
        <v>408</v>
      </c>
      <c r="D77" s="106">
        <v>38026</v>
      </c>
      <c r="E77" s="107">
        <f t="shared" si="9"/>
        <v>2.5448518468407522</v>
      </c>
      <c r="F77" s="106">
        <v>205</v>
      </c>
      <c r="G77" s="106">
        <v>19006</v>
      </c>
      <c r="H77" s="107">
        <f>(G77-F77)/$C$61</f>
        <v>1.2718847246651332</v>
      </c>
      <c r="I77" s="106">
        <v>3486</v>
      </c>
      <c r="J77" s="106">
        <v>322756</v>
      </c>
      <c r="K77" s="107">
        <f>(J77-I77)/$C$61</f>
        <v>21.598565823298607</v>
      </c>
      <c r="L77" s="109"/>
      <c r="M77" s="109"/>
      <c r="N77" s="156"/>
      <c r="O77" s="108">
        <v>2.0499999999999998</v>
      </c>
      <c r="P77" s="109"/>
      <c r="Q77" s="109"/>
      <c r="R77" s="121"/>
      <c r="S77" s="151" t="s">
        <v>115</v>
      </c>
      <c r="T77" s="152"/>
      <c r="U77" s="152"/>
      <c r="V77" s="152">
        <f>V68+V69+V70+V71+V72+V73+V74+V75+V76</f>
        <v>2307534.5</v>
      </c>
      <c r="W77" s="153"/>
      <c r="X77" s="112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</row>
    <row r="78" spans="1:57" ht="14.5" thickBot="1" x14ac:dyDescent="0.3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21"/>
      <c r="S78" s="157" t="s">
        <v>120</v>
      </c>
      <c r="T78" s="158"/>
      <c r="U78" s="158"/>
      <c r="V78" s="158">
        <f>V77/U63</f>
        <v>2.1998244933329394</v>
      </c>
      <c r="W78" s="159"/>
      <c r="X78" s="112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</row>
    <row r="79" spans="1:57" ht="14.5" thickBot="1" x14ac:dyDescent="0.3">
      <c r="B79" s="95" t="s">
        <v>74</v>
      </c>
      <c r="C79" s="96">
        <v>13567</v>
      </c>
      <c r="D79" s="97"/>
      <c r="E79" s="98" t="s">
        <v>90</v>
      </c>
      <c r="F79" s="96"/>
      <c r="G79" s="97"/>
      <c r="H79" s="98" t="s">
        <v>90</v>
      </c>
      <c r="I79" s="96"/>
      <c r="J79" s="97"/>
      <c r="K79" s="98" t="s">
        <v>90</v>
      </c>
      <c r="L79" s="96"/>
      <c r="M79" s="97"/>
      <c r="N79" s="98" t="s">
        <v>90</v>
      </c>
      <c r="O79" s="121"/>
      <c r="P79" s="121"/>
      <c r="Q79" s="121"/>
      <c r="R79" s="121"/>
      <c r="S79" s="160" t="s">
        <v>121</v>
      </c>
      <c r="T79" s="161">
        <f>V78*U64</f>
        <v>3.488921646426042</v>
      </c>
      <c r="U79" s="162"/>
      <c r="V79" s="162"/>
      <c r="W79" s="163"/>
      <c r="X79" s="112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</row>
    <row r="80" spans="1:57" ht="14" x14ac:dyDescent="0.25">
      <c r="B80" s="99" t="s">
        <v>86</v>
      </c>
      <c r="C80" s="100">
        <v>166</v>
      </c>
      <c r="D80" s="100">
        <v>13772</v>
      </c>
      <c r="E80" s="101">
        <f t="shared" ref="E80:E95" si="12">(D80-C80)/$C$79</f>
        <v>1.0028746222451537</v>
      </c>
      <c r="F80" s="100">
        <v>209</v>
      </c>
      <c r="G80" s="100">
        <v>17696</v>
      </c>
      <c r="H80" s="101">
        <f>(G80-F80)/$C$79</f>
        <v>1.2889363897692931</v>
      </c>
      <c r="I80" s="100"/>
      <c r="J80" s="100"/>
      <c r="K80" s="101"/>
      <c r="L80" s="100"/>
      <c r="M80" s="100"/>
      <c r="N80" s="101"/>
      <c r="O80" s="121"/>
      <c r="P80" s="121"/>
      <c r="Q80" s="121"/>
      <c r="R80" s="121"/>
      <c r="S80" s="121"/>
      <c r="T80" s="121"/>
      <c r="U80" s="121"/>
      <c r="V80" s="121"/>
      <c r="W80" s="121"/>
      <c r="X80" s="112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</row>
    <row r="81" spans="2:57" ht="14" x14ac:dyDescent="0.25">
      <c r="B81" s="99" t="s">
        <v>88</v>
      </c>
      <c r="C81" s="100">
        <v>323</v>
      </c>
      <c r="D81" s="100">
        <v>27604</v>
      </c>
      <c r="E81" s="101">
        <f t="shared" si="12"/>
        <v>2.0108351146163486</v>
      </c>
      <c r="F81" s="100">
        <v>436</v>
      </c>
      <c r="G81" s="100">
        <v>36820</v>
      </c>
      <c r="H81" s="101">
        <f>(G81-F81)/$C$79</f>
        <v>2.6818014299402964</v>
      </c>
      <c r="I81" s="100"/>
      <c r="J81" s="100"/>
      <c r="K81" s="101"/>
      <c r="L81" s="100"/>
      <c r="M81" s="100"/>
      <c r="N81" s="101"/>
      <c r="O81" s="121"/>
      <c r="P81" s="121"/>
      <c r="Q81" s="121"/>
      <c r="R81" s="121"/>
      <c r="S81" s="121"/>
      <c r="T81" s="121"/>
      <c r="U81" s="121"/>
      <c r="V81" s="121"/>
      <c r="W81" s="121"/>
      <c r="X81" s="112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</row>
    <row r="82" spans="2:57" ht="14" x14ac:dyDescent="0.25">
      <c r="B82" s="99" t="s">
        <v>87</v>
      </c>
      <c r="C82" s="100">
        <v>180</v>
      </c>
      <c r="D82" s="100">
        <v>15293</v>
      </c>
      <c r="E82" s="101">
        <f t="shared" si="12"/>
        <v>1.1139529741283998</v>
      </c>
      <c r="F82" s="100">
        <v>356</v>
      </c>
      <c r="G82" s="100">
        <v>30581</v>
      </c>
      <c r="H82" s="101">
        <f>(G82-F82)/$C$79</f>
        <v>2.2278322399941035</v>
      </c>
      <c r="I82" s="100"/>
      <c r="J82" s="100"/>
      <c r="K82" s="101"/>
      <c r="L82" s="100"/>
      <c r="M82" s="100"/>
      <c r="N82" s="101"/>
      <c r="O82" s="121"/>
      <c r="P82" s="121"/>
      <c r="Q82" s="121"/>
      <c r="R82" s="121"/>
      <c r="S82" s="121"/>
      <c r="T82" s="121"/>
      <c r="U82" s="121"/>
      <c r="V82" s="121"/>
      <c r="W82" s="121"/>
      <c r="X82" s="112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</row>
    <row r="83" spans="2:57" ht="14" x14ac:dyDescent="0.25">
      <c r="B83" s="99" t="s">
        <v>76</v>
      </c>
      <c r="C83" s="100">
        <v>1858</v>
      </c>
      <c r="D83" s="100">
        <v>158043</v>
      </c>
      <c r="E83" s="101">
        <f t="shared" si="12"/>
        <v>11.512125009213532</v>
      </c>
      <c r="F83" s="100"/>
      <c r="G83" s="100"/>
      <c r="H83" s="101"/>
      <c r="I83" s="100"/>
      <c r="J83" s="100"/>
      <c r="K83" s="101"/>
      <c r="L83" s="100"/>
      <c r="M83" s="100"/>
      <c r="N83" s="101"/>
      <c r="O83" s="169"/>
      <c r="P83" s="169"/>
      <c r="Q83" s="121"/>
      <c r="R83" s="121"/>
      <c r="S83" s="121"/>
      <c r="T83" s="121"/>
      <c r="U83" s="121"/>
      <c r="V83" s="121"/>
      <c r="W83" s="121"/>
      <c r="X83" s="112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</row>
    <row r="84" spans="2:57" ht="14" x14ac:dyDescent="0.25">
      <c r="B84" s="99" t="s">
        <v>77</v>
      </c>
      <c r="C84" s="100">
        <v>1076</v>
      </c>
      <c r="D84" s="100">
        <v>91425</v>
      </c>
      <c r="E84" s="101">
        <f t="shared" si="12"/>
        <v>6.6594678263433327</v>
      </c>
      <c r="F84" s="100"/>
      <c r="G84" s="100"/>
      <c r="H84" s="101"/>
      <c r="I84" s="100"/>
      <c r="J84" s="100"/>
      <c r="K84" s="101"/>
      <c r="L84" s="100"/>
      <c r="M84" s="100"/>
      <c r="N84" s="101"/>
      <c r="O84" s="169"/>
      <c r="P84" s="169"/>
      <c r="Q84" s="121"/>
      <c r="R84" s="121"/>
      <c r="S84" s="121"/>
      <c r="T84" s="121"/>
      <c r="U84" s="121"/>
      <c r="V84" s="121"/>
      <c r="W84" s="121"/>
      <c r="X84" s="112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</row>
    <row r="85" spans="2:57" ht="14" x14ac:dyDescent="0.25">
      <c r="B85" s="103" t="s">
        <v>78</v>
      </c>
      <c r="C85" s="104">
        <v>1762</v>
      </c>
      <c r="D85" s="104">
        <v>149753</v>
      </c>
      <c r="E85" s="101">
        <f t="shared" si="12"/>
        <v>10.908159504680475</v>
      </c>
      <c r="F85" s="104"/>
      <c r="G85" s="104"/>
      <c r="H85" s="101"/>
      <c r="I85" s="100"/>
      <c r="J85" s="100"/>
      <c r="K85" s="101"/>
      <c r="L85" s="100"/>
      <c r="M85" s="100"/>
      <c r="N85" s="101"/>
      <c r="O85" s="169"/>
      <c r="P85" s="169"/>
      <c r="Q85" s="121"/>
      <c r="R85" s="118"/>
      <c r="S85" s="118"/>
      <c r="T85" s="118"/>
      <c r="U85" s="120"/>
      <c r="V85" s="118"/>
      <c r="W85" s="118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</row>
    <row r="86" spans="2:57" ht="14" x14ac:dyDescent="0.25">
      <c r="B86" s="103" t="s">
        <v>89</v>
      </c>
      <c r="C86" s="104">
        <v>247</v>
      </c>
      <c r="D86" s="104">
        <v>21084</v>
      </c>
      <c r="E86" s="101">
        <f t="shared" si="12"/>
        <v>1.5358590698017247</v>
      </c>
      <c r="F86" s="104">
        <v>166</v>
      </c>
      <c r="G86" s="104">
        <v>14084</v>
      </c>
      <c r="H86" s="101">
        <f>(G86-F86)/$C$79</f>
        <v>1.0258716002063832</v>
      </c>
      <c r="I86" s="104">
        <v>995</v>
      </c>
      <c r="J86" s="104">
        <v>84399</v>
      </c>
      <c r="K86" s="101">
        <f>(J86-I86)/$C$79</f>
        <v>6.1475639419178894</v>
      </c>
      <c r="L86" s="100"/>
      <c r="M86" s="100"/>
      <c r="N86" s="101"/>
      <c r="O86" s="169"/>
      <c r="P86" s="169"/>
      <c r="Q86" s="121"/>
      <c r="R86" s="118"/>
      <c r="S86" s="118"/>
      <c r="T86" s="118"/>
      <c r="U86" s="120"/>
      <c r="V86" s="118"/>
      <c r="W86" s="118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</row>
    <row r="87" spans="2:57" ht="14" x14ac:dyDescent="0.25">
      <c r="B87" s="103" t="s">
        <v>79</v>
      </c>
      <c r="C87" s="104">
        <v>459</v>
      </c>
      <c r="D87" s="104">
        <v>38838</v>
      </c>
      <c r="E87" s="101">
        <f t="shared" si="12"/>
        <v>2.8288494140193117</v>
      </c>
      <c r="F87" s="104">
        <v>544</v>
      </c>
      <c r="G87" s="104">
        <v>46601</v>
      </c>
      <c r="H87" s="101">
        <f>(G87-F87)/$C$79</f>
        <v>3.3947814550011057</v>
      </c>
      <c r="I87" s="104">
        <v>822</v>
      </c>
      <c r="J87" s="104">
        <v>69845</v>
      </c>
      <c r="K87" s="101">
        <f>(J87-I87)/$C$79</f>
        <v>5.0875654160831427</v>
      </c>
      <c r="L87" s="100"/>
      <c r="M87" s="100"/>
      <c r="N87" s="101"/>
      <c r="O87" s="169"/>
      <c r="P87" s="169"/>
      <c r="Q87" s="121"/>
      <c r="R87" s="120"/>
      <c r="S87" s="120"/>
      <c r="T87" s="120"/>
      <c r="U87" s="120"/>
      <c r="V87" s="118"/>
      <c r="W87" s="118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</row>
    <row r="88" spans="2:57" ht="14" x14ac:dyDescent="0.25">
      <c r="B88" s="105" t="s">
        <v>80</v>
      </c>
      <c r="C88" s="106">
        <v>896</v>
      </c>
      <c r="D88" s="106">
        <v>76105</v>
      </c>
      <c r="E88" s="107">
        <f t="shared" si="12"/>
        <v>5.5435247291221348</v>
      </c>
      <c r="F88" s="109"/>
      <c r="G88" s="109"/>
      <c r="H88" s="107"/>
      <c r="I88" s="106"/>
      <c r="J88" s="106"/>
      <c r="K88" s="107"/>
      <c r="L88" s="109"/>
      <c r="M88" s="109"/>
      <c r="N88" s="107"/>
      <c r="O88" s="169"/>
      <c r="P88" s="169"/>
      <c r="Q88" s="121"/>
      <c r="R88" s="120"/>
      <c r="S88" s="120"/>
      <c r="T88" s="120"/>
      <c r="U88" s="120"/>
      <c r="V88" s="118"/>
      <c r="W88" s="118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</row>
    <row r="89" spans="2:57" ht="14" x14ac:dyDescent="0.25">
      <c r="B89" s="105" t="s">
        <v>81</v>
      </c>
      <c r="C89" s="106">
        <v>1201</v>
      </c>
      <c r="D89" s="106">
        <v>101793</v>
      </c>
      <c r="E89" s="107">
        <f t="shared" si="12"/>
        <v>7.4144615611410041</v>
      </c>
      <c r="F89" s="109"/>
      <c r="G89" s="109"/>
      <c r="H89" s="107"/>
      <c r="I89" s="109"/>
      <c r="J89" s="109"/>
      <c r="K89" s="107"/>
      <c r="L89" s="109"/>
      <c r="M89" s="109"/>
      <c r="N89" s="107"/>
      <c r="O89" s="169"/>
      <c r="P89" s="169"/>
      <c r="Q89" s="121"/>
      <c r="R89" s="120"/>
      <c r="S89" s="120"/>
      <c r="T89" s="120"/>
      <c r="U89" s="120"/>
      <c r="V89" s="118"/>
      <c r="W89" s="118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</row>
    <row r="90" spans="2:57" ht="14" x14ac:dyDescent="0.25">
      <c r="B90" s="105" t="s">
        <v>82</v>
      </c>
      <c r="C90" s="106">
        <v>3000</v>
      </c>
      <c r="D90" s="106">
        <v>255558</v>
      </c>
      <c r="E90" s="107">
        <f t="shared" si="12"/>
        <v>18.615611410039065</v>
      </c>
      <c r="F90" s="109"/>
      <c r="G90" s="109"/>
      <c r="H90" s="107"/>
      <c r="I90" s="109"/>
      <c r="J90" s="109"/>
      <c r="K90" s="107"/>
      <c r="L90" s="109"/>
      <c r="M90" s="109"/>
      <c r="N90" s="107"/>
      <c r="O90" s="169"/>
      <c r="P90" s="169"/>
      <c r="Q90" s="121"/>
      <c r="R90" s="120"/>
      <c r="S90" s="120"/>
      <c r="T90" s="120"/>
      <c r="U90" s="120"/>
      <c r="V90" s="118"/>
      <c r="W90" s="118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</row>
    <row r="91" spans="2:57" ht="14" x14ac:dyDescent="0.25">
      <c r="B91" s="105" t="s">
        <v>83</v>
      </c>
      <c r="C91" s="106">
        <v>896</v>
      </c>
      <c r="D91" s="106">
        <v>76105</v>
      </c>
      <c r="E91" s="107">
        <f t="shared" si="12"/>
        <v>5.5435247291221348</v>
      </c>
      <c r="F91" s="106">
        <v>2089</v>
      </c>
      <c r="G91" s="106">
        <v>177579</v>
      </c>
      <c r="H91" s="107">
        <f>(G91-F91)/$C$79</f>
        <v>12.935063020564606</v>
      </c>
      <c r="I91" s="109"/>
      <c r="J91" s="109"/>
      <c r="K91" s="107"/>
      <c r="L91" s="109"/>
      <c r="M91" s="109"/>
      <c r="N91" s="107"/>
      <c r="O91" s="169"/>
      <c r="P91" s="169"/>
      <c r="Q91" s="121"/>
      <c r="R91" s="120"/>
      <c r="S91" s="120"/>
      <c r="T91" s="120"/>
      <c r="U91" s="120"/>
      <c r="V91" s="118"/>
      <c r="W91" s="118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</row>
    <row r="92" spans="2:57" ht="14" x14ac:dyDescent="0.25">
      <c r="B92" s="105" t="s">
        <v>84</v>
      </c>
      <c r="C92" s="106">
        <v>384</v>
      </c>
      <c r="D92" s="106">
        <v>32753</v>
      </c>
      <c r="E92" s="107">
        <f t="shared" si="12"/>
        <v>2.3858627552148595</v>
      </c>
      <c r="F92" s="106">
        <v>578</v>
      </c>
      <c r="G92" s="106">
        <v>49117</v>
      </c>
      <c r="H92" s="107">
        <f>(G92-F92)/$C$79</f>
        <v>3.5777253630131938</v>
      </c>
      <c r="I92" s="106">
        <v>964</v>
      </c>
      <c r="J92" s="106">
        <v>81858</v>
      </c>
      <c r="K92" s="107">
        <f>(J92-I92)/$C$79</f>
        <v>5.9625562025503056</v>
      </c>
      <c r="L92" s="109">
        <v>1925</v>
      </c>
      <c r="M92" s="109">
        <v>163714</v>
      </c>
      <c r="N92" s="107">
        <f>(M92-L92)/$C$79</f>
        <v>11.925186113363308</v>
      </c>
      <c r="O92" s="169"/>
      <c r="P92" s="169"/>
      <c r="Q92" s="121"/>
      <c r="R92" s="120"/>
      <c r="S92" s="120"/>
      <c r="T92" s="120"/>
      <c r="U92" s="120"/>
      <c r="V92" s="118"/>
      <c r="W92" s="118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</row>
    <row r="93" spans="2:57" ht="14" x14ac:dyDescent="0.25">
      <c r="B93" s="105" t="s">
        <v>91</v>
      </c>
      <c r="C93" s="106">
        <v>329</v>
      </c>
      <c r="D93" s="106">
        <v>28112</v>
      </c>
      <c r="E93" s="107">
        <f t="shared" si="12"/>
        <v>2.047836662489865</v>
      </c>
      <c r="F93" s="106">
        <v>1319</v>
      </c>
      <c r="G93" s="106">
        <v>112357</v>
      </c>
      <c r="H93" s="107">
        <f>(G93-F93)/$C$79</f>
        <v>8.1844180732660128</v>
      </c>
      <c r="I93" s="106">
        <v>1650</v>
      </c>
      <c r="J93" s="106">
        <v>140471</v>
      </c>
      <c r="K93" s="107">
        <f>(J93-I93)/$C$79</f>
        <v>10.232254735755879</v>
      </c>
      <c r="L93" s="109"/>
      <c r="M93" s="109"/>
      <c r="N93" s="107"/>
      <c r="O93" s="169"/>
      <c r="P93" s="169"/>
      <c r="Q93" s="121"/>
      <c r="R93" s="120"/>
      <c r="S93" s="120"/>
      <c r="T93" s="120"/>
      <c r="U93" s="120"/>
      <c r="V93" s="118"/>
      <c r="W93" s="118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</row>
    <row r="94" spans="2:57" ht="14" x14ac:dyDescent="0.25">
      <c r="B94" s="105" t="s">
        <v>75</v>
      </c>
      <c r="C94" s="106">
        <v>794</v>
      </c>
      <c r="D94" s="106">
        <v>67674</v>
      </c>
      <c r="E94" s="107">
        <f t="shared" si="12"/>
        <v>4.9296086091250828</v>
      </c>
      <c r="F94" s="106">
        <v>1852</v>
      </c>
      <c r="G94" s="106">
        <v>157901</v>
      </c>
      <c r="H94" s="107">
        <f>(G94-F94)/$C$79</f>
        <v>11.502100685486843</v>
      </c>
      <c r="I94" s="106"/>
      <c r="J94" s="106"/>
      <c r="K94" s="107"/>
      <c r="L94" s="109"/>
      <c r="M94" s="106"/>
      <c r="N94" s="156"/>
      <c r="O94" s="169"/>
      <c r="P94" s="169"/>
      <c r="Q94" s="121"/>
      <c r="R94" s="120"/>
      <c r="S94" s="120"/>
      <c r="T94" s="120"/>
      <c r="U94" s="120"/>
      <c r="V94" s="118"/>
      <c r="W94" s="118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</row>
    <row r="95" spans="2:57" ht="14" x14ac:dyDescent="0.25">
      <c r="B95" s="110" t="s">
        <v>85</v>
      </c>
      <c r="C95" s="106">
        <v>408</v>
      </c>
      <c r="D95" s="106">
        <v>34934</v>
      </c>
      <c r="E95" s="107">
        <f t="shared" si="12"/>
        <v>2.544851477850667</v>
      </c>
      <c r="F95" s="106">
        <v>205</v>
      </c>
      <c r="G95" s="106">
        <v>17461</v>
      </c>
      <c r="H95" s="107">
        <f>(G95-F95)/$C$79</f>
        <v>1.2719097810864597</v>
      </c>
      <c r="I95" s="106">
        <v>3486</v>
      </c>
      <c r="J95" s="106">
        <v>296512</v>
      </c>
      <c r="K95" s="107">
        <f>(J95-I95)/$C$79</f>
        <v>21.598437384830838</v>
      </c>
      <c r="L95" s="109"/>
      <c r="M95" s="109"/>
      <c r="N95" s="156"/>
      <c r="O95" s="169"/>
      <c r="P95" s="169"/>
      <c r="Q95" s="121"/>
      <c r="R95" s="120"/>
      <c r="S95" s="120"/>
      <c r="T95" s="120"/>
      <c r="U95" s="120"/>
      <c r="V95" s="118"/>
      <c r="W95" s="118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</row>
    <row r="96" spans="2:57" ht="14.5" thickBot="1" x14ac:dyDescent="0.3"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0"/>
      <c r="T96" s="120"/>
      <c r="U96" s="120"/>
      <c r="V96" s="118"/>
      <c r="W96" s="118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</row>
    <row r="97" spans="2:57" ht="14" x14ac:dyDescent="0.25">
      <c r="B97" s="164" t="s">
        <v>129</v>
      </c>
      <c r="C97" s="165"/>
      <c r="D97" s="165"/>
      <c r="E97" s="166">
        <f t="shared" ref="E97:E112" si="13">E62-E80</f>
        <v>3.4321064276809921E-5</v>
      </c>
      <c r="F97" s="166"/>
      <c r="G97" s="166"/>
      <c r="H97" s="166">
        <f>H62-H80</f>
        <v>-3.9043140096506335E-6</v>
      </c>
      <c r="I97" s="166"/>
      <c r="J97" s="166"/>
      <c r="K97" s="166"/>
      <c r="L97" s="165"/>
      <c r="M97" s="165"/>
      <c r="N97" s="167"/>
      <c r="O97" s="121"/>
      <c r="P97" s="121"/>
      <c r="Q97" s="121"/>
      <c r="R97" s="121"/>
      <c r="S97" s="120"/>
      <c r="T97" s="120"/>
      <c r="U97" s="120"/>
      <c r="V97" s="118"/>
      <c r="W97" s="118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</row>
    <row r="98" spans="2:57" ht="14" x14ac:dyDescent="0.25">
      <c r="B98" s="151"/>
      <c r="C98" s="152"/>
      <c r="D98" s="152"/>
      <c r="E98" s="168">
        <f t="shared" si="13"/>
        <v>5.6510332913983774E-5</v>
      </c>
      <c r="F98" s="168"/>
      <c r="G98" s="168"/>
      <c r="H98" s="168">
        <f>H63-H81</f>
        <v>4.1351821305379843E-5</v>
      </c>
      <c r="I98" s="168"/>
      <c r="J98" s="168"/>
      <c r="K98" s="168"/>
      <c r="L98" s="152"/>
      <c r="M98" s="152"/>
      <c r="N98" s="153"/>
      <c r="O98" s="121"/>
      <c r="P98" s="121"/>
      <c r="Q98" s="121"/>
      <c r="R98" s="121"/>
      <c r="S98" s="120"/>
      <c r="T98" s="120"/>
      <c r="U98" s="120"/>
      <c r="V98" s="118"/>
      <c r="W98" s="118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</row>
    <row r="99" spans="2:57" ht="14" x14ac:dyDescent="0.25">
      <c r="B99" s="151"/>
      <c r="C99" s="152"/>
      <c r="D99" s="152"/>
      <c r="E99" s="168">
        <f t="shared" si="13"/>
        <v>-3.0636149777052424E-5</v>
      </c>
      <c r="F99" s="168"/>
      <c r="G99" s="168"/>
      <c r="H99" s="168">
        <f>H64-H82</f>
        <v>1.2435963141932405E-5</v>
      </c>
      <c r="I99" s="168"/>
      <c r="J99" s="168"/>
      <c r="K99" s="168"/>
      <c r="L99" s="152"/>
      <c r="M99" s="152"/>
      <c r="N99" s="153"/>
      <c r="O99" s="121"/>
      <c r="P99" s="121"/>
      <c r="Q99" s="121"/>
      <c r="R99" s="121"/>
      <c r="S99" s="120"/>
      <c r="T99" s="120"/>
      <c r="U99" s="120"/>
      <c r="V99" s="118"/>
      <c r="W99" s="118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</row>
    <row r="100" spans="2:57" ht="14" x14ac:dyDescent="0.25">
      <c r="B100" s="151"/>
      <c r="C100" s="152"/>
      <c r="D100" s="152"/>
      <c r="E100" s="168">
        <f t="shared" si="13"/>
        <v>1.1961262383763938E-4</v>
      </c>
      <c r="F100" s="168"/>
      <c r="G100" s="168"/>
      <c r="H100" s="168"/>
      <c r="I100" s="168"/>
      <c r="J100" s="168"/>
      <c r="K100" s="168"/>
      <c r="L100" s="152"/>
      <c r="M100" s="152"/>
      <c r="N100" s="153"/>
      <c r="O100" s="121"/>
      <c r="P100" s="121"/>
      <c r="Q100" s="121"/>
      <c r="R100" s="121"/>
      <c r="S100" s="120"/>
      <c r="T100" s="120"/>
      <c r="U100" s="120"/>
      <c r="V100" s="118"/>
      <c r="W100" s="118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</row>
    <row r="101" spans="2:57" ht="14" x14ac:dyDescent="0.25">
      <c r="B101" s="151"/>
      <c r="C101" s="152"/>
      <c r="D101" s="152"/>
      <c r="E101" s="168">
        <f t="shared" si="13"/>
        <v>5.0506764501356827E-5</v>
      </c>
      <c r="F101" s="168"/>
      <c r="G101" s="168"/>
      <c r="H101" s="168"/>
      <c r="I101" s="168"/>
      <c r="J101" s="168"/>
      <c r="K101" s="168"/>
      <c r="L101" s="152"/>
      <c r="M101" s="152"/>
      <c r="N101" s="153"/>
      <c r="O101" s="169"/>
      <c r="P101" s="169"/>
      <c r="Q101" s="121"/>
      <c r="R101" s="121"/>
      <c r="S101" s="120"/>
      <c r="T101" s="120"/>
      <c r="U101" s="120"/>
      <c r="V101" s="118"/>
      <c r="W101" s="118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</row>
    <row r="102" spans="2:57" ht="14" x14ac:dyDescent="0.25">
      <c r="B102" s="151"/>
      <c r="C102" s="152"/>
      <c r="D102" s="152"/>
      <c r="E102" s="168">
        <f t="shared" si="13"/>
        <v>1.073063058605328E-4</v>
      </c>
      <c r="F102" s="168"/>
      <c r="G102" s="168"/>
      <c r="H102" s="168"/>
      <c r="I102" s="168"/>
      <c r="J102" s="168"/>
      <c r="K102" s="168"/>
      <c r="L102" s="152"/>
      <c r="M102" s="152"/>
      <c r="N102" s="153"/>
      <c r="O102" s="169"/>
      <c r="P102" s="169"/>
      <c r="Q102" s="121"/>
      <c r="R102" s="121"/>
      <c r="S102" s="120"/>
      <c r="T102" s="120"/>
      <c r="U102" s="120"/>
      <c r="V102" s="118"/>
      <c r="W102" s="118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</row>
    <row r="103" spans="2:57" ht="14" x14ac:dyDescent="0.25">
      <c r="B103" s="151"/>
      <c r="C103" s="152"/>
      <c r="D103" s="152"/>
      <c r="E103" s="168">
        <f t="shared" si="13"/>
        <v>6.2997577520373937E-5</v>
      </c>
      <c r="F103" s="168"/>
      <c r="G103" s="168"/>
      <c r="H103" s="168">
        <f>H68-H86</f>
        <v>3.829020086887347E-5</v>
      </c>
      <c r="I103" s="168"/>
      <c r="J103" s="168"/>
      <c r="K103" s="168">
        <f>K68-K86</f>
        <v>4.8018574601904618E-5</v>
      </c>
      <c r="L103" s="152"/>
      <c r="M103" s="152"/>
      <c r="N103" s="153"/>
      <c r="O103" s="169"/>
      <c r="P103" s="169"/>
      <c r="Q103" s="121"/>
      <c r="R103" s="121"/>
      <c r="S103" s="120"/>
      <c r="T103" s="120"/>
      <c r="U103" s="120"/>
      <c r="V103" s="118"/>
      <c r="W103" s="118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</row>
    <row r="104" spans="2:57" ht="14" x14ac:dyDescent="0.25">
      <c r="B104" s="151"/>
      <c r="C104" s="152"/>
      <c r="D104" s="152"/>
      <c r="E104" s="168">
        <f t="shared" si="13"/>
        <v>-3.5203648671711107E-6</v>
      </c>
      <c r="F104" s="168"/>
      <c r="G104" s="168"/>
      <c r="H104" s="168">
        <f>H69-H87</f>
        <v>2.3036948562982218E-5</v>
      </c>
      <c r="I104" s="168"/>
      <c r="J104" s="168"/>
      <c r="K104" s="168">
        <f>K69-K87</f>
        <v>4.1132421795708751E-5</v>
      </c>
      <c r="L104" s="152"/>
      <c r="M104" s="152"/>
      <c r="N104" s="153"/>
      <c r="O104" s="169"/>
      <c r="P104" s="169"/>
      <c r="Q104" s="121"/>
      <c r="R104" s="121"/>
      <c r="S104" s="120"/>
      <c r="T104" s="120"/>
      <c r="U104" s="120"/>
      <c r="V104" s="118"/>
      <c r="W104" s="118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</row>
    <row r="105" spans="2:57" ht="14" x14ac:dyDescent="0.25">
      <c r="B105" s="151"/>
      <c r="C105" s="152"/>
      <c r="D105" s="152"/>
      <c r="E105" s="168">
        <f t="shared" si="13"/>
        <v>4.1770674915397876E-5</v>
      </c>
      <c r="F105" s="168"/>
      <c r="G105" s="168"/>
      <c r="H105" s="168"/>
      <c r="I105" s="168"/>
      <c r="J105" s="168"/>
      <c r="K105" s="168"/>
      <c r="L105" s="152"/>
      <c r="M105" s="152"/>
      <c r="N105" s="153"/>
      <c r="O105" s="169"/>
      <c r="P105" s="169"/>
      <c r="Q105" s="121"/>
      <c r="R105" s="121"/>
      <c r="S105" s="120"/>
      <c r="T105" s="120"/>
      <c r="U105" s="120"/>
      <c r="V105" s="118"/>
      <c r="W105" s="118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</row>
    <row r="106" spans="2:57" ht="14" x14ac:dyDescent="0.25">
      <c r="B106" s="151"/>
      <c r="C106" s="152"/>
      <c r="D106" s="152"/>
      <c r="E106" s="168">
        <f t="shared" si="13"/>
        <v>2.903553062338915E-5</v>
      </c>
      <c r="F106" s="168"/>
      <c r="G106" s="168"/>
      <c r="H106" s="168"/>
      <c r="I106" s="168"/>
      <c r="J106" s="168"/>
      <c r="K106" s="168"/>
      <c r="L106" s="152"/>
      <c r="M106" s="152"/>
      <c r="N106" s="153"/>
      <c r="O106" s="169"/>
      <c r="P106" s="169"/>
      <c r="Q106" s="121"/>
      <c r="R106" s="121"/>
      <c r="S106" s="120"/>
      <c r="T106" s="120"/>
      <c r="U106" s="120"/>
      <c r="V106" s="118"/>
      <c r="W106" s="118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</row>
    <row r="107" spans="2:57" ht="14" x14ac:dyDescent="0.25">
      <c r="B107" s="151"/>
      <c r="C107" s="152"/>
      <c r="D107" s="152"/>
      <c r="E107" s="168">
        <f t="shared" si="13"/>
        <v>1.3747373850137024E-4</v>
      </c>
      <c r="F107" s="168"/>
      <c r="G107" s="168"/>
      <c r="H107" s="168"/>
      <c r="I107" s="168"/>
      <c r="J107" s="168"/>
      <c r="K107" s="168"/>
      <c r="L107" s="152"/>
      <c r="M107" s="152"/>
      <c r="N107" s="153"/>
      <c r="O107" s="169"/>
      <c r="P107" s="169"/>
      <c r="Q107" s="121"/>
      <c r="R107" s="121"/>
      <c r="S107" s="120"/>
      <c r="T107" s="120"/>
      <c r="U107" s="120"/>
      <c r="V107" s="118"/>
      <c r="W107" s="118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</row>
    <row r="108" spans="2:57" ht="14" x14ac:dyDescent="0.25">
      <c r="B108" s="151"/>
      <c r="C108" s="152"/>
      <c r="D108" s="152"/>
      <c r="E108" s="168">
        <f t="shared" si="13"/>
        <v>4.1770674915397876E-5</v>
      </c>
      <c r="F108" s="168"/>
      <c r="G108" s="168"/>
      <c r="H108" s="168">
        <f>H73-H91</f>
        <v>6.077865065634569E-5</v>
      </c>
      <c r="I108" s="168"/>
      <c r="J108" s="168"/>
      <c r="K108" s="168"/>
      <c r="L108" s="152"/>
      <c r="M108" s="152"/>
      <c r="N108" s="153"/>
      <c r="O108" s="169"/>
      <c r="P108" s="169"/>
      <c r="Q108" s="121"/>
      <c r="R108" s="121"/>
      <c r="S108" s="120"/>
      <c r="T108" s="120"/>
      <c r="U108" s="120"/>
      <c r="V108" s="118"/>
      <c r="W108" s="118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</row>
    <row r="109" spans="2:57" ht="14" x14ac:dyDescent="0.25">
      <c r="B109" s="151"/>
      <c r="C109" s="152"/>
      <c r="D109" s="152"/>
      <c r="E109" s="168">
        <f t="shared" si="13"/>
        <v>1.1957273301721472E-5</v>
      </c>
      <c r="F109" s="168"/>
      <c r="G109" s="168"/>
      <c r="H109" s="168">
        <f>H74-H92</f>
        <v>4.3082085623424859E-6</v>
      </c>
      <c r="I109" s="168"/>
      <c r="J109" s="168"/>
      <c r="K109" s="168">
        <f>K74-K92</f>
        <v>3.3433493531909164E-5</v>
      </c>
      <c r="L109" s="152"/>
      <c r="M109" s="152"/>
      <c r="N109" s="170">
        <f>N74-N92</f>
        <v>6.0808568770553961E-5</v>
      </c>
      <c r="O109" s="169"/>
      <c r="P109" s="169"/>
      <c r="Q109" s="121"/>
      <c r="R109" s="121"/>
      <c r="S109" s="120"/>
      <c r="T109" s="120"/>
      <c r="U109" s="120"/>
      <c r="V109" s="118"/>
      <c r="W109" s="118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</row>
    <row r="110" spans="2:57" ht="14" x14ac:dyDescent="0.25">
      <c r="B110" s="151"/>
      <c r="C110" s="152"/>
      <c r="D110" s="152"/>
      <c r="E110" s="168">
        <f t="shared" si="13"/>
        <v>-8.2224952770992843E-6</v>
      </c>
      <c r="F110" s="168"/>
      <c r="G110" s="168"/>
      <c r="H110" s="168">
        <f>H75-H93</f>
        <v>6.3052427398346822E-5</v>
      </c>
      <c r="I110" s="168"/>
      <c r="J110" s="168"/>
      <c r="K110" s="168">
        <f>K75-K93</f>
        <v>5.482993211991527E-5</v>
      </c>
      <c r="L110" s="152"/>
      <c r="M110" s="152"/>
      <c r="N110" s="153"/>
      <c r="O110" s="169"/>
      <c r="P110" s="169"/>
      <c r="Q110" s="121"/>
      <c r="R110" s="121"/>
      <c r="S110" s="120"/>
      <c r="T110" s="120"/>
      <c r="U110" s="120"/>
      <c r="V110" s="118"/>
      <c r="W110" s="118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</row>
    <row r="111" spans="2:57" ht="14" x14ac:dyDescent="0.25">
      <c r="B111" s="151"/>
      <c r="C111" s="152"/>
      <c r="D111" s="152"/>
      <c r="E111" s="168">
        <f t="shared" si="13"/>
        <v>3.5552693344875763E-5</v>
      </c>
      <c r="F111" s="168"/>
      <c r="G111" s="168"/>
      <c r="H111" s="168">
        <f>H76-H94</f>
        <v>6.4109534129386248E-5</v>
      </c>
      <c r="I111" s="168"/>
      <c r="J111" s="168"/>
      <c r="K111" s="168">
        <f>K76-K94</f>
        <v>0</v>
      </c>
      <c r="L111" s="152"/>
      <c r="M111" s="152"/>
      <c r="N111" s="153"/>
      <c r="O111" s="169"/>
      <c r="P111" s="169"/>
      <c r="Q111" s="121"/>
      <c r="R111" s="121"/>
      <c r="S111" s="120"/>
      <c r="T111" s="120"/>
      <c r="U111" s="120"/>
      <c r="V111" s="118"/>
      <c r="W111" s="118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</row>
    <row r="112" spans="2:57" ht="14.5" thickBot="1" x14ac:dyDescent="0.3">
      <c r="B112" s="171"/>
      <c r="C112" s="162"/>
      <c r="D112" s="162"/>
      <c r="E112" s="172">
        <f t="shared" si="13"/>
        <v>3.6899008515334231E-7</v>
      </c>
      <c r="F112" s="172"/>
      <c r="G112" s="172"/>
      <c r="H112" s="172">
        <f>H77-H95</f>
        <v>-2.505642132644148E-5</v>
      </c>
      <c r="I112" s="172"/>
      <c r="J112" s="172"/>
      <c r="K112" s="172">
        <f>K77-K95</f>
        <v>1.2843846776888768E-4</v>
      </c>
      <c r="L112" s="162"/>
      <c r="M112" s="162"/>
      <c r="N112" s="163"/>
      <c r="O112" s="169"/>
      <c r="P112" s="169"/>
      <c r="Q112" s="121"/>
      <c r="R112" s="121"/>
      <c r="S112" s="120"/>
      <c r="T112" s="120"/>
      <c r="U112" s="120"/>
      <c r="V112" s="118"/>
      <c r="W112" s="118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</row>
    <row r="113" spans="2:57" ht="14" x14ac:dyDescent="0.25"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73"/>
      <c r="P113" s="173"/>
      <c r="Q113" s="120"/>
      <c r="R113" s="120"/>
      <c r="S113" s="120"/>
      <c r="T113" s="120"/>
      <c r="U113" s="120"/>
      <c r="V113" s="118"/>
      <c r="W113" s="118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</row>
    <row r="114" spans="2:57" ht="14" x14ac:dyDescent="0.25"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73"/>
      <c r="P114" s="173"/>
      <c r="Q114" s="120"/>
      <c r="R114" s="120"/>
      <c r="S114" s="120"/>
      <c r="T114" s="120"/>
      <c r="U114" s="120"/>
      <c r="V114" s="118"/>
      <c r="W114" s="118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</row>
    <row r="115" spans="2:57" ht="14" x14ac:dyDescent="0.25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73"/>
      <c r="P115" s="173"/>
      <c r="Q115" s="120"/>
      <c r="R115" s="120"/>
      <c r="S115" s="120"/>
      <c r="T115" s="120"/>
      <c r="U115" s="120"/>
      <c r="V115" s="118"/>
      <c r="W115" s="118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</row>
    <row r="116" spans="2:57" ht="14" x14ac:dyDescent="0.25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73"/>
      <c r="P116" s="173"/>
      <c r="Q116" s="120"/>
      <c r="R116" s="120"/>
      <c r="S116" s="120"/>
      <c r="T116" s="120"/>
      <c r="U116" s="120"/>
      <c r="V116" s="118"/>
      <c r="W116" s="118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</row>
    <row r="117" spans="2:57" ht="14" x14ac:dyDescent="0.25"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74"/>
      <c r="P117" s="174"/>
      <c r="Q117" s="119"/>
      <c r="R117" s="119"/>
      <c r="S117" s="119"/>
      <c r="T117" s="119"/>
      <c r="U117" s="119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</row>
    <row r="118" spans="2:57" ht="14" x14ac:dyDescent="0.25"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74"/>
      <c r="P118" s="174"/>
      <c r="Q118" s="119"/>
      <c r="R118" s="119"/>
      <c r="S118" s="119"/>
      <c r="T118" s="119"/>
      <c r="U118" s="119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</row>
    <row r="119" spans="2:57" ht="14" x14ac:dyDescent="0.25">
      <c r="B119" s="119"/>
      <c r="C119" s="119"/>
      <c r="D119" s="119"/>
      <c r="E119" s="114"/>
      <c r="F119" s="119"/>
      <c r="G119" s="119"/>
      <c r="H119" s="119"/>
      <c r="I119" s="119"/>
      <c r="J119" s="119"/>
      <c r="K119" s="119"/>
      <c r="L119" s="119"/>
      <c r="M119" s="119"/>
      <c r="N119" s="119"/>
      <c r="O119" s="174"/>
      <c r="P119" s="174"/>
      <c r="Q119" s="119"/>
      <c r="R119" s="119"/>
      <c r="S119" s="119"/>
      <c r="T119" s="119"/>
      <c r="U119" s="119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</row>
    <row r="120" spans="2:57" ht="14" x14ac:dyDescent="0.25">
      <c r="B120" s="119"/>
      <c r="C120" s="119"/>
      <c r="D120" s="119"/>
      <c r="E120" s="114"/>
      <c r="F120" s="119"/>
      <c r="G120" s="119"/>
      <c r="H120" s="119"/>
      <c r="I120" s="119"/>
      <c r="J120" s="119"/>
      <c r="K120" s="119"/>
      <c r="L120" s="119"/>
      <c r="M120" s="119"/>
      <c r="N120" s="119"/>
      <c r="O120" s="174"/>
      <c r="P120" s="174"/>
      <c r="Q120" s="119"/>
      <c r="R120" s="119"/>
      <c r="S120" s="119"/>
      <c r="T120" s="119"/>
      <c r="U120" s="119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</row>
    <row r="121" spans="2:57" ht="14" x14ac:dyDescent="0.25">
      <c r="B121" s="119"/>
      <c r="C121" s="119"/>
      <c r="D121" s="119"/>
      <c r="E121" s="114"/>
      <c r="F121" s="119"/>
      <c r="G121" s="119"/>
      <c r="H121" s="119"/>
      <c r="I121" s="119"/>
      <c r="J121" s="119"/>
      <c r="K121" s="119"/>
      <c r="L121" s="119"/>
      <c r="M121" s="119"/>
      <c r="N121" s="119"/>
      <c r="O121" s="174"/>
      <c r="P121" s="174"/>
      <c r="Q121" s="119"/>
      <c r="R121" s="119"/>
      <c r="S121" s="119"/>
      <c r="T121" s="119"/>
      <c r="U121" s="119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</row>
    <row r="122" spans="2:57" ht="14" x14ac:dyDescent="0.25"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74"/>
      <c r="P122" s="174"/>
      <c r="Q122" s="119"/>
      <c r="R122" s="119"/>
      <c r="S122" s="119"/>
      <c r="T122" s="119"/>
      <c r="U122" s="119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</row>
    <row r="123" spans="2:57" ht="14" x14ac:dyDescent="0.25"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74"/>
      <c r="P123" s="174"/>
      <c r="Q123" s="119"/>
      <c r="R123" s="119"/>
      <c r="S123" s="119"/>
      <c r="T123" s="119"/>
      <c r="U123" s="119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</row>
    <row r="124" spans="2:57" ht="14" x14ac:dyDescent="0.25"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74"/>
      <c r="P124" s="174"/>
      <c r="Q124" s="119"/>
      <c r="R124" s="119"/>
      <c r="S124" s="119"/>
      <c r="T124" s="119"/>
      <c r="U124" s="119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</row>
    <row r="125" spans="2:57" ht="14" x14ac:dyDescent="0.25"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74"/>
      <c r="P125" s="174"/>
      <c r="Q125" s="119"/>
      <c r="R125" s="119"/>
      <c r="S125" s="119"/>
      <c r="T125" s="119"/>
      <c r="U125" s="119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</row>
    <row r="126" spans="2:57" ht="14" x14ac:dyDescent="0.25"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74"/>
      <c r="P126" s="174"/>
      <c r="Q126" s="119"/>
      <c r="R126" s="119"/>
      <c r="S126" s="119"/>
      <c r="T126" s="119"/>
      <c r="U126" s="119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</row>
    <row r="127" spans="2:57" ht="14" x14ac:dyDescent="0.25"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74"/>
      <c r="P127" s="174"/>
      <c r="Q127" s="119"/>
      <c r="R127" s="119"/>
      <c r="S127" s="119"/>
      <c r="T127" s="119"/>
      <c r="U127" s="119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</row>
    <row r="128" spans="2:57" ht="14" x14ac:dyDescent="0.25"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74"/>
      <c r="P128" s="174"/>
      <c r="Q128" s="119"/>
      <c r="R128" s="119"/>
      <c r="S128" s="119"/>
      <c r="T128" s="119"/>
      <c r="U128" s="119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</row>
    <row r="129" spans="2:57" ht="14" x14ac:dyDescent="0.25"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74"/>
      <c r="P129" s="174"/>
      <c r="Q129" s="119"/>
      <c r="R129" s="119"/>
      <c r="S129" s="119"/>
      <c r="T129" s="119"/>
      <c r="U129" s="119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</row>
    <row r="130" spans="2:57" ht="14" x14ac:dyDescent="0.25"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74"/>
      <c r="P130" s="174"/>
      <c r="Q130" s="119"/>
      <c r="R130" s="119"/>
      <c r="S130" s="119"/>
      <c r="T130" s="119"/>
      <c r="U130" s="119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</row>
    <row r="131" spans="2:57" ht="14" x14ac:dyDescent="0.25"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74"/>
      <c r="P131" s="174"/>
      <c r="Q131" s="119"/>
      <c r="R131" s="119"/>
      <c r="S131" s="119"/>
      <c r="T131" s="119"/>
      <c r="U131" s="119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</row>
    <row r="132" spans="2:57" ht="14" x14ac:dyDescent="0.25"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74"/>
      <c r="P132" s="174"/>
      <c r="Q132" s="119"/>
      <c r="R132" s="119"/>
      <c r="S132" s="119"/>
      <c r="T132" s="119"/>
      <c r="U132" s="119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</row>
    <row r="133" spans="2:57" ht="14" x14ac:dyDescent="0.25"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74"/>
      <c r="P133" s="174"/>
      <c r="Q133" s="119"/>
      <c r="R133" s="119"/>
      <c r="S133" s="119"/>
      <c r="T133" s="119"/>
      <c r="U133" s="119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</row>
    <row r="134" spans="2:57" ht="14" x14ac:dyDescent="0.25"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74"/>
      <c r="P134" s="174"/>
      <c r="Q134" s="119"/>
      <c r="R134" s="119"/>
      <c r="S134" s="119"/>
      <c r="T134" s="119"/>
      <c r="U134" s="119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</row>
    <row r="135" spans="2:57" ht="14" x14ac:dyDescent="0.25"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74"/>
      <c r="P135" s="174"/>
      <c r="Q135" s="119"/>
      <c r="R135" s="119"/>
      <c r="S135" s="119"/>
      <c r="T135" s="119"/>
      <c r="U135" s="119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</row>
    <row r="136" spans="2:57" ht="14" x14ac:dyDescent="0.25"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74"/>
      <c r="P136" s="174"/>
      <c r="Q136" s="119"/>
      <c r="R136" s="119"/>
      <c r="S136" s="119"/>
      <c r="T136" s="119"/>
      <c r="U136" s="119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</row>
    <row r="137" spans="2:57" ht="14" x14ac:dyDescent="0.25"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74"/>
      <c r="P137" s="174"/>
      <c r="Q137" s="119"/>
      <c r="R137" s="119"/>
      <c r="S137" s="119"/>
      <c r="T137" s="119"/>
      <c r="U137" s="119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</row>
    <row r="138" spans="2:57" ht="14" x14ac:dyDescent="0.25"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74"/>
      <c r="P138" s="174"/>
      <c r="Q138" s="119"/>
      <c r="R138" s="119"/>
      <c r="S138" s="119"/>
      <c r="T138" s="119"/>
      <c r="U138" s="119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</row>
    <row r="139" spans="2:57" ht="14" x14ac:dyDescent="0.25"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74"/>
      <c r="P139" s="174"/>
      <c r="Q139" s="119"/>
      <c r="R139" s="119"/>
      <c r="S139" s="119"/>
      <c r="T139" s="119"/>
      <c r="U139" s="119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</row>
    <row r="140" spans="2:57" ht="14" x14ac:dyDescent="0.25"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74"/>
      <c r="P140" s="174"/>
      <c r="Q140" s="119"/>
      <c r="R140" s="119"/>
      <c r="S140" s="119"/>
      <c r="T140" s="119"/>
      <c r="U140" s="119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</row>
    <row r="141" spans="2:57" ht="14" x14ac:dyDescent="0.25"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74"/>
      <c r="P141" s="174"/>
      <c r="Q141" s="119"/>
      <c r="R141" s="119"/>
      <c r="S141" s="119"/>
      <c r="T141" s="119"/>
      <c r="U141" s="119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</row>
    <row r="142" spans="2:57" ht="14" x14ac:dyDescent="0.25"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74"/>
      <c r="P142" s="174"/>
      <c r="Q142" s="119"/>
      <c r="R142" s="119"/>
      <c r="S142" s="119"/>
      <c r="T142" s="119"/>
      <c r="U142" s="119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</row>
    <row r="143" spans="2:57" ht="14" x14ac:dyDescent="0.25"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74"/>
      <c r="P143" s="174"/>
      <c r="Q143" s="119"/>
      <c r="R143" s="119"/>
      <c r="S143" s="119"/>
      <c r="T143" s="119"/>
      <c r="U143" s="119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</row>
    <row r="144" spans="2:57" ht="14" x14ac:dyDescent="0.25"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74"/>
      <c r="P144" s="174"/>
      <c r="Q144" s="119"/>
      <c r="R144" s="119"/>
      <c r="S144" s="119"/>
      <c r="T144" s="119"/>
      <c r="U144" s="119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</row>
    <row r="145" spans="2:57" ht="14" x14ac:dyDescent="0.25"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74"/>
      <c r="P145" s="174"/>
      <c r="Q145" s="119"/>
      <c r="R145" s="119"/>
      <c r="S145" s="119"/>
      <c r="T145" s="119"/>
      <c r="U145" s="119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</row>
    <row r="146" spans="2:57" ht="14" x14ac:dyDescent="0.25"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74"/>
      <c r="P146" s="174"/>
      <c r="Q146" s="119"/>
      <c r="R146" s="119"/>
      <c r="S146" s="119"/>
      <c r="T146" s="119"/>
      <c r="U146" s="119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</row>
    <row r="147" spans="2:57" ht="14" x14ac:dyDescent="0.25"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74"/>
      <c r="P147" s="174"/>
      <c r="Q147" s="119"/>
      <c r="R147" s="119"/>
      <c r="S147" s="119"/>
      <c r="T147" s="119"/>
      <c r="U147" s="119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</row>
    <row r="148" spans="2:57" ht="14" x14ac:dyDescent="0.25"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74"/>
      <c r="P148" s="174"/>
      <c r="Q148" s="119"/>
      <c r="R148" s="119"/>
      <c r="S148" s="119"/>
      <c r="T148" s="119"/>
      <c r="U148" s="119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</row>
    <row r="149" spans="2:57" ht="14" x14ac:dyDescent="0.25"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74"/>
      <c r="P149" s="174"/>
      <c r="Q149" s="119"/>
      <c r="R149" s="119"/>
      <c r="S149" s="119"/>
      <c r="T149" s="119"/>
      <c r="U149" s="119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</row>
    <row r="150" spans="2:57" ht="14" x14ac:dyDescent="0.25"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74"/>
      <c r="P150" s="174"/>
      <c r="Q150" s="119"/>
      <c r="R150" s="119"/>
      <c r="S150" s="119"/>
      <c r="T150" s="119"/>
      <c r="U150" s="119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</row>
    <row r="151" spans="2:57" ht="14" x14ac:dyDescent="0.2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75"/>
      <c r="P151" s="175"/>
      <c r="Q151" s="9"/>
      <c r="R151" s="9"/>
      <c r="S151" s="9"/>
      <c r="T151" s="9"/>
      <c r="U151" s="9"/>
    </row>
    <row r="152" spans="2:57" ht="14" x14ac:dyDescent="0.25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75"/>
      <c r="P152" s="175"/>
      <c r="Q152" s="9"/>
      <c r="R152" s="9"/>
      <c r="S152" s="9"/>
      <c r="T152" s="9"/>
      <c r="U152" s="9"/>
    </row>
    <row r="153" spans="2:57" ht="14" x14ac:dyDescent="0.2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75"/>
      <c r="P153" s="175"/>
      <c r="Q153" s="9"/>
      <c r="R153" s="9"/>
      <c r="S153" s="9"/>
      <c r="T153" s="9"/>
      <c r="U153" s="9"/>
    </row>
    <row r="154" spans="2:57" ht="14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75"/>
      <c r="P154" s="175"/>
      <c r="Q154" s="9"/>
      <c r="R154" s="9"/>
      <c r="S154" s="9"/>
      <c r="T154" s="9"/>
      <c r="U154" s="9"/>
    </row>
    <row r="155" spans="2:57" ht="14" x14ac:dyDescent="0.25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175"/>
      <c r="P155" s="175"/>
      <c r="Q155" s="9"/>
      <c r="R155" s="9"/>
      <c r="S155" s="9"/>
      <c r="T155" s="9"/>
      <c r="U155" s="9"/>
    </row>
    <row r="156" spans="2:57" ht="14" x14ac:dyDescent="0.2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75"/>
      <c r="P156" s="175"/>
      <c r="Q156" s="9"/>
      <c r="R156" s="9"/>
      <c r="S156" s="9"/>
      <c r="T156" s="9"/>
      <c r="U156" s="9"/>
    </row>
    <row r="157" spans="2:57" ht="14" x14ac:dyDescent="0.25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75"/>
      <c r="P157" s="175"/>
      <c r="Q157" s="9"/>
      <c r="R157" s="9"/>
      <c r="S157" s="9"/>
      <c r="T157" s="9"/>
      <c r="U157" s="9"/>
    </row>
    <row r="158" spans="2:57" ht="14" x14ac:dyDescent="0.2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75"/>
      <c r="P158" s="175"/>
      <c r="Q158" s="9"/>
      <c r="R158" s="9"/>
      <c r="S158" s="9"/>
      <c r="T158" s="9"/>
      <c r="U158" s="9"/>
    </row>
    <row r="159" spans="2:57" ht="14" x14ac:dyDescent="0.25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75"/>
      <c r="P159" s="175"/>
      <c r="Q159" s="9"/>
      <c r="R159" s="9"/>
      <c r="S159" s="9"/>
      <c r="T159" s="9"/>
      <c r="U159" s="9"/>
    </row>
    <row r="160" spans="2:57" ht="14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75"/>
      <c r="P160" s="175"/>
      <c r="Q160" s="9"/>
      <c r="R160" s="9"/>
      <c r="S160" s="9"/>
      <c r="T160" s="9"/>
      <c r="U160" s="9"/>
    </row>
    <row r="161" spans="2:21" ht="14" x14ac:dyDescent="0.2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75"/>
      <c r="P161" s="175"/>
      <c r="Q161" s="9"/>
      <c r="R161" s="9"/>
      <c r="S161" s="9"/>
      <c r="T161" s="9"/>
      <c r="U161" s="9"/>
    </row>
    <row r="162" spans="2:21" ht="14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75"/>
      <c r="P162" s="175"/>
      <c r="Q162" s="9"/>
      <c r="R162" s="9"/>
      <c r="S162" s="9"/>
      <c r="T162" s="9"/>
      <c r="U162" s="9"/>
    </row>
    <row r="163" spans="2:21" ht="14" x14ac:dyDescent="0.25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75"/>
      <c r="P163" s="175"/>
      <c r="Q163" s="9"/>
      <c r="R163" s="9"/>
      <c r="S163" s="9"/>
      <c r="T163" s="9"/>
      <c r="U163" s="9"/>
    </row>
    <row r="164" spans="2:21" ht="14" x14ac:dyDescent="0.2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75"/>
      <c r="P164" s="175"/>
      <c r="Q164" s="9"/>
      <c r="R164" s="9"/>
      <c r="S164" s="9"/>
      <c r="T164" s="9"/>
      <c r="U164" s="9"/>
    </row>
    <row r="165" spans="2:21" ht="14" x14ac:dyDescent="0.25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75"/>
      <c r="P165" s="175"/>
      <c r="Q165" s="9"/>
      <c r="R165" s="9"/>
      <c r="S165" s="9"/>
      <c r="T165" s="9"/>
      <c r="U165" s="9"/>
    </row>
    <row r="166" spans="2:21" ht="14" x14ac:dyDescent="0.25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75"/>
      <c r="P166" s="175"/>
      <c r="Q166" s="9"/>
      <c r="R166" s="9"/>
      <c r="S166" s="9"/>
      <c r="T166" s="9"/>
      <c r="U166" s="9"/>
    </row>
    <row r="167" spans="2:21" ht="14" x14ac:dyDescent="0.25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75"/>
      <c r="P167" s="175"/>
      <c r="Q167" s="9"/>
      <c r="R167" s="9"/>
      <c r="S167" s="9"/>
      <c r="T167" s="9"/>
      <c r="U167" s="9"/>
    </row>
    <row r="168" spans="2:21" ht="14" x14ac:dyDescent="0.25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75"/>
      <c r="P168" s="175"/>
      <c r="Q168" s="9"/>
      <c r="R168" s="9"/>
      <c r="S168" s="9"/>
      <c r="T168" s="9"/>
      <c r="U168" s="9"/>
    </row>
    <row r="169" spans="2:21" ht="14" x14ac:dyDescent="0.2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75"/>
      <c r="P169" s="175"/>
      <c r="Q169" s="9"/>
      <c r="R169" s="9"/>
      <c r="S169" s="9"/>
      <c r="T169" s="9"/>
      <c r="U169" s="9"/>
    </row>
    <row r="170" spans="2:21" ht="14" x14ac:dyDescent="0.2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75"/>
      <c r="P170" s="175"/>
      <c r="Q170" s="9"/>
      <c r="R170" s="9"/>
      <c r="S170" s="9"/>
      <c r="T170" s="9"/>
      <c r="U170" s="9"/>
    </row>
    <row r="171" spans="2:21" ht="14" x14ac:dyDescent="0.2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75"/>
      <c r="P171" s="175"/>
      <c r="Q171" s="9"/>
      <c r="R171" s="9"/>
      <c r="S171" s="9"/>
      <c r="T171" s="9"/>
      <c r="U171" s="9"/>
    </row>
    <row r="172" spans="2:21" ht="14" x14ac:dyDescent="0.2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75"/>
      <c r="P172" s="175"/>
      <c r="Q172" s="9"/>
      <c r="R172" s="9"/>
      <c r="S172" s="9"/>
      <c r="T172" s="9"/>
      <c r="U172" s="9"/>
    </row>
    <row r="173" spans="2:21" ht="14" x14ac:dyDescent="0.2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75"/>
      <c r="P173" s="175"/>
      <c r="Q173" s="9"/>
      <c r="R173" s="9"/>
      <c r="S173" s="9"/>
      <c r="T173" s="9"/>
      <c r="U173" s="9"/>
    </row>
    <row r="174" spans="2:21" ht="14" x14ac:dyDescent="0.2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75"/>
      <c r="P174" s="175"/>
      <c r="Q174" s="9"/>
      <c r="R174" s="9"/>
      <c r="S174" s="9"/>
      <c r="T174" s="9"/>
      <c r="U174" s="9"/>
    </row>
    <row r="175" spans="2:21" ht="14" x14ac:dyDescent="0.2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75"/>
      <c r="P175" s="175"/>
      <c r="Q175" s="9"/>
      <c r="R175" s="9"/>
      <c r="S175" s="9"/>
      <c r="T175" s="9"/>
      <c r="U175" s="9"/>
    </row>
    <row r="176" spans="2:21" ht="14" x14ac:dyDescent="0.2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75"/>
      <c r="P176" s="175"/>
      <c r="Q176" s="9"/>
      <c r="R176" s="9"/>
      <c r="S176" s="9"/>
      <c r="T176" s="9"/>
      <c r="U176" s="9"/>
    </row>
    <row r="177" spans="2:21" ht="14" x14ac:dyDescent="0.2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75"/>
      <c r="P177" s="175"/>
      <c r="Q177" s="9"/>
      <c r="R177" s="9"/>
      <c r="S177" s="9"/>
      <c r="T177" s="9"/>
      <c r="U177" s="9"/>
    </row>
    <row r="178" spans="2:21" ht="14" x14ac:dyDescent="0.2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75"/>
      <c r="P178" s="175"/>
      <c r="Q178" s="9"/>
      <c r="R178" s="9"/>
      <c r="S178" s="9"/>
      <c r="T178" s="9"/>
      <c r="U178" s="9"/>
    </row>
    <row r="179" spans="2:21" ht="14" x14ac:dyDescent="0.2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75"/>
      <c r="P179" s="175"/>
      <c r="Q179" s="9"/>
      <c r="R179" s="9"/>
      <c r="S179" s="9"/>
      <c r="T179" s="9"/>
      <c r="U179" s="9"/>
    </row>
    <row r="180" spans="2:21" ht="14" x14ac:dyDescent="0.2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75"/>
      <c r="P180" s="175"/>
      <c r="Q180" s="9"/>
      <c r="R180" s="9"/>
      <c r="S180" s="9"/>
      <c r="T180" s="9"/>
      <c r="U180" s="9"/>
    </row>
    <row r="181" spans="2:21" ht="14" x14ac:dyDescent="0.2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75"/>
      <c r="P181" s="175"/>
      <c r="Q181" s="9"/>
      <c r="R181" s="9"/>
      <c r="S181" s="9"/>
      <c r="T181" s="9"/>
      <c r="U181" s="9"/>
    </row>
    <row r="182" spans="2:21" ht="14" x14ac:dyDescent="0.2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75"/>
      <c r="P182" s="175"/>
      <c r="Q182" s="9"/>
      <c r="R182" s="9"/>
      <c r="S182" s="9"/>
      <c r="T182" s="9"/>
      <c r="U182" s="9"/>
    </row>
    <row r="183" spans="2:21" ht="14" x14ac:dyDescent="0.2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75"/>
      <c r="P183" s="175"/>
      <c r="Q183" s="9"/>
      <c r="R183" s="9"/>
      <c r="S183" s="9"/>
      <c r="T183" s="9"/>
      <c r="U183" s="9"/>
    </row>
    <row r="184" spans="2:21" ht="14" x14ac:dyDescent="0.2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75"/>
      <c r="P184" s="175"/>
      <c r="Q184" s="9"/>
      <c r="R184" s="9"/>
      <c r="S184" s="9"/>
      <c r="T184" s="9"/>
      <c r="U184" s="9"/>
    </row>
    <row r="185" spans="2:21" ht="14" x14ac:dyDescent="0.2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75"/>
      <c r="P185" s="175"/>
      <c r="Q185" s="9"/>
      <c r="R185" s="9"/>
      <c r="S185" s="9"/>
      <c r="T185" s="9"/>
      <c r="U185" s="9"/>
    </row>
    <row r="186" spans="2:21" ht="14" x14ac:dyDescent="0.2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75"/>
      <c r="P186" s="175"/>
      <c r="Q186" s="9"/>
      <c r="R186" s="9"/>
      <c r="S186" s="9"/>
      <c r="T186" s="9"/>
      <c r="U186" s="9"/>
    </row>
    <row r="187" spans="2:21" ht="14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75"/>
      <c r="P187" s="175"/>
      <c r="Q187" s="9"/>
      <c r="R187" s="9"/>
      <c r="S187" s="9"/>
      <c r="T187" s="9"/>
      <c r="U187" s="9"/>
    </row>
    <row r="188" spans="2:21" ht="14" x14ac:dyDescent="0.2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75"/>
      <c r="P188" s="175"/>
      <c r="Q188" s="9"/>
      <c r="R188" s="9"/>
      <c r="S188" s="9"/>
      <c r="T188" s="9"/>
      <c r="U188" s="9"/>
    </row>
    <row r="189" spans="2:21" ht="14" x14ac:dyDescent="0.2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75"/>
      <c r="P189" s="175"/>
      <c r="Q189" s="9"/>
      <c r="R189" s="9"/>
      <c r="S189" s="9"/>
      <c r="T189" s="9"/>
      <c r="U189" s="9"/>
    </row>
    <row r="190" spans="2:21" ht="14" x14ac:dyDescent="0.2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75"/>
      <c r="P190" s="175"/>
      <c r="Q190" s="9"/>
      <c r="R190" s="9"/>
      <c r="S190" s="9"/>
      <c r="T190" s="9"/>
      <c r="U190" s="9"/>
    </row>
    <row r="191" spans="2:21" ht="14" x14ac:dyDescent="0.2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75"/>
      <c r="P191" s="175"/>
      <c r="Q191" s="9"/>
      <c r="R191" s="9"/>
      <c r="S191" s="9"/>
      <c r="T191" s="9"/>
      <c r="U191" s="9"/>
    </row>
    <row r="192" spans="2:21" ht="14" x14ac:dyDescent="0.2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75"/>
      <c r="P192" s="175"/>
      <c r="Q192" s="9"/>
      <c r="R192" s="9"/>
      <c r="S192" s="9"/>
      <c r="T192" s="9"/>
      <c r="U192" s="9"/>
    </row>
    <row r="193" spans="2:21" ht="14" x14ac:dyDescent="0.2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75"/>
      <c r="P193" s="175"/>
      <c r="Q193" s="9"/>
      <c r="R193" s="9"/>
      <c r="S193" s="9"/>
      <c r="T193" s="9"/>
      <c r="U193" s="9"/>
    </row>
    <row r="194" spans="2:21" ht="14" x14ac:dyDescent="0.2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75"/>
      <c r="P194" s="175"/>
      <c r="Q194" s="9"/>
      <c r="R194" s="9"/>
      <c r="S194" s="9"/>
      <c r="T194" s="9"/>
      <c r="U194" s="9"/>
    </row>
    <row r="195" spans="2:21" ht="14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175"/>
      <c r="P195" s="175"/>
      <c r="Q195" s="9"/>
      <c r="R195" s="9"/>
      <c r="S195" s="9"/>
      <c r="T195" s="9"/>
      <c r="U195" s="9"/>
    </row>
    <row r="196" spans="2:21" ht="14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75"/>
      <c r="P196" s="175"/>
      <c r="Q196" s="9"/>
      <c r="R196" s="9"/>
      <c r="S196" s="9"/>
      <c r="T196" s="9"/>
      <c r="U196" s="9"/>
    </row>
    <row r="197" spans="2:21" ht="14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175"/>
      <c r="P197" s="175"/>
      <c r="Q197" s="9"/>
      <c r="R197" s="9"/>
      <c r="S197" s="9"/>
      <c r="T197" s="9"/>
      <c r="U197" s="9"/>
    </row>
    <row r="198" spans="2:21" ht="14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175"/>
      <c r="P198" s="175"/>
      <c r="Q198" s="9"/>
      <c r="R198" s="9"/>
      <c r="S198" s="9"/>
      <c r="T198" s="9"/>
      <c r="U198" s="9"/>
    </row>
    <row r="199" spans="2:21" ht="14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175"/>
      <c r="P199" s="175"/>
      <c r="Q199" s="9"/>
      <c r="R199" s="9"/>
      <c r="S199" s="9"/>
      <c r="T199" s="9"/>
      <c r="U199" s="9"/>
    </row>
    <row r="200" spans="2:21" ht="14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75"/>
      <c r="P200" s="175"/>
      <c r="Q200" s="9"/>
      <c r="R200" s="9"/>
      <c r="S200" s="9"/>
      <c r="T200" s="9"/>
      <c r="U200" s="9"/>
    </row>
    <row r="201" spans="2:21" ht="14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75"/>
      <c r="P201" s="175"/>
      <c r="Q201" s="9"/>
      <c r="R201" s="9"/>
      <c r="S201" s="9"/>
      <c r="T201" s="9"/>
      <c r="U201" s="9"/>
    </row>
    <row r="202" spans="2:21" ht="14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75"/>
      <c r="P202" s="175"/>
      <c r="Q202" s="9"/>
      <c r="R202" s="9"/>
      <c r="S202" s="9"/>
      <c r="T202" s="9"/>
      <c r="U202" s="9"/>
    </row>
    <row r="203" spans="2:21" ht="14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75"/>
      <c r="P203" s="175"/>
      <c r="Q203" s="9"/>
      <c r="R203" s="9"/>
      <c r="S203" s="9"/>
      <c r="T203" s="9"/>
      <c r="U203" s="9"/>
    </row>
    <row r="204" spans="2:21" ht="14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75"/>
      <c r="P204" s="175"/>
      <c r="Q204" s="9"/>
      <c r="R204" s="9"/>
      <c r="S204" s="9"/>
      <c r="T204" s="9"/>
      <c r="U204" s="9"/>
    </row>
    <row r="205" spans="2:21" ht="14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175"/>
      <c r="P205" s="175"/>
      <c r="Q205" s="9"/>
      <c r="R205" s="9"/>
      <c r="S205" s="9"/>
      <c r="T205" s="9"/>
      <c r="U205" s="9"/>
    </row>
    <row r="206" spans="2:21" ht="14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75"/>
      <c r="P206" s="175"/>
      <c r="Q206" s="9"/>
      <c r="R206" s="9"/>
      <c r="S206" s="9"/>
      <c r="T206" s="9"/>
      <c r="U206" s="9"/>
    </row>
    <row r="207" spans="2:21" ht="14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75"/>
      <c r="P207" s="175"/>
      <c r="Q207" s="9"/>
      <c r="R207" s="9"/>
      <c r="S207" s="9"/>
      <c r="T207" s="9"/>
      <c r="U207" s="9"/>
    </row>
    <row r="208" spans="2:21" ht="14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75"/>
      <c r="P208" s="175"/>
      <c r="Q208" s="9"/>
      <c r="R208" s="9"/>
      <c r="S208" s="9"/>
      <c r="T208" s="9"/>
      <c r="U208" s="9"/>
    </row>
    <row r="209" spans="2:21" ht="14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75"/>
      <c r="P209" s="175"/>
      <c r="Q209" s="9"/>
      <c r="R209" s="9"/>
      <c r="S209" s="9"/>
      <c r="T209" s="9"/>
      <c r="U209" s="9"/>
    </row>
    <row r="210" spans="2:21" ht="14" x14ac:dyDescent="0.2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75"/>
      <c r="P210" s="175"/>
      <c r="Q210" s="9"/>
      <c r="R210" s="9"/>
      <c r="S210" s="9"/>
      <c r="T210" s="9"/>
      <c r="U210" s="9"/>
    </row>
    <row r="211" spans="2:21" ht="14" x14ac:dyDescent="0.2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75"/>
      <c r="P211" s="175"/>
      <c r="Q211" s="9"/>
      <c r="R211" s="9"/>
      <c r="S211" s="9"/>
      <c r="T211" s="9"/>
      <c r="U211" s="9"/>
    </row>
    <row r="212" spans="2:21" ht="14" x14ac:dyDescent="0.2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75"/>
      <c r="P212" s="175"/>
      <c r="Q212" s="9"/>
      <c r="R212" s="9"/>
      <c r="S212" s="9"/>
      <c r="T212" s="9"/>
      <c r="U212" s="9"/>
    </row>
    <row r="213" spans="2:21" ht="14" x14ac:dyDescent="0.2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75"/>
      <c r="P213" s="175"/>
      <c r="Q213" s="9"/>
      <c r="R213" s="9"/>
      <c r="S213" s="9"/>
      <c r="T213" s="9"/>
      <c r="U213" s="9"/>
    </row>
    <row r="214" spans="2:21" ht="14" x14ac:dyDescent="0.2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75"/>
      <c r="P214" s="175"/>
      <c r="Q214" s="9"/>
      <c r="R214" s="9"/>
      <c r="S214" s="9"/>
      <c r="T214" s="9"/>
      <c r="U214" s="9"/>
    </row>
    <row r="215" spans="2:21" ht="14" x14ac:dyDescent="0.2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75"/>
      <c r="P215" s="175"/>
      <c r="Q215" s="9"/>
      <c r="R215" s="9"/>
      <c r="S215" s="9"/>
      <c r="T215" s="9"/>
      <c r="U215" s="9"/>
    </row>
    <row r="216" spans="2:21" ht="14" x14ac:dyDescent="0.2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75"/>
      <c r="P216" s="175"/>
      <c r="Q216" s="9"/>
      <c r="R216" s="9"/>
      <c r="S216" s="9"/>
      <c r="T216" s="9"/>
      <c r="U216" s="9"/>
    </row>
    <row r="217" spans="2:21" ht="14" x14ac:dyDescent="0.2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75"/>
      <c r="P217" s="175"/>
      <c r="Q217" s="9"/>
      <c r="R217" s="9"/>
      <c r="S217" s="9"/>
      <c r="T217" s="9"/>
      <c r="U217" s="9"/>
    </row>
    <row r="218" spans="2:21" ht="14" x14ac:dyDescent="0.2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175"/>
      <c r="P218" s="175"/>
      <c r="Q218" s="9"/>
      <c r="R218" s="9"/>
      <c r="S218" s="9"/>
      <c r="T218" s="9"/>
      <c r="U218" s="9"/>
    </row>
    <row r="219" spans="2:21" ht="14" x14ac:dyDescent="0.2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175"/>
      <c r="P219" s="175"/>
      <c r="Q219" s="9"/>
      <c r="R219" s="9"/>
      <c r="S219" s="9"/>
      <c r="T219" s="9"/>
      <c r="U219" s="9"/>
    </row>
    <row r="220" spans="2:21" ht="14" x14ac:dyDescent="0.2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175"/>
      <c r="P220" s="175"/>
      <c r="Q220" s="9"/>
      <c r="R220" s="9"/>
      <c r="S220" s="9"/>
      <c r="T220" s="9"/>
      <c r="U220" s="9"/>
    </row>
    <row r="221" spans="2:21" ht="14" x14ac:dyDescent="0.2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75"/>
      <c r="P221" s="175"/>
      <c r="Q221" s="9"/>
      <c r="R221" s="9"/>
      <c r="S221" s="9"/>
      <c r="T221" s="9"/>
      <c r="U221" s="9"/>
    </row>
    <row r="222" spans="2:21" ht="14" x14ac:dyDescent="0.2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175"/>
      <c r="P222" s="175"/>
      <c r="Q222" s="9"/>
      <c r="R222" s="9"/>
      <c r="S222" s="9"/>
      <c r="T222" s="9"/>
      <c r="U222" s="9"/>
    </row>
    <row r="223" spans="2:21" ht="14" x14ac:dyDescent="0.2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175"/>
      <c r="P223" s="175"/>
      <c r="Q223" s="9"/>
      <c r="R223" s="9"/>
      <c r="S223" s="9"/>
      <c r="T223" s="9"/>
      <c r="U223" s="9"/>
    </row>
    <row r="224" spans="2:21" ht="14" x14ac:dyDescent="0.2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175"/>
      <c r="P224" s="175"/>
      <c r="Q224" s="9"/>
      <c r="R224" s="9"/>
      <c r="S224" s="9"/>
      <c r="T224" s="9"/>
      <c r="U224" s="9"/>
    </row>
    <row r="225" spans="2:21" ht="14" x14ac:dyDescent="0.2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75"/>
      <c r="P225" s="175"/>
      <c r="Q225" s="9"/>
      <c r="R225" s="9"/>
      <c r="S225" s="9"/>
      <c r="T225" s="9"/>
      <c r="U225" s="9"/>
    </row>
    <row r="226" spans="2:21" ht="14" x14ac:dyDescent="0.2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75"/>
      <c r="P226" s="175"/>
      <c r="Q226" s="9"/>
      <c r="R226" s="9"/>
      <c r="S226" s="9"/>
      <c r="T226" s="9"/>
      <c r="U226" s="9"/>
    </row>
    <row r="227" spans="2:21" ht="14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175"/>
      <c r="P227" s="175"/>
      <c r="Q227" s="9"/>
      <c r="R227" s="9"/>
      <c r="S227" s="9"/>
      <c r="T227" s="9"/>
      <c r="U227" s="9"/>
    </row>
    <row r="228" spans="2:21" ht="14" x14ac:dyDescent="0.2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75"/>
      <c r="P228" s="175"/>
      <c r="Q228" s="9"/>
      <c r="R228" s="9"/>
      <c r="S228" s="9"/>
      <c r="T228" s="9"/>
      <c r="U228" s="9"/>
    </row>
    <row r="229" spans="2:21" ht="14" x14ac:dyDescent="0.2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75"/>
      <c r="P229" s="175"/>
      <c r="Q229" s="9"/>
      <c r="R229" s="9"/>
      <c r="S229" s="9"/>
      <c r="T229" s="9"/>
      <c r="U229" s="9"/>
    </row>
    <row r="230" spans="2:21" ht="14" x14ac:dyDescent="0.2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75"/>
      <c r="P230" s="175"/>
      <c r="Q230" s="9"/>
      <c r="R230" s="9"/>
      <c r="S230" s="9"/>
      <c r="T230" s="9"/>
      <c r="U230" s="9"/>
    </row>
    <row r="231" spans="2:21" ht="14" x14ac:dyDescent="0.2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75"/>
      <c r="P231" s="175"/>
      <c r="Q231" s="9"/>
      <c r="R231" s="9"/>
      <c r="S231" s="9"/>
      <c r="T231" s="9"/>
      <c r="U231" s="9"/>
    </row>
    <row r="232" spans="2:21" ht="14" x14ac:dyDescent="0.2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75"/>
      <c r="P232" s="175"/>
      <c r="Q232" s="9"/>
      <c r="R232" s="9"/>
      <c r="S232" s="9"/>
      <c r="T232" s="9"/>
      <c r="U232" s="9"/>
    </row>
    <row r="233" spans="2:21" ht="14" x14ac:dyDescent="0.2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75"/>
      <c r="P233" s="175"/>
      <c r="Q233" s="9"/>
      <c r="R233" s="9"/>
      <c r="S233" s="9"/>
      <c r="T233" s="9"/>
      <c r="U233" s="9"/>
    </row>
    <row r="234" spans="2:21" ht="14" x14ac:dyDescent="0.2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75"/>
      <c r="P234" s="175"/>
      <c r="Q234" s="9"/>
      <c r="R234" s="9"/>
      <c r="S234" s="9"/>
      <c r="T234" s="9"/>
      <c r="U234" s="9"/>
    </row>
    <row r="235" spans="2:21" ht="14" x14ac:dyDescent="0.2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75"/>
      <c r="P235" s="175"/>
      <c r="Q235" s="9"/>
      <c r="R235" s="9"/>
      <c r="S235" s="9"/>
      <c r="T235" s="9"/>
      <c r="U235" s="9"/>
    </row>
    <row r="236" spans="2:21" ht="14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75"/>
      <c r="P236" s="175"/>
      <c r="Q236" s="9"/>
      <c r="R236" s="9"/>
      <c r="S236" s="9"/>
      <c r="T236" s="9"/>
      <c r="U236" s="9"/>
    </row>
    <row r="237" spans="2:21" ht="14" x14ac:dyDescent="0.2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75"/>
      <c r="P237" s="175"/>
      <c r="Q237" s="9"/>
      <c r="R237" s="9"/>
      <c r="S237" s="9"/>
      <c r="T237" s="9"/>
      <c r="U237" s="9"/>
    </row>
    <row r="238" spans="2:21" ht="14" x14ac:dyDescent="0.2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75"/>
      <c r="P238" s="175"/>
      <c r="Q238" s="9"/>
      <c r="R238" s="9"/>
      <c r="S238" s="9"/>
      <c r="T238" s="9"/>
      <c r="U238" s="9"/>
    </row>
    <row r="239" spans="2:21" ht="14" x14ac:dyDescent="0.2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75"/>
      <c r="P239" s="175"/>
      <c r="Q239" s="9"/>
      <c r="R239" s="9"/>
      <c r="S239" s="9"/>
      <c r="T239" s="9"/>
      <c r="U239" s="9"/>
    </row>
    <row r="240" spans="2:21" ht="14" x14ac:dyDescent="0.2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75"/>
      <c r="P240" s="175"/>
      <c r="Q240" s="9"/>
      <c r="R240" s="9"/>
      <c r="S240" s="9"/>
      <c r="T240" s="9"/>
      <c r="U240" s="9"/>
    </row>
    <row r="241" spans="2:21" ht="14" x14ac:dyDescent="0.2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75"/>
      <c r="P241" s="175"/>
      <c r="Q241" s="9"/>
      <c r="R241" s="9"/>
      <c r="S241" s="9"/>
      <c r="T241" s="9"/>
      <c r="U241" s="9"/>
    </row>
    <row r="242" spans="2:21" ht="14" x14ac:dyDescent="0.2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175"/>
      <c r="P242" s="175"/>
      <c r="Q242" s="9"/>
      <c r="R242" s="9"/>
      <c r="S242" s="9"/>
      <c r="T242" s="9"/>
      <c r="U242" s="9"/>
    </row>
    <row r="243" spans="2:21" ht="14" x14ac:dyDescent="0.2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175"/>
      <c r="P243" s="175"/>
      <c r="Q243" s="9"/>
      <c r="R243" s="9"/>
      <c r="S243" s="9"/>
      <c r="T243" s="9"/>
      <c r="U243" s="9"/>
    </row>
    <row r="244" spans="2:21" ht="14" x14ac:dyDescent="0.2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175"/>
      <c r="P244" s="175"/>
      <c r="Q244" s="9"/>
      <c r="R244" s="9"/>
      <c r="S244" s="9"/>
      <c r="T244" s="9"/>
      <c r="U244" s="9"/>
    </row>
    <row r="245" spans="2:21" ht="14" x14ac:dyDescent="0.2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175"/>
      <c r="P245" s="175"/>
      <c r="Q245" s="9"/>
      <c r="R245" s="9"/>
      <c r="S245" s="9"/>
      <c r="T245" s="9"/>
      <c r="U245" s="9"/>
    </row>
    <row r="246" spans="2:21" ht="14" x14ac:dyDescent="0.2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75"/>
      <c r="P246" s="175"/>
      <c r="Q246" s="9"/>
      <c r="R246" s="9"/>
      <c r="S246" s="9"/>
      <c r="T246" s="9"/>
      <c r="U246" s="9"/>
    </row>
    <row r="247" spans="2:21" ht="14" x14ac:dyDescent="0.2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75"/>
      <c r="P247" s="175"/>
      <c r="Q247" s="9"/>
      <c r="R247" s="9"/>
      <c r="S247" s="9"/>
      <c r="T247" s="9"/>
      <c r="U247" s="9"/>
    </row>
    <row r="248" spans="2:21" ht="14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75"/>
      <c r="P248" s="175"/>
      <c r="Q248" s="9"/>
      <c r="R248" s="9"/>
      <c r="S248" s="9"/>
      <c r="T248" s="9"/>
      <c r="U248" s="9"/>
    </row>
    <row r="249" spans="2:21" ht="14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75"/>
      <c r="P249" s="175"/>
      <c r="Q249" s="9"/>
      <c r="R249" s="9"/>
      <c r="S249" s="9"/>
      <c r="T249" s="9"/>
      <c r="U249" s="9"/>
    </row>
    <row r="250" spans="2:21" ht="14" x14ac:dyDescent="0.2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75"/>
      <c r="P250" s="175"/>
      <c r="Q250" s="9"/>
      <c r="R250" s="9"/>
      <c r="S250" s="9"/>
      <c r="T250" s="9"/>
      <c r="U250" s="9"/>
    </row>
    <row r="251" spans="2:21" ht="14" x14ac:dyDescent="0.2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175"/>
      <c r="P251" s="175"/>
      <c r="Q251" s="9"/>
      <c r="R251" s="9"/>
      <c r="S251" s="9"/>
      <c r="T251" s="9"/>
      <c r="U251" s="9"/>
    </row>
    <row r="252" spans="2:21" ht="14" x14ac:dyDescent="0.2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75"/>
      <c r="P252" s="175"/>
      <c r="Q252" s="9"/>
      <c r="R252" s="9"/>
      <c r="S252" s="9"/>
      <c r="T252" s="9"/>
      <c r="U252" s="9"/>
    </row>
    <row r="253" spans="2:21" ht="14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175"/>
      <c r="P253" s="175"/>
      <c r="Q253" s="9"/>
      <c r="R253" s="9"/>
      <c r="S253" s="9"/>
      <c r="T253" s="9"/>
      <c r="U253" s="9"/>
    </row>
    <row r="254" spans="2:21" ht="14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175"/>
      <c r="P254" s="175"/>
      <c r="Q254" s="9"/>
      <c r="R254" s="9"/>
      <c r="S254" s="9"/>
      <c r="T254" s="9"/>
      <c r="U254" s="9"/>
    </row>
    <row r="255" spans="2:21" ht="14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175"/>
      <c r="P255" s="175"/>
      <c r="Q255" s="9"/>
      <c r="R255" s="9"/>
      <c r="S255" s="9"/>
      <c r="T255" s="9"/>
      <c r="U255" s="9"/>
    </row>
    <row r="256" spans="2:21" ht="14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75"/>
      <c r="P256" s="175"/>
      <c r="Q256" s="9"/>
      <c r="R256" s="9"/>
      <c r="S256" s="9"/>
      <c r="T256" s="9"/>
      <c r="U256" s="9"/>
    </row>
    <row r="257" spans="2:21" ht="14" x14ac:dyDescent="0.2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75"/>
      <c r="P257" s="175"/>
      <c r="Q257" s="9"/>
      <c r="R257" s="9"/>
      <c r="S257" s="9"/>
      <c r="T257" s="9"/>
      <c r="U257" s="9"/>
    </row>
    <row r="258" spans="2:21" ht="14" x14ac:dyDescent="0.2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175"/>
      <c r="P258" s="175"/>
      <c r="Q258" s="9"/>
      <c r="R258" s="9"/>
      <c r="S258" s="9"/>
      <c r="T258" s="9"/>
      <c r="U258" s="9"/>
    </row>
    <row r="259" spans="2:21" ht="14" x14ac:dyDescent="0.2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175"/>
      <c r="P259" s="175"/>
      <c r="Q259" s="9"/>
      <c r="R259" s="9"/>
      <c r="S259" s="9"/>
      <c r="T259" s="9"/>
      <c r="U259" s="9"/>
    </row>
    <row r="260" spans="2:21" ht="14" x14ac:dyDescent="0.2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175"/>
      <c r="P260" s="175"/>
      <c r="Q260" s="9"/>
      <c r="R260" s="9"/>
      <c r="S260" s="9"/>
      <c r="T260" s="9"/>
      <c r="U260" s="9"/>
    </row>
    <row r="261" spans="2:21" ht="14" x14ac:dyDescent="0.2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75"/>
      <c r="P261" s="175"/>
      <c r="Q261" s="9"/>
      <c r="R261" s="9"/>
      <c r="S261" s="9"/>
      <c r="T261" s="9"/>
      <c r="U261" s="9"/>
    </row>
    <row r="262" spans="2:21" ht="14" x14ac:dyDescent="0.2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75"/>
      <c r="P262" s="175"/>
      <c r="Q262" s="9"/>
      <c r="R262" s="9"/>
      <c r="S262" s="9"/>
      <c r="T262" s="9"/>
      <c r="U262" s="9"/>
    </row>
    <row r="263" spans="2:21" ht="14" x14ac:dyDescent="0.2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75"/>
      <c r="P263" s="175"/>
      <c r="Q263" s="9"/>
      <c r="R263" s="9"/>
      <c r="S263" s="9"/>
      <c r="T263" s="9"/>
      <c r="U263" s="9"/>
    </row>
    <row r="264" spans="2:21" ht="14" x14ac:dyDescent="0.2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75"/>
      <c r="P264" s="175"/>
      <c r="Q264" s="9"/>
      <c r="R264" s="9"/>
      <c r="S264" s="9"/>
      <c r="T264" s="9"/>
      <c r="U264" s="9"/>
    </row>
    <row r="265" spans="2:21" ht="14" x14ac:dyDescent="0.2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75"/>
      <c r="P265" s="175"/>
      <c r="Q265" s="9"/>
      <c r="R265" s="9"/>
      <c r="S265" s="9"/>
      <c r="T265" s="9"/>
      <c r="U265" s="9"/>
    </row>
    <row r="266" spans="2:21" ht="14" x14ac:dyDescent="0.2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75"/>
      <c r="P266" s="175"/>
      <c r="Q266" s="9"/>
      <c r="R266" s="9"/>
      <c r="S266" s="9"/>
      <c r="T266" s="9"/>
      <c r="U266" s="9"/>
    </row>
    <row r="267" spans="2:21" ht="14" x14ac:dyDescent="0.2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175"/>
      <c r="P267" s="175"/>
      <c r="Q267" s="9"/>
      <c r="R267" s="9"/>
      <c r="S267" s="9"/>
      <c r="T267" s="9"/>
      <c r="U267" s="9"/>
    </row>
    <row r="268" spans="2:21" ht="14" x14ac:dyDescent="0.2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175"/>
      <c r="P268" s="175"/>
      <c r="Q268" s="9"/>
      <c r="R268" s="9"/>
      <c r="S268" s="9"/>
      <c r="T268" s="9"/>
      <c r="U268" s="9"/>
    </row>
    <row r="269" spans="2:21" ht="14" x14ac:dyDescent="0.2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175"/>
      <c r="P269" s="175"/>
      <c r="Q269" s="9"/>
      <c r="R269" s="9"/>
      <c r="S269" s="9"/>
      <c r="T269" s="9"/>
      <c r="U269" s="9"/>
    </row>
    <row r="270" spans="2:21" ht="14" x14ac:dyDescent="0.2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175"/>
      <c r="P270" s="175"/>
      <c r="Q270" s="9"/>
      <c r="R270" s="9"/>
      <c r="S270" s="9"/>
      <c r="T270" s="9"/>
      <c r="U270" s="9"/>
    </row>
    <row r="271" spans="2:21" ht="14" x14ac:dyDescent="0.2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175"/>
      <c r="P271" s="175"/>
      <c r="Q271" s="9"/>
      <c r="R271" s="9"/>
      <c r="S271" s="9"/>
      <c r="T271" s="9"/>
      <c r="U271" s="9"/>
    </row>
    <row r="272" spans="2:21" ht="14" x14ac:dyDescent="0.2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175"/>
      <c r="P272" s="175"/>
      <c r="Q272" s="9"/>
      <c r="R272" s="9"/>
      <c r="S272" s="9"/>
      <c r="T272" s="9"/>
      <c r="U272" s="9"/>
    </row>
    <row r="273" spans="2:21" ht="14" x14ac:dyDescent="0.2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175"/>
      <c r="P273" s="175"/>
      <c r="Q273" s="9"/>
      <c r="R273" s="9"/>
      <c r="S273" s="9"/>
      <c r="T273" s="9"/>
      <c r="U273" s="9"/>
    </row>
    <row r="274" spans="2:21" ht="14" x14ac:dyDescent="0.2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75"/>
      <c r="P274" s="175"/>
      <c r="Q274" s="9"/>
      <c r="R274" s="9"/>
      <c r="S274" s="9"/>
      <c r="T274" s="9"/>
      <c r="U274" s="9"/>
    </row>
    <row r="275" spans="2:21" ht="14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75"/>
      <c r="P275" s="175"/>
      <c r="Q275" s="9"/>
      <c r="R275" s="9"/>
      <c r="S275" s="9"/>
      <c r="T275" s="9"/>
      <c r="U275" s="9"/>
    </row>
    <row r="276" spans="2:21" ht="14" x14ac:dyDescent="0.2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175"/>
      <c r="P276" s="175"/>
      <c r="Q276" s="9"/>
      <c r="R276" s="9"/>
      <c r="S276" s="9"/>
      <c r="T276" s="9"/>
      <c r="U276" s="9"/>
    </row>
    <row r="277" spans="2:21" ht="14" x14ac:dyDescent="0.2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75"/>
      <c r="P277" s="175"/>
      <c r="Q277" s="9"/>
      <c r="R277" s="9"/>
      <c r="S277" s="9"/>
      <c r="T277" s="9"/>
      <c r="U277" s="9"/>
    </row>
    <row r="278" spans="2:21" ht="14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175"/>
      <c r="P278" s="175"/>
      <c r="Q278" s="9"/>
      <c r="R278" s="9"/>
      <c r="S278" s="9"/>
      <c r="T278" s="9"/>
      <c r="U278" s="9"/>
    </row>
    <row r="279" spans="2:21" ht="14" x14ac:dyDescent="0.2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175"/>
      <c r="P279" s="175"/>
      <c r="Q279" s="9"/>
      <c r="R279" s="9"/>
      <c r="S279" s="9"/>
      <c r="T279" s="9"/>
      <c r="U279" s="9"/>
    </row>
    <row r="280" spans="2:21" ht="14" x14ac:dyDescent="0.2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175"/>
      <c r="P280" s="175"/>
      <c r="Q280" s="9"/>
      <c r="R280" s="9"/>
      <c r="S280" s="9"/>
      <c r="T280" s="9"/>
      <c r="U280" s="9"/>
    </row>
    <row r="281" spans="2:21" ht="14" x14ac:dyDescent="0.2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175"/>
      <c r="P281" s="175"/>
      <c r="Q281" s="9"/>
      <c r="R281" s="9"/>
      <c r="S281" s="9"/>
      <c r="T281" s="9"/>
      <c r="U281" s="9"/>
    </row>
    <row r="282" spans="2:21" ht="14" x14ac:dyDescent="0.2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175"/>
      <c r="P282" s="175"/>
      <c r="Q282" s="9"/>
      <c r="R282" s="9"/>
      <c r="S282" s="9"/>
      <c r="T282" s="9"/>
      <c r="U282" s="9"/>
    </row>
    <row r="283" spans="2:21" ht="14" x14ac:dyDescent="0.2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175"/>
      <c r="P283" s="175"/>
      <c r="Q283" s="9"/>
      <c r="R283" s="9"/>
      <c r="S283" s="9"/>
      <c r="T283" s="9"/>
      <c r="U283" s="9"/>
    </row>
    <row r="284" spans="2:21" ht="14" x14ac:dyDescent="0.2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175"/>
      <c r="P284" s="175"/>
      <c r="Q284" s="9"/>
      <c r="R284" s="9"/>
      <c r="S284" s="9"/>
      <c r="T284" s="9"/>
      <c r="U284" s="9"/>
    </row>
    <row r="285" spans="2:21" ht="14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175"/>
      <c r="P285" s="175"/>
      <c r="Q285" s="9"/>
      <c r="R285" s="9"/>
      <c r="S285" s="9"/>
      <c r="T285" s="9"/>
      <c r="U285" s="9"/>
    </row>
    <row r="286" spans="2:21" ht="14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175"/>
      <c r="P286" s="175"/>
      <c r="Q286" s="9"/>
      <c r="R286" s="9"/>
      <c r="S286" s="9"/>
      <c r="T286" s="9"/>
      <c r="U286" s="9"/>
    </row>
    <row r="287" spans="2:21" ht="14" x14ac:dyDescent="0.2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175"/>
      <c r="P287" s="175"/>
      <c r="Q287" s="9"/>
      <c r="R287" s="9"/>
      <c r="S287" s="9"/>
      <c r="T287" s="9"/>
      <c r="U287" s="9"/>
    </row>
    <row r="288" spans="2:21" ht="14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175"/>
      <c r="P288" s="175"/>
      <c r="Q288" s="9"/>
      <c r="R288" s="9"/>
      <c r="S288" s="9"/>
      <c r="T288" s="9"/>
      <c r="U288" s="9"/>
    </row>
    <row r="289" spans="2:21" ht="14" x14ac:dyDescent="0.2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175"/>
      <c r="P289" s="175"/>
      <c r="Q289" s="9"/>
      <c r="R289" s="9"/>
      <c r="S289" s="9"/>
      <c r="T289" s="9"/>
      <c r="U289" s="9"/>
    </row>
    <row r="290" spans="2:21" ht="14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175"/>
      <c r="P290" s="175"/>
      <c r="Q290" s="9"/>
      <c r="R290" s="9"/>
      <c r="S290" s="9"/>
      <c r="T290" s="9"/>
      <c r="U290" s="9"/>
    </row>
    <row r="291" spans="2:21" ht="14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175"/>
      <c r="P291" s="175"/>
      <c r="Q291" s="9"/>
      <c r="R291" s="9"/>
      <c r="S291" s="9"/>
      <c r="T291" s="9"/>
      <c r="U291" s="9"/>
    </row>
    <row r="292" spans="2:21" ht="14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175"/>
      <c r="P292" s="175"/>
      <c r="Q292" s="9"/>
      <c r="R292" s="9"/>
      <c r="S292" s="9"/>
      <c r="T292" s="9"/>
      <c r="U292" s="9"/>
    </row>
    <row r="293" spans="2:21" ht="14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175"/>
      <c r="P293" s="175"/>
      <c r="Q293" s="9"/>
      <c r="R293" s="9"/>
      <c r="S293" s="9"/>
      <c r="T293" s="9"/>
      <c r="U293" s="9"/>
    </row>
    <row r="294" spans="2:21" ht="14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175"/>
      <c r="P294" s="175"/>
      <c r="Q294" s="9"/>
      <c r="R294" s="9"/>
      <c r="S294" s="9"/>
      <c r="T294" s="9"/>
      <c r="U294" s="9"/>
    </row>
    <row r="295" spans="2:21" ht="14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175"/>
      <c r="P295" s="175"/>
      <c r="Q295" s="9"/>
      <c r="R295" s="9"/>
      <c r="S295" s="9"/>
      <c r="T295" s="9"/>
      <c r="U295" s="9"/>
    </row>
    <row r="296" spans="2:21" ht="14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175"/>
      <c r="P296" s="175"/>
      <c r="Q296" s="9"/>
      <c r="R296" s="9"/>
      <c r="S296" s="9"/>
      <c r="T296" s="9"/>
      <c r="U296" s="9"/>
    </row>
    <row r="297" spans="2:21" ht="14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175"/>
      <c r="P297" s="175"/>
      <c r="Q297" s="9"/>
      <c r="R297" s="9"/>
      <c r="S297" s="9"/>
      <c r="T297" s="9"/>
      <c r="U297" s="9"/>
    </row>
    <row r="298" spans="2:21" ht="14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175"/>
      <c r="P298" s="175"/>
      <c r="Q298" s="9"/>
      <c r="R298" s="9"/>
      <c r="S298" s="9"/>
      <c r="T298" s="9"/>
      <c r="U298" s="9"/>
    </row>
    <row r="299" spans="2:21" ht="14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75"/>
      <c r="P299" s="175"/>
      <c r="Q299" s="9"/>
      <c r="R299" s="9"/>
      <c r="S299" s="9"/>
      <c r="T299" s="9"/>
      <c r="U299" s="9"/>
    </row>
    <row r="300" spans="2:21" ht="14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175"/>
      <c r="P300" s="175"/>
      <c r="Q300" s="9"/>
      <c r="R300" s="9"/>
      <c r="S300" s="9"/>
      <c r="T300" s="9"/>
      <c r="U300" s="9"/>
    </row>
    <row r="301" spans="2:21" ht="14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175"/>
      <c r="P301" s="175"/>
      <c r="Q301" s="9"/>
      <c r="R301" s="9"/>
      <c r="S301" s="9"/>
      <c r="T301" s="9"/>
      <c r="U301" s="9"/>
    </row>
    <row r="302" spans="2:21" ht="14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175"/>
      <c r="P302" s="175"/>
      <c r="Q302" s="9"/>
      <c r="R302" s="9"/>
      <c r="S302" s="9"/>
      <c r="T302" s="9"/>
      <c r="U302" s="9"/>
    </row>
    <row r="303" spans="2:21" ht="14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175"/>
      <c r="P303" s="175"/>
      <c r="Q303" s="9"/>
      <c r="R303" s="9"/>
      <c r="S303" s="9"/>
      <c r="T303" s="9"/>
      <c r="U303" s="9"/>
    </row>
    <row r="304" spans="2:21" ht="14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175"/>
      <c r="P304" s="175"/>
      <c r="Q304" s="9"/>
      <c r="R304" s="9"/>
      <c r="S304" s="9"/>
      <c r="T304" s="9"/>
      <c r="U304" s="9"/>
    </row>
    <row r="305" spans="2:21" ht="14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175"/>
      <c r="P305" s="175"/>
      <c r="Q305" s="9"/>
      <c r="R305" s="9"/>
      <c r="S305" s="9"/>
      <c r="T305" s="9"/>
      <c r="U305" s="9"/>
    </row>
    <row r="306" spans="2:21" ht="14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175"/>
      <c r="P306" s="175"/>
      <c r="Q306" s="9"/>
      <c r="R306" s="9"/>
      <c r="S306" s="9"/>
      <c r="T306" s="9"/>
      <c r="U306" s="9"/>
    </row>
    <row r="307" spans="2:21" ht="14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175"/>
      <c r="P307" s="175"/>
      <c r="Q307" s="9"/>
      <c r="R307" s="9"/>
      <c r="S307" s="9"/>
      <c r="T307" s="9"/>
      <c r="U307" s="9"/>
    </row>
    <row r="308" spans="2:21" ht="14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175"/>
      <c r="P308" s="175"/>
      <c r="Q308" s="9"/>
      <c r="R308" s="9"/>
      <c r="S308" s="9"/>
      <c r="T308" s="9"/>
      <c r="U308" s="9"/>
    </row>
    <row r="309" spans="2:21" ht="14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175"/>
      <c r="P309" s="175"/>
      <c r="Q309" s="9"/>
      <c r="R309" s="9"/>
      <c r="S309" s="9"/>
      <c r="T309" s="9"/>
      <c r="U309" s="9"/>
    </row>
    <row r="310" spans="2:21" ht="14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175"/>
      <c r="P310" s="175"/>
      <c r="Q310" s="9"/>
      <c r="R310" s="9"/>
      <c r="S310" s="9"/>
      <c r="T310" s="9"/>
      <c r="U310" s="9"/>
    </row>
    <row r="311" spans="2:21" ht="14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175"/>
      <c r="P311" s="175"/>
      <c r="Q311" s="9"/>
      <c r="R311" s="9"/>
      <c r="S311" s="9"/>
      <c r="T311" s="9"/>
      <c r="U311" s="9"/>
    </row>
    <row r="312" spans="2:21" ht="14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175"/>
      <c r="P312" s="175"/>
      <c r="Q312" s="9"/>
      <c r="R312" s="9"/>
      <c r="S312" s="9"/>
      <c r="T312" s="9"/>
      <c r="U312" s="9"/>
    </row>
    <row r="313" spans="2:21" ht="14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175"/>
      <c r="P313" s="175"/>
      <c r="Q313" s="9"/>
      <c r="R313" s="9"/>
      <c r="S313" s="9"/>
      <c r="T313" s="9"/>
      <c r="U313" s="9"/>
    </row>
    <row r="314" spans="2:21" ht="14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175"/>
      <c r="P314" s="175"/>
      <c r="Q314" s="9"/>
      <c r="R314" s="9"/>
      <c r="S314" s="9"/>
      <c r="T314" s="9"/>
      <c r="U314" s="9"/>
    </row>
    <row r="315" spans="2:21" ht="14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175"/>
      <c r="P315" s="175"/>
      <c r="Q315" s="9"/>
      <c r="R315" s="9"/>
      <c r="S315" s="9"/>
      <c r="T315" s="9"/>
      <c r="U315" s="9"/>
    </row>
    <row r="316" spans="2:21" ht="14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175"/>
      <c r="P316" s="175"/>
      <c r="Q316" s="9"/>
      <c r="R316" s="9"/>
      <c r="S316" s="9"/>
      <c r="T316" s="9"/>
      <c r="U316" s="9"/>
    </row>
    <row r="317" spans="2:21" ht="14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175"/>
      <c r="P317" s="175"/>
      <c r="Q317" s="9"/>
      <c r="R317" s="9"/>
      <c r="S317" s="9"/>
      <c r="T317" s="9"/>
      <c r="U317" s="9"/>
    </row>
    <row r="318" spans="2:21" ht="14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175"/>
      <c r="P318" s="175"/>
      <c r="Q318" s="9"/>
      <c r="R318" s="9"/>
      <c r="S318" s="9"/>
      <c r="T318" s="9"/>
      <c r="U318" s="9"/>
    </row>
    <row r="319" spans="2:21" ht="14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175"/>
      <c r="P319" s="175"/>
      <c r="Q319" s="9"/>
      <c r="R319" s="9"/>
      <c r="S319" s="9"/>
      <c r="T319" s="9"/>
      <c r="U319" s="9"/>
    </row>
    <row r="320" spans="2:21" ht="14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175"/>
      <c r="P320" s="175"/>
      <c r="Q320" s="9"/>
      <c r="R320" s="9"/>
      <c r="S320" s="9"/>
      <c r="T320" s="9"/>
      <c r="U320" s="9"/>
    </row>
    <row r="321" spans="2:21" ht="14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175"/>
      <c r="P321" s="175"/>
      <c r="Q321" s="9"/>
      <c r="R321" s="9"/>
      <c r="S321" s="9"/>
      <c r="T321" s="9"/>
      <c r="U321" s="9"/>
    </row>
    <row r="322" spans="2:21" ht="14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175"/>
      <c r="P322" s="175"/>
      <c r="Q322" s="9"/>
      <c r="R322" s="9"/>
      <c r="S322" s="9"/>
      <c r="T322" s="9"/>
      <c r="U322" s="9"/>
    </row>
    <row r="323" spans="2:21" ht="14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175"/>
      <c r="P323" s="175"/>
      <c r="Q323" s="9"/>
      <c r="R323" s="9"/>
      <c r="S323" s="9"/>
      <c r="T323" s="9"/>
      <c r="U323" s="9"/>
    </row>
    <row r="324" spans="2:21" ht="14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175"/>
      <c r="P324" s="175"/>
      <c r="Q324" s="9"/>
      <c r="R324" s="9"/>
      <c r="S324" s="9"/>
      <c r="T324" s="9"/>
      <c r="U324" s="9"/>
    </row>
    <row r="325" spans="2:21" ht="14" x14ac:dyDescent="0.2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175"/>
      <c r="P325" s="175"/>
      <c r="Q325" s="9"/>
      <c r="R325" s="9"/>
      <c r="S325" s="9"/>
      <c r="T325" s="9"/>
      <c r="U325" s="9"/>
    </row>
    <row r="326" spans="2:21" ht="14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175"/>
      <c r="P326" s="175"/>
      <c r="Q326" s="9"/>
      <c r="R326" s="9"/>
      <c r="S326" s="9"/>
      <c r="T326" s="9"/>
      <c r="U326" s="9"/>
    </row>
    <row r="327" spans="2:21" ht="14" x14ac:dyDescent="0.2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175"/>
      <c r="P327" s="175"/>
      <c r="Q327" s="9"/>
      <c r="R327" s="9"/>
      <c r="S327" s="9"/>
      <c r="T327" s="9"/>
      <c r="U327" s="9"/>
    </row>
    <row r="328" spans="2:21" ht="14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175"/>
      <c r="P328" s="175"/>
      <c r="Q328" s="9"/>
      <c r="R328" s="9"/>
      <c r="S328" s="9"/>
      <c r="T328" s="9"/>
      <c r="U328" s="9"/>
    </row>
    <row r="329" spans="2:21" ht="14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175"/>
      <c r="P329" s="175"/>
      <c r="Q329" s="9"/>
      <c r="R329" s="9"/>
      <c r="S329" s="9"/>
      <c r="T329" s="9"/>
      <c r="U329" s="9"/>
    </row>
    <row r="330" spans="2:21" ht="14" x14ac:dyDescent="0.2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175"/>
      <c r="P330" s="175"/>
      <c r="Q330" s="9"/>
      <c r="R330" s="9"/>
      <c r="S330" s="9"/>
      <c r="T330" s="9"/>
      <c r="U330" s="9"/>
    </row>
    <row r="331" spans="2:21" ht="14" x14ac:dyDescent="0.2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175"/>
      <c r="P331" s="175"/>
      <c r="Q331" s="9"/>
      <c r="R331" s="9"/>
      <c r="S331" s="9"/>
      <c r="T331" s="9"/>
      <c r="U331" s="9"/>
    </row>
    <row r="332" spans="2:21" ht="14" x14ac:dyDescent="0.2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175"/>
      <c r="P332" s="175"/>
      <c r="Q332" s="9"/>
      <c r="R332" s="9"/>
      <c r="S332" s="9"/>
      <c r="T332" s="9"/>
      <c r="U332" s="9"/>
    </row>
    <row r="333" spans="2:21" ht="14" x14ac:dyDescent="0.2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175"/>
      <c r="P333" s="175"/>
      <c r="Q333" s="9"/>
      <c r="R333" s="9"/>
      <c r="S333" s="9"/>
      <c r="T333" s="9"/>
      <c r="U333" s="9"/>
    </row>
    <row r="334" spans="2:21" ht="14" x14ac:dyDescent="0.2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175"/>
      <c r="P334" s="175"/>
      <c r="Q334" s="9"/>
      <c r="R334" s="9"/>
      <c r="S334" s="9"/>
      <c r="T334" s="9"/>
      <c r="U334" s="9"/>
    </row>
    <row r="335" spans="2:21" ht="14" x14ac:dyDescent="0.2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175"/>
      <c r="P335" s="175"/>
      <c r="Q335" s="9"/>
      <c r="R335" s="9"/>
      <c r="S335" s="9"/>
      <c r="T335" s="9"/>
      <c r="U335" s="9"/>
    </row>
    <row r="336" spans="2:21" ht="14" x14ac:dyDescent="0.2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175"/>
      <c r="P336" s="175"/>
      <c r="Q336" s="9"/>
      <c r="R336" s="9"/>
      <c r="S336" s="9"/>
      <c r="T336" s="9"/>
      <c r="U336" s="9"/>
    </row>
    <row r="337" spans="2:21" ht="14" x14ac:dyDescent="0.2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175"/>
      <c r="P337" s="175"/>
      <c r="Q337" s="9"/>
      <c r="R337" s="9"/>
      <c r="S337" s="9"/>
      <c r="T337" s="9"/>
      <c r="U337" s="9"/>
    </row>
    <row r="338" spans="2:21" ht="14" x14ac:dyDescent="0.2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175"/>
      <c r="P338" s="175"/>
      <c r="Q338" s="9"/>
      <c r="R338" s="9"/>
      <c r="S338" s="9"/>
      <c r="T338" s="9"/>
      <c r="U338" s="9"/>
    </row>
    <row r="339" spans="2:21" ht="14" x14ac:dyDescent="0.2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175"/>
      <c r="P339" s="175"/>
      <c r="Q339" s="9"/>
      <c r="R339" s="9"/>
      <c r="S339" s="9"/>
      <c r="T339" s="9"/>
      <c r="U339" s="9"/>
    </row>
    <row r="340" spans="2:21" ht="14" x14ac:dyDescent="0.2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175"/>
      <c r="P340" s="175"/>
      <c r="Q340" s="9"/>
      <c r="R340" s="9"/>
      <c r="S340" s="9"/>
      <c r="T340" s="9"/>
      <c r="U340" s="9"/>
    </row>
    <row r="341" spans="2:21" ht="14" x14ac:dyDescent="0.2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175"/>
      <c r="P341" s="175"/>
      <c r="Q341" s="9"/>
      <c r="R341" s="9"/>
      <c r="S341" s="9"/>
      <c r="T341" s="9"/>
      <c r="U341" s="9"/>
    </row>
    <row r="342" spans="2:21" ht="14" x14ac:dyDescent="0.2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175"/>
      <c r="P342" s="175"/>
      <c r="Q342" s="9"/>
      <c r="R342" s="9"/>
      <c r="S342" s="9"/>
      <c r="T342" s="9"/>
      <c r="U342" s="9"/>
    </row>
    <row r="343" spans="2:21" ht="14" x14ac:dyDescent="0.2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175"/>
      <c r="P343" s="175"/>
      <c r="Q343" s="9"/>
      <c r="R343" s="9"/>
      <c r="S343" s="9"/>
      <c r="T343" s="9"/>
      <c r="U343" s="9"/>
    </row>
    <row r="344" spans="2:21" ht="14" x14ac:dyDescent="0.2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175"/>
      <c r="P344" s="175"/>
      <c r="Q344" s="9"/>
      <c r="R344" s="9"/>
      <c r="S344" s="9"/>
      <c r="T344" s="9"/>
      <c r="U344" s="9"/>
    </row>
    <row r="345" spans="2:21" ht="14" x14ac:dyDescent="0.2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175"/>
      <c r="P345" s="175"/>
      <c r="Q345" s="9"/>
      <c r="R345" s="9"/>
      <c r="S345" s="9"/>
      <c r="T345" s="9"/>
      <c r="U345" s="9"/>
    </row>
    <row r="346" spans="2:21" ht="14" x14ac:dyDescent="0.2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175"/>
      <c r="P346" s="175"/>
      <c r="Q346" s="9"/>
      <c r="R346" s="9"/>
      <c r="S346" s="9"/>
      <c r="T346" s="9"/>
      <c r="U346" s="9"/>
    </row>
    <row r="347" spans="2:21" ht="14" x14ac:dyDescent="0.2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175"/>
      <c r="P347" s="175"/>
      <c r="Q347" s="9"/>
      <c r="R347" s="9"/>
      <c r="S347" s="9"/>
      <c r="T347" s="9"/>
      <c r="U347" s="9"/>
    </row>
    <row r="348" spans="2:21" ht="14" x14ac:dyDescent="0.2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175"/>
      <c r="P348" s="175"/>
      <c r="Q348" s="9"/>
      <c r="R348" s="9"/>
      <c r="S348" s="9"/>
      <c r="T348" s="9"/>
      <c r="U348" s="9"/>
    </row>
    <row r="349" spans="2:21" ht="14" x14ac:dyDescent="0.2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175"/>
      <c r="P349" s="175"/>
      <c r="Q349" s="9"/>
      <c r="R349" s="9"/>
      <c r="S349" s="9"/>
      <c r="T349" s="9"/>
      <c r="U349" s="9"/>
    </row>
    <row r="350" spans="2:21" ht="14" x14ac:dyDescent="0.2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175"/>
      <c r="P350" s="175"/>
      <c r="Q350" s="9"/>
      <c r="R350" s="9"/>
      <c r="S350" s="9"/>
      <c r="T350" s="9"/>
      <c r="U350" s="9"/>
    </row>
    <row r="351" spans="2:21" ht="14" x14ac:dyDescent="0.2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175"/>
      <c r="P351" s="175"/>
      <c r="Q351" s="9"/>
      <c r="R351" s="9"/>
      <c r="S351" s="9"/>
      <c r="T351" s="9"/>
      <c r="U351" s="9"/>
    </row>
    <row r="352" spans="2:21" ht="14" x14ac:dyDescent="0.2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75"/>
      <c r="P352" s="175"/>
      <c r="Q352" s="9"/>
      <c r="R352" s="9"/>
      <c r="S352" s="9"/>
      <c r="T352" s="9"/>
      <c r="U352" s="9"/>
    </row>
    <row r="353" spans="2:21" ht="14" x14ac:dyDescent="0.2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175"/>
      <c r="P353" s="175"/>
      <c r="Q353" s="9"/>
      <c r="R353" s="9"/>
      <c r="S353" s="9"/>
      <c r="T353" s="9"/>
      <c r="U353" s="9"/>
    </row>
    <row r="354" spans="2:21" ht="14" x14ac:dyDescent="0.2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175"/>
      <c r="P354" s="175"/>
      <c r="Q354" s="9"/>
      <c r="R354" s="9"/>
      <c r="S354" s="9"/>
      <c r="T354" s="9"/>
      <c r="U354" s="9"/>
    </row>
    <row r="355" spans="2:21" ht="14" x14ac:dyDescent="0.2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175"/>
      <c r="P355" s="175"/>
      <c r="Q355" s="9"/>
      <c r="R355" s="9"/>
      <c r="S355" s="9"/>
      <c r="T355" s="9"/>
      <c r="U355" s="9"/>
    </row>
    <row r="356" spans="2:21" ht="14" x14ac:dyDescent="0.2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175"/>
      <c r="P356" s="175"/>
      <c r="Q356" s="9"/>
      <c r="R356" s="9"/>
      <c r="S356" s="9"/>
      <c r="T356" s="9"/>
      <c r="U356" s="9"/>
    </row>
    <row r="357" spans="2:21" ht="14" x14ac:dyDescent="0.2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175"/>
      <c r="P357" s="175"/>
      <c r="Q357" s="9"/>
      <c r="R357" s="9"/>
      <c r="S357" s="9"/>
      <c r="T357" s="9"/>
      <c r="U357" s="9"/>
    </row>
    <row r="358" spans="2:21" ht="14" x14ac:dyDescent="0.2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175"/>
      <c r="P358" s="175"/>
      <c r="Q358" s="9"/>
      <c r="R358" s="9"/>
      <c r="S358" s="9"/>
      <c r="T358" s="9"/>
      <c r="U358" s="9"/>
    </row>
    <row r="359" spans="2:21" ht="14" x14ac:dyDescent="0.2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175"/>
      <c r="P359" s="175"/>
      <c r="Q359" s="9"/>
      <c r="R359" s="9"/>
      <c r="S359" s="9"/>
      <c r="T359" s="9"/>
      <c r="U359" s="9"/>
    </row>
    <row r="360" spans="2:21" ht="14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175"/>
      <c r="P360" s="175"/>
      <c r="Q360" s="9"/>
      <c r="R360" s="9"/>
      <c r="S360" s="9"/>
      <c r="T360" s="9"/>
      <c r="U360" s="9"/>
    </row>
    <row r="361" spans="2:21" ht="14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175"/>
      <c r="P361" s="175"/>
      <c r="Q361" s="9"/>
      <c r="R361" s="9"/>
      <c r="S361" s="9"/>
      <c r="T361" s="9"/>
      <c r="U361" s="9"/>
    </row>
    <row r="362" spans="2:21" ht="14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175"/>
      <c r="P362" s="175"/>
      <c r="Q362" s="9"/>
      <c r="R362" s="9"/>
      <c r="S362" s="9"/>
      <c r="T362" s="9"/>
      <c r="U362" s="9"/>
    </row>
    <row r="363" spans="2:21" ht="14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175"/>
      <c r="P363" s="175"/>
      <c r="Q363" s="9"/>
      <c r="R363" s="9"/>
      <c r="S363" s="9"/>
      <c r="T363" s="9"/>
      <c r="U363" s="9"/>
    </row>
    <row r="364" spans="2:21" ht="14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175"/>
      <c r="P364" s="175"/>
      <c r="Q364" s="9"/>
      <c r="R364" s="9"/>
      <c r="S364" s="9"/>
      <c r="T364" s="9"/>
      <c r="U364" s="9"/>
    </row>
    <row r="365" spans="2:21" ht="14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175"/>
      <c r="P365" s="175"/>
      <c r="Q365" s="9"/>
      <c r="R365" s="9"/>
      <c r="S365" s="9"/>
      <c r="T365" s="9"/>
      <c r="U365" s="9"/>
    </row>
    <row r="366" spans="2:21" ht="14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175"/>
      <c r="P366" s="175"/>
      <c r="Q366" s="9"/>
      <c r="R366" s="9"/>
      <c r="S366" s="9"/>
      <c r="T366" s="9"/>
      <c r="U366" s="9"/>
    </row>
    <row r="367" spans="2:21" ht="14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175"/>
      <c r="P367" s="175"/>
      <c r="Q367" s="9"/>
      <c r="R367" s="9"/>
      <c r="S367" s="9"/>
      <c r="T367" s="9"/>
      <c r="U367" s="9"/>
    </row>
    <row r="368" spans="2:21" ht="14" x14ac:dyDescent="0.2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175"/>
      <c r="P368" s="175"/>
      <c r="Q368" s="9"/>
      <c r="R368" s="9"/>
      <c r="S368" s="9"/>
      <c r="T368" s="9"/>
      <c r="U368" s="9"/>
    </row>
    <row r="369" spans="2:21" ht="14" x14ac:dyDescent="0.2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175"/>
      <c r="P369" s="175"/>
      <c r="Q369" s="9"/>
      <c r="R369" s="9"/>
      <c r="S369" s="9"/>
      <c r="T369" s="9"/>
      <c r="U369" s="9"/>
    </row>
    <row r="370" spans="2:21" ht="14" x14ac:dyDescent="0.2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175"/>
      <c r="P370" s="175"/>
      <c r="Q370" s="9"/>
      <c r="R370" s="9"/>
      <c r="S370" s="9"/>
      <c r="T370" s="9"/>
      <c r="U370" s="9"/>
    </row>
    <row r="371" spans="2:21" ht="14" x14ac:dyDescent="0.2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175"/>
      <c r="P371" s="175"/>
      <c r="Q371" s="9"/>
      <c r="R371" s="9"/>
      <c r="S371" s="9"/>
      <c r="T371" s="9"/>
      <c r="U371" s="9"/>
    </row>
    <row r="372" spans="2:21" ht="14" x14ac:dyDescent="0.2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175"/>
      <c r="P372" s="175"/>
      <c r="Q372" s="9"/>
      <c r="R372" s="9"/>
      <c r="S372" s="9"/>
      <c r="T372" s="9"/>
      <c r="U372" s="9"/>
    </row>
    <row r="373" spans="2:21" ht="14" x14ac:dyDescent="0.2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175"/>
      <c r="P373" s="175"/>
      <c r="Q373" s="9"/>
      <c r="R373" s="9"/>
      <c r="S373" s="9"/>
      <c r="T373" s="9"/>
      <c r="U373" s="9"/>
    </row>
    <row r="374" spans="2:21" ht="14" x14ac:dyDescent="0.2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175"/>
      <c r="P374" s="175"/>
      <c r="Q374" s="9"/>
      <c r="R374" s="9"/>
      <c r="S374" s="9"/>
      <c r="T374" s="9"/>
      <c r="U374" s="9"/>
    </row>
    <row r="375" spans="2:21" ht="14" x14ac:dyDescent="0.2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175"/>
      <c r="P375" s="175"/>
      <c r="Q375" s="9"/>
      <c r="R375" s="9"/>
      <c r="S375" s="9"/>
      <c r="T375" s="9"/>
      <c r="U375" s="9"/>
    </row>
    <row r="376" spans="2:21" ht="14" x14ac:dyDescent="0.2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175"/>
      <c r="P376" s="175"/>
      <c r="Q376" s="9"/>
      <c r="R376" s="9"/>
      <c r="S376" s="9"/>
      <c r="T376" s="9"/>
      <c r="U376" s="9"/>
    </row>
    <row r="377" spans="2:21" ht="14" x14ac:dyDescent="0.2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175"/>
      <c r="P377" s="175"/>
      <c r="Q377" s="9"/>
      <c r="R377" s="9"/>
      <c r="S377" s="9"/>
      <c r="T377" s="9"/>
      <c r="U377" s="9"/>
    </row>
    <row r="378" spans="2:21" ht="14" x14ac:dyDescent="0.2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175"/>
      <c r="P378" s="175"/>
      <c r="Q378" s="9"/>
      <c r="R378" s="9"/>
      <c r="S378" s="9"/>
      <c r="T378" s="9"/>
      <c r="U378" s="9"/>
    </row>
    <row r="379" spans="2:21" ht="14" x14ac:dyDescent="0.2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175"/>
      <c r="P379" s="175"/>
      <c r="Q379" s="9"/>
      <c r="R379" s="9"/>
      <c r="S379" s="9"/>
      <c r="T379" s="9"/>
      <c r="U379" s="9"/>
    </row>
    <row r="380" spans="2:21" ht="14" x14ac:dyDescent="0.2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175"/>
      <c r="P380" s="175"/>
      <c r="Q380" s="9"/>
      <c r="R380" s="9"/>
      <c r="S380" s="9"/>
      <c r="T380" s="9"/>
      <c r="U380" s="9"/>
    </row>
    <row r="381" spans="2:21" ht="14" x14ac:dyDescent="0.2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175"/>
      <c r="P381" s="175"/>
      <c r="Q381" s="9"/>
      <c r="R381" s="9"/>
      <c r="S381" s="9"/>
      <c r="T381" s="9"/>
      <c r="U381" s="9"/>
    </row>
    <row r="382" spans="2:21" ht="14" x14ac:dyDescent="0.2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175"/>
      <c r="P382" s="175"/>
      <c r="Q382" s="9"/>
      <c r="R382" s="9"/>
      <c r="S382" s="9"/>
      <c r="T382" s="9"/>
      <c r="U382" s="9"/>
    </row>
    <row r="383" spans="2:21" ht="14" x14ac:dyDescent="0.2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175"/>
      <c r="P383" s="175"/>
      <c r="Q383" s="9"/>
      <c r="R383" s="9"/>
      <c r="S383" s="9"/>
      <c r="T383" s="9"/>
      <c r="U383" s="9"/>
    </row>
    <row r="384" spans="2:21" ht="14" x14ac:dyDescent="0.2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175"/>
      <c r="P384" s="175"/>
      <c r="Q384" s="9"/>
      <c r="R384" s="9"/>
      <c r="S384" s="9"/>
      <c r="T384" s="9"/>
      <c r="U384" s="9"/>
    </row>
    <row r="385" spans="2:21" ht="14" x14ac:dyDescent="0.2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175"/>
      <c r="P385" s="175"/>
      <c r="Q385" s="9"/>
      <c r="R385" s="9"/>
      <c r="S385" s="9"/>
      <c r="T385" s="9"/>
      <c r="U385" s="9"/>
    </row>
    <row r="386" spans="2:21" ht="14" x14ac:dyDescent="0.2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175"/>
      <c r="P386" s="175"/>
      <c r="Q386" s="9"/>
      <c r="R386" s="9"/>
      <c r="S386" s="9"/>
      <c r="T386" s="9"/>
      <c r="U386" s="9"/>
    </row>
    <row r="387" spans="2:21" ht="14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175"/>
      <c r="P387" s="175"/>
      <c r="Q387" s="9"/>
      <c r="R387" s="9"/>
      <c r="S387" s="9"/>
      <c r="T387" s="9"/>
      <c r="U387" s="9"/>
    </row>
    <row r="388" spans="2:21" ht="14" x14ac:dyDescent="0.2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175"/>
      <c r="P388" s="175"/>
      <c r="Q388" s="9"/>
      <c r="R388" s="9"/>
      <c r="S388" s="9"/>
      <c r="T388" s="9"/>
      <c r="U388" s="9"/>
    </row>
    <row r="389" spans="2:21" ht="14" x14ac:dyDescent="0.2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175"/>
      <c r="P389" s="175"/>
      <c r="Q389" s="9"/>
      <c r="R389" s="9"/>
      <c r="S389" s="9"/>
      <c r="T389" s="9"/>
      <c r="U389" s="9"/>
    </row>
    <row r="390" spans="2:21" ht="14" x14ac:dyDescent="0.2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175"/>
      <c r="P390" s="175"/>
      <c r="Q390" s="9"/>
      <c r="R390" s="9"/>
      <c r="S390" s="9"/>
      <c r="T390" s="9"/>
      <c r="U390" s="9"/>
    </row>
    <row r="391" spans="2:21" ht="14" x14ac:dyDescent="0.2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175"/>
      <c r="P391" s="175"/>
      <c r="Q391" s="9"/>
      <c r="R391" s="9"/>
      <c r="S391" s="9"/>
      <c r="T391" s="9"/>
      <c r="U391" s="9"/>
    </row>
    <row r="392" spans="2:21" ht="14" x14ac:dyDescent="0.2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175"/>
      <c r="P392" s="175"/>
      <c r="Q392" s="9"/>
      <c r="R392" s="9"/>
      <c r="S392" s="9"/>
      <c r="T392" s="9"/>
      <c r="U392" s="9"/>
    </row>
    <row r="393" spans="2:21" ht="14" x14ac:dyDescent="0.2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175"/>
      <c r="P393" s="175"/>
      <c r="Q393" s="9"/>
      <c r="R393" s="9"/>
      <c r="S393" s="9"/>
      <c r="T393" s="9"/>
      <c r="U393" s="9"/>
    </row>
    <row r="394" spans="2:21" ht="14" x14ac:dyDescent="0.2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175"/>
      <c r="P394" s="175"/>
      <c r="Q394" s="9"/>
      <c r="R394" s="9"/>
      <c r="S394" s="9"/>
      <c r="T394" s="9"/>
      <c r="U394" s="9"/>
    </row>
    <row r="395" spans="2:21" ht="14" x14ac:dyDescent="0.2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175"/>
      <c r="P395" s="175"/>
      <c r="Q395" s="9"/>
      <c r="R395" s="9"/>
      <c r="S395" s="9"/>
      <c r="T395" s="9"/>
      <c r="U395" s="9"/>
    </row>
    <row r="396" spans="2:21" ht="14" x14ac:dyDescent="0.2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175"/>
      <c r="P396" s="175"/>
      <c r="Q396" s="9"/>
      <c r="R396" s="9"/>
      <c r="S396" s="9"/>
      <c r="T396" s="9"/>
      <c r="U396" s="9"/>
    </row>
    <row r="397" spans="2:21" ht="14" x14ac:dyDescent="0.2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175"/>
      <c r="P397" s="175"/>
      <c r="Q397" s="9"/>
      <c r="R397" s="9"/>
      <c r="S397" s="9"/>
      <c r="T397" s="9"/>
      <c r="U397" s="9"/>
    </row>
    <row r="398" spans="2:21" ht="14" x14ac:dyDescent="0.2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175"/>
      <c r="P398" s="175"/>
      <c r="Q398" s="9"/>
      <c r="R398" s="9"/>
      <c r="S398" s="9"/>
      <c r="T398" s="9"/>
      <c r="U398" s="9"/>
    </row>
    <row r="399" spans="2:21" ht="14" x14ac:dyDescent="0.2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175"/>
      <c r="P399" s="175"/>
      <c r="Q399" s="9"/>
      <c r="R399" s="9"/>
      <c r="S399" s="9"/>
      <c r="T399" s="9"/>
      <c r="U399" s="9"/>
    </row>
    <row r="400" spans="2:21" ht="14" x14ac:dyDescent="0.2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175"/>
      <c r="P400" s="175"/>
      <c r="Q400" s="9"/>
      <c r="R400" s="9"/>
      <c r="S400" s="9"/>
      <c r="T400" s="9"/>
      <c r="U400" s="9"/>
    </row>
    <row r="401" spans="2:21" ht="14" x14ac:dyDescent="0.2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175"/>
      <c r="P401" s="175"/>
      <c r="Q401" s="9"/>
      <c r="R401" s="9"/>
      <c r="S401" s="9"/>
      <c r="T401" s="9"/>
      <c r="U401" s="9"/>
    </row>
    <row r="402" spans="2:21" ht="14" x14ac:dyDescent="0.2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175"/>
      <c r="P402" s="175"/>
      <c r="Q402" s="9"/>
      <c r="R402" s="9"/>
      <c r="S402" s="9"/>
      <c r="T402" s="9"/>
      <c r="U402" s="9"/>
    </row>
    <row r="403" spans="2:21" ht="14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175"/>
      <c r="P403" s="175"/>
      <c r="Q403" s="9"/>
      <c r="R403" s="9"/>
      <c r="S403" s="9"/>
      <c r="T403" s="9"/>
      <c r="U403" s="9"/>
    </row>
    <row r="404" spans="2:21" ht="14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175"/>
      <c r="P404" s="175"/>
      <c r="Q404" s="9"/>
      <c r="R404" s="9"/>
      <c r="S404" s="9"/>
      <c r="T404" s="9"/>
      <c r="U404" s="9"/>
    </row>
    <row r="405" spans="2:21" ht="14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75"/>
      <c r="P405" s="175"/>
      <c r="Q405" s="9"/>
      <c r="R405" s="9"/>
      <c r="S405" s="9"/>
      <c r="T405" s="9"/>
      <c r="U405" s="9"/>
    </row>
    <row r="406" spans="2:21" ht="14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175"/>
      <c r="P406" s="175"/>
      <c r="Q406" s="9"/>
      <c r="R406" s="9"/>
      <c r="S406" s="9"/>
      <c r="T406" s="9"/>
      <c r="U406" s="9"/>
    </row>
    <row r="407" spans="2:21" ht="14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175"/>
      <c r="P407" s="175"/>
      <c r="Q407" s="9"/>
      <c r="R407" s="9"/>
      <c r="S407" s="9"/>
      <c r="T407" s="9"/>
      <c r="U407" s="9"/>
    </row>
    <row r="408" spans="2:21" ht="14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175"/>
      <c r="P408" s="175"/>
      <c r="Q408" s="9"/>
      <c r="R408" s="9"/>
      <c r="S408" s="9"/>
      <c r="T408" s="9"/>
      <c r="U408" s="9"/>
    </row>
    <row r="409" spans="2:21" ht="14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175"/>
      <c r="P409" s="175"/>
      <c r="Q409" s="9"/>
      <c r="R409" s="9"/>
      <c r="S409" s="9"/>
      <c r="T409" s="9"/>
      <c r="U409" s="9"/>
    </row>
    <row r="410" spans="2:21" ht="14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175"/>
      <c r="P410" s="175"/>
      <c r="Q410" s="9"/>
      <c r="R410" s="9"/>
      <c r="S410" s="9"/>
      <c r="T410" s="9"/>
      <c r="U410" s="9"/>
    </row>
    <row r="411" spans="2:21" ht="14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175"/>
      <c r="P411" s="175"/>
      <c r="Q411" s="9"/>
      <c r="R411" s="9"/>
      <c r="S411" s="9"/>
      <c r="T411" s="9"/>
      <c r="U411" s="9"/>
    </row>
    <row r="412" spans="2:21" ht="14" x14ac:dyDescent="0.2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175"/>
      <c r="P412" s="175"/>
      <c r="Q412" s="9"/>
      <c r="R412" s="9"/>
      <c r="S412" s="9"/>
      <c r="T412" s="9"/>
      <c r="U412" s="9"/>
    </row>
    <row r="413" spans="2:21" ht="14" x14ac:dyDescent="0.2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75"/>
      <c r="P413" s="175"/>
      <c r="Q413" s="9"/>
      <c r="R413" s="9"/>
      <c r="S413" s="9"/>
      <c r="T413" s="9"/>
      <c r="U413" s="9"/>
    </row>
    <row r="414" spans="2:21" ht="14" x14ac:dyDescent="0.2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175"/>
      <c r="P414" s="175"/>
      <c r="Q414" s="9"/>
      <c r="R414" s="9"/>
      <c r="S414" s="9"/>
      <c r="T414" s="9"/>
      <c r="U414" s="9"/>
    </row>
    <row r="415" spans="2:21" ht="14" x14ac:dyDescent="0.2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175"/>
      <c r="P415" s="175"/>
      <c r="Q415" s="9"/>
      <c r="R415" s="9"/>
      <c r="S415" s="9"/>
      <c r="T415" s="9"/>
      <c r="U415" s="9"/>
    </row>
    <row r="416" spans="2:21" ht="14" x14ac:dyDescent="0.2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175"/>
      <c r="P416" s="175"/>
      <c r="Q416" s="9"/>
      <c r="R416" s="9"/>
      <c r="S416" s="9"/>
      <c r="T416" s="9"/>
      <c r="U416" s="9"/>
    </row>
    <row r="417" spans="2:21" ht="14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175"/>
      <c r="P417" s="175"/>
      <c r="Q417" s="9"/>
      <c r="R417" s="9"/>
      <c r="S417" s="9"/>
      <c r="T417" s="9"/>
      <c r="U417" s="9"/>
    </row>
    <row r="418" spans="2:21" ht="14" x14ac:dyDescent="0.2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175"/>
      <c r="P418" s="175"/>
      <c r="Q418" s="9"/>
      <c r="R418" s="9"/>
      <c r="S418" s="9"/>
      <c r="T418" s="9"/>
      <c r="U418" s="9"/>
    </row>
    <row r="419" spans="2:21" ht="14" x14ac:dyDescent="0.2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175"/>
      <c r="P419" s="175"/>
      <c r="Q419" s="9"/>
      <c r="R419" s="9"/>
      <c r="S419" s="9"/>
      <c r="T419" s="9"/>
      <c r="U419" s="9"/>
    </row>
    <row r="420" spans="2:21" ht="14" x14ac:dyDescent="0.2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175"/>
      <c r="P420" s="175"/>
      <c r="Q420" s="9"/>
      <c r="R420" s="9"/>
      <c r="S420" s="9"/>
      <c r="T420" s="9"/>
      <c r="U420" s="9"/>
    </row>
    <row r="421" spans="2:21" ht="14" x14ac:dyDescent="0.2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175"/>
      <c r="P421" s="175"/>
      <c r="Q421" s="9"/>
      <c r="R421" s="9"/>
      <c r="S421" s="9"/>
      <c r="T421" s="9"/>
      <c r="U421" s="9"/>
    </row>
    <row r="422" spans="2:21" ht="14" x14ac:dyDescent="0.2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175"/>
      <c r="P422" s="175"/>
      <c r="Q422" s="9"/>
      <c r="R422" s="9"/>
      <c r="S422" s="9"/>
      <c r="T422" s="9"/>
      <c r="U422" s="9"/>
    </row>
    <row r="423" spans="2:21" ht="14" x14ac:dyDescent="0.2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175"/>
      <c r="P423" s="175"/>
      <c r="Q423" s="9"/>
      <c r="R423" s="9"/>
      <c r="S423" s="9"/>
      <c r="T423" s="9"/>
      <c r="U423" s="9"/>
    </row>
    <row r="424" spans="2:21" ht="14" x14ac:dyDescent="0.2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175"/>
      <c r="P424" s="175"/>
      <c r="Q424" s="9"/>
      <c r="R424" s="9"/>
      <c r="S424" s="9"/>
      <c r="T424" s="9"/>
      <c r="U424" s="9"/>
    </row>
    <row r="425" spans="2:21" ht="14" x14ac:dyDescent="0.2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175"/>
      <c r="P425" s="175"/>
      <c r="Q425" s="9"/>
      <c r="R425" s="9"/>
      <c r="S425" s="9"/>
      <c r="T425" s="9"/>
      <c r="U425" s="9"/>
    </row>
    <row r="426" spans="2:21" ht="14" x14ac:dyDescent="0.2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175"/>
      <c r="P426" s="175"/>
      <c r="Q426" s="9"/>
      <c r="R426" s="9"/>
      <c r="S426" s="9"/>
      <c r="T426" s="9"/>
      <c r="U426" s="9"/>
    </row>
    <row r="427" spans="2:21" ht="14" x14ac:dyDescent="0.2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175"/>
      <c r="P427" s="175"/>
      <c r="Q427" s="9"/>
      <c r="R427" s="9"/>
      <c r="S427" s="9"/>
      <c r="T427" s="9"/>
      <c r="U427" s="9"/>
    </row>
    <row r="428" spans="2:21" ht="14" x14ac:dyDescent="0.2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175"/>
      <c r="P428" s="175"/>
      <c r="Q428" s="9"/>
      <c r="R428" s="9"/>
      <c r="S428" s="9"/>
      <c r="T428" s="9"/>
      <c r="U428" s="9"/>
    </row>
    <row r="429" spans="2:21" ht="14" x14ac:dyDescent="0.2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175"/>
      <c r="P429" s="175"/>
      <c r="Q429" s="9"/>
      <c r="R429" s="9"/>
      <c r="S429" s="9"/>
      <c r="T429" s="9"/>
      <c r="U429" s="9"/>
    </row>
    <row r="430" spans="2:21" ht="14" x14ac:dyDescent="0.2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175"/>
      <c r="P430" s="175"/>
      <c r="Q430" s="9"/>
      <c r="R430" s="9"/>
      <c r="S430" s="9"/>
      <c r="T430" s="9"/>
      <c r="U430" s="9"/>
    </row>
    <row r="431" spans="2:21" ht="14" x14ac:dyDescent="0.2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175"/>
      <c r="P431" s="175"/>
      <c r="Q431" s="9"/>
      <c r="R431" s="9"/>
      <c r="S431" s="9"/>
      <c r="T431" s="9"/>
      <c r="U431" s="9"/>
    </row>
    <row r="432" spans="2:21" ht="14" x14ac:dyDescent="0.2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175"/>
      <c r="P432" s="175"/>
      <c r="Q432" s="9"/>
      <c r="R432" s="9"/>
      <c r="S432" s="9"/>
      <c r="T432" s="9"/>
      <c r="U432" s="9"/>
    </row>
    <row r="433" spans="2:21" ht="14" x14ac:dyDescent="0.2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175"/>
      <c r="P433" s="175"/>
      <c r="Q433" s="9"/>
      <c r="R433" s="9"/>
      <c r="S433" s="9"/>
      <c r="T433" s="9"/>
      <c r="U433" s="9"/>
    </row>
    <row r="434" spans="2:21" ht="14" x14ac:dyDescent="0.2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175"/>
      <c r="P434" s="175"/>
      <c r="Q434" s="9"/>
      <c r="R434" s="9"/>
      <c r="S434" s="9"/>
      <c r="T434" s="9"/>
      <c r="U434" s="9"/>
    </row>
    <row r="435" spans="2:21" ht="14" x14ac:dyDescent="0.2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175"/>
      <c r="P435" s="175"/>
      <c r="Q435" s="9"/>
      <c r="R435" s="9"/>
      <c r="S435" s="9"/>
      <c r="T435" s="9"/>
      <c r="U435" s="9"/>
    </row>
    <row r="436" spans="2:21" ht="14" x14ac:dyDescent="0.2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175"/>
      <c r="P436" s="175"/>
      <c r="Q436" s="9"/>
      <c r="R436" s="9"/>
      <c r="S436" s="9"/>
      <c r="T436" s="9"/>
      <c r="U436" s="9"/>
    </row>
    <row r="437" spans="2:21" ht="14" x14ac:dyDescent="0.2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175"/>
      <c r="P437" s="175"/>
      <c r="Q437" s="9"/>
      <c r="R437" s="9"/>
      <c r="S437" s="9"/>
      <c r="T437" s="9"/>
      <c r="U437" s="9"/>
    </row>
    <row r="438" spans="2:21" ht="14" x14ac:dyDescent="0.2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175"/>
      <c r="P438" s="175"/>
      <c r="Q438" s="9"/>
      <c r="R438" s="9"/>
      <c r="S438" s="9"/>
      <c r="T438" s="9"/>
      <c r="U438" s="9"/>
    </row>
    <row r="439" spans="2:21" ht="14" x14ac:dyDescent="0.2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175"/>
      <c r="P439" s="175"/>
      <c r="Q439" s="9"/>
      <c r="R439" s="9"/>
      <c r="S439" s="9"/>
      <c r="T439" s="9"/>
      <c r="U439" s="9"/>
    </row>
    <row r="440" spans="2:21" ht="14" x14ac:dyDescent="0.2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175"/>
      <c r="P440" s="175"/>
      <c r="Q440" s="9"/>
      <c r="R440" s="9"/>
      <c r="S440" s="9"/>
      <c r="T440" s="9"/>
      <c r="U440" s="9"/>
    </row>
    <row r="441" spans="2:21" ht="14" x14ac:dyDescent="0.2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175"/>
      <c r="P441" s="175"/>
      <c r="Q441" s="9"/>
      <c r="R441" s="9"/>
      <c r="S441" s="9"/>
      <c r="T441" s="9"/>
      <c r="U441" s="9"/>
    </row>
    <row r="442" spans="2:21" ht="14" x14ac:dyDescent="0.2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175"/>
      <c r="P442" s="175"/>
      <c r="Q442" s="9"/>
      <c r="R442" s="9"/>
      <c r="S442" s="9"/>
      <c r="T442" s="9"/>
      <c r="U442" s="9"/>
    </row>
    <row r="443" spans="2:21" ht="14" x14ac:dyDescent="0.2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175"/>
      <c r="P443" s="175"/>
      <c r="Q443" s="9"/>
      <c r="R443" s="9"/>
      <c r="S443" s="9"/>
      <c r="T443" s="9"/>
      <c r="U443" s="9"/>
    </row>
    <row r="444" spans="2:21" ht="14" x14ac:dyDescent="0.2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175"/>
      <c r="P444" s="175"/>
      <c r="Q444" s="9"/>
      <c r="R444" s="9"/>
      <c r="S444" s="9"/>
      <c r="T444" s="9"/>
      <c r="U444" s="9"/>
    </row>
    <row r="445" spans="2:21" ht="14" x14ac:dyDescent="0.2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175"/>
      <c r="P445" s="175"/>
      <c r="Q445" s="9"/>
      <c r="R445" s="9"/>
      <c r="S445" s="9"/>
      <c r="T445" s="9"/>
      <c r="U445" s="9"/>
    </row>
    <row r="446" spans="2:21" ht="14" x14ac:dyDescent="0.2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175"/>
      <c r="P446" s="175"/>
      <c r="Q446" s="9"/>
      <c r="R446" s="9"/>
      <c r="S446" s="9"/>
      <c r="T446" s="9"/>
      <c r="U446" s="9"/>
    </row>
    <row r="447" spans="2:21" ht="14" x14ac:dyDescent="0.2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175"/>
      <c r="P447" s="175"/>
      <c r="Q447" s="9"/>
      <c r="R447" s="9"/>
      <c r="S447" s="9"/>
      <c r="T447" s="9"/>
      <c r="U447" s="9"/>
    </row>
    <row r="448" spans="2:21" ht="14" x14ac:dyDescent="0.2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175"/>
      <c r="P448" s="175"/>
      <c r="Q448" s="9"/>
      <c r="R448" s="9"/>
      <c r="S448" s="9"/>
      <c r="T448" s="9"/>
      <c r="U448" s="9"/>
    </row>
    <row r="449" spans="2:21" ht="14" x14ac:dyDescent="0.2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175"/>
      <c r="P449" s="175"/>
      <c r="Q449" s="9"/>
      <c r="R449" s="9"/>
      <c r="S449" s="9"/>
      <c r="T449" s="9"/>
      <c r="U449" s="9"/>
    </row>
    <row r="450" spans="2:21" ht="14" x14ac:dyDescent="0.2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175"/>
      <c r="P450" s="175"/>
      <c r="Q450" s="9"/>
      <c r="R450" s="9"/>
      <c r="S450" s="9"/>
      <c r="T450" s="9"/>
      <c r="U450" s="9"/>
    </row>
    <row r="451" spans="2:21" ht="14" x14ac:dyDescent="0.2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175"/>
      <c r="P451" s="175"/>
      <c r="Q451" s="9"/>
      <c r="R451" s="9"/>
      <c r="S451" s="9"/>
      <c r="T451" s="9"/>
      <c r="U451" s="9"/>
    </row>
    <row r="452" spans="2:21" ht="14" x14ac:dyDescent="0.2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175"/>
      <c r="P452" s="175"/>
      <c r="Q452" s="9"/>
      <c r="R452" s="9"/>
      <c r="S452" s="9"/>
      <c r="T452" s="9"/>
      <c r="U452" s="9"/>
    </row>
    <row r="453" spans="2:21" ht="14" x14ac:dyDescent="0.2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175"/>
      <c r="P453" s="175"/>
      <c r="Q453" s="9"/>
      <c r="R453" s="9"/>
      <c r="S453" s="9"/>
      <c r="T453" s="9"/>
      <c r="U453" s="9"/>
    </row>
    <row r="454" spans="2:21" ht="14" x14ac:dyDescent="0.2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75"/>
      <c r="P454" s="175"/>
      <c r="Q454" s="9"/>
      <c r="R454" s="9"/>
      <c r="S454" s="9"/>
      <c r="T454" s="9"/>
      <c r="U454" s="9"/>
    </row>
    <row r="455" spans="2:21" ht="14" x14ac:dyDescent="0.2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175"/>
      <c r="P455" s="175"/>
      <c r="Q455" s="9"/>
      <c r="R455" s="9"/>
      <c r="S455" s="9"/>
      <c r="T455" s="9"/>
      <c r="U455" s="9"/>
    </row>
    <row r="456" spans="2:21" ht="14" x14ac:dyDescent="0.2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175"/>
      <c r="P456" s="175"/>
      <c r="Q456" s="9"/>
      <c r="R456" s="9"/>
      <c r="S456" s="9"/>
      <c r="T456" s="9"/>
      <c r="U456" s="9"/>
    </row>
    <row r="457" spans="2:21" ht="14" x14ac:dyDescent="0.2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175"/>
      <c r="P457" s="175"/>
      <c r="Q457" s="9"/>
      <c r="R457" s="9"/>
      <c r="S457" s="9"/>
      <c r="T457" s="9"/>
      <c r="U457" s="9"/>
    </row>
    <row r="458" spans="2:21" ht="14" x14ac:dyDescent="0.2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175"/>
      <c r="P458" s="175"/>
      <c r="Q458" s="9"/>
      <c r="R458" s="9"/>
      <c r="S458" s="9"/>
      <c r="T458" s="9"/>
      <c r="U458" s="9"/>
    </row>
    <row r="459" spans="2:21" ht="14" x14ac:dyDescent="0.2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175"/>
      <c r="P459" s="175"/>
      <c r="Q459" s="9"/>
      <c r="R459" s="9"/>
      <c r="S459" s="9"/>
      <c r="T459" s="9"/>
      <c r="U459" s="9"/>
    </row>
    <row r="460" spans="2:21" ht="14" x14ac:dyDescent="0.2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175"/>
      <c r="P460" s="175"/>
      <c r="Q460" s="9"/>
      <c r="R460" s="9"/>
      <c r="S460" s="9"/>
      <c r="T460" s="9"/>
      <c r="U460" s="9"/>
    </row>
    <row r="461" spans="2:21" ht="14" x14ac:dyDescent="0.2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175"/>
      <c r="P461" s="175"/>
      <c r="Q461" s="9"/>
      <c r="R461" s="9"/>
      <c r="S461" s="9"/>
      <c r="T461" s="9"/>
      <c r="U461" s="9"/>
    </row>
    <row r="462" spans="2:21" ht="14" x14ac:dyDescent="0.2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175"/>
      <c r="P462" s="175"/>
      <c r="Q462" s="9"/>
      <c r="R462" s="9"/>
      <c r="S462" s="9"/>
      <c r="T462" s="9"/>
      <c r="U462" s="9"/>
    </row>
    <row r="463" spans="2:21" ht="14" x14ac:dyDescent="0.2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175"/>
      <c r="P463" s="175"/>
      <c r="Q463" s="9"/>
      <c r="R463" s="9"/>
      <c r="S463" s="9"/>
      <c r="T463" s="9"/>
      <c r="U463" s="9"/>
    </row>
    <row r="464" spans="2:21" ht="14" x14ac:dyDescent="0.2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175"/>
      <c r="P464" s="175"/>
      <c r="Q464" s="9"/>
      <c r="R464" s="9"/>
      <c r="S464" s="9"/>
      <c r="T464" s="9"/>
      <c r="U464" s="9"/>
    </row>
    <row r="465" spans="2:21" ht="14" x14ac:dyDescent="0.2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175"/>
      <c r="P465" s="175"/>
      <c r="Q465" s="9"/>
      <c r="R465" s="9"/>
      <c r="S465" s="9"/>
      <c r="T465" s="9"/>
      <c r="U465" s="9"/>
    </row>
    <row r="466" spans="2:21" ht="14" x14ac:dyDescent="0.2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175"/>
      <c r="P466" s="175"/>
      <c r="Q466" s="9"/>
      <c r="R466" s="9"/>
      <c r="S466" s="9"/>
      <c r="T466" s="9"/>
      <c r="U466" s="9"/>
    </row>
    <row r="467" spans="2:21" ht="14" x14ac:dyDescent="0.2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175"/>
      <c r="P467" s="175"/>
      <c r="Q467" s="9"/>
      <c r="R467" s="9"/>
      <c r="S467" s="9"/>
      <c r="T467" s="9"/>
      <c r="U467" s="9"/>
    </row>
    <row r="468" spans="2:21" ht="14" x14ac:dyDescent="0.2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175"/>
      <c r="P468" s="175"/>
      <c r="Q468" s="9"/>
      <c r="R468" s="9"/>
      <c r="S468" s="9"/>
      <c r="T468" s="9"/>
      <c r="U468" s="9"/>
    </row>
    <row r="469" spans="2:21" ht="14" x14ac:dyDescent="0.2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175"/>
      <c r="P469" s="175"/>
      <c r="Q469" s="9"/>
      <c r="R469" s="9"/>
      <c r="S469" s="9"/>
      <c r="T469" s="9"/>
      <c r="U469" s="9"/>
    </row>
    <row r="470" spans="2:21" ht="14" x14ac:dyDescent="0.2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175"/>
      <c r="P470" s="175"/>
      <c r="Q470" s="9"/>
      <c r="R470" s="9"/>
      <c r="S470" s="9"/>
      <c r="T470" s="9"/>
      <c r="U470" s="9"/>
    </row>
    <row r="471" spans="2:21" ht="14" x14ac:dyDescent="0.2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175"/>
      <c r="P471" s="175"/>
      <c r="Q471" s="9"/>
      <c r="R471" s="9"/>
      <c r="S471" s="9"/>
      <c r="T471" s="9"/>
      <c r="U471" s="9"/>
    </row>
    <row r="472" spans="2:21" ht="14" x14ac:dyDescent="0.2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175"/>
      <c r="P472" s="175"/>
      <c r="Q472" s="9"/>
      <c r="R472" s="9"/>
      <c r="S472" s="9"/>
      <c r="T472" s="9"/>
      <c r="U472" s="9"/>
    </row>
    <row r="473" spans="2:21" ht="14" x14ac:dyDescent="0.2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75"/>
      <c r="P473" s="175"/>
      <c r="Q473" s="9"/>
      <c r="R473" s="9"/>
      <c r="S473" s="9"/>
      <c r="T473" s="9"/>
      <c r="U473" s="9"/>
    </row>
    <row r="474" spans="2:21" ht="14" x14ac:dyDescent="0.2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75"/>
      <c r="P474" s="175"/>
      <c r="Q474" s="9"/>
      <c r="R474" s="9"/>
      <c r="S474" s="9"/>
      <c r="T474" s="9"/>
      <c r="U474" s="9"/>
    </row>
    <row r="475" spans="2:21" ht="14" x14ac:dyDescent="0.2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175"/>
      <c r="P475" s="175"/>
      <c r="Q475" s="9"/>
      <c r="R475" s="9"/>
      <c r="S475" s="9"/>
      <c r="T475" s="9"/>
      <c r="U475" s="9"/>
    </row>
    <row r="476" spans="2:21" ht="14" x14ac:dyDescent="0.2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175"/>
      <c r="P476" s="175"/>
      <c r="Q476" s="9"/>
      <c r="R476" s="9"/>
      <c r="S476" s="9"/>
      <c r="T476" s="9"/>
      <c r="U476" s="9"/>
    </row>
    <row r="477" spans="2:21" ht="14" x14ac:dyDescent="0.2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175"/>
      <c r="P477" s="175"/>
      <c r="Q477" s="9"/>
      <c r="R477" s="9"/>
      <c r="S477" s="9"/>
      <c r="T477" s="9"/>
      <c r="U477" s="9"/>
    </row>
    <row r="478" spans="2:21" ht="14" x14ac:dyDescent="0.2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175"/>
      <c r="P478" s="175"/>
      <c r="Q478" s="9"/>
      <c r="R478" s="9"/>
      <c r="S478" s="9"/>
      <c r="T478" s="9"/>
      <c r="U478" s="9"/>
    </row>
    <row r="479" spans="2:21" ht="14" x14ac:dyDescent="0.2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175"/>
      <c r="P479" s="175"/>
      <c r="Q479" s="9"/>
      <c r="R479" s="9"/>
      <c r="S479" s="9"/>
      <c r="T479" s="9"/>
      <c r="U479" s="9"/>
    </row>
    <row r="480" spans="2:21" ht="14" x14ac:dyDescent="0.2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175"/>
      <c r="P480" s="175"/>
      <c r="Q480" s="9"/>
      <c r="R480" s="9"/>
      <c r="S480" s="9"/>
      <c r="T480" s="9"/>
      <c r="U480" s="9"/>
    </row>
    <row r="481" spans="2:21" ht="14" x14ac:dyDescent="0.2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175"/>
      <c r="P481" s="175"/>
      <c r="Q481" s="9"/>
      <c r="R481" s="9"/>
      <c r="S481" s="9"/>
      <c r="T481" s="9"/>
      <c r="U481" s="9"/>
    </row>
    <row r="482" spans="2:21" ht="14" x14ac:dyDescent="0.2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175"/>
      <c r="P482" s="175"/>
      <c r="Q482" s="9"/>
      <c r="R482" s="9"/>
      <c r="S482" s="9"/>
      <c r="T482" s="9"/>
      <c r="U482" s="9"/>
    </row>
    <row r="483" spans="2:21" ht="14" x14ac:dyDescent="0.2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175"/>
      <c r="P483" s="175"/>
      <c r="Q483" s="9"/>
      <c r="R483" s="9"/>
      <c r="S483" s="9"/>
      <c r="T483" s="9"/>
      <c r="U483" s="9"/>
    </row>
    <row r="484" spans="2:21" ht="14" x14ac:dyDescent="0.2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175"/>
      <c r="P484" s="175"/>
      <c r="Q484" s="9"/>
      <c r="R484" s="9"/>
      <c r="S484" s="9"/>
      <c r="T484" s="9"/>
      <c r="U484" s="9"/>
    </row>
    <row r="485" spans="2:21" ht="14" x14ac:dyDescent="0.2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175"/>
      <c r="P485" s="175"/>
      <c r="Q485" s="9"/>
      <c r="R485" s="9"/>
      <c r="S485" s="9"/>
      <c r="T485" s="9"/>
      <c r="U485" s="9"/>
    </row>
    <row r="486" spans="2:21" ht="14" x14ac:dyDescent="0.2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175"/>
      <c r="P486" s="175"/>
      <c r="Q486" s="9"/>
      <c r="R486" s="9"/>
      <c r="S486" s="9"/>
      <c r="T486" s="9"/>
      <c r="U486" s="9"/>
    </row>
    <row r="487" spans="2:21" ht="14" x14ac:dyDescent="0.2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175"/>
      <c r="P487" s="175"/>
      <c r="Q487" s="9"/>
      <c r="R487" s="9"/>
      <c r="S487" s="9"/>
      <c r="T487" s="9"/>
      <c r="U487" s="9"/>
    </row>
    <row r="488" spans="2:21" ht="14" x14ac:dyDescent="0.2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175"/>
      <c r="P488" s="175"/>
      <c r="Q488" s="9"/>
      <c r="R488" s="9"/>
      <c r="S488" s="9"/>
      <c r="T488" s="9"/>
      <c r="U488" s="9"/>
    </row>
    <row r="489" spans="2:21" ht="14" x14ac:dyDescent="0.2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175"/>
      <c r="P489" s="175"/>
      <c r="Q489" s="9"/>
      <c r="R489" s="9"/>
      <c r="S489" s="9"/>
      <c r="T489" s="9"/>
      <c r="U489" s="9"/>
    </row>
    <row r="490" spans="2:21" ht="14" x14ac:dyDescent="0.2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175"/>
      <c r="P490" s="175"/>
      <c r="Q490" s="9"/>
      <c r="R490" s="9"/>
      <c r="S490" s="9"/>
      <c r="T490" s="9"/>
      <c r="U490" s="9"/>
    </row>
    <row r="491" spans="2:21" ht="14" x14ac:dyDescent="0.2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75"/>
      <c r="P491" s="175"/>
      <c r="Q491" s="9"/>
      <c r="R491" s="9"/>
      <c r="S491" s="9"/>
      <c r="T491" s="9"/>
      <c r="U491" s="9"/>
    </row>
    <row r="492" spans="2:21" ht="14" x14ac:dyDescent="0.2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75"/>
      <c r="P492" s="175"/>
      <c r="Q492" s="9"/>
      <c r="R492" s="9"/>
      <c r="S492" s="9"/>
      <c r="T492" s="9"/>
      <c r="U492" s="9"/>
    </row>
    <row r="493" spans="2:21" ht="14" x14ac:dyDescent="0.2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175"/>
      <c r="P493" s="175"/>
      <c r="Q493" s="9"/>
      <c r="R493" s="9"/>
      <c r="S493" s="9"/>
      <c r="T493" s="9"/>
      <c r="U493" s="9"/>
    </row>
    <row r="494" spans="2:21" ht="14" x14ac:dyDescent="0.2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175"/>
      <c r="P494" s="175"/>
      <c r="Q494" s="9"/>
      <c r="R494" s="9"/>
      <c r="S494" s="9"/>
      <c r="T494" s="9"/>
      <c r="U494" s="9"/>
    </row>
    <row r="495" spans="2:21" ht="14" x14ac:dyDescent="0.2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175"/>
      <c r="P495" s="175"/>
      <c r="Q495" s="9"/>
      <c r="R495" s="9"/>
      <c r="S495" s="9"/>
      <c r="T495" s="9"/>
      <c r="U495" s="9"/>
    </row>
    <row r="496" spans="2:21" ht="14" x14ac:dyDescent="0.2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175"/>
      <c r="P496" s="175"/>
      <c r="Q496" s="9"/>
      <c r="R496" s="9"/>
      <c r="S496" s="9"/>
      <c r="T496" s="9"/>
      <c r="U496" s="9"/>
    </row>
    <row r="497" spans="2:21" ht="14" x14ac:dyDescent="0.2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175"/>
      <c r="P497" s="175"/>
      <c r="Q497" s="9"/>
      <c r="R497" s="9"/>
      <c r="S497" s="9"/>
      <c r="T497" s="9"/>
      <c r="U497" s="9"/>
    </row>
    <row r="498" spans="2:21" ht="14" x14ac:dyDescent="0.2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175"/>
      <c r="P498" s="175"/>
      <c r="Q498" s="9"/>
      <c r="R498" s="9"/>
      <c r="S498" s="9"/>
      <c r="T498" s="9"/>
      <c r="U498" s="9"/>
    </row>
    <row r="499" spans="2:21" ht="14" x14ac:dyDescent="0.2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75"/>
      <c r="P499" s="175"/>
      <c r="Q499" s="9"/>
      <c r="R499" s="9"/>
      <c r="S499" s="9"/>
      <c r="T499" s="9"/>
      <c r="U499" s="9"/>
    </row>
    <row r="500" spans="2:21" ht="14" x14ac:dyDescent="0.2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75"/>
      <c r="P500" s="175"/>
      <c r="Q500" s="9"/>
      <c r="R500" s="9"/>
      <c r="S500" s="9"/>
      <c r="T500" s="9"/>
      <c r="U500" s="9"/>
    </row>
    <row r="501" spans="2:21" ht="14" x14ac:dyDescent="0.2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175"/>
      <c r="P501" s="175"/>
      <c r="Q501" s="9"/>
      <c r="R501" s="9"/>
      <c r="S501" s="9"/>
      <c r="T501" s="9"/>
      <c r="U501" s="9"/>
    </row>
    <row r="502" spans="2:21" ht="14" x14ac:dyDescent="0.2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175"/>
      <c r="P502" s="175"/>
      <c r="Q502" s="9"/>
      <c r="R502" s="9"/>
      <c r="S502" s="9"/>
      <c r="T502" s="9"/>
      <c r="U502" s="9"/>
    </row>
    <row r="503" spans="2:21" ht="14" x14ac:dyDescent="0.2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175"/>
      <c r="P503" s="175"/>
      <c r="Q503" s="9"/>
      <c r="R503" s="9"/>
      <c r="S503" s="9"/>
      <c r="T503" s="9"/>
      <c r="U503" s="9"/>
    </row>
    <row r="504" spans="2:21" ht="14" x14ac:dyDescent="0.2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175"/>
      <c r="P504" s="175"/>
      <c r="Q504" s="9"/>
      <c r="R504" s="9"/>
      <c r="S504" s="9"/>
      <c r="T504" s="9"/>
      <c r="U504" s="9"/>
    </row>
    <row r="505" spans="2:21" ht="14" x14ac:dyDescent="0.2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175"/>
      <c r="P505" s="175"/>
      <c r="Q505" s="9"/>
      <c r="R505" s="9"/>
      <c r="S505" s="9"/>
      <c r="T505" s="9"/>
      <c r="U505" s="9"/>
    </row>
    <row r="506" spans="2:21" ht="14" x14ac:dyDescent="0.2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175"/>
      <c r="P506" s="175"/>
      <c r="Q506" s="9"/>
      <c r="R506" s="9"/>
      <c r="S506" s="9"/>
      <c r="T506" s="9"/>
      <c r="U506" s="9"/>
    </row>
    <row r="507" spans="2:21" ht="14" x14ac:dyDescent="0.2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175"/>
      <c r="P507" s="175"/>
      <c r="Q507" s="9"/>
      <c r="R507" s="9"/>
      <c r="S507" s="9"/>
      <c r="T507" s="9"/>
      <c r="U507" s="9"/>
    </row>
    <row r="508" spans="2:21" ht="14" x14ac:dyDescent="0.2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175"/>
      <c r="P508" s="175"/>
      <c r="Q508" s="9"/>
      <c r="R508" s="9"/>
      <c r="S508" s="9"/>
      <c r="T508" s="9"/>
      <c r="U508" s="9"/>
    </row>
    <row r="509" spans="2:21" ht="14" x14ac:dyDescent="0.2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175"/>
      <c r="P509" s="175"/>
      <c r="Q509" s="9"/>
      <c r="R509" s="9"/>
      <c r="S509" s="9"/>
      <c r="T509" s="9"/>
      <c r="U509" s="9"/>
    </row>
    <row r="510" spans="2:21" ht="14" x14ac:dyDescent="0.2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175"/>
      <c r="P510" s="175"/>
      <c r="Q510" s="9"/>
      <c r="R510" s="9"/>
      <c r="S510" s="9"/>
      <c r="T510" s="9"/>
      <c r="U510" s="9"/>
    </row>
    <row r="511" spans="2:21" ht="14" x14ac:dyDescent="0.2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175"/>
      <c r="P511" s="175"/>
      <c r="Q511" s="9"/>
      <c r="R511" s="9"/>
      <c r="S511" s="9"/>
      <c r="T511" s="9"/>
      <c r="U511" s="9"/>
    </row>
    <row r="512" spans="2:21" ht="14" x14ac:dyDescent="0.2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175"/>
      <c r="P512" s="175"/>
      <c r="Q512" s="9"/>
      <c r="R512" s="9"/>
      <c r="S512" s="9"/>
      <c r="T512" s="9"/>
      <c r="U512" s="9"/>
    </row>
    <row r="513" spans="2:21" ht="14" x14ac:dyDescent="0.2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175"/>
      <c r="P513" s="175"/>
      <c r="Q513" s="9"/>
      <c r="R513" s="9"/>
      <c r="S513" s="9"/>
      <c r="T513" s="9"/>
      <c r="U513" s="9"/>
    </row>
    <row r="514" spans="2:21" ht="14" x14ac:dyDescent="0.2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175"/>
      <c r="P514" s="175"/>
      <c r="Q514" s="9"/>
      <c r="R514" s="9"/>
      <c r="S514" s="9"/>
      <c r="T514" s="9"/>
      <c r="U514" s="9"/>
    </row>
    <row r="515" spans="2:21" ht="14" x14ac:dyDescent="0.2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175"/>
      <c r="P515" s="175"/>
      <c r="Q515" s="9"/>
      <c r="R515" s="9"/>
      <c r="S515" s="9"/>
      <c r="T515" s="9"/>
      <c r="U515" s="9"/>
    </row>
    <row r="516" spans="2:21" ht="14" x14ac:dyDescent="0.2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175"/>
      <c r="P516" s="175"/>
      <c r="Q516" s="9"/>
      <c r="R516" s="9"/>
      <c r="S516" s="9"/>
      <c r="T516" s="9"/>
      <c r="U516" s="9"/>
    </row>
    <row r="517" spans="2:21" ht="14" x14ac:dyDescent="0.2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175"/>
      <c r="P517" s="175"/>
      <c r="Q517" s="9"/>
      <c r="R517" s="9"/>
      <c r="S517" s="9"/>
      <c r="T517" s="9"/>
      <c r="U517" s="9"/>
    </row>
    <row r="518" spans="2:21" ht="14" x14ac:dyDescent="0.2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175"/>
      <c r="P518" s="175"/>
      <c r="Q518" s="9"/>
      <c r="R518" s="9"/>
      <c r="S518" s="9"/>
      <c r="T518" s="9"/>
      <c r="U518" s="9"/>
    </row>
    <row r="519" spans="2:21" ht="14" x14ac:dyDescent="0.2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175"/>
      <c r="P519" s="175"/>
      <c r="Q519" s="9"/>
      <c r="R519" s="9"/>
      <c r="S519" s="9"/>
      <c r="T519" s="9"/>
      <c r="U519" s="9"/>
    </row>
    <row r="520" spans="2:21" ht="14" x14ac:dyDescent="0.2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175"/>
      <c r="P520" s="175"/>
      <c r="Q520" s="9"/>
      <c r="R520" s="9"/>
      <c r="S520" s="9"/>
      <c r="T520" s="9"/>
      <c r="U520" s="9"/>
    </row>
    <row r="521" spans="2:21" ht="14" x14ac:dyDescent="0.2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175"/>
      <c r="P521" s="175"/>
      <c r="Q521" s="9"/>
      <c r="R521" s="9"/>
      <c r="S521" s="9"/>
      <c r="T521" s="9"/>
      <c r="U521" s="9"/>
    </row>
    <row r="522" spans="2:21" ht="14" x14ac:dyDescent="0.2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175"/>
      <c r="P522" s="175"/>
      <c r="Q522" s="9"/>
      <c r="R522" s="9"/>
      <c r="S522" s="9"/>
      <c r="T522" s="9"/>
      <c r="U522" s="9"/>
    </row>
    <row r="523" spans="2:21" ht="14" x14ac:dyDescent="0.2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175"/>
      <c r="P523" s="175"/>
      <c r="Q523" s="9"/>
      <c r="R523" s="9"/>
      <c r="S523" s="9"/>
      <c r="T523" s="9"/>
      <c r="U523" s="9"/>
    </row>
    <row r="524" spans="2:21" ht="14" x14ac:dyDescent="0.2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175"/>
      <c r="P524" s="175"/>
      <c r="Q524" s="9"/>
      <c r="R524" s="9"/>
      <c r="S524" s="9"/>
      <c r="T524" s="9"/>
      <c r="U524" s="9"/>
    </row>
    <row r="525" spans="2:21" ht="14" x14ac:dyDescent="0.2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175"/>
      <c r="P525" s="175"/>
      <c r="Q525" s="9"/>
      <c r="R525" s="9"/>
      <c r="S525" s="9"/>
      <c r="T525" s="9"/>
      <c r="U525" s="9"/>
    </row>
    <row r="526" spans="2:21" ht="14" x14ac:dyDescent="0.2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175"/>
      <c r="P526" s="175"/>
      <c r="Q526" s="9"/>
      <c r="R526" s="9"/>
      <c r="S526" s="9"/>
      <c r="T526" s="9"/>
      <c r="U526" s="9"/>
    </row>
    <row r="527" spans="2:21" ht="14" x14ac:dyDescent="0.2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175"/>
      <c r="P527" s="175"/>
      <c r="Q527" s="9"/>
      <c r="R527" s="9"/>
      <c r="S527" s="9"/>
      <c r="T527" s="9"/>
      <c r="U527" s="9"/>
    </row>
    <row r="528" spans="2:21" ht="14" x14ac:dyDescent="0.2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175"/>
      <c r="P528" s="175"/>
      <c r="Q528" s="9"/>
      <c r="R528" s="9"/>
      <c r="S528" s="9"/>
      <c r="T528" s="9"/>
      <c r="U528" s="9"/>
    </row>
    <row r="529" spans="2:21" ht="14" x14ac:dyDescent="0.2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175"/>
      <c r="P529" s="175"/>
      <c r="Q529" s="9"/>
      <c r="R529" s="9"/>
      <c r="S529" s="9"/>
      <c r="T529" s="9"/>
      <c r="U529" s="9"/>
    </row>
    <row r="530" spans="2:21" ht="14" x14ac:dyDescent="0.2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175"/>
      <c r="P530" s="175"/>
      <c r="Q530" s="9"/>
      <c r="R530" s="9"/>
      <c r="S530" s="9"/>
      <c r="T530" s="9"/>
      <c r="U530" s="9"/>
    </row>
    <row r="531" spans="2:21" ht="14" x14ac:dyDescent="0.2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175"/>
      <c r="P531" s="175"/>
      <c r="Q531" s="9"/>
      <c r="R531" s="9"/>
      <c r="S531" s="9"/>
      <c r="T531" s="9"/>
      <c r="U531" s="9"/>
    </row>
    <row r="532" spans="2:21" ht="14" x14ac:dyDescent="0.2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175"/>
      <c r="P532" s="175"/>
      <c r="Q532" s="9"/>
      <c r="R532" s="9"/>
      <c r="S532" s="9"/>
      <c r="T532" s="9"/>
      <c r="U532" s="9"/>
    </row>
    <row r="533" spans="2:21" ht="14" x14ac:dyDescent="0.2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175"/>
      <c r="P533" s="175"/>
      <c r="Q533" s="9"/>
      <c r="R533" s="9"/>
      <c r="S533" s="9"/>
      <c r="T533" s="9"/>
      <c r="U533" s="9"/>
    </row>
    <row r="534" spans="2:21" ht="14" x14ac:dyDescent="0.2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175"/>
      <c r="P534" s="175"/>
      <c r="Q534" s="9"/>
      <c r="R534" s="9"/>
      <c r="S534" s="9"/>
      <c r="T534" s="9"/>
      <c r="U534" s="9"/>
    </row>
    <row r="535" spans="2:21" ht="14" x14ac:dyDescent="0.2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175"/>
      <c r="P535" s="175"/>
      <c r="Q535" s="9"/>
      <c r="R535" s="9"/>
      <c r="S535" s="9"/>
      <c r="T535" s="9"/>
      <c r="U535" s="9"/>
    </row>
    <row r="536" spans="2:21" ht="14" x14ac:dyDescent="0.2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175"/>
      <c r="P536" s="175"/>
      <c r="Q536" s="9"/>
      <c r="R536" s="9"/>
      <c r="S536" s="9"/>
      <c r="T536" s="9"/>
      <c r="U536" s="9"/>
    </row>
    <row r="537" spans="2:21" ht="14" x14ac:dyDescent="0.2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175"/>
      <c r="P537" s="175"/>
      <c r="Q537" s="9"/>
      <c r="R537" s="9"/>
      <c r="S537" s="9"/>
      <c r="T537" s="9"/>
      <c r="U537" s="9"/>
    </row>
    <row r="538" spans="2:21" ht="14" x14ac:dyDescent="0.2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175"/>
      <c r="P538" s="175"/>
      <c r="Q538" s="9"/>
      <c r="R538" s="9"/>
      <c r="S538" s="9"/>
      <c r="T538" s="9"/>
      <c r="U538" s="9"/>
    </row>
    <row r="539" spans="2:21" ht="14" x14ac:dyDescent="0.2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175"/>
      <c r="P539" s="175"/>
      <c r="Q539" s="9"/>
      <c r="R539" s="9"/>
      <c r="S539" s="9"/>
      <c r="T539" s="9"/>
      <c r="U539" s="9"/>
    </row>
    <row r="540" spans="2:21" ht="14" x14ac:dyDescent="0.2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175"/>
      <c r="P540" s="175"/>
      <c r="Q540" s="9"/>
      <c r="R540" s="9"/>
      <c r="S540" s="9"/>
      <c r="T540" s="9"/>
      <c r="U540" s="9"/>
    </row>
    <row r="541" spans="2:21" ht="14" x14ac:dyDescent="0.2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175"/>
      <c r="P541" s="175"/>
      <c r="Q541" s="9"/>
      <c r="R541" s="9"/>
      <c r="S541" s="9"/>
      <c r="T541" s="9"/>
      <c r="U541" s="9"/>
    </row>
    <row r="542" spans="2:21" ht="14" x14ac:dyDescent="0.2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175"/>
      <c r="P542" s="175"/>
      <c r="Q542" s="9"/>
      <c r="R542" s="9"/>
      <c r="S542" s="9"/>
      <c r="T542" s="9"/>
      <c r="U542" s="9"/>
    </row>
    <row r="543" spans="2:21" ht="14" x14ac:dyDescent="0.2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175"/>
      <c r="P543" s="175"/>
      <c r="Q543" s="9"/>
      <c r="R543" s="9"/>
      <c r="S543" s="9"/>
      <c r="T543" s="9"/>
      <c r="U543" s="9"/>
    </row>
    <row r="544" spans="2:21" ht="14" x14ac:dyDescent="0.2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175"/>
      <c r="P544" s="175"/>
      <c r="Q544" s="9"/>
      <c r="R544" s="9"/>
      <c r="S544" s="9"/>
      <c r="T544" s="9"/>
      <c r="U544" s="9"/>
    </row>
    <row r="545" spans="2:21" ht="14" x14ac:dyDescent="0.2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175"/>
      <c r="P545" s="175"/>
      <c r="Q545" s="9"/>
      <c r="R545" s="9"/>
      <c r="S545" s="9"/>
      <c r="T545" s="9"/>
      <c r="U545" s="9"/>
    </row>
    <row r="546" spans="2:21" ht="14" x14ac:dyDescent="0.2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175"/>
      <c r="P546" s="175"/>
      <c r="Q546" s="9"/>
      <c r="R546" s="9"/>
      <c r="S546" s="9"/>
      <c r="T546" s="9"/>
      <c r="U546" s="9"/>
    </row>
    <row r="547" spans="2:21" ht="14" x14ac:dyDescent="0.2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175"/>
      <c r="P547" s="175"/>
      <c r="Q547" s="9"/>
      <c r="R547" s="9"/>
      <c r="S547" s="9"/>
      <c r="T547" s="9"/>
      <c r="U547" s="9"/>
    </row>
    <row r="548" spans="2:21" ht="14" x14ac:dyDescent="0.2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175"/>
      <c r="P548" s="175"/>
      <c r="Q548" s="9"/>
      <c r="R548" s="9"/>
      <c r="S548" s="9"/>
      <c r="T548" s="9"/>
      <c r="U548" s="9"/>
    </row>
    <row r="549" spans="2:21" ht="14" x14ac:dyDescent="0.2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175"/>
      <c r="P549" s="175"/>
      <c r="Q549" s="9"/>
      <c r="R549" s="9"/>
      <c r="S549" s="9"/>
      <c r="T549" s="9"/>
      <c r="U549" s="9"/>
    </row>
    <row r="550" spans="2:21" ht="14" x14ac:dyDescent="0.2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175"/>
      <c r="P550" s="175"/>
      <c r="Q550" s="9"/>
      <c r="R550" s="9"/>
      <c r="S550" s="9"/>
      <c r="T550" s="9"/>
      <c r="U550" s="9"/>
    </row>
    <row r="551" spans="2:21" ht="14" x14ac:dyDescent="0.2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175"/>
      <c r="P551" s="175"/>
      <c r="Q551" s="9"/>
      <c r="R551" s="9"/>
      <c r="S551" s="9"/>
      <c r="T551" s="9"/>
      <c r="U551" s="9"/>
    </row>
    <row r="552" spans="2:21" ht="14" x14ac:dyDescent="0.2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175"/>
      <c r="P552" s="175"/>
      <c r="Q552" s="9"/>
      <c r="R552" s="9"/>
      <c r="S552" s="9"/>
      <c r="T552" s="9"/>
      <c r="U552" s="9"/>
    </row>
    <row r="553" spans="2:21" ht="14" x14ac:dyDescent="0.2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175"/>
      <c r="P553" s="175"/>
      <c r="Q553" s="9"/>
      <c r="R553" s="9"/>
      <c r="S553" s="9"/>
      <c r="T553" s="9"/>
      <c r="U553" s="9"/>
    </row>
    <row r="554" spans="2:21" ht="14" x14ac:dyDescent="0.2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175"/>
      <c r="P554" s="175"/>
      <c r="Q554" s="9"/>
      <c r="R554" s="9"/>
      <c r="S554" s="9"/>
      <c r="T554" s="9"/>
      <c r="U554" s="9"/>
    </row>
    <row r="555" spans="2:21" ht="14" x14ac:dyDescent="0.2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175"/>
      <c r="P555" s="175"/>
      <c r="Q555" s="9"/>
      <c r="R555" s="9"/>
      <c r="S555" s="9"/>
      <c r="T555" s="9"/>
      <c r="U555" s="9"/>
    </row>
    <row r="556" spans="2:21" ht="14" x14ac:dyDescent="0.2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75"/>
      <c r="P556" s="175"/>
      <c r="Q556" s="9"/>
      <c r="R556" s="9"/>
      <c r="S556" s="9"/>
      <c r="T556" s="9"/>
      <c r="U556" s="9"/>
    </row>
    <row r="557" spans="2:21" ht="14" x14ac:dyDescent="0.2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175"/>
      <c r="P557" s="175"/>
      <c r="Q557" s="9"/>
      <c r="R557" s="9"/>
      <c r="S557" s="9"/>
      <c r="T557" s="9"/>
      <c r="U557" s="9"/>
    </row>
    <row r="558" spans="2:21" ht="14" x14ac:dyDescent="0.2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175"/>
      <c r="P558" s="175"/>
      <c r="Q558" s="9"/>
      <c r="R558" s="9"/>
      <c r="S558" s="9"/>
      <c r="T558" s="9"/>
      <c r="U558" s="9"/>
    </row>
    <row r="559" spans="2:21" ht="14" x14ac:dyDescent="0.2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175"/>
      <c r="P559" s="175"/>
      <c r="Q559" s="9"/>
      <c r="R559" s="9"/>
      <c r="S559" s="9"/>
      <c r="T559" s="9"/>
      <c r="U559" s="9"/>
    </row>
    <row r="560" spans="2:21" ht="14" x14ac:dyDescent="0.2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175"/>
      <c r="P560" s="175"/>
      <c r="Q560" s="9"/>
      <c r="R560" s="9"/>
      <c r="S560" s="9"/>
      <c r="T560" s="9"/>
      <c r="U560" s="9"/>
    </row>
    <row r="561" spans="2:21" ht="14" x14ac:dyDescent="0.2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175"/>
      <c r="P561" s="175"/>
      <c r="Q561" s="9"/>
      <c r="R561" s="9"/>
      <c r="S561" s="9"/>
      <c r="T561" s="9"/>
      <c r="U561" s="9"/>
    </row>
    <row r="562" spans="2:21" ht="14" x14ac:dyDescent="0.2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175"/>
      <c r="P562" s="175"/>
      <c r="Q562" s="9"/>
      <c r="R562" s="9"/>
      <c r="S562" s="9"/>
      <c r="T562" s="9"/>
      <c r="U562" s="9"/>
    </row>
    <row r="563" spans="2:21" ht="14" x14ac:dyDescent="0.2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175"/>
      <c r="P563" s="175"/>
      <c r="Q563" s="9"/>
      <c r="R563" s="9"/>
      <c r="S563" s="9"/>
      <c r="T563" s="9"/>
      <c r="U563" s="9"/>
    </row>
    <row r="564" spans="2:21" ht="14" x14ac:dyDescent="0.2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175"/>
      <c r="P564" s="175"/>
      <c r="Q564" s="9"/>
      <c r="R564" s="9"/>
      <c r="S564" s="9"/>
      <c r="T564" s="9"/>
      <c r="U564" s="9"/>
    </row>
    <row r="565" spans="2:21" ht="14" x14ac:dyDescent="0.2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175"/>
      <c r="P565" s="175"/>
      <c r="Q565" s="9"/>
      <c r="R565" s="9"/>
      <c r="S565" s="9"/>
      <c r="T565" s="9"/>
      <c r="U565" s="9"/>
    </row>
    <row r="566" spans="2:21" ht="14" x14ac:dyDescent="0.2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175"/>
      <c r="P566" s="175"/>
      <c r="Q566" s="9"/>
      <c r="R566" s="9"/>
      <c r="S566" s="9"/>
      <c r="T566" s="9"/>
      <c r="U566" s="9"/>
    </row>
    <row r="567" spans="2:21" ht="14" x14ac:dyDescent="0.2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175"/>
      <c r="P567" s="175"/>
      <c r="Q567" s="9"/>
      <c r="R567" s="9"/>
      <c r="S567" s="9"/>
      <c r="T567" s="9"/>
      <c r="U567" s="9"/>
    </row>
    <row r="568" spans="2:21" ht="14" x14ac:dyDescent="0.2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175"/>
      <c r="P568" s="175"/>
      <c r="Q568" s="9"/>
      <c r="R568" s="9"/>
      <c r="S568" s="9"/>
      <c r="T568" s="9"/>
      <c r="U568" s="9"/>
    </row>
    <row r="569" spans="2:21" ht="14" x14ac:dyDescent="0.2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175"/>
      <c r="P569" s="175"/>
      <c r="Q569" s="9"/>
      <c r="R569" s="9"/>
      <c r="S569" s="9"/>
      <c r="T569" s="9"/>
      <c r="U569" s="9"/>
    </row>
    <row r="570" spans="2:21" ht="14" x14ac:dyDescent="0.2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175"/>
      <c r="P570" s="175"/>
      <c r="Q570" s="9"/>
      <c r="R570" s="9"/>
      <c r="S570" s="9"/>
      <c r="T570" s="9"/>
      <c r="U570" s="9"/>
    </row>
    <row r="571" spans="2:21" ht="14" x14ac:dyDescent="0.2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175"/>
      <c r="P571" s="175"/>
      <c r="Q571" s="9"/>
      <c r="R571" s="9"/>
      <c r="S571" s="9"/>
      <c r="T571" s="9"/>
      <c r="U571" s="9"/>
    </row>
    <row r="572" spans="2:21" ht="14" x14ac:dyDescent="0.2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175"/>
      <c r="P572" s="175"/>
      <c r="Q572" s="9"/>
      <c r="R572" s="9"/>
      <c r="S572" s="9"/>
      <c r="T572" s="9"/>
      <c r="U572" s="9"/>
    </row>
    <row r="573" spans="2:21" ht="14" x14ac:dyDescent="0.2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175"/>
      <c r="P573" s="175"/>
      <c r="Q573" s="9"/>
      <c r="R573" s="9"/>
      <c r="S573" s="9"/>
      <c r="T573" s="9"/>
      <c r="U573" s="9"/>
    </row>
    <row r="574" spans="2:21" ht="14" x14ac:dyDescent="0.2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175"/>
      <c r="P574" s="175"/>
      <c r="Q574" s="9"/>
      <c r="R574" s="9"/>
      <c r="S574" s="9"/>
      <c r="T574" s="9"/>
      <c r="U574" s="9"/>
    </row>
    <row r="575" spans="2:21" ht="14" x14ac:dyDescent="0.2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175"/>
      <c r="P575" s="175"/>
      <c r="Q575" s="9"/>
      <c r="R575" s="9"/>
      <c r="S575" s="9"/>
      <c r="T575" s="9"/>
      <c r="U575" s="9"/>
    </row>
    <row r="576" spans="2:21" ht="14" x14ac:dyDescent="0.2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175"/>
      <c r="P576" s="175"/>
      <c r="Q576" s="9"/>
      <c r="R576" s="9"/>
      <c r="S576" s="9"/>
      <c r="T576" s="9"/>
      <c r="U576" s="9"/>
    </row>
    <row r="577" spans="2:21" ht="14" x14ac:dyDescent="0.2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175"/>
      <c r="P577" s="175"/>
      <c r="Q577" s="9"/>
      <c r="R577" s="9"/>
      <c r="S577" s="9"/>
      <c r="T577" s="9"/>
      <c r="U577" s="9"/>
    </row>
    <row r="578" spans="2:21" ht="14" x14ac:dyDescent="0.2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175"/>
      <c r="P578" s="175"/>
      <c r="Q578" s="9"/>
      <c r="R578" s="9"/>
      <c r="S578" s="9"/>
      <c r="T578" s="9"/>
      <c r="U578" s="9"/>
    </row>
    <row r="579" spans="2:21" ht="14" x14ac:dyDescent="0.2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175"/>
      <c r="P579" s="175"/>
      <c r="Q579" s="9"/>
      <c r="R579" s="9"/>
      <c r="S579" s="9"/>
      <c r="T579" s="9"/>
      <c r="U579" s="9"/>
    </row>
    <row r="580" spans="2:21" ht="14" x14ac:dyDescent="0.2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175"/>
      <c r="P580" s="175"/>
      <c r="Q580" s="9"/>
      <c r="R580" s="9"/>
      <c r="S580" s="9"/>
      <c r="T580" s="9"/>
      <c r="U580" s="9"/>
    </row>
    <row r="581" spans="2:21" ht="14" x14ac:dyDescent="0.2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175"/>
      <c r="P581" s="175"/>
      <c r="Q581" s="9"/>
      <c r="R581" s="9"/>
      <c r="S581" s="9"/>
      <c r="T581" s="9"/>
      <c r="U581" s="9"/>
    </row>
    <row r="582" spans="2:21" ht="14" x14ac:dyDescent="0.2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175"/>
      <c r="P582" s="175"/>
      <c r="Q582" s="9"/>
      <c r="R582" s="9"/>
      <c r="S582" s="9"/>
      <c r="T582" s="9"/>
      <c r="U582" s="9"/>
    </row>
    <row r="583" spans="2:21" ht="14" x14ac:dyDescent="0.2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175"/>
      <c r="P583" s="175"/>
      <c r="Q583" s="9"/>
      <c r="R583" s="9"/>
      <c r="S583" s="9"/>
      <c r="T583" s="9"/>
      <c r="U583" s="9"/>
    </row>
    <row r="584" spans="2:21" ht="14" x14ac:dyDescent="0.2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175"/>
      <c r="P584" s="175"/>
      <c r="Q584" s="9"/>
      <c r="R584" s="9"/>
      <c r="S584" s="9"/>
      <c r="T584" s="9"/>
      <c r="U584" s="9"/>
    </row>
    <row r="585" spans="2:21" ht="14" x14ac:dyDescent="0.2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175"/>
      <c r="P585" s="175"/>
      <c r="Q585" s="9"/>
      <c r="R585" s="9"/>
      <c r="S585" s="9"/>
      <c r="T585" s="9"/>
      <c r="U585" s="9"/>
    </row>
    <row r="586" spans="2:21" ht="14" x14ac:dyDescent="0.2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175"/>
      <c r="P586" s="175"/>
      <c r="Q586" s="9"/>
      <c r="R586" s="9"/>
      <c r="S586" s="9"/>
      <c r="T586" s="9"/>
      <c r="U586" s="9"/>
    </row>
    <row r="587" spans="2:21" ht="14" x14ac:dyDescent="0.2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175"/>
      <c r="P587" s="175"/>
      <c r="Q587" s="9"/>
      <c r="R587" s="9"/>
      <c r="S587" s="9"/>
      <c r="T587" s="9"/>
      <c r="U587" s="9"/>
    </row>
    <row r="588" spans="2:21" ht="14" x14ac:dyDescent="0.2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175"/>
      <c r="P588" s="175"/>
      <c r="Q588" s="9"/>
      <c r="R588" s="9"/>
      <c r="S588" s="9"/>
      <c r="T588" s="9"/>
      <c r="U588" s="9"/>
    </row>
    <row r="589" spans="2:21" ht="14" x14ac:dyDescent="0.2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175"/>
      <c r="P589" s="175"/>
      <c r="Q589" s="9"/>
      <c r="R589" s="9"/>
      <c r="S589" s="9"/>
      <c r="T589" s="9"/>
      <c r="U589" s="9"/>
    </row>
    <row r="590" spans="2:21" ht="14" x14ac:dyDescent="0.2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175"/>
      <c r="P590" s="175"/>
      <c r="Q590" s="9"/>
      <c r="R590" s="9"/>
      <c r="S590" s="9"/>
      <c r="T590" s="9"/>
      <c r="U590" s="9"/>
    </row>
    <row r="591" spans="2:21" ht="14" x14ac:dyDescent="0.2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175"/>
      <c r="P591" s="175"/>
      <c r="Q591" s="9"/>
      <c r="R591" s="9"/>
      <c r="S591" s="9"/>
      <c r="T591" s="9"/>
      <c r="U591" s="9"/>
    </row>
    <row r="592" spans="2:21" ht="14" x14ac:dyDescent="0.2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175"/>
      <c r="P592" s="175"/>
      <c r="Q592" s="9"/>
      <c r="R592" s="9"/>
      <c r="S592" s="9"/>
      <c r="T592" s="9"/>
      <c r="U592" s="9"/>
    </row>
    <row r="593" spans="2:21" ht="14" x14ac:dyDescent="0.2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175"/>
      <c r="P593" s="175"/>
      <c r="Q593" s="9"/>
      <c r="R593" s="9"/>
      <c r="S593" s="9"/>
      <c r="T593" s="9"/>
      <c r="U593" s="9"/>
    </row>
    <row r="594" spans="2:21" ht="14" x14ac:dyDescent="0.2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175"/>
      <c r="P594" s="175"/>
      <c r="Q594" s="9"/>
      <c r="R594" s="9"/>
      <c r="S594" s="9"/>
      <c r="T594" s="9"/>
      <c r="U594" s="9"/>
    </row>
    <row r="595" spans="2:21" ht="14" x14ac:dyDescent="0.2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175"/>
      <c r="P595" s="175"/>
      <c r="Q595" s="9"/>
      <c r="R595" s="9"/>
      <c r="S595" s="9"/>
      <c r="T595" s="9"/>
      <c r="U595" s="9"/>
    </row>
    <row r="596" spans="2:21" ht="14" x14ac:dyDescent="0.2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175"/>
      <c r="P596" s="175"/>
      <c r="Q596" s="9"/>
      <c r="R596" s="9"/>
      <c r="S596" s="9"/>
      <c r="T596" s="9"/>
      <c r="U596" s="9"/>
    </row>
    <row r="597" spans="2:21" ht="14" x14ac:dyDescent="0.2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175"/>
      <c r="P597" s="175"/>
      <c r="Q597" s="9"/>
      <c r="R597" s="9"/>
      <c r="S597" s="9"/>
      <c r="T597" s="9"/>
      <c r="U597" s="9"/>
    </row>
    <row r="598" spans="2:21" ht="14" x14ac:dyDescent="0.2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175"/>
      <c r="P598" s="175"/>
      <c r="Q598" s="9"/>
      <c r="R598" s="9"/>
      <c r="S598" s="9"/>
      <c r="T598" s="9"/>
      <c r="U598" s="9"/>
    </row>
    <row r="599" spans="2:21" ht="14" x14ac:dyDescent="0.2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175"/>
      <c r="P599" s="175"/>
      <c r="Q599" s="9"/>
      <c r="R599" s="9"/>
      <c r="S599" s="9"/>
      <c r="T599" s="9"/>
      <c r="U599" s="9"/>
    </row>
    <row r="600" spans="2:21" ht="14" x14ac:dyDescent="0.2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175"/>
      <c r="P600" s="175"/>
      <c r="Q600" s="9"/>
      <c r="R600" s="9"/>
      <c r="S600" s="9"/>
      <c r="T600" s="9"/>
      <c r="U600" s="9"/>
    </row>
    <row r="601" spans="2:21" ht="14" x14ac:dyDescent="0.2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175"/>
      <c r="P601" s="175"/>
      <c r="Q601" s="9"/>
      <c r="R601" s="9"/>
      <c r="S601" s="9"/>
      <c r="T601" s="9"/>
      <c r="U601" s="9"/>
    </row>
    <row r="602" spans="2:21" ht="14" x14ac:dyDescent="0.2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175"/>
      <c r="P602" s="175"/>
      <c r="Q602" s="9"/>
      <c r="R602" s="9"/>
      <c r="S602" s="9"/>
      <c r="T602" s="9"/>
      <c r="U602" s="9"/>
    </row>
    <row r="603" spans="2:21" ht="14" x14ac:dyDescent="0.2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175"/>
      <c r="P603" s="175"/>
      <c r="Q603" s="9"/>
      <c r="R603" s="9"/>
      <c r="S603" s="9"/>
      <c r="T603" s="9"/>
      <c r="U603" s="9"/>
    </row>
    <row r="604" spans="2:21" ht="14" x14ac:dyDescent="0.2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175"/>
      <c r="P604" s="175"/>
      <c r="Q604" s="9"/>
      <c r="R604" s="9"/>
      <c r="S604" s="9"/>
      <c r="T604" s="9"/>
      <c r="U604" s="9"/>
    </row>
    <row r="605" spans="2:21" ht="14" x14ac:dyDescent="0.2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175"/>
      <c r="P605" s="175"/>
      <c r="Q605" s="9"/>
      <c r="R605" s="9"/>
      <c r="S605" s="9"/>
      <c r="T605" s="9"/>
      <c r="U605" s="9"/>
    </row>
    <row r="606" spans="2:21" ht="14" x14ac:dyDescent="0.2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175"/>
      <c r="P606" s="175"/>
      <c r="Q606" s="9"/>
      <c r="R606" s="9"/>
      <c r="S606" s="9"/>
      <c r="T606" s="9"/>
      <c r="U606" s="9"/>
    </row>
    <row r="607" spans="2:21" ht="14" x14ac:dyDescent="0.2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175"/>
      <c r="P607" s="175"/>
      <c r="Q607" s="9"/>
      <c r="R607" s="9"/>
      <c r="S607" s="9"/>
      <c r="T607" s="9"/>
      <c r="U607" s="9"/>
    </row>
    <row r="608" spans="2:21" ht="14" x14ac:dyDescent="0.2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175"/>
      <c r="P608" s="175"/>
      <c r="Q608" s="9"/>
      <c r="R608" s="9"/>
      <c r="S608" s="9"/>
      <c r="T608" s="9"/>
      <c r="U608" s="9"/>
    </row>
    <row r="609" spans="2:21" ht="14" x14ac:dyDescent="0.2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175"/>
      <c r="P609" s="175"/>
      <c r="Q609" s="9"/>
      <c r="R609" s="9"/>
      <c r="S609" s="9"/>
      <c r="T609" s="9"/>
      <c r="U609" s="9"/>
    </row>
    <row r="610" spans="2:21" ht="14" x14ac:dyDescent="0.2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175"/>
      <c r="P610" s="175"/>
      <c r="Q610" s="9"/>
      <c r="R610" s="9"/>
      <c r="S610" s="9"/>
      <c r="T610" s="9"/>
      <c r="U610" s="9"/>
    </row>
    <row r="611" spans="2:21" ht="14" x14ac:dyDescent="0.2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175"/>
      <c r="P611" s="175"/>
      <c r="Q611" s="9"/>
      <c r="R611" s="9"/>
      <c r="S611" s="9"/>
      <c r="T611" s="9"/>
      <c r="U611" s="9"/>
    </row>
    <row r="612" spans="2:21" ht="14" x14ac:dyDescent="0.2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175"/>
      <c r="P612" s="175"/>
      <c r="Q612" s="9"/>
      <c r="R612" s="9"/>
      <c r="S612" s="9"/>
      <c r="T612" s="9"/>
      <c r="U612" s="9"/>
    </row>
    <row r="613" spans="2:21" ht="14" x14ac:dyDescent="0.2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175"/>
      <c r="P613" s="175"/>
      <c r="Q613" s="9"/>
      <c r="R613" s="9"/>
      <c r="S613" s="9"/>
      <c r="T613" s="9"/>
      <c r="U613" s="9"/>
    </row>
    <row r="614" spans="2:21" ht="14" x14ac:dyDescent="0.2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175"/>
      <c r="P614" s="175"/>
      <c r="Q614" s="9"/>
      <c r="R614" s="9"/>
      <c r="S614" s="9"/>
      <c r="T614" s="9"/>
      <c r="U614" s="9"/>
    </row>
    <row r="615" spans="2:21" ht="14" x14ac:dyDescent="0.2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175"/>
      <c r="P615" s="175"/>
      <c r="Q615" s="9"/>
      <c r="R615" s="9"/>
      <c r="S615" s="9"/>
      <c r="T615" s="9"/>
      <c r="U615" s="9"/>
    </row>
    <row r="616" spans="2:21" ht="14" x14ac:dyDescent="0.2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175"/>
      <c r="P616" s="175"/>
      <c r="Q616" s="9"/>
      <c r="R616" s="9"/>
      <c r="S616" s="9"/>
      <c r="T616" s="9"/>
      <c r="U616" s="9"/>
    </row>
    <row r="617" spans="2:21" ht="14" x14ac:dyDescent="0.2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175"/>
      <c r="P617" s="175"/>
      <c r="Q617" s="9"/>
      <c r="R617" s="9"/>
      <c r="S617" s="9"/>
      <c r="T617" s="9"/>
      <c r="U617" s="9"/>
    </row>
    <row r="618" spans="2:21" ht="14" x14ac:dyDescent="0.2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175"/>
      <c r="P618" s="175"/>
      <c r="Q618" s="9"/>
      <c r="R618" s="9"/>
      <c r="S618" s="9"/>
      <c r="T618" s="9"/>
      <c r="U618" s="9"/>
    </row>
    <row r="619" spans="2:21" ht="14" x14ac:dyDescent="0.2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175"/>
      <c r="P619" s="175"/>
      <c r="Q619" s="9"/>
      <c r="R619" s="9"/>
      <c r="S619" s="9"/>
      <c r="T619" s="9"/>
      <c r="U619" s="9"/>
    </row>
    <row r="620" spans="2:21" ht="14" x14ac:dyDescent="0.2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175"/>
      <c r="P620" s="175"/>
      <c r="Q620" s="9"/>
      <c r="R620" s="9"/>
      <c r="S620" s="9"/>
      <c r="T620" s="9"/>
      <c r="U620" s="9"/>
    </row>
    <row r="621" spans="2:21" ht="14" x14ac:dyDescent="0.2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175"/>
      <c r="P621" s="175"/>
      <c r="Q621" s="9"/>
      <c r="R621" s="9"/>
      <c r="S621" s="9"/>
      <c r="T621" s="9"/>
      <c r="U621" s="9"/>
    </row>
    <row r="622" spans="2:21" ht="14" x14ac:dyDescent="0.2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175"/>
      <c r="P622" s="175"/>
      <c r="Q622" s="9"/>
      <c r="R622" s="9"/>
      <c r="S622" s="9"/>
      <c r="T622" s="9"/>
      <c r="U622" s="9"/>
    </row>
    <row r="623" spans="2:21" ht="14" x14ac:dyDescent="0.2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175"/>
      <c r="P623" s="175"/>
      <c r="Q623" s="9"/>
      <c r="R623" s="9"/>
      <c r="S623" s="9"/>
      <c r="T623" s="9"/>
      <c r="U623" s="9"/>
    </row>
    <row r="624" spans="2:21" ht="14" x14ac:dyDescent="0.2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175"/>
      <c r="P624" s="175"/>
      <c r="Q624" s="9"/>
      <c r="R624" s="9"/>
      <c r="S624" s="9"/>
      <c r="T624" s="9"/>
      <c r="U624" s="9"/>
    </row>
    <row r="625" spans="2:21" ht="14" x14ac:dyDescent="0.2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175"/>
      <c r="P625" s="175"/>
      <c r="Q625" s="9"/>
      <c r="R625" s="9"/>
      <c r="S625" s="9"/>
      <c r="T625" s="9"/>
      <c r="U625" s="9"/>
    </row>
    <row r="626" spans="2:21" ht="14" x14ac:dyDescent="0.2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175"/>
      <c r="P626" s="175"/>
      <c r="Q626" s="9"/>
      <c r="R626" s="9"/>
      <c r="S626" s="9"/>
      <c r="T626" s="9"/>
      <c r="U626" s="9"/>
    </row>
    <row r="627" spans="2:21" ht="14" x14ac:dyDescent="0.2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175"/>
      <c r="P627" s="175"/>
      <c r="Q627" s="9"/>
      <c r="R627" s="9"/>
      <c r="S627" s="9"/>
      <c r="T627" s="9"/>
      <c r="U627" s="9"/>
    </row>
    <row r="628" spans="2:21" ht="14" x14ac:dyDescent="0.2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175"/>
      <c r="P628" s="175"/>
      <c r="Q628" s="9"/>
      <c r="R628" s="9"/>
      <c r="S628" s="9"/>
      <c r="T628" s="9"/>
      <c r="U628" s="9"/>
    </row>
    <row r="629" spans="2:21" ht="14" x14ac:dyDescent="0.2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175"/>
      <c r="P629" s="175"/>
      <c r="Q629" s="9"/>
      <c r="R629" s="9"/>
      <c r="S629" s="9"/>
      <c r="T629" s="9"/>
      <c r="U629" s="9"/>
    </row>
    <row r="630" spans="2:21" ht="14" x14ac:dyDescent="0.2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175"/>
      <c r="P630" s="175"/>
      <c r="Q630" s="9"/>
      <c r="R630" s="9"/>
      <c r="S630" s="9"/>
      <c r="T630" s="9"/>
      <c r="U630" s="9"/>
    </row>
    <row r="631" spans="2:21" ht="14" x14ac:dyDescent="0.2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175"/>
      <c r="P631" s="175"/>
      <c r="Q631" s="9"/>
      <c r="R631" s="9"/>
      <c r="S631" s="9"/>
      <c r="T631" s="9"/>
      <c r="U631" s="9"/>
    </row>
    <row r="632" spans="2:21" ht="14" x14ac:dyDescent="0.2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175"/>
      <c r="P632" s="175"/>
      <c r="Q632" s="9"/>
      <c r="R632" s="9"/>
      <c r="S632" s="9"/>
      <c r="T632" s="9"/>
      <c r="U632" s="9"/>
    </row>
    <row r="633" spans="2:21" ht="14" x14ac:dyDescent="0.2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175"/>
      <c r="P633" s="175"/>
      <c r="Q633" s="9"/>
      <c r="R633" s="9"/>
      <c r="S633" s="9"/>
      <c r="T633" s="9"/>
      <c r="U633" s="9"/>
    </row>
    <row r="634" spans="2:21" ht="14" x14ac:dyDescent="0.2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175"/>
      <c r="P634" s="175"/>
      <c r="Q634" s="9"/>
      <c r="R634" s="9"/>
      <c r="S634" s="9"/>
      <c r="T634" s="9"/>
      <c r="U634" s="9"/>
    </row>
    <row r="635" spans="2:21" ht="14" x14ac:dyDescent="0.2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175"/>
      <c r="P635" s="175"/>
      <c r="Q635" s="9"/>
      <c r="R635" s="9"/>
      <c r="S635" s="9"/>
      <c r="T635" s="9"/>
      <c r="U635" s="9"/>
    </row>
    <row r="636" spans="2:21" ht="14" x14ac:dyDescent="0.2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175"/>
      <c r="P636" s="175"/>
      <c r="Q636" s="9"/>
      <c r="R636" s="9"/>
      <c r="S636" s="9"/>
      <c r="T636" s="9"/>
      <c r="U636" s="9"/>
    </row>
    <row r="637" spans="2:21" ht="14" x14ac:dyDescent="0.2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175"/>
      <c r="P637" s="175"/>
      <c r="Q637" s="9"/>
      <c r="R637" s="9"/>
      <c r="S637" s="9"/>
      <c r="T637" s="9"/>
      <c r="U637" s="9"/>
    </row>
    <row r="638" spans="2:21" ht="14" x14ac:dyDescent="0.2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175"/>
      <c r="P638" s="175"/>
      <c r="Q638" s="9"/>
      <c r="R638" s="9"/>
      <c r="S638" s="9"/>
      <c r="T638" s="9"/>
      <c r="U638" s="9"/>
    </row>
    <row r="639" spans="2:21" ht="14" x14ac:dyDescent="0.2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175"/>
      <c r="P639" s="175"/>
      <c r="Q639" s="9"/>
      <c r="R639" s="9"/>
      <c r="S639" s="9"/>
      <c r="T639" s="9"/>
      <c r="U639" s="9"/>
    </row>
    <row r="640" spans="2:21" ht="14" x14ac:dyDescent="0.2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175"/>
      <c r="P640" s="175"/>
      <c r="Q640" s="9"/>
      <c r="R640" s="9"/>
      <c r="S640" s="9"/>
      <c r="T640" s="9"/>
      <c r="U640" s="9"/>
    </row>
    <row r="641" spans="2:21" ht="14" x14ac:dyDescent="0.2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175"/>
      <c r="P641" s="175"/>
      <c r="Q641" s="9"/>
      <c r="R641" s="9"/>
      <c r="S641" s="9"/>
      <c r="T641" s="9"/>
      <c r="U641" s="9"/>
    </row>
    <row r="642" spans="2:21" ht="14" x14ac:dyDescent="0.2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175"/>
      <c r="P642" s="175"/>
      <c r="Q642" s="9"/>
      <c r="R642" s="9"/>
      <c r="S642" s="9"/>
      <c r="T642" s="9"/>
      <c r="U642" s="9"/>
    </row>
    <row r="643" spans="2:21" ht="14" x14ac:dyDescent="0.2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175"/>
      <c r="P643" s="175"/>
      <c r="Q643" s="9"/>
      <c r="R643" s="9"/>
      <c r="S643" s="9"/>
      <c r="T643" s="9"/>
      <c r="U643" s="9"/>
    </row>
    <row r="644" spans="2:21" ht="14" x14ac:dyDescent="0.2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175"/>
      <c r="P644" s="175"/>
      <c r="Q644" s="9"/>
      <c r="R644" s="9"/>
      <c r="S644" s="9"/>
      <c r="T644" s="9"/>
      <c r="U644" s="9"/>
    </row>
    <row r="645" spans="2:21" ht="14" x14ac:dyDescent="0.2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175"/>
      <c r="P645" s="175"/>
      <c r="Q645" s="9"/>
      <c r="R645" s="9"/>
      <c r="S645" s="9"/>
      <c r="T645" s="9"/>
      <c r="U645" s="9"/>
    </row>
    <row r="646" spans="2:21" ht="14" x14ac:dyDescent="0.2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175"/>
      <c r="P646" s="175"/>
      <c r="Q646" s="9"/>
      <c r="R646" s="9"/>
      <c r="S646" s="9"/>
      <c r="T646" s="9"/>
      <c r="U646" s="9"/>
    </row>
    <row r="647" spans="2:21" ht="14" x14ac:dyDescent="0.2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175"/>
      <c r="P647" s="175"/>
      <c r="Q647" s="9"/>
      <c r="R647" s="9"/>
      <c r="S647" s="9"/>
      <c r="T647" s="9"/>
      <c r="U647" s="9"/>
    </row>
    <row r="648" spans="2:21" ht="14" x14ac:dyDescent="0.2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175"/>
      <c r="P648" s="175"/>
      <c r="Q648" s="9"/>
      <c r="R648" s="9"/>
      <c r="S648" s="9"/>
      <c r="T648" s="9"/>
      <c r="U648" s="9"/>
    </row>
    <row r="649" spans="2:21" ht="14" x14ac:dyDescent="0.2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175"/>
      <c r="P649" s="175"/>
      <c r="Q649" s="9"/>
      <c r="R649" s="9"/>
      <c r="S649" s="9"/>
      <c r="T649" s="9"/>
      <c r="U649" s="9"/>
    </row>
    <row r="650" spans="2:21" ht="14" x14ac:dyDescent="0.2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175"/>
      <c r="P650" s="175"/>
      <c r="Q650" s="9"/>
      <c r="R650" s="9"/>
      <c r="S650" s="9"/>
      <c r="T650" s="9"/>
      <c r="U650" s="9"/>
    </row>
    <row r="651" spans="2:21" ht="14" x14ac:dyDescent="0.2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175"/>
      <c r="P651" s="175"/>
      <c r="Q651" s="9"/>
      <c r="R651" s="9"/>
      <c r="S651" s="9"/>
      <c r="T651" s="9"/>
      <c r="U651" s="9"/>
    </row>
    <row r="652" spans="2:21" ht="14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175"/>
      <c r="P652" s="175"/>
      <c r="Q652" s="9"/>
      <c r="R652" s="9"/>
      <c r="S652" s="9"/>
      <c r="T652" s="9"/>
      <c r="U652" s="9"/>
    </row>
    <row r="653" spans="2:21" ht="14" x14ac:dyDescent="0.2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175"/>
      <c r="P653" s="175"/>
      <c r="Q653" s="9"/>
      <c r="R653" s="9"/>
      <c r="S653" s="9"/>
      <c r="T653" s="9"/>
      <c r="U653" s="9"/>
    </row>
    <row r="654" spans="2:21" ht="14" x14ac:dyDescent="0.2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175"/>
      <c r="P654" s="175"/>
      <c r="Q654" s="9"/>
      <c r="R654" s="9"/>
      <c r="S654" s="9"/>
      <c r="T654" s="9"/>
      <c r="U654" s="9"/>
    </row>
    <row r="655" spans="2:21" ht="14" x14ac:dyDescent="0.2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175"/>
      <c r="P655" s="175"/>
      <c r="Q655" s="9"/>
      <c r="R655" s="9"/>
      <c r="S655" s="9"/>
      <c r="T655" s="9"/>
      <c r="U655" s="9"/>
    </row>
    <row r="656" spans="2:21" ht="14" x14ac:dyDescent="0.2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175"/>
      <c r="P656" s="175"/>
      <c r="Q656" s="9"/>
      <c r="R656" s="9"/>
      <c r="S656" s="9"/>
      <c r="T656" s="9"/>
      <c r="U656" s="9"/>
    </row>
    <row r="657" spans="2:21" ht="14" x14ac:dyDescent="0.2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175"/>
      <c r="P657" s="175"/>
      <c r="Q657" s="9"/>
      <c r="R657" s="9"/>
      <c r="S657" s="9"/>
      <c r="T657" s="9"/>
      <c r="U657" s="9"/>
    </row>
    <row r="658" spans="2:21" ht="14" x14ac:dyDescent="0.2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75"/>
      <c r="P658" s="175"/>
      <c r="Q658" s="9"/>
      <c r="R658" s="9"/>
      <c r="S658" s="9"/>
      <c r="T658" s="9"/>
      <c r="U658" s="9"/>
    </row>
    <row r="659" spans="2:21" ht="14" x14ac:dyDescent="0.2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175"/>
      <c r="P659" s="175"/>
      <c r="Q659" s="9"/>
      <c r="R659" s="9"/>
      <c r="S659" s="9"/>
      <c r="T659" s="9"/>
      <c r="U659" s="9"/>
    </row>
    <row r="660" spans="2:21" ht="14" x14ac:dyDescent="0.2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175"/>
      <c r="P660" s="175"/>
      <c r="Q660" s="9"/>
      <c r="R660" s="9"/>
      <c r="S660" s="9"/>
      <c r="T660" s="9"/>
      <c r="U660" s="9"/>
    </row>
    <row r="661" spans="2:21" ht="14" x14ac:dyDescent="0.2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175"/>
      <c r="P661" s="175"/>
      <c r="Q661" s="9"/>
      <c r="R661" s="9"/>
      <c r="S661" s="9"/>
      <c r="T661" s="9"/>
      <c r="U661" s="9"/>
    </row>
    <row r="662" spans="2:21" ht="14" x14ac:dyDescent="0.2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175"/>
      <c r="P662" s="175"/>
      <c r="Q662" s="9"/>
      <c r="R662" s="9"/>
      <c r="S662" s="9"/>
      <c r="T662" s="9"/>
      <c r="U662" s="9"/>
    </row>
    <row r="663" spans="2:21" ht="14" x14ac:dyDescent="0.2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175"/>
      <c r="P663" s="175"/>
      <c r="Q663" s="9"/>
      <c r="R663" s="9"/>
      <c r="S663" s="9"/>
      <c r="T663" s="9"/>
      <c r="U663" s="9"/>
    </row>
    <row r="664" spans="2:21" ht="14" x14ac:dyDescent="0.2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175"/>
      <c r="P664" s="175"/>
      <c r="Q664" s="9"/>
      <c r="R664" s="9"/>
      <c r="S664" s="9"/>
      <c r="T664" s="9"/>
      <c r="U664" s="9"/>
    </row>
    <row r="665" spans="2:21" ht="14" x14ac:dyDescent="0.2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175"/>
      <c r="P665" s="175"/>
      <c r="Q665" s="9"/>
      <c r="R665" s="9"/>
      <c r="S665" s="9"/>
      <c r="T665" s="9"/>
      <c r="U665" s="9"/>
    </row>
    <row r="666" spans="2:21" ht="14" x14ac:dyDescent="0.2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175"/>
      <c r="P666" s="175"/>
      <c r="Q666" s="9"/>
      <c r="R666" s="9"/>
      <c r="S666" s="9"/>
      <c r="T666" s="9"/>
      <c r="U666" s="9"/>
    </row>
    <row r="667" spans="2:21" ht="14" x14ac:dyDescent="0.2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175"/>
      <c r="P667" s="175"/>
      <c r="Q667" s="9"/>
      <c r="R667" s="9"/>
      <c r="S667" s="9"/>
      <c r="T667" s="9"/>
      <c r="U667" s="9"/>
    </row>
    <row r="668" spans="2:21" ht="14" x14ac:dyDescent="0.2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175"/>
      <c r="P668" s="175"/>
      <c r="Q668" s="9"/>
      <c r="R668" s="9"/>
      <c r="S668" s="9"/>
      <c r="T668" s="9"/>
      <c r="U668" s="9"/>
    </row>
    <row r="669" spans="2:21" ht="14" x14ac:dyDescent="0.2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175"/>
      <c r="P669" s="175"/>
      <c r="Q669" s="9"/>
      <c r="R669" s="9"/>
      <c r="S669" s="9"/>
      <c r="T669" s="9"/>
      <c r="U669" s="9"/>
    </row>
    <row r="670" spans="2:21" ht="14" x14ac:dyDescent="0.2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175"/>
      <c r="P670" s="175"/>
      <c r="Q670" s="9"/>
      <c r="R670" s="9"/>
      <c r="S670" s="9"/>
      <c r="T670" s="9"/>
      <c r="U670" s="9"/>
    </row>
    <row r="671" spans="2:21" ht="14" x14ac:dyDescent="0.2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175"/>
      <c r="P671" s="175"/>
      <c r="Q671" s="9"/>
      <c r="R671" s="9"/>
      <c r="S671" s="9"/>
      <c r="T671" s="9"/>
      <c r="U671" s="9"/>
    </row>
    <row r="672" spans="2:21" ht="14" x14ac:dyDescent="0.2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175"/>
      <c r="P672" s="175"/>
      <c r="Q672" s="9"/>
      <c r="R672" s="9"/>
      <c r="S672" s="9"/>
      <c r="T672" s="9"/>
      <c r="U672" s="9"/>
    </row>
    <row r="673" spans="2:21" ht="14" x14ac:dyDescent="0.2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175"/>
      <c r="P673" s="175"/>
      <c r="Q673" s="9"/>
      <c r="R673" s="9"/>
      <c r="S673" s="9"/>
      <c r="T673" s="9"/>
      <c r="U673" s="9"/>
    </row>
    <row r="674" spans="2:21" ht="14" x14ac:dyDescent="0.2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175"/>
      <c r="P674" s="175"/>
      <c r="Q674" s="9"/>
      <c r="R674" s="9"/>
      <c r="S674" s="9"/>
      <c r="T674" s="9"/>
      <c r="U674" s="9"/>
    </row>
    <row r="675" spans="2:21" ht="14" x14ac:dyDescent="0.2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175"/>
      <c r="P675" s="175"/>
      <c r="Q675" s="9"/>
      <c r="R675" s="9"/>
      <c r="S675" s="9"/>
      <c r="T675" s="9"/>
      <c r="U675" s="9"/>
    </row>
    <row r="676" spans="2:21" ht="14" x14ac:dyDescent="0.2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175"/>
      <c r="P676" s="175"/>
      <c r="Q676" s="9"/>
      <c r="R676" s="9"/>
      <c r="S676" s="9"/>
      <c r="T676" s="9"/>
      <c r="U676" s="9"/>
    </row>
    <row r="677" spans="2:21" ht="14" x14ac:dyDescent="0.2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175"/>
      <c r="P677" s="175"/>
      <c r="Q677" s="9"/>
      <c r="R677" s="9"/>
      <c r="S677" s="9"/>
      <c r="T677" s="9"/>
      <c r="U677" s="9"/>
    </row>
    <row r="678" spans="2:21" ht="14" x14ac:dyDescent="0.2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175"/>
      <c r="P678" s="175"/>
      <c r="Q678" s="9"/>
      <c r="R678" s="9"/>
      <c r="S678" s="9"/>
      <c r="T678" s="9"/>
      <c r="U678" s="9"/>
    </row>
    <row r="679" spans="2:21" ht="14" x14ac:dyDescent="0.2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175"/>
      <c r="P679" s="175"/>
      <c r="Q679" s="9"/>
      <c r="R679" s="9"/>
      <c r="S679" s="9"/>
      <c r="T679" s="9"/>
      <c r="U679" s="9"/>
    </row>
    <row r="680" spans="2:21" ht="14" x14ac:dyDescent="0.2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175"/>
      <c r="P680" s="175"/>
      <c r="Q680" s="9"/>
      <c r="R680" s="9"/>
      <c r="S680" s="9"/>
      <c r="T680" s="9"/>
      <c r="U680" s="9"/>
    </row>
    <row r="681" spans="2:21" ht="14" x14ac:dyDescent="0.2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175"/>
      <c r="P681" s="175"/>
      <c r="Q681" s="9"/>
      <c r="R681" s="9"/>
      <c r="S681" s="9"/>
      <c r="T681" s="9"/>
      <c r="U681" s="9"/>
    </row>
    <row r="682" spans="2:21" ht="14" x14ac:dyDescent="0.2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175"/>
      <c r="P682" s="175"/>
      <c r="Q682" s="9"/>
      <c r="R682" s="9"/>
      <c r="S682" s="9"/>
      <c r="T682" s="9"/>
      <c r="U682" s="9"/>
    </row>
    <row r="683" spans="2:21" ht="14" x14ac:dyDescent="0.2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175"/>
      <c r="P683" s="175"/>
      <c r="Q683" s="9"/>
      <c r="R683" s="9"/>
      <c r="S683" s="9"/>
      <c r="T683" s="9"/>
      <c r="U683" s="9"/>
    </row>
    <row r="684" spans="2:21" ht="14" x14ac:dyDescent="0.2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175"/>
      <c r="P684" s="175"/>
      <c r="Q684" s="9"/>
      <c r="R684" s="9"/>
      <c r="S684" s="9"/>
      <c r="T684" s="9"/>
      <c r="U684" s="9"/>
    </row>
    <row r="685" spans="2:21" ht="14" x14ac:dyDescent="0.2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175"/>
      <c r="P685" s="175"/>
      <c r="Q685" s="9"/>
      <c r="R685" s="9"/>
      <c r="S685" s="9"/>
      <c r="T685" s="9"/>
      <c r="U685" s="9"/>
    </row>
    <row r="686" spans="2:21" ht="14" x14ac:dyDescent="0.2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175"/>
      <c r="P686" s="175"/>
      <c r="Q686" s="9"/>
      <c r="R686" s="9"/>
      <c r="S686" s="9"/>
      <c r="T686" s="9"/>
      <c r="U686" s="9"/>
    </row>
    <row r="687" spans="2:21" ht="14" x14ac:dyDescent="0.2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175"/>
      <c r="P687" s="175"/>
      <c r="Q687" s="9"/>
      <c r="R687" s="9"/>
      <c r="S687" s="9"/>
      <c r="T687" s="9"/>
      <c r="U687" s="9"/>
    </row>
    <row r="688" spans="2:21" ht="14" x14ac:dyDescent="0.2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175"/>
      <c r="P688" s="175"/>
      <c r="Q688" s="9"/>
      <c r="R688" s="9"/>
      <c r="S688" s="9"/>
      <c r="T688" s="9"/>
      <c r="U688" s="9"/>
    </row>
    <row r="689" spans="2:21" ht="14" x14ac:dyDescent="0.2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175"/>
      <c r="P689" s="175"/>
      <c r="Q689" s="9"/>
      <c r="R689" s="9"/>
      <c r="S689" s="9"/>
      <c r="T689" s="9"/>
      <c r="U689" s="9"/>
    </row>
    <row r="690" spans="2:21" ht="14" x14ac:dyDescent="0.2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175"/>
      <c r="P690" s="175"/>
      <c r="Q690" s="9"/>
      <c r="R690" s="9"/>
      <c r="S690" s="9"/>
      <c r="T690" s="9"/>
      <c r="U690" s="9"/>
    </row>
    <row r="691" spans="2:21" ht="14" x14ac:dyDescent="0.2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175"/>
      <c r="P691" s="175"/>
      <c r="Q691" s="9"/>
      <c r="R691" s="9"/>
      <c r="S691" s="9"/>
      <c r="T691" s="9"/>
      <c r="U691" s="9"/>
    </row>
    <row r="692" spans="2:21" ht="14" x14ac:dyDescent="0.2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175"/>
      <c r="P692" s="175"/>
      <c r="Q692" s="9"/>
      <c r="R692" s="9"/>
      <c r="S692" s="9"/>
      <c r="T692" s="9"/>
      <c r="U692" s="9"/>
    </row>
    <row r="693" spans="2:21" ht="14" x14ac:dyDescent="0.2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175"/>
      <c r="P693" s="175"/>
      <c r="Q693" s="9"/>
      <c r="R693" s="9"/>
      <c r="S693" s="9"/>
      <c r="T693" s="9"/>
      <c r="U693" s="9"/>
    </row>
    <row r="694" spans="2:21" ht="14" x14ac:dyDescent="0.2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175"/>
      <c r="P694" s="175"/>
      <c r="Q694" s="9"/>
      <c r="R694" s="9"/>
      <c r="S694" s="9"/>
      <c r="T694" s="9"/>
      <c r="U694" s="9"/>
    </row>
    <row r="695" spans="2:21" ht="14" x14ac:dyDescent="0.2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175"/>
      <c r="P695" s="175"/>
      <c r="Q695" s="9"/>
      <c r="R695" s="9"/>
      <c r="S695" s="9"/>
      <c r="T695" s="9"/>
      <c r="U695" s="9"/>
    </row>
    <row r="696" spans="2:21" ht="14" x14ac:dyDescent="0.2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175"/>
      <c r="P696" s="175"/>
      <c r="Q696" s="9"/>
      <c r="R696" s="9"/>
      <c r="S696" s="9"/>
      <c r="T696" s="9"/>
      <c r="U696" s="9"/>
    </row>
    <row r="697" spans="2:21" ht="14" x14ac:dyDescent="0.2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175"/>
      <c r="P697" s="175"/>
      <c r="Q697" s="9"/>
      <c r="R697" s="9"/>
      <c r="S697" s="9"/>
      <c r="T697" s="9"/>
      <c r="U697" s="9"/>
    </row>
    <row r="698" spans="2:21" ht="14" x14ac:dyDescent="0.2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175"/>
      <c r="P698" s="175"/>
      <c r="Q698" s="9"/>
      <c r="R698" s="9"/>
      <c r="S698" s="9"/>
      <c r="T698" s="9"/>
      <c r="U698" s="9"/>
    </row>
    <row r="699" spans="2:21" ht="14" x14ac:dyDescent="0.2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175"/>
      <c r="P699" s="175"/>
      <c r="Q699" s="9"/>
      <c r="R699" s="9"/>
      <c r="S699" s="9"/>
      <c r="T699" s="9"/>
      <c r="U699" s="9"/>
    </row>
    <row r="700" spans="2:21" ht="14" x14ac:dyDescent="0.2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175"/>
      <c r="P700" s="175"/>
      <c r="Q700" s="9"/>
      <c r="R700" s="9"/>
      <c r="S700" s="9"/>
      <c r="T700" s="9"/>
      <c r="U700" s="9"/>
    </row>
    <row r="701" spans="2:21" ht="14" x14ac:dyDescent="0.2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175"/>
      <c r="P701" s="175"/>
      <c r="Q701" s="9"/>
      <c r="R701" s="9"/>
      <c r="S701" s="9"/>
      <c r="T701" s="9"/>
      <c r="U701" s="9"/>
    </row>
    <row r="702" spans="2:21" ht="14" x14ac:dyDescent="0.2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175"/>
      <c r="P702" s="175"/>
      <c r="Q702" s="9"/>
      <c r="R702" s="9"/>
      <c r="S702" s="9"/>
      <c r="T702" s="9"/>
      <c r="U702" s="9"/>
    </row>
    <row r="703" spans="2:21" ht="14" x14ac:dyDescent="0.2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175"/>
      <c r="P703" s="175"/>
      <c r="Q703" s="9"/>
      <c r="R703" s="9"/>
      <c r="S703" s="9"/>
      <c r="T703" s="9"/>
      <c r="U703" s="9"/>
    </row>
    <row r="704" spans="2:21" ht="14" x14ac:dyDescent="0.2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175"/>
      <c r="P704" s="175"/>
      <c r="Q704" s="9"/>
      <c r="R704" s="9"/>
      <c r="S704" s="9"/>
      <c r="T704" s="9"/>
      <c r="U704" s="9"/>
    </row>
    <row r="705" spans="2:21" ht="14" x14ac:dyDescent="0.2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175"/>
      <c r="P705" s="175"/>
      <c r="Q705" s="9"/>
      <c r="R705" s="9"/>
      <c r="S705" s="9"/>
      <c r="T705" s="9"/>
      <c r="U705" s="9"/>
    </row>
    <row r="706" spans="2:21" ht="14" x14ac:dyDescent="0.2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175"/>
      <c r="P706" s="175"/>
      <c r="Q706" s="9"/>
      <c r="R706" s="9"/>
      <c r="S706" s="9"/>
      <c r="T706" s="9"/>
      <c r="U706" s="9"/>
    </row>
    <row r="707" spans="2:21" ht="14" x14ac:dyDescent="0.2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175"/>
      <c r="P707" s="175"/>
      <c r="Q707" s="9"/>
      <c r="R707" s="9"/>
      <c r="S707" s="9"/>
      <c r="T707" s="9"/>
      <c r="U707" s="9"/>
    </row>
    <row r="708" spans="2:21" ht="14" x14ac:dyDescent="0.2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175"/>
      <c r="P708" s="175"/>
      <c r="Q708" s="9"/>
      <c r="R708" s="9"/>
      <c r="S708" s="9"/>
      <c r="T708" s="9"/>
      <c r="U708" s="9"/>
    </row>
    <row r="709" spans="2:21" ht="14" x14ac:dyDescent="0.2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175"/>
      <c r="P709" s="175"/>
      <c r="Q709" s="9"/>
      <c r="R709" s="9"/>
      <c r="S709" s="9"/>
      <c r="T709" s="9"/>
      <c r="U709" s="9"/>
    </row>
    <row r="710" spans="2:21" ht="14" x14ac:dyDescent="0.2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175"/>
      <c r="P710" s="175"/>
      <c r="Q710" s="9"/>
      <c r="R710" s="9"/>
      <c r="S710" s="9"/>
      <c r="T710" s="9"/>
      <c r="U710" s="9"/>
    </row>
    <row r="711" spans="2:21" ht="14" x14ac:dyDescent="0.2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175"/>
      <c r="P711" s="175"/>
      <c r="Q711" s="9"/>
      <c r="R711" s="9"/>
      <c r="S711" s="9"/>
      <c r="T711" s="9"/>
      <c r="U711" s="9"/>
    </row>
    <row r="712" spans="2:21" ht="14" x14ac:dyDescent="0.2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175"/>
      <c r="P712" s="175"/>
      <c r="Q712" s="9"/>
      <c r="R712" s="9"/>
      <c r="S712" s="9"/>
      <c r="T712" s="9"/>
      <c r="U712" s="9"/>
    </row>
    <row r="713" spans="2:21" ht="14" x14ac:dyDescent="0.2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175"/>
      <c r="P713" s="175"/>
      <c r="Q713" s="9"/>
      <c r="R713" s="9"/>
      <c r="S713" s="9"/>
      <c r="T713" s="9"/>
      <c r="U713" s="9"/>
    </row>
    <row r="714" spans="2:21" ht="14" x14ac:dyDescent="0.2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175"/>
      <c r="P714" s="175"/>
      <c r="Q714" s="9"/>
      <c r="R714" s="9"/>
      <c r="S714" s="9"/>
      <c r="T714" s="9"/>
      <c r="U714" s="9"/>
    </row>
    <row r="715" spans="2:21" ht="14" x14ac:dyDescent="0.2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175"/>
      <c r="P715" s="175"/>
      <c r="Q715" s="9"/>
      <c r="R715" s="9"/>
      <c r="S715" s="9"/>
      <c r="T715" s="9"/>
      <c r="U715" s="9"/>
    </row>
    <row r="716" spans="2:21" ht="14" x14ac:dyDescent="0.2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175"/>
      <c r="P716" s="175"/>
      <c r="Q716" s="9"/>
      <c r="R716" s="9"/>
      <c r="S716" s="9"/>
      <c r="T716" s="9"/>
      <c r="U716" s="9"/>
    </row>
    <row r="717" spans="2:21" ht="14" x14ac:dyDescent="0.2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175"/>
      <c r="P717" s="175"/>
      <c r="Q717" s="9"/>
      <c r="R717" s="9"/>
      <c r="S717" s="9"/>
      <c r="T717" s="9"/>
      <c r="U717" s="9"/>
    </row>
    <row r="718" spans="2:21" ht="14" x14ac:dyDescent="0.2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175"/>
      <c r="P718" s="175"/>
      <c r="Q718" s="9"/>
      <c r="R718" s="9"/>
      <c r="S718" s="9"/>
      <c r="T718" s="9"/>
      <c r="U718" s="9"/>
    </row>
    <row r="719" spans="2:21" ht="14" x14ac:dyDescent="0.2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175"/>
      <c r="P719" s="175"/>
      <c r="Q719" s="9"/>
      <c r="R719" s="9"/>
      <c r="S719" s="9"/>
      <c r="T719" s="9"/>
      <c r="U719" s="9"/>
    </row>
    <row r="720" spans="2:21" ht="14" x14ac:dyDescent="0.2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175"/>
      <c r="P720" s="175"/>
      <c r="Q720" s="9"/>
      <c r="R720" s="9"/>
      <c r="S720" s="9"/>
      <c r="T720" s="9"/>
      <c r="U720" s="9"/>
    </row>
    <row r="721" spans="2:21" ht="14" x14ac:dyDescent="0.2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175"/>
      <c r="P721" s="175"/>
      <c r="Q721" s="9"/>
      <c r="R721" s="9"/>
      <c r="S721" s="9"/>
      <c r="T721" s="9"/>
      <c r="U721" s="9"/>
    </row>
    <row r="722" spans="2:21" ht="14" x14ac:dyDescent="0.2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175"/>
      <c r="P722" s="175"/>
      <c r="Q722" s="9"/>
      <c r="R722" s="9"/>
      <c r="S722" s="9"/>
      <c r="T722" s="9"/>
      <c r="U722" s="9"/>
    </row>
    <row r="723" spans="2:21" ht="14" x14ac:dyDescent="0.2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175"/>
      <c r="P723" s="175"/>
      <c r="Q723" s="9"/>
      <c r="R723" s="9"/>
      <c r="S723" s="9"/>
      <c r="T723" s="9"/>
      <c r="U723" s="9"/>
    </row>
    <row r="724" spans="2:21" ht="14" x14ac:dyDescent="0.2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175"/>
      <c r="P724" s="175"/>
      <c r="Q724" s="9"/>
      <c r="R724" s="9"/>
      <c r="S724" s="9"/>
      <c r="T724" s="9"/>
      <c r="U724" s="9"/>
    </row>
    <row r="725" spans="2:21" ht="14" x14ac:dyDescent="0.2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175"/>
      <c r="P725" s="175"/>
      <c r="Q725" s="9"/>
      <c r="R725" s="9"/>
      <c r="S725" s="9"/>
      <c r="T725" s="9"/>
      <c r="U725" s="9"/>
    </row>
    <row r="726" spans="2:21" ht="14" x14ac:dyDescent="0.2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175"/>
      <c r="P726" s="175"/>
      <c r="Q726" s="9"/>
      <c r="R726" s="9"/>
      <c r="S726" s="9"/>
      <c r="T726" s="9"/>
      <c r="U726" s="9"/>
    </row>
    <row r="727" spans="2:21" ht="14" x14ac:dyDescent="0.2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175"/>
      <c r="P727" s="175"/>
      <c r="Q727" s="9"/>
      <c r="R727" s="9"/>
      <c r="S727" s="9"/>
      <c r="T727" s="9"/>
      <c r="U727" s="9"/>
    </row>
    <row r="728" spans="2:21" ht="14" x14ac:dyDescent="0.2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175"/>
      <c r="P728" s="175"/>
      <c r="Q728" s="9"/>
      <c r="R728" s="9"/>
      <c r="S728" s="9"/>
      <c r="T728" s="9"/>
      <c r="U728" s="9"/>
    </row>
    <row r="729" spans="2:21" ht="14" x14ac:dyDescent="0.2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175"/>
      <c r="P729" s="175"/>
      <c r="Q729" s="9"/>
      <c r="R729" s="9"/>
      <c r="S729" s="9"/>
      <c r="T729" s="9"/>
      <c r="U729" s="9"/>
    </row>
    <row r="730" spans="2:21" ht="14" x14ac:dyDescent="0.2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175"/>
      <c r="P730" s="175"/>
      <c r="Q730" s="9"/>
      <c r="R730" s="9"/>
      <c r="S730" s="9"/>
      <c r="T730" s="9"/>
      <c r="U730" s="9"/>
    </row>
    <row r="731" spans="2:21" ht="14" x14ac:dyDescent="0.2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175"/>
      <c r="P731" s="175"/>
      <c r="Q731" s="9"/>
      <c r="R731" s="9"/>
      <c r="S731" s="9"/>
      <c r="T731" s="9"/>
      <c r="U731" s="9"/>
    </row>
    <row r="732" spans="2:21" ht="14" x14ac:dyDescent="0.2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175"/>
      <c r="P732" s="175"/>
      <c r="Q732" s="9"/>
      <c r="R732" s="9"/>
      <c r="S732" s="9"/>
      <c r="T732" s="9"/>
      <c r="U732" s="9"/>
    </row>
    <row r="733" spans="2:21" ht="14" x14ac:dyDescent="0.2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175"/>
      <c r="P733" s="175"/>
      <c r="Q733" s="9"/>
      <c r="R733" s="9"/>
      <c r="S733" s="9"/>
      <c r="T733" s="9"/>
      <c r="U733" s="9"/>
    </row>
    <row r="734" spans="2:21" ht="14" x14ac:dyDescent="0.2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175"/>
      <c r="P734" s="175"/>
      <c r="Q734" s="9"/>
      <c r="R734" s="9"/>
      <c r="S734" s="9"/>
      <c r="T734" s="9"/>
      <c r="U734" s="9"/>
    </row>
    <row r="735" spans="2:21" ht="14" x14ac:dyDescent="0.2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175"/>
      <c r="P735" s="175"/>
      <c r="Q735" s="9"/>
      <c r="R735" s="9"/>
      <c r="S735" s="9"/>
      <c r="T735" s="9"/>
      <c r="U735" s="9"/>
    </row>
    <row r="736" spans="2:21" ht="14" x14ac:dyDescent="0.2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175"/>
      <c r="P736" s="175"/>
      <c r="Q736" s="9"/>
      <c r="R736" s="9"/>
      <c r="S736" s="9"/>
      <c r="T736" s="9"/>
      <c r="U736" s="9"/>
    </row>
    <row r="737" spans="2:21" ht="14" x14ac:dyDescent="0.2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175"/>
      <c r="P737" s="175"/>
      <c r="Q737" s="9"/>
      <c r="R737" s="9"/>
      <c r="S737" s="9"/>
      <c r="T737" s="9"/>
      <c r="U737" s="9"/>
    </row>
    <row r="738" spans="2:21" ht="14" x14ac:dyDescent="0.2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175"/>
      <c r="P738" s="175"/>
      <c r="Q738" s="9"/>
      <c r="R738" s="9"/>
      <c r="S738" s="9"/>
      <c r="T738" s="9"/>
      <c r="U738" s="9"/>
    </row>
    <row r="739" spans="2:21" ht="14" x14ac:dyDescent="0.2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175"/>
      <c r="P739" s="175"/>
      <c r="Q739" s="9"/>
      <c r="R739" s="9"/>
      <c r="S739" s="9"/>
      <c r="T739" s="9"/>
      <c r="U739" s="9"/>
    </row>
    <row r="740" spans="2:21" ht="14" x14ac:dyDescent="0.2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175"/>
      <c r="P740" s="175"/>
      <c r="Q740" s="9"/>
      <c r="R740" s="9"/>
      <c r="S740" s="9"/>
      <c r="T740" s="9"/>
      <c r="U740" s="9"/>
    </row>
    <row r="741" spans="2:21" ht="14" x14ac:dyDescent="0.2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175"/>
      <c r="P741" s="175"/>
      <c r="Q741" s="9"/>
      <c r="R741" s="9"/>
      <c r="S741" s="9"/>
      <c r="T741" s="9"/>
      <c r="U741" s="9"/>
    </row>
    <row r="742" spans="2:21" ht="14" x14ac:dyDescent="0.2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175"/>
      <c r="P742" s="175"/>
      <c r="Q742" s="9"/>
      <c r="R742" s="9"/>
      <c r="S742" s="9"/>
      <c r="T742" s="9"/>
      <c r="U742" s="9"/>
    </row>
    <row r="743" spans="2:21" ht="14" x14ac:dyDescent="0.2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175"/>
      <c r="P743" s="175"/>
      <c r="Q743" s="9"/>
      <c r="R743" s="9"/>
      <c r="S743" s="9"/>
      <c r="T743" s="9"/>
      <c r="U743" s="9"/>
    </row>
    <row r="744" spans="2:21" ht="14" x14ac:dyDescent="0.2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175"/>
      <c r="P744" s="175"/>
      <c r="Q744" s="9"/>
      <c r="R744" s="9"/>
      <c r="S744" s="9"/>
      <c r="T744" s="9"/>
      <c r="U744" s="9"/>
    </row>
    <row r="745" spans="2:21" ht="14" x14ac:dyDescent="0.2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175"/>
      <c r="P745" s="175"/>
      <c r="Q745" s="9"/>
      <c r="R745" s="9"/>
      <c r="S745" s="9"/>
      <c r="T745" s="9"/>
      <c r="U745" s="9"/>
    </row>
    <row r="746" spans="2:21" ht="14" x14ac:dyDescent="0.2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175"/>
      <c r="P746" s="175"/>
      <c r="Q746" s="9"/>
      <c r="R746" s="9"/>
      <c r="S746" s="9"/>
      <c r="T746" s="9"/>
      <c r="U746" s="9"/>
    </row>
    <row r="747" spans="2:21" ht="14" x14ac:dyDescent="0.2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175"/>
      <c r="P747" s="175"/>
      <c r="Q747" s="9"/>
      <c r="R747" s="9"/>
      <c r="S747" s="9"/>
      <c r="T747" s="9"/>
      <c r="U747" s="9"/>
    </row>
    <row r="748" spans="2:21" ht="14" x14ac:dyDescent="0.2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175"/>
      <c r="P748" s="175"/>
      <c r="Q748" s="9"/>
      <c r="R748" s="9"/>
      <c r="S748" s="9"/>
      <c r="T748" s="9"/>
      <c r="U748" s="9"/>
    </row>
    <row r="749" spans="2:21" ht="14" x14ac:dyDescent="0.2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175"/>
      <c r="P749" s="175"/>
      <c r="Q749" s="9"/>
      <c r="R749" s="9"/>
      <c r="S749" s="9"/>
      <c r="T749" s="9"/>
      <c r="U749" s="9"/>
    </row>
    <row r="750" spans="2:21" ht="14" x14ac:dyDescent="0.2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175"/>
      <c r="P750" s="175"/>
      <c r="Q750" s="9"/>
      <c r="R750" s="9"/>
      <c r="S750" s="9"/>
      <c r="T750" s="9"/>
      <c r="U750" s="9"/>
    </row>
    <row r="751" spans="2:21" ht="14" x14ac:dyDescent="0.2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175"/>
      <c r="P751" s="175"/>
      <c r="Q751" s="9"/>
      <c r="R751" s="9"/>
      <c r="S751" s="9"/>
      <c r="T751" s="9"/>
      <c r="U751" s="9"/>
    </row>
    <row r="752" spans="2:21" ht="14" x14ac:dyDescent="0.2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175"/>
      <c r="P752" s="175"/>
      <c r="Q752" s="9"/>
      <c r="R752" s="9"/>
      <c r="S752" s="9"/>
      <c r="T752" s="9"/>
      <c r="U752" s="9"/>
    </row>
    <row r="753" spans="2:21" ht="14" x14ac:dyDescent="0.2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175"/>
      <c r="P753" s="175"/>
      <c r="Q753" s="9"/>
      <c r="R753" s="9"/>
      <c r="S753" s="9"/>
      <c r="T753" s="9"/>
      <c r="U753" s="9"/>
    </row>
    <row r="754" spans="2:21" ht="14" x14ac:dyDescent="0.2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175"/>
      <c r="P754" s="175"/>
      <c r="Q754" s="9"/>
      <c r="R754" s="9"/>
      <c r="S754" s="9"/>
      <c r="T754" s="9"/>
      <c r="U754" s="9"/>
    </row>
    <row r="755" spans="2:21" ht="14" x14ac:dyDescent="0.2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175"/>
      <c r="P755" s="175"/>
      <c r="Q755" s="9"/>
      <c r="R755" s="9"/>
      <c r="S755" s="9"/>
      <c r="T755" s="9"/>
      <c r="U755" s="9"/>
    </row>
    <row r="756" spans="2:21" ht="14" x14ac:dyDescent="0.2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175"/>
      <c r="P756" s="175"/>
      <c r="Q756" s="9"/>
      <c r="R756" s="9"/>
      <c r="S756" s="9"/>
      <c r="T756" s="9"/>
      <c r="U756" s="9"/>
    </row>
    <row r="757" spans="2:21" ht="14" x14ac:dyDescent="0.2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175"/>
      <c r="P757" s="175"/>
      <c r="Q757" s="9"/>
      <c r="R757" s="9"/>
      <c r="S757" s="9"/>
      <c r="T757" s="9"/>
      <c r="U757" s="9"/>
    </row>
    <row r="758" spans="2:21" ht="14" x14ac:dyDescent="0.2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175"/>
      <c r="P758" s="175"/>
      <c r="Q758" s="9"/>
      <c r="R758" s="9"/>
      <c r="S758" s="9"/>
      <c r="T758" s="9"/>
      <c r="U758" s="9"/>
    </row>
    <row r="759" spans="2:21" ht="14" x14ac:dyDescent="0.2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175"/>
      <c r="P759" s="175"/>
      <c r="Q759" s="9"/>
      <c r="R759" s="9"/>
      <c r="S759" s="9"/>
      <c r="T759" s="9"/>
      <c r="U759" s="9"/>
    </row>
    <row r="760" spans="2:21" ht="14" x14ac:dyDescent="0.2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75"/>
      <c r="P760" s="175"/>
      <c r="Q760" s="9"/>
      <c r="R760" s="9"/>
      <c r="S760" s="9"/>
      <c r="T760" s="9"/>
      <c r="U760" s="9"/>
    </row>
    <row r="761" spans="2:21" ht="14" x14ac:dyDescent="0.2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175"/>
      <c r="P761" s="175"/>
      <c r="Q761" s="9"/>
      <c r="R761" s="9"/>
      <c r="S761" s="9"/>
      <c r="T761" s="9"/>
      <c r="U761" s="9"/>
    </row>
    <row r="762" spans="2:21" ht="14" x14ac:dyDescent="0.2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175"/>
      <c r="P762" s="175"/>
      <c r="Q762" s="9"/>
      <c r="R762" s="9"/>
      <c r="S762" s="9"/>
      <c r="T762" s="9"/>
      <c r="U762" s="9"/>
    </row>
    <row r="763" spans="2:21" ht="14" x14ac:dyDescent="0.2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175"/>
      <c r="P763" s="175"/>
      <c r="Q763" s="9"/>
      <c r="R763" s="9"/>
      <c r="S763" s="9"/>
      <c r="T763" s="9"/>
      <c r="U763" s="9"/>
    </row>
    <row r="764" spans="2:21" ht="14" x14ac:dyDescent="0.2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175"/>
      <c r="P764" s="175"/>
      <c r="Q764" s="9"/>
      <c r="R764" s="9"/>
      <c r="S764" s="9"/>
      <c r="T764" s="9"/>
      <c r="U764" s="9"/>
    </row>
    <row r="765" spans="2:21" ht="14" x14ac:dyDescent="0.2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175"/>
      <c r="P765" s="175"/>
      <c r="Q765" s="9"/>
      <c r="R765" s="9"/>
      <c r="S765" s="9"/>
      <c r="T765" s="9"/>
      <c r="U765" s="9"/>
    </row>
    <row r="766" spans="2:21" ht="14" x14ac:dyDescent="0.2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175"/>
      <c r="P766" s="175"/>
      <c r="Q766" s="9"/>
      <c r="R766" s="9"/>
      <c r="S766" s="9"/>
      <c r="T766" s="9"/>
      <c r="U766" s="9"/>
    </row>
    <row r="767" spans="2:21" ht="14" x14ac:dyDescent="0.2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175"/>
      <c r="P767" s="175"/>
      <c r="Q767" s="9"/>
      <c r="R767" s="9"/>
      <c r="S767" s="9"/>
      <c r="T767" s="9"/>
      <c r="U767" s="9"/>
    </row>
    <row r="768" spans="2:21" ht="14" x14ac:dyDescent="0.2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175"/>
      <c r="P768" s="175"/>
      <c r="Q768" s="9"/>
      <c r="R768" s="9"/>
      <c r="S768" s="9"/>
      <c r="T768" s="9"/>
      <c r="U768" s="9"/>
    </row>
    <row r="769" spans="2:21" ht="14" x14ac:dyDescent="0.2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175"/>
      <c r="P769" s="175"/>
      <c r="Q769" s="9"/>
      <c r="R769" s="9"/>
      <c r="S769" s="9"/>
      <c r="T769" s="9"/>
      <c r="U769" s="9"/>
    </row>
    <row r="770" spans="2:21" ht="14" x14ac:dyDescent="0.2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175"/>
      <c r="P770" s="175"/>
      <c r="Q770" s="9"/>
      <c r="R770" s="9"/>
      <c r="S770" s="9"/>
      <c r="T770" s="9"/>
      <c r="U770" s="9"/>
    </row>
    <row r="771" spans="2:21" ht="14" x14ac:dyDescent="0.2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175"/>
      <c r="P771" s="175"/>
      <c r="Q771" s="9"/>
      <c r="R771" s="9"/>
      <c r="S771" s="9"/>
      <c r="T771" s="9"/>
      <c r="U771" s="9"/>
    </row>
    <row r="772" spans="2:21" ht="14" x14ac:dyDescent="0.2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175"/>
      <c r="P772" s="175"/>
      <c r="Q772" s="9"/>
      <c r="R772" s="9"/>
      <c r="S772" s="9"/>
      <c r="T772" s="9"/>
      <c r="U772" s="9"/>
    </row>
    <row r="773" spans="2:21" ht="14" x14ac:dyDescent="0.2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175"/>
      <c r="P773" s="175"/>
      <c r="Q773" s="9"/>
      <c r="R773" s="9"/>
      <c r="S773" s="9"/>
      <c r="T773" s="9"/>
      <c r="U773" s="9"/>
    </row>
    <row r="774" spans="2:21" ht="14" x14ac:dyDescent="0.2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175"/>
      <c r="P774" s="175"/>
      <c r="Q774" s="9"/>
      <c r="R774" s="9"/>
      <c r="S774" s="9"/>
      <c r="T774" s="9"/>
      <c r="U774" s="9"/>
    </row>
    <row r="775" spans="2:21" ht="14" x14ac:dyDescent="0.2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175"/>
      <c r="P775" s="175"/>
      <c r="Q775" s="9"/>
      <c r="R775" s="9"/>
      <c r="S775" s="9"/>
      <c r="T775" s="9"/>
      <c r="U775" s="9"/>
    </row>
    <row r="776" spans="2:21" ht="14" x14ac:dyDescent="0.2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175"/>
      <c r="P776" s="175"/>
      <c r="Q776" s="9"/>
      <c r="R776" s="9"/>
      <c r="S776" s="9"/>
      <c r="T776" s="9"/>
      <c r="U776" s="9"/>
    </row>
    <row r="777" spans="2:21" ht="14" x14ac:dyDescent="0.2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175"/>
      <c r="P777" s="175"/>
      <c r="Q777" s="9"/>
      <c r="R777" s="9"/>
      <c r="S777" s="9"/>
      <c r="T777" s="9"/>
      <c r="U777" s="9"/>
    </row>
    <row r="778" spans="2:21" ht="14" x14ac:dyDescent="0.2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175"/>
      <c r="P778" s="175"/>
      <c r="Q778" s="9"/>
      <c r="R778" s="9"/>
      <c r="S778" s="9"/>
      <c r="T778" s="9"/>
      <c r="U778" s="9"/>
    </row>
    <row r="779" spans="2:21" ht="14" x14ac:dyDescent="0.2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175"/>
      <c r="P779" s="175"/>
      <c r="Q779" s="9"/>
      <c r="R779" s="9"/>
      <c r="S779" s="9"/>
      <c r="T779" s="9"/>
      <c r="U779" s="9"/>
    </row>
    <row r="780" spans="2:21" ht="14" x14ac:dyDescent="0.2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175"/>
      <c r="P780" s="175"/>
      <c r="Q780" s="9"/>
      <c r="R780" s="9"/>
      <c r="S780" s="9"/>
      <c r="T780" s="9"/>
      <c r="U780" s="9"/>
    </row>
    <row r="781" spans="2:21" ht="14" x14ac:dyDescent="0.2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175"/>
      <c r="P781" s="175"/>
      <c r="Q781" s="9"/>
      <c r="R781" s="9"/>
      <c r="S781" s="9"/>
      <c r="T781" s="9"/>
      <c r="U781" s="9"/>
    </row>
    <row r="782" spans="2:21" ht="14" x14ac:dyDescent="0.2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175"/>
      <c r="P782" s="175"/>
      <c r="Q782" s="9"/>
      <c r="R782" s="9"/>
      <c r="S782" s="9"/>
      <c r="T782" s="9"/>
      <c r="U782" s="9"/>
    </row>
    <row r="783" spans="2:21" ht="14" x14ac:dyDescent="0.2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175"/>
      <c r="P783" s="175"/>
      <c r="Q783" s="9"/>
      <c r="R783" s="9"/>
      <c r="S783" s="9"/>
      <c r="T783" s="9"/>
      <c r="U783" s="9"/>
    </row>
    <row r="784" spans="2:21" ht="14" x14ac:dyDescent="0.2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175"/>
      <c r="P784" s="175"/>
      <c r="Q784" s="9"/>
      <c r="R784" s="9"/>
      <c r="S784" s="9"/>
      <c r="T784" s="9"/>
      <c r="U784" s="9"/>
    </row>
    <row r="785" spans="2:21" ht="14" x14ac:dyDescent="0.2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175"/>
      <c r="P785" s="175"/>
      <c r="Q785" s="9"/>
      <c r="R785" s="9"/>
      <c r="S785" s="9"/>
      <c r="T785" s="9"/>
      <c r="U785" s="9"/>
    </row>
    <row r="786" spans="2:21" ht="14" x14ac:dyDescent="0.2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175"/>
      <c r="P786" s="175"/>
      <c r="Q786" s="9"/>
      <c r="R786" s="9"/>
      <c r="S786" s="9"/>
      <c r="T786" s="9"/>
      <c r="U786" s="9"/>
    </row>
    <row r="787" spans="2:21" ht="14" x14ac:dyDescent="0.2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175"/>
      <c r="P787" s="175"/>
      <c r="Q787" s="9"/>
      <c r="R787" s="9"/>
      <c r="S787" s="9"/>
      <c r="T787" s="9"/>
      <c r="U787" s="9"/>
    </row>
    <row r="788" spans="2:21" ht="14" x14ac:dyDescent="0.2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175"/>
      <c r="P788" s="175"/>
      <c r="Q788" s="9"/>
      <c r="R788" s="9"/>
      <c r="S788" s="9"/>
      <c r="T788" s="9"/>
      <c r="U788" s="9"/>
    </row>
    <row r="789" spans="2:21" ht="14" x14ac:dyDescent="0.2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175"/>
      <c r="P789" s="175"/>
      <c r="Q789" s="9"/>
      <c r="R789" s="9"/>
      <c r="S789" s="9"/>
      <c r="T789" s="9"/>
      <c r="U789" s="9"/>
    </row>
    <row r="790" spans="2:21" ht="14" x14ac:dyDescent="0.2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175"/>
      <c r="P790" s="175"/>
      <c r="Q790" s="9"/>
      <c r="R790" s="9"/>
      <c r="S790" s="9"/>
      <c r="T790" s="9"/>
      <c r="U790" s="9"/>
    </row>
    <row r="791" spans="2:21" ht="14" x14ac:dyDescent="0.2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175"/>
      <c r="P791" s="175"/>
      <c r="Q791" s="9"/>
      <c r="R791" s="9"/>
      <c r="S791" s="9"/>
      <c r="T791" s="9"/>
      <c r="U791" s="9"/>
    </row>
    <row r="792" spans="2:21" ht="14" x14ac:dyDescent="0.2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175"/>
      <c r="P792" s="175"/>
      <c r="Q792" s="9"/>
      <c r="R792" s="9"/>
      <c r="S792" s="9"/>
      <c r="T792" s="9"/>
      <c r="U792" s="9"/>
    </row>
    <row r="793" spans="2:21" ht="14" x14ac:dyDescent="0.2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175"/>
      <c r="P793" s="175"/>
      <c r="Q793" s="9"/>
      <c r="R793" s="9"/>
      <c r="S793" s="9"/>
      <c r="T793" s="9"/>
      <c r="U793" s="9"/>
    </row>
    <row r="794" spans="2:21" ht="14" x14ac:dyDescent="0.2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175"/>
      <c r="P794" s="175"/>
      <c r="Q794" s="9"/>
      <c r="R794" s="9"/>
      <c r="S794" s="9"/>
      <c r="T794" s="9"/>
      <c r="U794" s="9"/>
    </row>
    <row r="795" spans="2:21" ht="14" x14ac:dyDescent="0.2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175"/>
      <c r="P795" s="175"/>
      <c r="Q795" s="9"/>
      <c r="R795" s="9"/>
      <c r="S795" s="9"/>
      <c r="T795" s="9"/>
      <c r="U795" s="9"/>
    </row>
    <row r="796" spans="2:21" ht="14" x14ac:dyDescent="0.2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175"/>
      <c r="P796" s="175"/>
      <c r="Q796" s="9"/>
      <c r="R796" s="9"/>
      <c r="S796" s="9"/>
      <c r="T796" s="9"/>
      <c r="U796" s="9"/>
    </row>
    <row r="797" spans="2:21" ht="14" x14ac:dyDescent="0.2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175"/>
      <c r="P797" s="175"/>
      <c r="Q797" s="9"/>
      <c r="R797" s="9"/>
      <c r="S797" s="9"/>
      <c r="T797" s="9"/>
      <c r="U797" s="9"/>
    </row>
    <row r="798" spans="2:21" ht="14" x14ac:dyDescent="0.2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175"/>
      <c r="P798" s="175"/>
      <c r="Q798" s="9"/>
      <c r="R798" s="9"/>
      <c r="S798" s="9"/>
      <c r="T798" s="9"/>
      <c r="U798" s="9"/>
    </row>
    <row r="799" spans="2:21" ht="14" x14ac:dyDescent="0.2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175"/>
      <c r="P799" s="175"/>
      <c r="Q799" s="9"/>
      <c r="R799" s="9"/>
      <c r="S799" s="9"/>
      <c r="T799" s="9"/>
      <c r="U799" s="9"/>
    </row>
    <row r="800" spans="2:21" ht="14" x14ac:dyDescent="0.2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175"/>
      <c r="P800" s="175"/>
      <c r="Q800" s="9"/>
      <c r="R800" s="9"/>
      <c r="S800" s="9"/>
      <c r="T800" s="9"/>
      <c r="U800" s="9"/>
    </row>
    <row r="801" spans="2:21" ht="14" x14ac:dyDescent="0.2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175"/>
      <c r="P801" s="175"/>
      <c r="Q801" s="9"/>
      <c r="R801" s="9"/>
      <c r="S801" s="9"/>
      <c r="T801" s="9"/>
      <c r="U801" s="9"/>
    </row>
    <row r="802" spans="2:21" ht="14" x14ac:dyDescent="0.2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175"/>
      <c r="P802" s="175"/>
      <c r="Q802" s="9"/>
      <c r="R802" s="9"/>
      <c r="S802" s="9"/>
      <c r="T802" s="9"/>
      <c r="U802" s="9"/>
    </row>
    <row r="803" spans="2:21" ht="14" x14ac:dyDescent="0.2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175"/>
      <c r="P803" s="175"/>
      <c r="Q803" s="9"/>
      <c r="R803" s="9"/>
      <c r="S803" s="9"/>
      <c r="T803" s="9"/>
      <c r="U803" s="9"/>
    </row>
    <row r="804" spans="2:21" ht="14" x14ac:dyDescent="0.2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175"/>
      <c r="P804" s="175"/>
      <c r="Q804" s="9"/>
      <c r="R804" s="9"/>
      <c r="S804" s="9"/>
      <c r="T804" s="9"/>
      <c r="U804" s="9"/>
    </row>
    <row r="805" spans="2:21" ht="14" x14ac:dyDescent="0.2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175"/>
      <c r="P805" s="175"/>
      <c r="Q805" s="9"/>
      <c r="R805" s="9"/>
      <c r="S805" s="9"/>
      <c r="T805" s="9"/>
      <c r="U805" s="9"/>
    </row>
    <row r="806" spans="2:21" ht="14" x14ac:dyDescent="0.2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175"/>
      <c r="P806" s="175"/>
      <c r="Q806" s="9"/>
      <c r="R806" s="9"/>
      <c r="S806" s="9"/>
      <c r="T806" s="9"/>
      <c r="U806" s="9"/>
    </row>
    <row r="807" spans="2:21" ht="14" x14ac:dyDescent="0.2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175"/>
      <c r="P807" s="175"/>
      <c r="Q807" s="9"/>
      <c r="R807" s="9"/>
      <c r="S807" s="9"/>
      <c r="T807" s="9"/>
      <c r="U807" s="9"/>
    </row>
    <row r="808" spans="2:21" ht="14" x14ac:dyDescent="0.2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175"/>
      <c r="P808" s="175"/>
      <c r="Q808" s="9"/>
      <c r="R808" s="9"/>
      <c r="S808" s="9"/>
      <c r="T808" s="9"/>
      <c r="U808" s="9"/>
    </row>
    <row r="809" spans="2:21" ht="14" x14ac:dyDescent="0.2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175"/>
      <c r="P809" s="175"/>
      <c r="Q809" s="9"/>
      <c r="R809" s="9"/>
      <c r="S809" s="9"/>
      <c r="T809" s="9"/>
      <c r="U809" s="9"/>
    </row>
    <row r="810" spans="2:21" ht="14" x14ac:dyDescent="0.2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175"/>
      <c r="P810" s="175"/>
      <c r="Q810" s="9"/>
      <c r="R810" s="9"/>
      <c r="S810" s="9"/>
      <c r="T810" s="9"/>
      <c r="U810" s="9"/>
    </row>
    <row r="811" spans="2:21" ht="14" x14ac:dyDescent="0.2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175"/>
      <c r="P811" s="175"/>
      <c r="Q811" s="9"/>
      <c r="R811" s="9"/>
      <c r="S811" s="9"/>
      <c r="T811" s="9"/>
      <c r="U811" s="9"/>
    </row>
    <row r="812" spans="2:21" ht="14" x14ac:dyDescent="0.2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175"/>
      <c r="P812" s="175"/>
      <c r="Q812" s="9"/>
      <c r="R812" s="9"/>
      <c r="S812" s="9"/>
      <c r="T812" s="9"/>
      <c r="U812" s="9"/>
    </row>
    <row r="813" spans="2:21" ht="14" x14ac:dyDescent="0.2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175"/>
      <c r="P813" s="175"/>
      <c r="Q813" s="9"/>
      <c r="R813" s="9"/>
      <c r="S813" s="9"/>
      <c r="T813" s="9"/>
      <c r="U813" s="9"/>
    </row>
    <row r="814" spans="2:21" ht="14" x14ac:dyDescent="0.2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175"/>
      <c r="P814" s="175"/>
      <c r="Q814" s="9"/>
      <c r="R814" s="9"/>
      <c r="S814" s="9"/>
      <c r="T814" s="9"/>
      <c r="U814" s="9"/>
    </row>
    <row r="815" spans="2:21" ht="14" x14ac:dyDescent="0.2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175"/>
      <c r="P815" s="175"/>
      <c r="Q815" s="9"/>
      <c r="R815" s="9"/>
      <c r="S815" s="9"/>
      <c r="T815" s="9"/>
      <c r="U815" s="9"/>
    </row>
    <row r="816" spans="2:21" ht="14" x14ac:dyDescent="0.2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175"/>
      <c r="P816" s="175"/>
      <c r="Q816" s="9"/>
      <c r="R816" s="9"/>
      <c r="S816" s="9"/>
      <c r="T816" s="9"/>
      <c r="U816" s="9"/>
    </row>
    <row r="817" spans="2:21" ht="14" x14ac:dyDescent="0.2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175"/>
      <c r="P817" s="175"/>
      <c r="Q817" s="9"/>
      <c r="R817" s="9"/>
      <c r="S817" s="9"/>
      <c r="T817" s="9"/>
      <c r="U817" s="9"/>
    </row>
    <row r="818" spans="2:21" ht="14" x14ac:dyDescent="0.2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175"/>
      <c r="P818" s="175"/>
      <c r="Q818" s="9"/>
      <c r="R818" s="9"/>
      <c r="S818" s="9"/>
      <c r="T818" s="9"/>
      <c r="U818" s="9"/>
    </row>
    <row r="819" spans="2:21" ht="14" x14ac:dyDescent="0.2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175"/>
      <c r="P819" s="175"/>
      <c r="Q819" s="9"/>
      <c r="R819" s="9"/>
      <c r="S819" s="9"/>
      <c r="T819" s="9"/>
      <c r="U819" s="9"/>
    </row>
    <row r="820" spans="2:21" ht="14" x14ac:dyDescent="0.2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175"/>
      <c r="P820" s="175"/>
      <c r="Q820" s="9"/>
      <c r="R820" s="9"/>
      <c r="S820" s="9"/>
      <c r="T820" s="9"/>
      <c r="U820" s="9"/>
    </row>
    <row r="821" spans="2:21" ht="14" x14ac:dyDescent="0.2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175"/>
      <c r="P821" s="175"/>
      <c r="Q821" s="9"/>
      <c r="R821" s="9"/>
      <c r="S821" s="9"/>
      <c r="T821" s="9"/>
      <c r="U821" s="9"/>
    </row>
    <row r="822" spans="2:21" ht="14" x14ac:dyDescent="0.2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175"/>
      <c r="P822" s="175"/>
      <c r="Q822" s="9"/>
      <c r="R822" s="9"/>
      <c r="S822" s="9"/>
      <c r="T822" s="9"/>
      <c r="U822" s="9"/>
    </row>
    <row r="823" spans="2:21" ht="14" x14ac:dyDescent="0.2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175"/>
      <c r="P823" s="175"/>
      <c r="Q823" s="9"/>
      <c r="R823" s="9"/>
      <c r="S823" s="9"/>
      <c r="T823" s="9"/>
      <c r="U823" s="9"/>
    </row>
    <row r="824" spans="2:21" ht="14" x14ac:dyDescent="0.2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175"/>
      <c r="P824" s="175"/>
      <c r="Q824" s="9"/>
      <c r="R824" s="9"/>
      <c r="S824" s="9"/>
      <c r="T824" s="9"/>
      <c r="U824" s="9"/>
    </row>
    <row r="825" spans="2:21" ht="14" x14ac:dyDescent="0.2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175"/>
      <c r="P825" s="175"/>
      <c r="Q825" s="9"/>
      <c r="R825" s="9"/>
      <c r="S825" s="9"/>
      <c r="T825" s="9"/>
      <c r="U825" s="9"/>
    </row>
    <row r="826" spans="2:21" ht="14" x14ac:dyDescent="0.2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175"/>
      <c r="P826" s="175"/>
      <c r="Q826" s="9"/>
      <c r="R826" s="9"/>
      <c r="S826" s="9"/>
      <c r="T826" s="9"/>
      <c r="U826" s="9"/>
    </row>
    <row r="827" spans="2:21" ht="14" x14ac:dyDescent="0.2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175"/>
      <c r="P827" s="175"/>
      <c r="Q827" s="9"/>
      <c r="R827" s="9"/>
      <c r="S827" s="9"/>
      <c r="T827" s="9"/>
      <c r="U827" s="9"/>
    </row>
    <row r="828" spans="2:21" ht="14" x14ac:dyDescent="0.2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175"/>
      <c r="P828" s="175"/>
      <c r="Q828" s="9"/>
      <c r="R828" s="9"/>
      <c r="S828" s="9"/>
      <c r="T828" s="9"/>
      <c r="U828" s="9"/>
    </row>
    <row r="829" spans="2:21" ht="14" x14ac:dyDescent="0.2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175"/>
      <c r="P829" s="175"/>
      <c r="Q829" s="9"/>
      <c r="R829" s="9"/>
      <c r="S829" s="9"/>
      <c r="T829" s="9"/>
      <c r="U829" s="9"/>
    </row>
    <row r="830" spans="2:21" ht="14" x14ac:dyDescent="0.2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175"/>
      <c r="P830" s="175"/>
      <c r="Q830" s="9"/>
      <c r="R830" s="9"/>
      <c r="S830" s="9"/>
      <c r="T830" s="9"/>
      <c r="U830" s="9"/>
    </row>
    <row r="831" spans="2:21" ht="14" x14ac:dyDescent="0.2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175"/>
      <c r="P831" s="175"/>
      <c r="Q831" s="9"/>
      <c r="R831" s="9"/>
      <c r="S831" s="9"/>
      <c r="T831" s="9"/>
      <c r="U831" s="9"/>
    </row>
    <row r="832" spans="2:21" ht="14" x14ac:dyDescent="0.2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175"/>
      <c r="P832" s="175"/>
      <c r="Q832" s="9"/>
      <c r="R832" s="9"/>
      <c r="S832" s="9"/>
      <c r="T832" s="9"/>
      <c r="U832" s="9"/>
    </row>
    <row r="833" spans="2:21" ht="14" x14ac:dyDescent="0.2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175"/>
      <c r="P833" s="175"/>
      <c r="Q833" s="9"/>
      <c r="R833" s="9"/>
      <c r="S833" s="9"/>
      <c r="T833" s="9"/>
      <c r="U833" s="9"/>
    </row>
    <row r="834" spans="2:21" ht="14" x14ac:dyDescent="0.2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175"/>
      <c r="P834" s="175"/>
      <c r="Q834" s="9"/>
      <c r="R834" s="9"/>
      <c r="S834" s="9"/>
      <c r="T834" s="9"/>
      <c r="U834" s="9"/>
    </row>
    <row r="835" spans="2:21" ht="14" x14ac:dyDescent="0.2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175"/>
      <c r="P835" s="175"/>
      <c r="Q835" s="9"/>
      <c r="R835" s="9"/>
      <c r="S835" s="9"/>
      <c r="T835" s="9"/>
      <c r="U835" s="9"/>
    </row>
    <row r="836" spans="2:21" ht="14" x14ac:dyDescent="0.2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175"/>
      <c r="P836" s="175"/>
      <c r="Q836" s="9"/>
      <c r="R836" s="9"/>
      <c r="S836" s="9"/>
      <c r="T836" s="9"/>
      <c r="U836" s="9"/>
    </row>
    <row r="837" spans="2:21" ht="14" x14ac:dyDescent="0.2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175"/>
      <c r="P837" s="175"/>
      <c r="Q837" s="9"/>
      <c r="R837" s="9"/>
      <c r="S837" s="9"/>
      <c r="T837" s="9"/>
      <c r="U837" s="9"/>
    </row>
    <row r="838" spans="2:21" ht="14" x14ac:dyDescent="0.2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175"/>
      <c r="P838" s="175"/>
      <c r="Q838" s="9"/>
      <c r="R838" s="9"/>
      <c r="S838" s="9"/>
      <c r="T838" s="9"/>
      <c r="U838" s="9"/>
    </row>
    <row r="839" spans="2:21" ht="14" x14ac:dyDescent="0.2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175"/>
      <c r="P839" s="175"/>
      <c r="Q839" s="9"/>
      <c r="R839" s="9"/>
      <c r="S839" s="9"/>
      <c r="T839" s="9"/>
      <c r="U839" s="9"/>
    </row>
    <row r="840" spans="2:21" ht="14" x14ac:dyDescent="0.2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175"/>
      <c r="P840" s="175"/>
      <c r="Q840" s="9"/>
      <c r="R840" s="9"/>
      <c r="S840" s="9"/>
      <c r="T840" s="9"/>
      <c r="U840" s="9"/>
    </row>
    <row r="841" spans="2:21" ht="14" x14ac:dyDescent="0.2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175"/>
      <c r="P841" s="175"/>
      <c r="Q841" s="9"/>
      <c r="R841" s="9"/>
      <c r="S841" s="9"/>
      <c r="T841" s="9"/>
      <c r="U841" s="9"/>
    </row>
    <row r="842" spans="2:21" ht="14" x14ac:dyDescent="0.2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175"/>
      <c r="P842" s="175"/>
      <c r="Q842" s="9"/>
      <c r="R842" s="9"/>
      <c r="S842" s="9"/>
      <c r="T842" s="9"/>
      <c r="U842" s="9"/>
    </row>
    <row r="843" spans="2:21" ht="14" x14ac:dyDescent="0.2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175"/>
      <c r="P843" s="175"/>
      <c r="Q843" s="9"/>
      <c r="R843" s="9"/>
      <c r="S843" s="9"/>
      <c r="T843" s="9"/>
      <c r="U843" s="9"/>
    </row>
    <row r="844" spans="2:21" ht="14" x14ac:dyDescent="0.2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175"/>
      <c r="P844" s="175"/>
      <c r="Q844" s="9"/>
      <c r="R844" s="9"/>
      <c r="S844" s="9"/>
      <c r="T844" s="9"/>
      <c r="U844" s="9"/>
    </row>
    <row r="845" spans="2:21" ht="14" x14ac:dyDescent="0.2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175"/>
      <c r="P845" s="175"/>
      <c r="Q845" s="9"/>
      <c r="R845" s="9"/>
      <c r="S845" s="9"/>
      <c r="T845" s="9"/>
      <c r="U845" s="9"/>
    </row>
    <row r="846" spans="2:21" ht="14" x14ac:dyDescent="0.2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175"/>
      <c r="P846" s="175"/>
      <c r="Q846" s="9"/>
      <c r="R846" s="9"/>
      <c r="S846" s="9"/>
      <c r="T846" s="9"/>
      <c r="U846" s="9"/>
    </row>
    <row r="847" spans="2:21" ht="14" x14ac:dyDescent="0.2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175"/>
      <c r="P847" s="175"/>
      <c r="Q847" s="9"/>
      <c r="R847" s="9"/>
      <c r="S847" s="9"/>
      <c r="T847" s="9"/>
      <c r="U847" s="9"/>
    </row>
    <row r="848" spans="2:21" ht="14" x14ac:dyDescent="0.25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175"/>
      <c r="P848" s="175"/>
      <c r="Q848" s="9"/>
      <c r="R848" s="9"/>
      <c r="S848" s="9"/>
      <c r="T848" s="9"/>
      <c r="U848" s="9"/>
    </row>
    <row r="849" spans="2:21" ht="14" x14ac:dyDescent="0.25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175"/>
      <c r="P849" s="175"/>
      <c r="Q849" s="9"/>
      <c r="R849" s="9"/>
      <c r="S849" s="9"/>
      <c r="T849" s="9"/>
      <c r="U849" s="9"/>
    </row>
    <row r="850" spans="2:21" ht="14" x14ac:dyDescent="0.25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175"/>
      <c r="P850" s="175"/>
      <c r="Q850" s="9"/>
      <c r="R850" s="9"/>
      <c r="S850" s="9"/>
      <c r="T850" s="9"/>
      <c r="U850" s="9"/>
    </row>
    <row r="851" spans="2:21" ht="14" x14ac:dyDescent="0.25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175"/>
      <c r="P851" s="175"/>
      <c r="Q851" s="9"/>
      <c r="R851" s="9"/>
      <c r="S851" s="9"/>
      <c r="T851" s="9"/>
      <c r="U851" s="9"/>
    </row>
    <row r="852" spans="2:21" ht="14" x14ac:dyDescent="0.25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175"/>
      <c r="P852" s="175"/>
      <c r="Q852" s="9"/>
      <c r="R852" s="9"/>
      <c r="S852" s="9"/>
      <c r="T852" s="9"/>
      <c r="U852" s="9"/>
    </row>
    <row r="853" spans="2:21" ht="14" x14ac:dyDescent="0.25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175"/>
      <c r="P853" s="175"/>
      <c r="Q853" s="9"/>
      <c r="R853" s="9"/>
      <c r="S853" s="9"/>
      <c r="T853" s="9"/>
      <c r="U853" s="9"/>
    </row>
    <row r="854" spans="2:21" ht="14" x14ac:dyDescent="0.25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175"/>
      <c r="P854" s="175"/>
      <c r="Q854" s="9"/>
      <c r="R854" s="9"/>
      <c r="S854" s="9"/>
      <c r="T854" s="9"/>
      <c r="U854" s="9"/>
    </row>
    <row r="855" spans="2:21" ht="14" x14ac:dyDescent="0.25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175"/>
      <c r="P855" s="175"/>
      <c r="Q855" s="9"/>
      <c r="R855" s="9"/>
      <c r="S855" s="9"/>
      <c r="T855" s="9"/>
      <c r="U855" s="9"/>
    </row>
    <row r="856" spans="2:21" ht="14" x14ac:dyDescent="0.25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175"/>
      <c r="P856" s="175"/>
      <c r="Q856" s="9"/>
      <c r="R856" s="9"/>
      <c r="S856" s="9"/>
      <c r="T856" s="9"/>
      <c r="U856" s="9"/>
    </row>
    <row r="857" spans="2:21" ht="14" x14ac:dyDescent="0.25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175"/>
      <c r="P857" s="175"/>
      <c r="Q857" s="9"/>
      <c r="R857" s="9"/>
      <c r="S857" s="9"/>
      <c r="T857" s="9"/>
      <c r="U857" s="9"/>
    </row>
    <row r="858" spans="2:21" ht="14" x14ac:dyDescent="0.25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175"/>
      <c r="P858" s="175"/>
      <c r="Q858" s="9"/>
      <c r="R858" s="9"/>
      <c r="S858" s="9"/>
      <c r="T858" s="9"/>
      <c r="U858" s="9"/>
    </row>
    <row r="859" spans="2:21" ht="14" x14ac:dyDescent="0.25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175"/>
      <c r="P859" s="175"/>
      <c r="Q859" s="9"/>
      <c r="R859" s="9"/>
      <c r="S859" s="9"/>
      <c r="T859" s="9"/>
      <c r="U859" s="9"/>
    </row>
    <row r="860" spans="2:21" ht="14" x14ac:dyDescent="0.25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175"/>
      <c r="P860" s="175"/>
      <c r="Q860" s="9"/>
      <c r="R860" s="9"/>
      <c r="S860" s="9"/>
      <c r="T860" s="9"/>
      <c r="U860" s="9"/>
    </row>
    <row r="861" spans="2:21" ht="14" x14ac:dyDescent="0.25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175"/>
      <c r="P861" s="175"/>
      <c r="Q861" s="9"/>
      <c r="R861" s="9"/>
      <c r="S861" s="9"/>
      <c r="T861" s="9"/>
      <c r="U861" s="9"/>
    </row>
    <row r="862" spans="2:21" ht="14" x14ac:dyDescent="0.25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75"/>
      <c r="P862" s="175"/>
      <c r="Q862" s="9"/>
      <c r="R862" s="9"/>
      <c r="S862" s="9"/>
      <c r="T862" s="9"/>
      <c r="U862" s="9"/>
    </row>
    <row r="863" spans="2:21" ht="14" x14ac:dyDescent="0.25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175"/>
      <c r="P863" s="175"/>
      <c r="Q863" s="9"/>
      <c r="R863" s="9"/>
      <c r="S863" s="9"/>
      <c r="T863" s="9"/>
      <c r="U863" s="9"/>
    </row>
    <row r="864" spans="2:21" ht="14" x14ac:dyDescent="0.25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175"/>
      <c r="P864" s="175"/>
      <c r="Q864" s="9"/>
      <c r="R864" s="9"/>
      <c r="S864" s="9"/>
      <c r="T864" s="9"/>
      <c r="U864" s="9"/>
    </row>
    <row r="865" spans="2:21" ht="14" x14ac:dyDescent="0.25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175"/>
      <c r="P865" s="175"/>
      <c r="Q865" s="9"/>
      <c r="R865" s="9"/>
      <c r="S865" s="9"/>
      <c r="T865" s="9"/>
      <c r="U865" s="9"/>
    </row>
    <row r="866" spans="2:21" ht="14" x14ac:dyDescent="0.25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175"/>
      <c r="P866" s="175"/>
      <c r="Q866" s="9"/>
      <c r="R866" s="9"/>
      <c r="S866" s="9"/>
      <c r="T866" s="9"/>
      <c r="U866" s="9"/>
    </row>
    <row r="867" spans="2:21" ht="14" x14ac:dyDescent="0.25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175"/>
      <c r="P867" s="175"/>
      <c r="Q867" s="9"/>
      <c r="R867" s="9"/>
      <c r="S867" s="9"/>
      <c r="T867" s="9"/>
      <c r="U867" s="9"/>
    </row>
    <row r="868" spans="2:21" ht="14" x14ac:dyDescent="0.25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175"/>
      <c r="P868" s="175"/>
      <c r="Q868" s="9"/>
      <c r="R868" s="9"/>
      <c r="S868" s="9"/>
      <c r="T868" s="9"/>
      <c r="U868" s="9"/>
    </row>
    <row r="869" spans="2:21" ht="14" x14ac:dyDescent="0.25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175"/>
      <c r="P869" s="175"/>
      <c r="Q869" s="9"/>
      <c r="R869" s="9"/>
      <c r="S869" s="9"/>
      <c r="T869" s="9"/>
      <c r="U869" s="9"/>
    </row>
    <row r="870" spans="2:21" ht="14" x14ac:dyDescent="0.25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175"/>
      <c r="P870" s="175"/>
      <c r="Q870" s="9"/>
      <c r="R870" s="9"/>
      <c r="S870" s="9"/>
      <c r="T870" s="9"/>
      <c r="U870" s="9"/>
    </row>
    <row r="871" spans="2:21" ht="14" x14ac:dyDescent="0.25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175"/>
      <c r="P871" s="175"/>
      <c r="Q871" s="9"/>
      <c r="R871" s="9"/>
      <c r="S871" s="9"/>
      <c r="T871" s="9"/>
      <c r="U871" s="9"/>
    </row>
    <row r="872" spans="2:21" ht="14" x14ac:dyDescent="0.25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175"/>
      <c r="P872" s="175"/>
      <c r="Q872" s="9"/>
      <c r="R872" s="9"/>
      <c r="S872" s="9"/>
      <c r="T872" s="9"/>
      <c r="U872" s="9"/>
    </row>
    <row r="873" spans="2:21" ht="14" x14ac:dyDescent="0.25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175"/>
      <c r="P873" s="175"/>
      <c r="Q873" s="9"/>
      <c r="R873" s="9"/>
      <c r="S873" s="9"/>
      <c r="T873" s="9"/>
      <c r="U873" s="9"/>
    </row>
    <row r="874" spans="2:21" ht="14" x14ac:dyDescent="0.25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175"/>
      <c r="P874" s="175"/>
      <c r="Q874" s="9"/>
      <c r="R874" s="9"/>
      <c r="S874" s="9"/>
      <c r="T874" s="9"/>
      <c r="U874" s="9"/>
    </row>
    <row r="875" spans="2:21" ht="14" x14ac:dyDescent="0.25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175"/>
      <c r="P875" s="175"/>
      <c r="Q875" s="9"/>
      <c r="R875" s="9"/>
      <c r="S875" s="9"/>
      <c r="T875" s="9"/>
      <c r="U875" s="9"/>
    </row>
    <row r="876" spans="2:21" ht="14" x14ac:dyDescent="0.25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175"/>
      <c r="P876" s="175"/>
      <c r="Q876" s="9"/>
      <c r="R876" s="9"/>
      <c r="S876" s="9"/>
      <c r="T876" s="9"/>
      <c r="U876" s="9"/>
    </row>
    <row r="877" spans="2:21" ht="14" x14ac:dyDescent="0.25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175"/>
      <c r="P877" s="175"/>
      <c r="Q877" s="9"/>
      <c r="R877" s="9"/>
      <c r="S877" s="9"/>
      <c r="T877" s="9"/>
      <c r="U877" s="9"/>
    </row>
    <row r="878" spans="2:21" ht="14" x14ac:dyDescent="0.25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175"/>
      <c r="P878" s="175"/>
      <c r="Q878" s="9"/>
      <c r="R878" s="9"/>
      <c r="S878" s="9"/>
      <c r="T878" s="9"/>
      <c r="U878" s="9"/>
    </row>
    <row r="879" spans="2:21" ht="14" x14ac:dyDescent="0.25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175"/>
      <c r="P879" s="175"/>
      <c r="Q879" s="9"/>
      <c r="R879" s="9"/>
      <c r="S879" s="9"/>
      <c r="T879" s="9"/>
      <c r="U879" s="9"/>
    </row>
    <row r="880" spans="2:21" ht="14" x14ac:dyDescent="0.25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175"/>
      <c r="P880" s="175"/>
      <c r="Q880" s="9"/>
      <c r="R880" s="9"/>
      <c r="S880" s="9"/>
      <c r="T880" s="9"/>
      <c r="U880" s="9"/>
    </row>
    <row r="881" spans="2:21" ht="14" x14ac:dyDescent="0.25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175"/>
      <c r="P881" s="175"/>
      <c r="Q881" s="9"/>
      <c r="R881" s="9"/>
      <c r="S881" s="9"/>
      <c r="T881" s="9"/>
      <c r="U881" s="9"/>
    </row>
    <row r="882" spans="2:21" ht="14" x14ac:dyDescent="0.25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175"/>
      <c r="P882" s="175"/>
      <c r="Q882" s="9"/>
      <c r="R882" s="9"/>
      <c r="S882" s="9"/>
      <c r="T882" s="9"/>
      <c r="U882" s="9"/>
    </row>
    <row r="883" spans="2:21" ht="14" x14ac:dyDescent="0.25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175"/>
      <c r="P883" s="175"/>
      <c r="Q883" s="9"/>
      <c r="R883" s="9"/>
      <c r="S883" s="9"/>
      <c r="T883" s="9"/>
      <c r="U883" s="9"/>
    </row>
    <row r="884" spans="2:21" ht="14" x14ac:dyDescent="0.25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175"/>
      <c r="P884" s="175"/>
      <c r="Q884" s="9"/>
      <c r="R884" s="9"/>
      <c r="S884" s="9"/>
      <c r="T884" s="9"/>
      <c r="U884" s="9"/>
    </row>
    <row r="885" spans="2:21" ht="14" x14ac:dyDescent="0.25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175"/>
      <c r="P885" s="175"/>
      <c r="Q885" s="9"/>
      <c r="R885" s="9"/>
      <c r="S885" s="9"/>
      <c r="T885" s="9"/>
      <c r="U885" s="9"/>
    </row>
    <row r="886" spans="2:21" ht="14" x14ac:dyDescent="0.25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175"/>
      <c r="P886" s="175"/>
      <c r="Q886" s="9"/>
      <c r="R886" s="9"/>
      <c r="S886" s="9"/>
      <c r="T886" s="9"/>
      <c r="U886" s="9"/>
    </row>
    <row r="887" spans="2:21" ht="14" x14ac:dyDescent="0.25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175"/>
      <c r="P887" s="175"/>
      <c r="Q887" s="9"/>
      <c r="R887" s="9"/>
      <c r="S887" s="9"/>
      <c r="T887" s="9"/>
      <c r="U887" s="9"/>
    </row>
    <row r="888" spans="2:21" ht="14" x14ac:dyDescent="0.25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175"/>
      <c r="P888" s="175"/>
      <c r="Q888" s="9"/>
      <c r="R888" s="9"/>
      <c r="S888" s="9"/>
      <c r="T888" s="9"/>
      <c r="U888" s="9"/>
    </row>
    <row r="889" spans="2:21" ht="14" x14ac:dyDescent="0.25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175"/>
      <c r="P889" s="175"/>
      <c r="Q889" s="9"/>
      <c r="R889" s="9"/>
      <c r="S889" s="9"/>
      <c r="T889" s="9"/>
      <c r="U889" s="9"/>
    </row>
    <row r="890" spans="2:21" ht="14" x14ac:dyDescent="0.25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175"/>
      <c r="P890" s="175"/>
      <c r="Q890" s="9"/>
      <c r="R890" s="9"/>
      <c r="S890" s="9"/>
      <c r="T890" s="9"/>
      <c r="U890" s="9"/>
    </row>
    <row r="891" spans="2:21" ht="14" x14ac:dyDescent="0.25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175"/>
      <c r="P891" s="175"/>
      <c r="Q891" s="9"/>
      <c r="R891" s="9"/>
      <c r="S891" s="9"/>
      <c r="T891" s="9"/>
      <c r="U891" s="9"/>
    </row>
    <row r="892" spans="2:21" ht="14" x14ac:dyDescent="0.25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175"/>
      <c r="P892" s="175"/>
      <c r="Q892" s="9"/>
      <c r="R892" s="9"/>
      <c r="S892" s="9"/>
      <c r="T892" s="9"/>
      <c r="U892" s="9"/>
    </row>
    <row r="893" spans="2:21" ht="14" x14ac:dyDescent="0.25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175"/>
      <c r="P893" s="175"/>
      <c r="Q893" s="9"/>
      <c r="R893" s="9"/>
      <c r="S893" s="9"/>
      <c r="T893" s="9"/>
      <c r="U893" s="9"/>
    </row>
    <row r="894" spans="2:21" ht="14" x14ac:dyDescent="0.25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175"/>
      <c r="P894" s="175"/>
      <c r="Q894" s="9"/>
      <c r="R894" s="9"/>
      <c r="S894" s="9"/>
      <c r="T894" s="9"/>
      <c r="U894" s="9"/>
    </row>
    <row r="895" spans="2:21" ht="14" x14ac:dyDescent="0.25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175"/>
      <c r="P895" s="175"/>
      <c r="Q895" s="9"/>
      <c r="R895" s="9"/>
      <c r="S895" s="9"/>
      <c r="T895" s="9"/>
      <c r="U895" s="9"/>
    </row>
    <row r="896" spans="2:21" ht="14" x14ac:dyDescent="0.25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175"/>
      <c r="P896" s="175"/>
      <c r="Q896" s="9"/>
      <c r="R896" s="9"/>
      <c r="S896" s="9"/>
      <c r="T896" s="9"/>
      <c r="U896" s="9"/>
    </row>
    <row r="897" spans="2:21" ht="14" x14ac:dyDescent="0.25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175"/>
      <c r="P897" s="175"/>
      <c r="Q897" s="9"/>
      <c r="R897" s="9"/>
      <c r="S897" s="9"/>
      <c r="T897" s="9"/>
      <c r="U897" s="9"/>
    </row>
    <row r="898" spans="2:21" ht="14" x14ac:dyDescent="0.25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175"/>
      <c r="P898" s="175"/>
      <c r="Q898" s="9"/>
      <c r="R898" s="9"/>
      <c r="S898" s="9"/>
      <c r="T898" s="9"/>
      <c r="U898" s="9"/>
    </row>
    <row r="899" spans="2:21" ht="14" x14ac:dyDescent="0.25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175"/>
      <c r="P899" s="175"/>
      <c r="Q899" s="9"/>
      <c r="R899" s="9"/>
      <c r="S899" s="9"/>
      <c r="T899" s="9"/>
      <c r="U899" s="9"/>
    </row>
    <row r="900" spans="2:21" ht="14" x14ac:dyDescent="0.25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175"/>
      <c r="P900" s="175"/>
      <c r="Q900" s="9"/>
      <c r="R900" s="9"/>
      <c r="S900" s="9"/>
      <c r="T900" s="9"/>
      <c r="U900" s="9"/>
    </row>
    <row r="901" spans="2:21" ht="14" x14ac:dyDescent="0.25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175"/>
      <c r="P901" s="175"/>
      <c r="Q901" s="9"/>
      <c r="R901" s="9"/>
      <c r="S901" s="9"/>
      <c r="T901" s="9"/>
      <c r="U901" s="9"/>
    </row>
    <row r="902" spans="2:21" ht="14" x14ac:dyDescent="0.25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175"/>
      <c r="P902" s="175"/>
      <c r="Q902" s="9"/>
      <c r="R902" s="9"/>
      <c r="S902" s="9"/>
      <c r="T902" s="9"/>
      <c r="U902" s="9"/>
    </row>
    <row r="903" spans="2:21" ht="14" x14ac:dyDescent="0.25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175"/>
      <c r="P903" s="175"/>
      <c r="Q903" s="9"/>
      <c r="R903" s="9"/>
      <c r="S903" s="9"/>
      <c r="T903" s="9"/>
      <c r="U903" s="9"/>
    </row>
    <row r="904" spans="2:21" ht="14" x14ac:dyDescent="0.25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175"/>
      <c r="P904" s="175"/>
      <c r="Q904" s="9"/>
      <c r="R904" s="9"/>
      <c r="S904" s="9"/>
      <c r="T904" s="9"/>
      <c r="U904" s="9"/>
    </row>
    <row r="905" spans="2:21" ht="14" x14ac:dyDescent="0.25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175"/>
      <c r="P905" s="175"/>
      <c r="Q905" s="9"/>
      <c r="R905" s="9"/>
      <c r="S905" s="9"/>
      <c r="T905" s="9"/>
      <c r="U905" s="9"/>
    </row>
    <row r="906" spans="2:21" ht="14" x14ac:dyDescent="0.25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175"/>
      <c r="P906" s="175"/>
      <c r="Q906" s="9"/>
      <c r="R906" s="9"/>
      <c r="S906" s="9"/>
      <c r="T906" s="9"/>
      <c r="U906" s="9"/>
    </row>
    <row r="907" spans="2:21" ht="14" x14ac:dyDescent="0.25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175"/>
      <c r="P907" s="175"/>
      <c r="Q907" s="9"/>
      <c r="R907" s="9"/>
      <c r="S907" s="9"/>
      <c r="T907" s="9"/>
      <c r="U907" s="9"/>
    </row>
    <row r="908" spans="2:21" ht="14" x14ac:dyDescent="0.25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175"/>
      <c r="P908" s="175"/>
      <c r="Q908" s="9"/>
      <c r="R908" s="9"/>
      <c r="S908" s="9"/>
      <c r="T908" s="9"/>
      <c r="U908" s="9"/>
    </row>
    <row r="909" spans="2:21" ht="14" x14ac:dyDescent="0.25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175"/>
      <c r="P909" s="175"/>
      <c r="Q909" s="9"/>
      <c r="R909" s="9"/>
      <c r="S909" s="9"/>
      <c r="T909" s="9"/>
      <c r="U909" s="9"/>
    </row>
    <row r="910" spans="2:21" ht="14" x14ac:dyDescent="0.25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175"/>
      <c r="P910" s="175"/>
      <c r="Q910" s="9"/>
      <c r="R910" s="9"/>
      <c r="S910" s="9"/>
      <c r="T910" s="9"/>
      <c r="U910" s="9"/>
    </row>
    <row r="911" spans="2:21" ht="14" x14ac:dyDescent="0.25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175"/>
      <c r="P911" s="175"/>
      <c r="Q911" s="9"/>
      <c r="R911" s="9"/>
      <c r="S911" s="9"/>
      <c r="T911" s="9"/>
      <c r="U911" s="9"/>
    </row>
    <row r="912" spans="2:21" ht="14" x14ac:dyDescent="0.25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175"/>
      <c r="P912" s="175"/>
      <c r="Q912" s="9"/>
      <c r="R912" s="9"/>
      <c r="S912" s="9"/>
      <c r="T912" s="9"/>
      <c r="U912" s="9"/>
    </row>
    <row r="913" spans="2:21" ht="14" x14ac:dyDescent="0.25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175"/>
      <c r="P913" s="175"/>
      <c r="Q913" s="9"/>
      <c r="R913" s="9"/>
      <c r="S913" s="9"/>
      <c r="T913" s="9"/>
      <c r="U913" s="9"/>
    </row>
    <row r="914" spans="2:21" ht="14" x14ac:dyDescent="0.25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175"/>
      <c r="P914" s="175"/>
      <c r="Q914" s="9"/>
      <c r="R914" s="9"/>
      <c r="S914" s="9"/>
      <c r="T914" s="9"/>
      <c r="U914" s="9"/>
    </row>
    <row r="915" spans="2:21" ht="14" x14ac:dyDescent="0.25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175"/>
      <c r="P915" s="175"/>
      <c r="Q915" s="9"/>
      <c r="R915" s="9"/>
      <c r="S915" s="9"/>
      <c r="T915" s="9"/>
      <c r="U915" s="9"/>
    </row>
    <row r="916" spans="2:21" ht="14" x14ac:dyDescent="0.25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175"/>
      <c r="P916" s="175"/>
      <c r="Q916" s="9"/>
      <c r="R916" s="9"/>
      <c r="S916" s="9"/>
      <c r="T916" s="9"/>
      <c r="U916" s="9"/>
    </row>
    <row r="917" spans="2:21" ht="14" x14ac:dyDescent="0.25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175"/>
      <c r="P917" s="175"/>
      <c r="Q917" s="9"/>
      <c r="R917" s="9"/>
      <c r="S917" s="9"/>
      <c r="T917" s="9"/>
      <c r="U917" s="9"/>
    </row>
    <row r="918" spans="2:21" ht="14" x14ac:dyDescent="0.25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175"/>
      <c r="P918" s="175"/>
      <c r="Q918" s="9"/>
      <c r="R918" s="9"/>
      <c r="S918" s="9"/>
      <c r="T918" s="9"/>
      <c r="U918" s="9"/>
    </row>
    <row r="919" spans="2:21" ht="14" x14ac:dyDescent="0.25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175"/>
      <c r="P919" s="175"/>
      <c r="Q919" s="9"/>
      <c r="R919" s="9"/>
      <c r="S919" s="9"/>
      <c r="T919" s="9"/>
      <c r="U919" s="9"/>
    </row>
    <row r="920" spans="2:21" ht="14" x14ac:dyDescent="0.25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175"/>
      <c r="P920" s="175"/>
      <c r="Q920" s="9"/>
      <c r="R920" s="9"/>
      <c r="S920" s="9"/>
      <c r="T920" s="9"/>
      <c r="U920" s="9"/>
    </row>
    <row r="921" spans="2:21" ht="14" x14ac:dyDescent="0.25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175"/>
      <c r="P921" s="175"/>
      <c r="Q921" s="9"/>
      <c r="R921" s="9"/>
      <c r="S921" s="9"/>
      <c r="T921" s="9"/>
      <c r="U921" s="9"/>
    </row>
    <row r="922" spans="2:21" ht="14" x14ac:dyDescent="0.25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175"/>
      <c r="P922" s="175"/>
      <c r="Q922" s="9"/>
      <c r="R922" s="9"/>
      <c r="S922" s="9"/>
      <c r="T922" s="9"/>
      <c r="U922" s="9"/>
    </row>
    <row r="923" spans="2:21" ht="14" x14ac:dyDescent="0.25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175"/>
      <c r="P923" s="175"/>
      <c r="Q923" s="9"/>
      <c r="R923" s="9"/>
      <c r="S923" s="9"/>
      <c r="T923" s="9"/>
      <c r="U923" s="9"/>
    </row>
    <row r="924" spans="2:21" ht="14" x14ac:dyDescent="0.25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175"/>
      <c r="P924" s="175"/>
      <c r="Q924" s="9"/>
      <c r="R924" s="9"/>
      <c r="S924" s="9"/>
      <c r="T924" s="9"/>
      <c r="U924" s="9"/>
    </row>
    <row r="925" spans="2:21" ht="14" x14ac:dyDescent="0.25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175"/>
      <c r="P925" s="175"/>
      <c r="Q925" s="9"/>
      <c r="R925" s="9"/>
      <c r="S925" s="9"/>
      <c r="T925" s="9"/>
      <c r="U925" s="9"/>
    </row>
    <row r="926" spans="2:21" ht="14" x14ac:dyDescent="0.25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175"/>
      <c r="P926" s="175"/>
      <c r="Q926" s="9"/>
      <c r="R926" s="9"/>
      <c r="S926" s="9"/>
      <c r="T926" s="9"/>
      <c r="U926" s="9"/>
    </row>
    <row r="927" spans="2:21" ht="14" x14ac:dyDescent="0.25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175"/>
      <c r="P927" s="175"/>
      <c r="Q927" s="9"/>
      <c r="R927" s="9"/>
      <c r="S927" s="9"/>
      <c r="T927" s="9"/>
      <c r="U927" s="9"/>
    </row>
    <row r="928" spans="2:21" ht="14" x14ac:dyDescent="0.25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175"/>
      <c r="P928" s="175"/>
      <c r="Q928" s="9"/>
      <c r="R928" s="9"/>
      <c r="S928" s="9"/>
      <c r="T928" s="9"/>
      <c r="U928" s="9"/>
    </row>
    <row r="929" spans="2:21" ht="14" x14ac:dyDescent="0.25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175"/>
      <c r="P929" s="175"/>
      <c r="Q929" s="9"/>
      <c r="R929" s="9"/>
      <c r="S929" s="9"/>
      <c r="T929" s="9"/>
      <c r="U929" s="9"/>
    </row>
    <row r="930" spans="2:21" ht="14" x14ac:dyDescent="0.25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175"/>
      <c r="P930" s="175"/>
      <c r="Q930" s="9"/>
      <c r="R930" s="9"/>
      <c r="S930" s="9"/>
      <c r="T930" s="9"/>
      <c r="U930" s="9"/>
    </row>
    <row r="931" spans="2:21" ht="14" x14ac:dyDescent="0.25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175"/>
      <c r="P931" s="175"/>
      <c r="Q931" s="9"/>
      <c r="R931" s="9"/>
      <c r="S931" s="9"/>
      <c r="T931" s="9"/>
      <c r="U931" s="9"/>
    </row>
    <row r="932" spans="2:21" ht="14" x14ac:dyDescent="0.25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175"/>
      <c r="P932" s="175"/>
      <c r="Q932" s="9"/>
      <c r="R932" s="9"/>
      <c r="S932" s="9"/>
      <c r="T932" s="9"/>
      <c r="U932" s="9"/>
    </row>
    <row r="933" spans="2:21" ht="14" x14ac:dyDescent="0.25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175"/>
      <c r="P933" s="175"/>
      <c r="Q933" s="9"/>
      <c r="R933" s="9"/>
      <c r="S933" s="9"/>
      <c r="T933" s="9"/>
      <c r="U933" s="9"/>
    </row>
    <row r="934" spans="2:21" ht="14" x14ac:dyDescent="0.25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175"/>
      <c r="P934" s="175"/>
      <c r="Q934" s="9"/>
      <c r="R934" s="9"/>
      <c r="S934" s="9"/>
      <c r="T934" s="9"/>
      <c r="U934" s="9"/>
    </row>
    <row r="935" spans="2:21" ht="14" x14ac:dyDescent="0.25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175"/>
      <c r="P935" s="175"/>
      <c r="Q935" s="9"/>
      <c r="R935" s="9"/>
      <c r="S935" s="9"/>
      <c r="T935" s="9"/>
      <c r="U935" s="9"/>
    </row>
    <row r="936" spans="2:21" ht="14" x14ac:dyDescent="0.25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175"/>
      <c r="P936" s="175"/>
      <c r="Q936" s="9"/>
      <c r="R936" s="9"/>
      <c r="S936" s="9"/>
      <c r="T936" s="9"/>
      <c r="U936" s="9"/>
    </row>
    <row r="937" spans="2:21" ht="14" x14ac:dyDescent="0.25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175"/>
      <c r="P937" s="175"/>
      <c r="Q937" s="9"/>
      <c r="R937" s="9"/>
      <c r="S937" s="9"/>
      <c r="T937" s="9"/>
      <c r="U937" s="9"/>
    </row>
    <row r="938" spans="2:21" ht="14" x14ac:dyDescent="0.25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175"/>
      <c r="P938" s="175"/>
      <c r="Q938" s="9"/>
      <c r="R938" s="9"/>
      <c r="S938" s="9"/>
      <c r="T938" s="9"/>
      <c r="U938" s="9"/>
    </row>
    <row r="939" spans="2:21" ht="14" x14ac:dyDescent="0.25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175"/>
      <c r="P939" s="175"/>
      <c r="Q939" s="9"/>
      <c r="R939" s="9"/>
      <c r="S939" s="9"/>
      <c r="T939" s="9"/>
      <c r="U939" s="9"/>
    </row>
    <row r="940" spans="2:21" ht="14" x14ac:dyDescent="0.25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175"/>
      <c r="P940" s="175"/>
      <c r="Q940" s="9"/>
      <c r="R940" s="9"/>
      <c r="S940" s="9"/>
      <c r="T940" s="9"/>
      <c r="U940" s="9"/>
    </row>
    <row r="941" spans="2:21" ht="14" x14ac:dyDescent="0.25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175"/>
      <c r="P941" s="175"/>
      <c r="Q941" s="9"/>
      <c r="R941" s="9"/>
      <c r="S941" s="9"/>
      <c r="T941" s="9"/>
      <c r="U941" s="9"/>
    </row>
    <row r="942" spans="2:21" ht="14" x14ac:dyDescent="0.25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175"/>
      <c r="P942" s="175"/>
      <c r="Q942" s="9"/>
      <c r="R942" s="9"/>
      <c r="S942" s="9"/>
      <c r="T942" s="9"/>
      <c r="U942" s="9"/>
    </row>
    <row r="943" spans="2:21" ht="14" x14ac:dyDescent="0.25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175"/>
      <c r="P943" s="175"/>
      <c r="Q943" s="9"/>
      <c r="R943" s="9"/>
      <c r="S943" s="9"/>
      <c r="T943" s="9"/>
      <c r="U943" s="9"/>
    </row>
    <row r="944" spans="2:21" ht="14" x14ac:dyDescent="0.25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175"/>
      <c r="P944" s="175"/>
      <c r="Q944" s="9"/>
      <c r="R944" s="9"/>
      <c r="S944" s="9"/>
      <c r="T944" s="9"/>
      <c r="U944" s="9"/>
    </row>
    <row r="945" spans="2:21" ht="14" x14ac:dyDescent="0.25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175"/>
      <c r="P945" s="175"/>
      <c r="Q945" s="9"/>
      <c r="R945" s="9"/>
      <c r="S945" s="9"/>
      <c r="T945" s="9"/>
      <c r="U945" s="9"/>
    </row>
    <row r="946" spans="2:21" ht="14" x14ac:dyDescent="0.25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175"/>
      <c r="P946" s="175"/>
      <c r="Q946" s="9"/>
      <c r="R946" s="9"/>
      <c r="S946" s="9"/>
      <c r="T946" s="9"/>
      <c r="U946" s="9"/>
    </row>
    <row r="947" spans="2:21" ht="14" x14ac:dyDescent="0.25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175"/>
      <c r="P947" s="175"/>
      <c r="Q947" s="9"/>
      <c r="R947" s="9"/>
      <c r="S947" s="9"/>
      <c r="T947" s="9"/>
      <c r="U947" s="9"/>
    </row>
    <row r="948" spans="2:21" ht="14" x14ac:dyDescent="0.25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175"/>
      <c r="P948" s="175"/>
      <c r="Q948" s="9"/>
      <c r="R948" s="9"/>
      <c r="S948" s="9"/>
      <c r="T948" s="9"/>
      <c r="U948" s="9"/>
    </row>
    <row r="949" spans="2:21" ht="14" x14ac:dyDescent="0.25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175"/>
      <c r="P949" s="175"/>
      <c r="Q949" s="9"/>
      <c r="R949" s="9"/>
      <c r="S949" s="9"/>
      <c r="T949" s="9"/>
      <c r="U949" s="9"/>
    </row>
    <row r="950" spans="2:21" ht="14" x14ac:dyDescent="0.25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175"/>
      <c r="P950" s="175"/>
      <c r="Q950" s="9"/>
      <c r="R950" s="9"/>
      <c r="S950" s="9"/>
      <c r="T950" s="9"/>
      <c r="U950" s="9"/>
    </row>
    <row r="951" spans="2:21" ht="14" x14ac:dyDescent="0.25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175"/>
      <c r="P951" s="175"/>
      <c r="Q951" s="9"/>
      <c r="R951" s="9"/>
      <c r="S951" s="9"/>
      <c r="T951" s="9"/>
      <c r="U951" s="9"/>
    </row>
    <row r="952" spans="2:21" ht="14" x14ac:dyDescent="0.25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175"/>
      <c r="P952" s="175"/>
      <c r="Q952" s="9"/>
      <c r="R952" s="9"/>
      <c r="S952" s="9"/>
      <c r="T952" s="9"/>
      <c r="U952" s="9"/>
    </row>
    <row r="953" spans="2:21" ht="14" x14ac:dyDescent="0.25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175"/>
      <c r="P953" s="175"/>
      <c r="Q953" s="9"/>
      <c r="R953" s="9"/>
      <c r="S953" s="9"/>
      <c r="T953" s="9"/>
      <c r="U953" s="9"/>
    </row>
    <row r="954" spans="2:21" ht="14" x14ac:dyDescent="0.25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175"/>
      <c r="P954" s="175"/>
      <c r="Q954" s="9"/>
      <c r="R954" s="9"/>
      <c r="S954" s="9"/>
      <c r="T954" s="9"/>
      <c r="U954" s="9"/>
    </row>
    <row r="955" spans="2:21" ht="14" x14ac:dyDescent="0.25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175"/>
      <c r="P955" s="175"/>
      <c r="Q955" s="9"/>
      <c r="R955" s="9"/>
      <c r="S955" s="9"/>
      <c r="T955" s="9"/>
      <c r="U955" s="9"/>
    </row>
    <row r="956" spans="2:21" ht="14" x14ac:dyDescent="0.25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175"/>
      <c r="P956" s="175"/>
      <c r="Q956" s="9"/>
      <c r="R956" s="9"/>
      <c r="S956" s="9"/>
      <c r="T956" s="9"/>
      <c r="U956" s="9"/>
    </row>
    <row r="957" spans="2:21" ht="14" x14ac:dyDescent="0.25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175"/>
      <c r="P957" s="175"/>
      <c r="Q957" s="9"/>
      <c r="R957" s="9"/>
      <c r="S957" s="9"/>
      <c r="T957" s="9"/>
      <c r="U957" s="9"/>
    </row>
    <row r="958" spans="2:21" ht="14" x14ac:dyDescent="0.25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175"/>
      <c r="P958" s="175"/>
      <c r="Q958" s="9"/>
      <c r="R958" s="9"/>
      <c r="S958" s="9"/>
      <c r="T958" s="9"/>
      <c r="U958" s="9"/>
    </row>
    <row r="959" spans="2:21" ht="14" x14ac:dyDescent="0.25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175"/>
      <c r="P959" s="175"/>
      <c r="Q959" s="9"/>
      <c r="R959" s="9"/>
      <c r="S959" s="9"/>
      <c r="T959" s="9"/>
      <c r="U959" s="9"/>
    </row>
    <row r="960" spans="2:21" ht="14" x14ac:dyDescent="0.25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175"/>
      <c r="P960" s="175"/>
      <c r="Q960" s="9"/>
      <c r="R960" s="9"/>
      <c r="S960" s="9"/>
      <c r="T960" s="9"/>
      <c r="U960" s="9"/>
    </row>
    <row r="961" spans="2:21" ht="14" x14ac:dyDescent="0.25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175"/>
      <c r="P961" s="175"/>
      <c r="Q961" s="9"/>
      <c r="R961" s="9"/>
      <c r="S961" s="9"/>
      <c r="T961" s="9"/>
      <c r="U961" s="9"/>
    </row>
    <row r="962" spans="2:21" ht="14" x14ac:dyDescent="0.25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175"/>
      <c r="Q962" s="9"/>
      <c r="R962" s="9"/>
      <c r="S962" s="9"/>
      <c r="T962" s="9"/>
      <c r="U962" s="9"/>
    </row>
    <row r="963" spans="2:21" ht="14" x14ac:dyDescent="0.25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175"/>
      <c r="Q963" s="9"/>
      <c r="R963" s="9"/>
      <c r="S963" s="9"/>
      <c r="T963" s="9"/>
      <c r="U963" s="9"/>
    </row>
    <row r="964" spans="2:21" ht="14" x14ac:dyDescent="0.25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175"/>
      <c r="Q964" s="9"/>
      <c r="R964" s="9"/>
      <c r="S964" s="9"/>
      <c r="T964" s="9"/>
      <c r="U964" s="9"/>
    </row>
    <row r="965" spans="2:21" ht="14" x14ac:dyDescent="0.25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175"/>
      <c r="Q965" s="9"/>
      <c r="R965" s="9"/>
      <c r="S965" s="9"/>
      <c r="T965" s="9"/>
      <c r="U965" s="9"/>
    </row>
    <row r="966" spans="2:21" ht="14" x14ac:dyDescent="0.25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175"/>
      <c r="Q966" s="9"/>
      <c r="R966" s="9"/>
      <c r="S966" s="9"/>
      <c r="T966" s="9"/>
      <c r="U966" s="9"/>
    </row>
    <row r="967" spans="2:21" ht="14" x14ac:dyDescent="0.25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175"/>
      <c r="Q967" s="9"/>
      <c r="R967" s="9"/>
      <c r="S967" s="9"/>
      <c r="T967" s="9"/>
      <c r="U967" s="9"/>
    </row>
    <row r="968" spans="2:21" ht="14" x14ac:dyDescent="0.25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175"/>
      <c r="Q968" s="9"/>
      <c r="R968" s="9"/>
      <c r="S968" s="9"/>
      <c r="T968" s="9"/>
      <c r="U968" s="9"/>
    </row>
    <row r="969" spans="2:21" ht="14" x14ac:dyDescent="0.25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175"/>
      <c r="Q969" s="9"/>
      <c r="R969" s="9"/>
      <c r="S969" s="9"/>
      <c r="T969" s="9"/>
      <c r="U969" s="9"/>
    </row>
    <row r="970" spans="2:21" ht="14" x14ac:dyDescent="0.25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175"/>
      <c r="Q970" s="9"/>
      <c r="R970" s="9"/>
      <c r="S970" s="9"/>
      <c r="T970" s="9"/>
      <c r="U970" s="9"/>
    </row>
    <row r="971" spans="2:21" ht="14" x14ac:dyDescent="0.25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</row>
    <row r="972" spans="2:21" ht="14" x14ac:dyDescent="0.25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</row>
    <row r="973" spans="2:21" ht="14" x14ac:dyDescent="0.25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</row>
    <row r="974" spans="2:21" ht="14" x14ac:dyDescent="0.25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</row>
    <row r="975" spans="2:21" ht="14" x14ac:dyDescent="0.25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</row>
    <row r="976" spans="2:21" ht="14" x14ac:dyDescent="0.25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</row>
    <row r="977" spans="2:21" ht="14" x14ac:dyDescent="0.25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</row>
    <row r="978" spans="2:21" ht="14" x14ac:dyDescent="0.25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</row>
    <row r="979" spans="2:21" ht="14" x14ac:dyDescent="0.25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</row>
    <row r="980" spans="2:21" ht="14" x14ac:dyDescent="0.25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</row>
    <row r="981" spans="2:21" ht="14" x14ac:dyDescent="0.25"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</row>
    <row r="982" spans="2:21" ht="14" x14ac:dyDescent="0.25"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</row>
    <row r="983" spans="2:21" ht="14" x14ac:dyDescent="0.25"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</row>
    <row r="984" spans="2:21" ht="14" x14ac:dyDescent="0.25">
      <c r="D984" s="9"/>
      <c r="P984" s="9"/>
      <c r="Q984" s="9"/>
      <c r="R984" s="9"/>
      <c r="S984" s="9"/>
      <c r="T984" s="9"/>
      <c r="U984" s="9"/>
    </row>
    <row r="985" spans="2:21" ht="14" x14ac:dyDescent="0.25">
      <c r="D985" s="9"/>
      <c r="P985" s="9"/>
      <c r="Q985" s="9"/>
      <c r="R985" s="9"/>
      <c r="S985" s="9"/>
      <c r="T985" s="9"/>
      <c r="U985" s="9"/>
    </row>
    <row r="986" spans="2:21" ht="14" x14ac:dyDescent="0.25">
      <c r="D986" s="9"/>
      <c r="P986" s="9"/>
      <c r="Q986" s="9"/>
      <c r="R986" s="9"/>
      <c r="S986" s="9"/>
      <c r="T986" s="9"/>
      <c r="U986" s="9"/>
    </row>
    <row r="987" spans="2:21" ht="14" x14ac:dyDescent="0.25">
      <c r="D987" s="9"/>
      <c r="P987" s="9"/>
      <c r="Q987" s="9"/>
      <c r="R987" s="9"/>
      <c r="S987" s="9"/>
      <c r="T987" s="9"/>
      <c r="U987" s="9"/>
    </row>
    <row r="988" spans="2:21" ht="14" x14ac:dyDescent="0.25">
      <c r="D988" s="9"/>
      <c r="P988" s="9"/>
      <c r="Q988" s="9"/>
      <c r="R988" s="9"/>
      <c r="S988" s="9"/>
      <c r="T988" s="9"/>
      <c r="U988" s="9"/>
    </row>
    <row r="989" spans="2:21" ht="14" x14ac:dyDescent="0.25">
      <c r="D989" s="9"/>
      <c r="P989" s="9"/>
      <c r="Q989" s="9"/>
      <c r="R989" s="9"/>
      <c r="S989" s="9"/>
      <c r="T989" s="9"/>
      <c r="U989" s="9"/>
    </row>
    <row r="990" spans="2:21" ht="14" x14ac:dyDescent="0.25">
      <c r="D990" s="9"/>
      <c r="P990" s="9"/>
      <c r="Q990" s="9"/>
      <c r="R990" s="9"/>
      <c r="S990" s="9"/>
      <c r="T990" s="9"/>
      <c r="U990" s="9"/>
    </row>
    <row r="991" spans="2:21" ht="14" x14ac:dyDescent="0.25">
      <c r="D991" s="9"/>
      <c r="P991" s="9"/>
      <c r="Q991" s="9"/>
      <c r="R991" s="9"/>
      <c r="S991" s="9"/>
      <c r="T991" s="9"/>
      <c r="U991" s="9"/>
    </row>
    <row r="992" spans="2:21" ht="14" x14ac:dyDescent="0.25">
      <c r="D992" s="9"/>
      <c r="P992" s="9"/>
      <c r="Q992" s="9"/>
      <c r="R992" s="9"/>
      <c r="S992" s="9"/>
      <c r="T992" s="9"/>
      <c r="U992" s="9"/>
    </row>
    <row r="993" spans="18:21" ht="14" x14ac:dyDescent="0.25">
      <c r="R993" s="9"/>
      <c r="S993" s="9"/>
      <c r="T993" s="9"/>
      <c r="U993" s="9"/>
    </row>
    <row r="994" spans="18:21" ht="14" x14ac:dyDescent="0.25">
      <c r="R994" s="9"/>
      <c r="S994" s="9"/>
      <c r="T994" s="9"/>
      <c r="U994" s="9"/>
    </row>
    <row r="995" spans="18:21" ht="14" x14ac:dyDescent="0.25">
      <c r="R995" s="9"/>
      <c r="S995" s="9"/>
      <c r="T995" s="9"/>
      <c r="U995" s="9"/>
    </row>
    <row r="996" spans="18:21" ht="14" x14ac:dyDescent="0.25">
      <c r="R996" s="9"/>
      <c r="S996" s="9"/>
      <c r="T996" s="9"/>
      <c r="U996" s="9"/>
    </row>
    <row r="997" spans="18:21" ht="14" x14ac:dyDescent="0.25">
      <c r="R997" s="9"/>
      <c r="S997" s="9"/>
      <c r="T997" s="9"/>
      <c r="U997" s="9"/>
    </row>
    <row r="998" spans="18:21" ht="14" x14ac:dyDescent="0.25">
      <c r="R998" s="9"/>
      <c r="S998" s="9"/>
      <c r="T998" s="9"/>
      <c r="U998" s="9"/>
    </row>
    <row r="999" spans="18:21" ht="14" x14ac:dyDescent="0.25">
      <c r="R999" s="9"/>
      <c r="S999" s="9"/>
      <c r="T999" s="9"/>
      <c r="U999" s="9"/>
    </row>
    <row r="1000" spans="18:21" ht="14" x14ac:dyDescent="0.25">
      <c r="R1000" s="9"/>
      <c r="S1000" s="9"/>
      <c r="T1000" s="9"/>
      <c r="U1000" s="9"/>
    </row>
    <row r="1001" spans="18:21" ht="14" x14ac:dyDescent="0.25">
      <c r="R1001" s="9"/>
      <c r="S1001" s="9"/>
      <c r="T1001" s="9"/>
      <c r="U1001" s="9"/>
    </row>
    <row r="1002" spans="18:21" ht="14" x14ac:dyDescent="0.25">
      <c r="R1002" s="9"/>
      <c r="S1002" s="9"/>
      <c r="T1002" s="9"/>
      <c r="U1002" s="9"/>
    </row>
    <row r="1003" spans="18:21" ht="14" x14ac:dyDescent="0.25">
      <c r="R1003" s="9"/>
      <c r="S1003" s="9"/>
      <c r="T1003" s="9"/>
      <c r="U1003" s="9"/>
    </row>
    <row r="1004" spans="18:21" ht="14" x14ac:dyDescent="0.25">
      <c r="R1004" s="9"/>
      <c r="S1004" s="9"/>
      <c r="T1004" s="9"/>
      <c r="U1004" s="9"/>
    </row>
    <row r="1005" spans="18:21" ht="14" x14ac:dyDescent="0.25">
      <c r="R1005" s="9"/>
      <c r="S1005" s="9"/>
      <c r="T1005" s="9"/>
      <c r="U1005" s="9"/>
    </row>
    <row r="1006" spans="18:21" ht="14" x14ac:dyDescent="0.25">
      <c r="R1006" s="9"/>
      <c r="S1006" s="9"/>
      <c r="T1006" s="9"/>
      <c r="U1006" s="9"/>
    </row>
    <row r="1007" spans="18:21" ht="14" x14ac:dyDescent="0.25">
      <c r="R1007" s="9"/>
      <c r="S1007" s="9"/>
      <c r="T1007" s="9"/>
      <c r="U1007" s="9"/>
    </row>
    <row r="1008" spans="18:21" ht="14" x14ac:dyDescent="0.25">
      <c r="R1008" s="9"/>
      <c r="S1008" s="9"/>
      <c r="T1008" s="9"/>
      <c r="U1008" s="9"/>
    </row>
    <row r="1009" spans="18:21" ht="14" x14ac:dyDescent="0.25">
      <c r="R1009" s="9"/>
      <c r="S1009" s="9"/>
      <c r="T1009" s="9"/>
      <c r="U1009" s="9"/>
    </row>
  </sheetData>
  <sheetProtection sheet="1" objects="1" scenarios="1"/>
  <mergeCells count="10">
    <mergeCell ref="C1:E1"/>
    <mergeCell ref="B17:R17"/>
    <mergeCell ref="B41:R41"/>
    <mergeCell ref="N2:P4"/>
    <mergeCell ref="K34:N34"/>
    <mergeCell ref="S57:W59"/>
    <mergeCell ref="J10:K10"/>
    <mergeCell ref="O61:Q61"/>
    <mergeCell ref="O6:P6"/>
    <mergeCell ref="O5:P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6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인파이터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 Pyo</cp:lastModifiedBy>
  <cp:revision>3</cp:revision>
  <dcterms:modified xsi:type="dcterms:W3CDTF">2021-12-17T01:20:16Z</dcterms:modified>
</cp:coreProperties>
</file>